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comments/comment1.xml" ContentType="application/vnd.openxmlformats-officedocument.spreadsheetml.comment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comments/comment2.xml" ContentType="application/vnd.openxmlformats-officedocument.spreadsheetml.comments+xml"/>
  <Override PartName="/xl/worksheets/sheet8.xml" ContentType="application/vnd.openxmlformats-officedocument.spreadsheetml.worksheet+xml"/>
  <Override PartName="/xl/comments/comment3.xml" ContentType="application/vnd.openxmlformats-officedocument.spreadsheetml.comments+xml"/>
  <Override PartName="/xl/worksheets/sheet9.xml" ContentType="application/vnd.openxmlformats-officedocument.spreadsheetml.worksheet+xml"/>
  <Override PartName="/xl/comments/comment4.xml" ContentType="application/vnd.openxmlformats-officedocument.spreadsheetml.comments+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ables/table1.xml" ContentType="application/vnd.openxmlformats-officedocument.spreadsheetml.table+xml"/>
  <Override PartName="/xl/worksheets/sheet13.xml" ContentType="application/vnd.openxmlformats-officedocument.spreadsheetml.worksheet+xml"/>
  <Override PartName="/xl/worksheets/sheet14.xml" ContentType="application/vnd.openxmlformats-officedocument.spreadsheetml.worksheet+xml"/>
  <Override PartName="/xl/comments/comment5.xml" ContentType="application/vnd.openxmlformats-officedocument.spreadsheetml.comments+xml"/>
  <Override PartName="/xl/worksheets/sheet15.xml" ContentType="application/vnd.openxmlformats-officedocument.spreadsheetml.worksheet+xml"/>
  <Override PartName="/xl/drawings/drawing1.xml" ContentType="application/vnd.openxmlformats-officedocument.drawing+xml"/>
  <Override PartName="/xl/worksheets/sheet16.xml" ContentType="application/vnd.openxmlformats-officedocument.spreadsheetml.worksheet+xml"/>
  <Override PartName="/xl/drawings/drawing2.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40" yWindow="800" windowWidth="34200" windowHeight="21440" tabRatio="600" firstSheet="0" activeTab="8" autoFilterDateGrouping="1"/>
  </bookViews>
  <sheets>
    <sheet xmlns:r="http://schemas.openxmlformats.org/officeDocument/2006/relationships" name="Summary" sheetId="1" state="visible" r:id="rId1"/>
    <sheet xmlns:r="http://schemas.openxmlformats.org/officeDocument/2006/relationships" name="Valuation" sheetId="2" state="visible" r:id="rId2"/>
    <sheet xmlns:r="http://schemas.openxmlformats.org/officeDocument/2006/relationships" name="FS_Y (OLD)" sheetId="3" state="hidden" r:id="rId3"/>
    <sheet xmlns:r="http://schemas.openxmlformats.org/officeDocument/2006/relationships" name="FS_H" sheetId="4" state="hidden" r:id="rId4"/>
    <sheet xmlns:r="http://schemas.openxmlformats.org/officeDocument/2006/relationships" name="Financials" sheetId="5" state="visible" r:id="rId5"/>
    <sheet xmlns:r="http://schemas.openxmlformats.org/officeDocument/2006/relationships" name="FS_Y" sheetId="6" state="visible" r:id="rId6"/>
    <sheet xmlns:r="http://schemas.openxmlformats.org/officeDocument/2006/relationships" name="FS_Q" sheetId="7" state="visible" r:id="rId7"/>
    <sheet xmlns:r="http://schemas.openxmlformats.org/officeDocument/2006/relationships" name="Assumption" sheetId="8" state="visible" r:id="rId8"/>
    <sheet xmlns:r="http://schemas.openxmlformats.org/officeDocument/2006/relationships" name="Reported" sheetId="9" state="visible" r:id="rId9"/>
    <sheet xmlns:r="http://schemas.openxmlformats.org/officeDocument/2006/relationships" name="IPGP" sheetId="10" state="visible" r:id="rId10"/>
    <sheet xmlns:r="http://schemas.openxmlformats.org/officeDocument/2006/relationships" name="SCB Ticker Sheet" sheetId="11" state="visible" r:id="rId11"/>
    <sheet xmlns:r="http://schemas.openxmlformats.org/officeDocument/2006/relationships" name="SCB Ticker Sheet1" sheetId="12" state="visible" r:id="rId12"/>
    <sheet xmlns:r="http://schemas.openxmlformats.org/officeDocument/2006/relationships" name="SPX" sheetId="13" state="visible" r:id="rId13"/>
    <sheet xmlns:r="http://schemas.openxmlformats.org/officeDocument/2006/relationships" name="Earning_notes" sheetId="14" state="hidden" r:id="rId14"/>
    <sheet xmlns:r="http://schemas.openxmlformats.org/officeDocument/2006/relationships" name="bands_A" sheetId="15" state="hidden" r:id="rId15"/>
    <sheet xmlns:r="http://schemas.openxmlformats.org/officeDocument/2006/relationships" name="bands_A-H_Avg" sheetId="16" state="hidden" r:id="rId16"/>
    <sheet xmlns:r="http://schemas.openxmlformats.org/officeDocument/2006/relationships" name="vs_BBG" sheetId="17" state="hidden" r:id="rId17"/>
    <sheet xmlns:r="http://schemas.openxmlformats.org/officeDocument/2006/relationships" name="Revisions" sheetId="18" state="hidden" r:id="rId18"/>
    <sheet xmlns:r="http://schemas.openxmlformats.org/officeDocument/2006/relationships" name="Guide" sheetId="19" state="hidden" r:id="rId19"/>
    <sheet xmlns:r="http://schemas.openxmlformats.org/officeDocument/2006/relationships" name="XLinkMeta" sheetId="20" state="veryHidden" r:id="rId20"/>
  </sheets>
  <externalReferences>
    <externalReference xmlns:r="http://schemas.openxmlformats.org/officeDocument/2006/relationships" r:id="rId21"/>
    <externalReference xmlns:r="http://schemas.openxmlformats.org/officeDocument/2006/relationships" r:id="rId22"/>
    <externalReference xmlns:r="http://schemas.openxmlformats.org/officeDocument/2006/relationships" r:id="rId23"/>
    <externalReference xmlns:r="http://schemas.openxmlformats.org/officeDocument/2006/relationships" r:id="rId24"/>
    <externalReference xmlns:r="http://schemas.openxmlformats.org/officeDocument/2006/relationships" r:id="rId25"/>
    <externalReference xmlns:r="http://schemas.openxmlformats.org/officeDocument/2006/relationships" r:id="rId26"/>
    <externalReference xmlns:r="http://schemas.openxmlformats.org/officeDocument/2006/relationships" r:id="rId27"/>
    <externalReference xmlns:r="http://schemas.openxmlformats.org/officeDocument/2006/relationships" r:id="rId28"/>
    <externalReference xmlns:r="http://schemas.openxmlformats.org/officeDocument/2006/relationships" r:id="rId29"/>
    <externalReference xmlns:r="http://schemas.openxmlformats.org/officeDocument/2006/relationships" r:id="rId30"/>
    <externalReference xmlns:r="http://schemas.openxmlformats.org/officeDocument/2006/relationships" r:id="rId31"/>
    <externalReference xmlns:r="http://schemas.openxmlformats.org/officeDocument/2006/relationships" r:id="rId32"/>
    <externalReference xmlns:r="http://schemas.openxmlformats.org/officeDocument/2006/relationships" r:id="rId33"/>
    <externalReference xmlns:r="http://schemas.openxmlformats.org/officeDocument/2006/relationships" r:id="rId34"/>
    <externalReference xmlns:r="http://schemas.openxmlformats.org/officeDocument/2006/relationships" r:id="rId35"/>
    <externalReference xmlns:r="http://schemas.openxmlformats.org/officeDocument/2006/relationships" r:id="rId36"/>
    <externalReference xmlns:r="http://schemas.openxmlformats.org/officeDocument/2006/relationships" r:id="rId37"/>
    <externalReference xmlns:r="http://schemas.openxmlformats.org/officeDocument/2006/relationships" r:id="rId38"/>
    <externalReference xmlns:r="http://schemas.openxmlformats.org/officeDocument/2006/relationships" r:id="rId39"/>
    <externalReference xmlns:r="http://schemas.openxmlformats.org/officeDocument/2006/relationships" r:id="rId40"/>
    <externalReference xmlns:r="http://schemas.openxmlformats.org/officeDocument/2006/relationships" r:id="rId41"/>
    <externalReference xmlns:r="http://schemas.openxmlformats.org/officeDocument/2006/relationships" r:id="rId42"/>
  </externalReferences>
  <definedNames>
    <definedName name="__123Graph_BHISTSALES" hidden="1">[1]A!$A$4:$P$4</definedName>
    <definedName name="__123Graph_LBL_BHISTSALES" hidden="1">[1]A!$A$4:$P$4</definedName>
    <definedName name="__123Graph_XHISTSALES" hidden="1">[1]A!$A$3:$P$3</definedName>
    <definedName name="__APW_RESTORE_DATA1__" hidden="1">[2]Sheet1!#REF!</definedName>
    <definedName name="__APW_RESTORE_DATA126__" hidden="1">[2]Sheet1!#REF!,[2]Sheet1!#REF!,[2]Sheet1!#REF!,[2]Sheet1!#REF!,[2]Sheet1!#REF!,[2]Sheet1!#REF!,[2]Sheet1!#REF!,[2]Sheet1!#REF!,[2]Sheet1!#REF!,[2]Sheet1!#REF!,[2]Sheet1!#REF!,[2]Sheet1!#REF!,[2]Sheet1!#REF!,[2]Sheet1!#REF!,[2]Sheet1!#REF!,[2]Sheet1!#REF!</definedName>
    <definedName name="__APW_RESTORE_DATA127__" hidden="1">[2]Sheet1!#REF!,[2]Sheet1!#REF!,[2]Sheet1!#REF!,[2]Sheet1!#REF!,[2]Sheet1!#REF!,[2]Sheet1!#REF!,[2]Sheet1!#REF!,[2]Sheet1!#REF!,[2]Sheet1!#REF!,[2]Sheet1!#REF!,[2]Sheet1!#REF!,[2]Sheet1!#REF!,[2]Sheet1!#REF!,[2]Sheet1!#REF!,[2]Sheet1!#REF!,[2]Sheet1!#REF!</definedName>
    <definedName name="__APW_RESTORE_DATA128__" hidden="1">[2]Sheet1!#REF!,[2]Sheet1!#REF!,[2]Sheet1!#REF!,[2]Sheet1!#REF!,[2]Sheet1!#REF!,[2]Sheet1!#REF!,[2]Sheet1!#REF!,[2]Sheet1!#REF!,[2]Sheet1!#REF!,[2]Sheet1!#REF!,[2]Sheet1!#REF!,[2]Sheet1!#REF!,[2]Sheet1!#REF!,[2]Sheet1!#REF!,[2]Sheet1!#REF!,[2]Sheet1!#REF!</definedName>
    <definedName name="__APW_RESTORE_DATA129__" hidden="1">[2]Sheet1!#REF!,[2]Sheet1!#REF!,[2]Sheet1!#REF!,[2]Sheet1!#REF!,[2]Sheet1!#REF!,[2]Sheet1!#REF!,[2]Sheet1!#REF!,[2]Sheet1!#REF!,[2]Sheet1!#REF!,[2]Sheet1!#REF!,[2]Sheet1!#REF!,[2]Sheet1!#REF!,[2]Sheet1!#REF!,[2]Sheet1!#REF!,[2]Sheet1!#REF!,[2]Sheet1!#REF!</definedName>
    <definedName name="__APW_RESTORE_DATA130__" hidden="1">[2]Sheet1!#REF!,[2]Sheet1!#REF!,[2]Sheet1!#REF!,[2]Sheet1!#REF!,[2]Sheet1!#REF!,[2]Sheet1!#REF!,[2]Sheet1!#REF!,[2]Sheet1!#REF!,[2]Sheet1!#REF!,[2]Sheet1!#REF!,[2]Sheet1!#REF!,[2]Sheet1!#REF!,[2]Sheet1!#REF!,[2]Sheet1!#REF!,[2]Sheet1!#REF!,[2]Sheet1!#REF!</definedName>
    <definedName name="__APW_RESTORE_DATA131__" hidden="1">[2]Sheet1!#REF!,[2]Sheet1!#REF!,[2]Sheet1!#REF!,[2]Sheet1!#REF!,[2]Sheet1!#REF!,[2]Sheet1!#REF!,[2]Sheet1!#REF!,[2]Sheet1!#REF!,[2]Sheet1!#REF!,[2]Sheet1!#REF!,[2]Sheet1!#REF!,[2]Sheet1!#REF!,[2]Sheet1!#REF!,[2]Sheet1!#REF!,[2]Sheet1!#REF!,[2]Sheet1!#REF!</definedName>
    <definedName name="__APW_RESTORE_DATA132__" hidden="1">[2]Sheet1!#REF!,[2]Sheet1!#REF!,[2]Sheet1!#REF!,[2]Sheet1!#REF!,[2]Sheet1!#REF!,[2]Sheet1!#REF!,[2]Sheet1!#REF!,[2]Sheet1!#REF!,[2]Sheet1!#REF!,[2]Sheet1!#REF!,[2]Sheet1!#REF!,[2]Sheet1!#REF!,[2]Sheet1!#REF!,[2]Sheet1!#REF!,[2]Sheet1!#REF!</definedName>
    <definedName name="__APW_RESTORE_DATA133__" hidden="1">[2]Sheet1!#REF!,[2]Sheet1!#REF!,[2]Sheet1!#REF!,[2]Sheet1!#REF!,[2]Sheet1!#REF!,[2]Sheet1!#REF!,[2]Sheet1!#REF!,[2]Sheet1!#REF!,[2]Sheet1!#REF!,[2]Sheet1!#REF!,[2]Sheet1!#REF!,[2]Sheet1!#REF!,[2]Sheet1!#REF!,[2]Sheet1!#REF!,[2]Sheet1!#REF!</definedName>
    <definedName name="__APW_RESTORE_DATA134__" hidden="1">[2]Sheet1!#REF!,[2]Sheet1!#REF!,[2]Sheet1!#REF!,[2]Sheet1!#REF!,[2]Sheet1!#REF!,[2]Sheet1!#REF!,[2]Sheet1!#REF!,[2]Sheet1!#REF!,[2]Sheet1!#REF!,[2]Sheet1!#REF!,[2]Sheet1!#REF!,[2]Sheet1!#REF!,[2]Sheet1!#REF!,[2]Sheet1!#REF!,[2]Sheet1!#REF!</definedName>
    <definedName name="__APW_RESTORE_DATA135__" hidden="1">[2]Sheet1!#REF!</definedName>
    <definedName name="__APW_RESTORE_DATA136__" hidden="1">[2]Sheet1!#REF!,[2]Sheet1!#REF!,[2]Sheet1!#REF!,[2]Sheet1!#REF!,[2]Sheet1!#REF!,[2]Sheet1!#REF!,[2]Sheet1!#REF!,[2]Sheet1!#REF!,[2]Sheet1!#REF!,[2]Sheet1!#REF!,[2]Sheet1!#REF!,[2]Sheet1!#REF!,[2]Sheet1!#REF!,[2]Sheet1!#REF!,[2]Sheet1!#REF!,[2]Sheet1!#REF!</definedName>
    <definedName name="__APW_RESTORE_DATA137__" hidden="1">[2]Sheet1!#REF!,[2]Sheet1!#REF!,[2]Sheet1!#REF!,[2]Sheet1!#REF!,[2]Sheet1!#REF!,[2]Sheet1!#REF!,[2]Sheet1!#REF!,[2]Sheet1!#REF!,[2]Sheet1!#REF!,[2]Sheet1!#REF!,[2]Sheet1!#REF!,[2]Sheet1!#REF!,[2]Sheet1!#REF!,[2]Sheet1!#REF!,[2]Sheet1!#REF!,[2]Sheet1!#REF!</definedName>
    <definedName name="__APW_RESTORE_DATA138__" hidden="1">[2]Sheet1!#REF!,[2]Sheet1!#REF!,[2]Sheet1!#REF!,[2]Sheet1!#REF!,[2]Sheet1!#REF!,[2]Sheet1!#REF!,[2]Sheet1!#REF!,[2]Sheet1!#REF!,[2]Sheet1!#REF!,[2]Sheet1!#REF!,[2]Sheet1!#REF!,[2]Sheet1!#REF!,[2]Sheet1!#REF!,[2]Sheet1!#REF!,[2]Sheet1!#REF!,[2]Sheet1!#REF!</definedName>
    <definedName name="__APW_RESTORE_DATA139__" hidden="1">[2]Sheet1!#REF!,[2]Sheet1!#REF!,[2]Sheet1!#REF!,[2]Sheet1!#REF!,[2]Sheet1!#REF!,[2]Sheet1!#REF!,[2]Sheet1!#REF!,[2]Sheet1!#REF!,[2]Sheet1!#REF!,[2]Sheet1!#REF!,[2]Sheet1!#REF!,[2]Sheet1!#REF!,[2]Sheet1!#REF!,[2]Sheet1!#REF!,[2]Sheet1!#REF!,[2]Sheet1!#REF!</definedName>
    <definedName name="__APW_RESTORE_DATA140__" hidden="1">[2]Sheet1!#REF!,[2]Sheet1!#REF!,[2]Sheet1!#REF!,[2]Sheet1!#REF!,[2]Sheet1!#REF!,[2]Sheet1!#REF!,[2]Sheet1!#REF!,[2]Sheet1!#REF!,[2]Sheet1!#REF!,[2]Sheet1!#REF!,[2]Sheet1!#REF!,[2]Sheet1!#REF!,[2]Sheet1!#REF!,[2]Sheet1!#REF!,[2]Sheet1!#REF!,[2]Sheet1!#REF!</definedName>
    <definedName name="__APW_RESTORE_DATA141__" hidden="1">[2]Sheet1!#REF!,[2]Sheet1!#REF!,[2]Sheet1!#REF!,[2]Sheet1!#REF!,[2]Sheet1!#REF!,[2]Sheet1!#REF!,[2]Sheet1!#REF!,[2]Sheet1!#REF!,[2]Sheet1!#REF!,[2]Sheet1!#REF!,[2]Sheet1!#REF!,[2]Sheet1!#REF!,[2]Sheet1!#REF!,[2]Sheet1!#REF!,[2]Sheet1!#REF!,[2]Sheet1!#REF!</definedName>
    <definedName name="__APW_RESTORE_DATA142__" hidden="1">[2]Sheet1!#REF!,[2]Sheet1!#REF!,[2]Sheet1!#REF!,[2]Sheet1!#REF!,[2]Sheet1!#REF!,[2]Sheet1!#REF!,[2]Sheet1!#REF!,[2]Sheet1!#REF!,[2]Sheet1!#REF!,[2]Sheet1!#REF!,[2]Sheet1!#REF!,[2]Sheet1!#REF!,[2]Sheet1!#REF!,[2]Sheet1!#REF!,[2]Sheet1!#REF!</definedName>
    <definedName name="__APW_RESTORE_DATA143__" hidden="1">[2]Sheet1!#REF!,[2]Sheet1!#REF!,[2]Sheet1!#REF!,[2]Sheet1!#REF!,[2]Sheet1!#REF!,[2]Sheet1!#REF!,[2]Sheet1!#REF!,[2]Sheet1!#REF!,[2]Sheet1!#REF!,[2]Sheet1!#REF!,[2]Sheet1!#REF!,[2]Sheet1!#REF!,[2]Sheet1!#REF!,[2]Sheet1!#REF!,[2]Sheet1!#REF!</definedName>
    <definedName name="__APW_RESTORE_DATA144__" hidden="1">[2]Sheet1!#REF!,[2]Sheet1!#REF!,[2]Sheet1!#REF!,[2]Sheet1!#REF!,[2]Sheet1!#REF!,[2]Sheet1!#REF!,[2]Sheet1!#REF!,[2]Sheet1!#REF!,[2]Sheet1!#REF!,[2]Sheet1!#REF!,[2]Sheet1!#REF!,[2]Sheet1!#REF!,[2]Sheet1!#REF!,[2]Sheet1!#REF!,[2]Sheet1!#REF!</definedName>
    <definedName name="__APW_RESTORE_DATA145__" hidden="1">[2]Sheet1!#REF!</definedName>
    <definedName name="__APW_RESTORE_DATA2__" hidden="1">[2]Sheet1!#REF!</definedName>
    <definedName name="__FDS_HYPERLINK_TOGGLE_STATE__" hidden="1">"ON"</definedName>
    <definedName name="__FDS_UNIQUE_RANGE_ID_GENERATOR_COUNTER">1</definedName>
    <definedName name="_bdm.36490b912bef4697b11e6aa31a3dc78d.edm" hidden="1">#REF!</definedName>
    <definedName name="_bdm.6c4611c799e7439ca2d37fa8d1e02633.edm" hidden="1">#REF!</definedName>
    <definedName name="_bdm.7af948c1737749ba8c767789e2793a3d.edm" hidden="1">#REF!</definedName>
    <definedName name="_bdm.a095f95abc20418f87caa7a4e46b033a.edm" hidden="1">#REF!</definedName>
    <definedName name="_bdm.a6f4ca0dd0bf4916b572150fe5d640aa.edm" hidden="1">#REF!</definedName>
    <definedName name="_bdm.d68d496c80ac4628a5af8ca636dc5327.edm" hidden="1">#REF!</definedName>
    <definedName name="_bdm.e59dd4eb15b74531abc6f0cb7224a7f8.edm" hidden="1">#REF!</definedName>
    <definedName name="_DLX1.EMG">#REF!</definedName>
    <definedName name="_DLX15.EMG">#REF!</definedName>
    <definedName name="_DLX16.EMG">#REF!</definedName>
    <definedName name="_DLX17.EMG">#REF!</definedName>
    <definedName name="_DLX18.EMG">#REF!</definedName>
    <definedName name="_DLX2.EMG">#REF!</definedName>
    <definedName name="_DLX3.EMG">[3]IFA!#REF!</definedName>
    <definedName name="_Key1" hidden="1">[4]JANUARY!#REF!</definedName>
    <definedName name="_Order1" hidden="1">255</definedName>
    <definedName name="_Order2" hidden="1">255</definedName>
    <definedName name="_Sort" hidden="1">[5]A!$A$6:$K$72</definedName>
    <definedName name="\I">#REF!</definedName>
    <definedName name="\P">#REF!</definedName>
    <definedName name="A">#REF!</definedName>
    <definedName name="aa">'[6]Oil Consumption – barrels'!#REF!</definedName>
    <definedName name="AA_1">'[7]ASP '!#REF!</definedName>
    <definedName name="alcatel">[8]Chinese!$A$342:$A$454</definedName>
    <definedName name="anscount" hidden="1">1</definedName>
    <definedName name="apple">[8]Others!$A$230:$A$339</definedName>
    <definedName name="as">#REF!</definedName>
    <definedName name="AS2DocOpenMode" hidden="1">"AS2DocumentEdit"</definedName>
    <definedName name="AS2NamedRange" hidden="1">3</definedName>
    <definedName name="ASd">#REF!</definedName>
    <definedName name="asdf">#REF!</definedName>
    <definedName name="asdfasdf">#REF!</definedName>
    <definedName name="asssssg">#REF!</definedName>
    <definedName name="australia">#REF!</definedName>
    <definedName name="B">#REF!</definedName>
    <definedName name="BeginDate">'[9]#REF'!$A$3</definedName>
    <definedName name="benq">[8]Others!$A$118:$A$229</definedName>
    <definedName name="bird">[8]Japanese!$AI$513</definedName>
    <definedName name="BLPH1" hidden="1">'[10]Auto Sales BBG'!$A$15</definedName>
    <definedName name="BLPH2" hidden="1">'[11]Auto Sales BBG'!#REF!</definedName>
    <definedName name="BLPH3" hidden="1">'[11]Auto Sales BBG'!#REF!</definedName>
    <definedName name="BLPH4" hidden="1">'[11]Auto Sales BBG'!#REF!</definedName>
    <definedName name="BLPH5" hidden="1">'[11]Auto Sales BBG'!#REF!</definedName>
    <definedName name="bos">#REF!</definedName>
    <definedName name="Case">[12]DCF!$B$60</definedName>
    <definedName name="Ccy">#REF!</definedName>
    <definedName name="chargeoff" hidden="1">{"FTSE100","COMPANIES",TRUE}</definedName>
    <definedName name="ChartCell">#REF!</definedName>
    <definedName name="ChartSpot">[13]OnePager!$O$28</definedName>
    <definedName name="china">#REF!</definedName>
    <definedName name="Choices_Wrapper">#N/A</definedName>
    <definedName name="CIQWBGuid" hidden="1">"c1321fae-0abf-41ad-bc7d-511af21d9279"</definedName>
    <definedName name="compa">[14]PROVP!#REF!</definedName>
    <definedName name="Comparaison">[14]PROVP!$A:$A</definedName>
    <definedName name="Conv">#REF!</definedName>
    <definedName name="COst">'[6]Oil Consumption – barrels'!#REF!</definedName>
    <definedName name="_xlnm.Criteria">'[15]Feb 2001'!#REF!</definedName>
    <definedName name="Currency">'[16]PV Graph Data'!$E$3</definedName>
    <definedName name="DataPVChart">#REF!</definedName>
    <definedName name="DataSPChart">#REF!,#REF!</definedName>
    <definedName name="date">#REF!</definedName>
    <definedName name="Dates">#REF!</definedName>
    <definedName name="dep_delay">'[17]Qtrly_Fin&amp;Est'!$C$518</definedName>
    <definedName name="dep_qtr">'[17]Qtrly_Fin&amp;Est'!$C$517</definedName>
    <definedName name="dsaf" hidden="1">{"one",#N/A,FALSE,"cf";"two",#N/A,FALSE,"cf"}</definedName>
    <definedName name="ef" hidden="1">{#N/A,#N/A,FALSE,"Aging Summary";#N/A,#N/A,FALSE,"Ratio Analysis";#N/A,#N/A,FALSE,"Test 120 Day Accts";#N/A,#N/A,FALSE,"Tickmarks"}</definedName>
    <definedName name="EndDate">'[9]#REF'!$B$3</definedName>
    <definedName name="erg">#REF!</definedName>
    <definedName name="esnrc100c1_values" hidden="1">{"FTSE100","COMPANIES",TRUE}</definedName>
    <definedName name="esnrc33c1_values" hidden="1">{"EUMOT","COMPANIES",TRUE}</definedName>
    <definedName name="esnrc56c1_values" hidden="1">{"ASCONGRP","COMPANIES",TRUE}</definedName>
    <definedName name="esnrc63c1_values" hidden="1">{"EUUTIGRP","COMPANIES",TRUE}</definedName>
    <definedName name="esnrc91c1_values" hidden="1">{"EUUTI","COMPANIES",TRUE}</definedName>
    <definedName name="EUR">#REF!</definedName>
    <definedName name="EUR匯率">#REF!</definedName>
    <definedName name="Excel_BuiltIn_Print_Area_19">'[8]Global Sh by Tech Wksht'!#REF!</definedName>
    <definedName name="fdasdfas">'[6]Oil Consumption – barrels'!#REF!</definedName>
    <definedName name="Fil">#REF!</definedName>
    <definedName name="FOURFIVE">#REF!</definedName>
    <definedName name="FOURFOUR">#REF!</definedName>
    <definedName name="FOURSIX">#REF!</definedName>
    <definedName name="Frequency">'[9]#REF'!$C$3</definedName>
    <definedName name="FULLFIVE">#REF!</definedName>
    <definedName name="FULLFOUR">#REF!</definedName>
    <definedName name="FULLSIX">#REF!</definedName>
    <definedName name="G">#REF!</definedName>
    <definedName name="GBP">#REF!</definedName>
    <definedName name="GBP匯率">#REF!</definedName>
    <definedName name="hk">#REF!</definedName>
    <definedName name="HKD">#REF!</definedName>
    <definedName name="HKD匯率">#REF!</definedName>
    <definedName name="HTML_CodePage" hidden="1">1252</definedName>
    <definedName name="HTML_Control" hidden="1">{"'2.1'!$E$2:$O$37"}</definedName>
    <definedName name="HTML_Description" hidden="1">""</definedName>
    <definedName name="HTML_Email" hidden="1">""</definedName>
    <definedName name="HTML_Header" hidden="1">""</definedName>
    <definedName name="HTML_LastUpdate" hidden="1">""</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"G:\framemaker\PubHTML\worldcellular99\charts\2_1.htm"</definedName>
    <definedName name="HTML_Title" hidden="1">"Chapter 2"</definedName>
    <definedName name="Huawei">#REF!</definedName>
    <definedName name="Impres_titres_MI">[14]PROVP!$A:$A</definedName>
    <definedName name="IndexedData">#REF!</definedName>
    <definedName name="India">#REF!</definedName>
    <definedName name="indonesia">#REF!</definedName>
    <definedName name="INIT">#REF!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QUIRED_BY_REPORTING_BANK_FDIC" hidden="1">"c6535"</definedName>
    <definedName name="IQ_ADDIN" hidden="1">"AUTO"</definedName>
    <definedName name="IQ_ADDITIONAL_NON_INT_INC_FDIC" hidden="1">"c6574"</definedName>
    <definedName name="IQ_ADJUSTABLE_RATE_LOANS_FDIC" hidden="1">"c6375"</definedName>
    <definedName name="IQ_AE_BR" hidden="1">"c10"</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MENDED_BALANCE_PREVIOUS_YR_FDIC" hidden="1">"c6499"</definedName>
    <definedName name="IQ_AMORT_EXPENSE_FDIC" hidden="1">"c6677"</definedName>
    <definedName name="IQ_AMORTIZED_COST_FDIC" hidden="1">"c6426"</definedName>
    <definedName name="IQ_AP_BR" hidden="1">"c34"</definedName>
    <definedName name="IQ_AR_BR" hidden="1">"c41"</definedName>
    <definedName name="IQ_ASSET_BACKED_FDIC" hidden="1">"c6301"</definedName>
    <definedName name="IQ_ASSET_WRITEDOWN_BR" hidden="1">"c50"</definedName>
    <definedName name="IQ_ASSET_WRITEDOWN_CF_BR" hidden="1">"c53"</definedName>
    <definedName name="IQ_ASSETS_HELD_FDIC" hidden="1">"c6305"</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PRICE_TARGET" hidden="1">"c82"</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OARD_MEMBER_FAX" hidden="1">"c2100"</definedName>
    <definedName name="IQ_BOARD_MEMBER_OFFICE" hidden="1">"c2098"</definedName>
    <definedName name="IQ_BOARD_MEMBER_PHONE" hidden="1">"c2099"</definedName>
    <definedName name="IQ_BONDRATING_FITCH" hidden="1">"c223"</definedName>
    <definedName name="IQ_BONDRATING_FITCH_DATE" hidden="1">"c241"</definedName>
    <definedName name="IQ_BONDRATING_SP" hidden="1">"c224"</definedName>
    <definedName name="IQ_BONDRATING_SP_DATE" hidden="1">"c242"</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V_ACT_OR_EST_REUT" hidden="1">"c5471"</definedName>
    <definedName name="IQ_BV_ACT_OR_EST_THOM" hidden="1">"c5308"</definedName>
    <definedName name="IQ_BV_EST_REUT" hidden="1">"c5403"</definedName>
    <definedName name="IQ_BV_EST_THOM" hidden="1">"c5147"</definedName>
    <definedName name="IQ_BV_HIGH_EST_REUT" hidden="1">"c5405"</definedName>
    <definedName name="IQ_BV_HIGH_EST_THOM" hidden="1">"c5149"</definedName>
    <definedName name="IQ_BV_LOW_EST_REUT" hidden="1">"c5406"</definedName>
    <definedName name="IQ_BV_LOW_EST_THOM" hidden="1">"c5150"</definedName>
    <definedName name="IQ_BV_MEDIAN_EST_REUT" hidden="1">"c5404"</definedName>
    <definedName name="IQ_BV_MEDIAN_EST_THOM" hidden="1">"c5148"</definedName>
    <definedName name="IQ_BV_NUM_EST_REUT" hidden="1">"c5407"</definedName>
    <definedName name="IQ_BV_NUM_EST_THOM" hidden="1">"c5151"</definedName>
    <definedName name="IQ_BV_STDDEV_EST_REUT" hidden="1">"c5408"</definedName>
    <definedName name="IQ_BV_STDDEV_EST_THOM" hidden="1">"c5152"</definedName>
    <definedName name="IQ_CAPEX_BR" hidden="1">"c111"</definedName>
    <definedName name="IQ_CASH_DIVIDENDS_NET_INCOME_FDIC" hidden="1">"c6738"</definedName>
    <definedName name="IQ_CASH_IN_PROCESS_FDIC" hidden="1">"c6386"</definedName>
    <definedName name="IQ_CASH_OPER_ACT_OR_EST" hidden="1">"c4164"</definedName>
    <definedName name="IQ_CCE_FDIC" hidden="1">"c6296"</definedName>
    <definedName name="IQ_CH" hidden="1">110000</definedName>
    <definedName name="IQ_CHANGE_AP_BR" hidden="1">"c135"</definedName>
    <definedName name="IQ_CHANGE_AR_BR" hidden="1">"c142"</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OTHER_NET_OPER_ASSETS_BR" hidden="1">"c3595"</definedName>
    <definedName name="IQ_CHANGE_OTHER_WORK_CAP_BR" hidden="1">"c154"</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LASSB_OUTSTANDING_BS_DATE" hidden="1">"c1972"</definedName>
    <definedName name="IQ_CLASSB_OUTSTANDING_FILING_DATE" hidden="1">"c1974"</definedName>
    <definedName name="IQ_CMO_FDIC" hidden="1">"c6406"</definedName>
    <definedName name="IQ_COLLECTION_DOMESTIC_FDIC" hidden="1">"c6387"</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RE_CONSTRUCTION_LAND_DEV_FDIC" hidden="1">"c6526"</definedName>
    <definedName name="IQ_COMMERCIAL_RE_LOANS_FDIC" hidden="1">"c6312"</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_APIC_BR" hidden="1">"c185"</definedName>
    <definedName name="IQ_COMMON_FDIC" hidden="1">"c6350"</definedName>
    <definedName name="IQ_COMMON_ISSUED_BR" hidden="1">"c199"</definedName>
    <definedName name="IQ_COMMON_REP_BR" hidden="1">"c208"</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TRACTS_OTHER_COMMODITIES_EQUITIES_FDIC" hidden="1">"c6522"</definedName>
    <definedName name="IQ_CONTRACTS_OTHER_COMMODITIES_EQUITIES._FDIC" hidden="1">"c6522"</definedName>
    <definedName name="IQ_CONV_RATE" hidden="1">"c2192"</definedName>
    <definedName name="IQ_CONVERT_DEBT" hidden="1">"c224"</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OF_FUNDING_ASSETS_FDIC" hidden="1">"c6725"</definedName>
    <definedName name="IQ_CQ" hidden="1">5000</definedName>
    <definedName name="IQ_CREDIT_CARD_CHARGE_OFFS_FDIC" hidden="1">"c6652"</definedName>
    <definedName name="IQ_CREDIT_CARD_FEE" hidden="1">"c231"</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PROVISION_NET_CHARGE_OFFS_FDIC" hidden="1">"c6734"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ENCY_COIN_DOMESTIC_FDIC" hidden="1">"c6388"</definedName>
    <definedName name="IQ_CURRENCY_GAIN_BR" hidden="1">"c236"</definedName>
    <definedName name="IQ_CURRENT_PORT_DEBT_BR" hidden="1">"c1567"</definedName>
    <definedName name="IQ_CY" hidden="1">10000</definedName>
    <definedName name="IQ_DA_BR" hidden="1">"c248"</definedName>
    <definedName name="IQ_DA_CF_BR" hidden="1">"c251"</definedName>
    <definedName name="IQ_DA_SUPPL_BR" hidden="1">"c260"</definedName>
    <definedName name="IQ_DA_SUPPL_CF_BR" hidden="1">"c263"</definedName>
    <definedName name="IQ_DAILY" hidden="1">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HELD_DOMESTIC_FDIC" hidden="1">"c6340"</definedName>
    <definedName name="IQ_DEPOSITS_HELD_FOREIGN_FDIC" hidden="1">"c6341"</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RIVATIVES_FDIC" hidden="1">"c6523"</definedName>
    <definedName name="IQ_DIVIDENDS_DECLARED_COMMON_FDIC" hidden="1">"c6659"</definedName>
    <definedName name="IQ_DIVIDENDS_DECLARED_PREFERRED_FDIC" hidden="1">"c6658"</definedName>
    <definedName name="IQ_DIVIDENDS_FDIC" hidden="1">"c6660"</definedName>
    <definedName name="IQ_DNTM" hidden="1">700000</definedName>
    <definedName name="IQ_DPAC" hidden="1">"c2801"</definedName>
    <definedName name="IQ_EARNING_ASSETS_FDIC" hidden="1">"c6360"</definedName>
    <definedName name="IQ_EARNING_ASSETS_YIELD_FDIC" hidden="1">"c6724"</definedName>
    <definedName name="IQ_EARNINGS_COVERAGE_NET_CHARGE_OFFS_FDIC" hidden="1">"c6735"</definedName>
    <definedName name="IQ_EBIT_10K" hidden="1">"IQ_EBIT_10K"</definedName>
    <definedName name="IQ_EBIT_10Q" hidden="1">"IQ_EBIT_10Q"</definedName>
    <definedName name="IQ_EBIT_10Q1" hidden="1">"IQ_EBIT_10Q1"</definedName>
    <definedName name="IQ_EBIT_GROWTH_1" hidden="1">"c157"</definedName>
    <definedName name="IQ_EBIT_GROWTH_2" hidden="1">"c161"</definedName>
    <definedName name="IQ_EBITDA_10K" hidden="1">"IQ_EBITDA_10K"</definedName>
    <definedName name="IQ_EBITDA_10Q" hidden="1">"IQ_EBITDA_10Q"</definedName>
    <definedName name="IQ_EBITDA_10Q1" hidden="1">"IQ_EBITDA_10Q1"</definedName>
    <definedName name="IQ_EBITDA_GROWTH_1" hidden="1">"c156"</definedName>
    <definedName name="IQ_EBITDA_GROWTH_2" hidden="1">"c160"</definedName>
    <definedName name="IQ_EBITDA_NO_EST" hidden="1">"c267"</definedName>
    <definedName name="IQ_EBT_BR" hidden="1">"c378"</definedName>
    <definedName name="IQ_EBT_EXCL_BR" hidden="1">"c381"</definedName>
    <definedName name="IQ_ECO_METRIC_6810" hidden="1">"c6810"</definedName>
    <definedName name="IQ_ECO_METRIC_6811" hidden="1">"c6811"</definedName>
    <definedName name="IQ_ECO_METRIC_6812" hidden="1">"c6812"</definedName>
    <definedName name="IQ_ECO_METRIC_6813" hidden="1">"c6813"</definedName>
    <definedName name="IQ_ECO_METRIC_6814" hidden="1">"c6814"</definedName>
    <definedName name="IQ_ECO_METRIC_6815" hidden="1">"c6815"</definedName>
    <definedName name="IQ_ECO_METRIC_6816" hidden="1">"c6816"</definedName>
    <definedName name="IQ_ECO_METRIC_6817" hidden="1">"c6817"</definedName>
    <definedName name="IQ_ECO_METRIC_6818" hidden="1">"c6818"</definedName>
    <definedName name="IQ_ECO_METRIC_6819" hidden="1">"c6819"</definedName>
    <definedName name="IQ_ECO_METRIC_6820" hidden="1">"c6820"</definedName>
    <definedName name="IQ_ECO_METRIC_6821" hidden="1">"c6821"</definedName>
    <definedName name="IQ_ECO_METRIC_6822" hidden="1">"c6822"</definedName>
    <definedName name="IQ_ECO_METRIC_6823" hidden="1">"c6823"</definedName>
    <definedName name="IQ_ECO_METRIC_6824" hidden="1">"c6824"</definedName>
    <definedName name="IQ_ECO_METRIC_6825" hidden="1">"c6825"</definedName>
    <definedName name="IQ_ECO_METRIC_6825_UNUSED_UNUSED_UNUSED" hidden="1">"c6825"</definedName>
    <definedName name="IQ_ECO_METRIC_6826" hidden="1">"c6826"</definedName>
    <definedName name="IQ_ECO_METRIC_6827" hidden="1">"c6827"</definedName>
    <definedName name="IQ_ECO_METRIC_6828" hidden="1">"c6828"</definedName>
    <definedName name="IQ_ECO_METRIC_6829" hidden="1">"c6829"</definedName>
    <definedName name="IQ_ECO_METRIC_6830" hidden="1">"c6830"</definedName>
    <definedName name="IQ_ECO_METRIC_6831" hidden="1">"c6831"</definedName>
    <definedName name="IQ_ECO_METRIC_6832" hidden="1">"c6832"</definedName>
    <definedName name="IQ_ECO_METRIC_6833" hidden="1">"c6833"</definedName>
    <definedName name="IQ_ECO_METRIC_6834" hidden="1">"c6834"</definedName>
    <definedName name="IQ_ECO_METRIC_6835" hidden="1">"c6835"</definedName>
    <definedName name="IQ_ECO_METRIC_6836" hidden="1">"c6836"</definedName>
    <definedName name="IQ_ECO_METRIC_6837" hidden="1">"c6837"</definedName>
    <definedName name="IQ_ECO_METRIC_6838" hidden="1">"c6838"</definedName>
    <definedName name="IQ_ECO_METRIC_6839" hidden="1">"c6839"</definedName>
    <definedName name="IQ_ECO_METRIC_6839_UNUSED_UNUSED_UNUSED" hidden="1">"c6839"</definedName>
    <definedName name="IQ_ECO_METRIC_6840" hidden="1">"c6840"</definedName>
    <definedName name="IQ_ECO_METRIC_6841" hidden="1">"c6841"</definedName>
    <definedName name="IQ_ECO_METRIC_6842" hidden="1">"c6842"</definedName>
    <definedName name="IQ_ECO_METRIC_6843" hidden="1">"c6843"</definedName>
    <definedName name="IQ_ECO_METRIC_6844" hidden="1">"c6844"</definedName>
    <definedName name="IQ_ECO_METRIC_6845" hidden="1">"c6845"</definedName>
    <definedName name="IQ_ECO_METRIC_6846" hidden="1">"c6846"</definedName>
    <definedName name="IQ_ECO_METRIC_6847" hidden="1">"c6847"</definedName>
    <definedName name="IQ_ECO_METRIC_6848" hidden="1">"c6848"</definedName>
    <definedName name="IQ_ECO_METRIC_6849" hidden="1">"c6849"</definedName>
    <definedName name="IQ_ECO_METRIC_6850" hidden="1">"c6850"</definedName>
    <definedName name="IQ_ECO_METRIC_6851" hidden="1">"c6851"</definedName>
    <definedName name="IQ_ECO_METRIC_6852" hidden="1">"c6852"</definedName>
    <definedName name="IQ_ECO_METRIC_6853" hidden="1">"c6853"</definedName>
    <definedName name="IQ_ECO_METRIC_6854" hidden="1">"c6854"</definedName>
    <definedName name="IQ_ECO_METRIC_6855" hidden="1">"c6855"</definedName>
    <definedName name="IQ_ECO_METRIC_6856" hidden="1">"c6856"</definedName>
    <definedName name="IQ_ECO_METRIC_6857" hidden="1">"c6857"</definedName>
    <definedName name="IQ_ECO_METRIC_6858" hidden="1">"c6858"</definedName>
    <definedName name="IQ_ECO_METRIC_6859" hidden="1">"c6859"</definedName>
    <definedName name="IQ_ECO_METRIC_6860" hidden="1">"c6860"</definedName>
    <definedName name="IQ_ECO_METRIC_6861" hidden="1">"c6861"</definedName>
    <definedName name="IQ_ECO_METRIC_6862" hidden="1">"c6862"</definedName>
    <definedName name="IQ_ECO_METRIC_6863" hidden="1">"c6863"</definedName>
    <definedName name="IQ_ECO_METRIC_6864" hidden="1">"c6864"</definedName>
    <definedName name="IQ_ECO_METRIC_6865" hidden="1">"c6865"</definedName>
    <definedName name="IQ_ECO_METRIC_6866" hidden="1">"c6866"</definedName>
    <definedName name="IQ_ECO_METRIC_6867" hidden="1">"c6867"</definedName>
    <definedName name="IQ_ECO_METRIC_6868" hidden="1">"c6868"</definedName>
    <definedName name="IQ_ECO_METRIC_6869" hidden="1">"c6869"</definedName>
    <definedName name="IQ_ECO_METRIC_6870" hidden="1">"c6870"</definedName>
    <definedName name="IQ_ECO_METRIC_6871" hidden="1">"c6871"</definedName>
    <definedName name="IQ_ECO_METRIC_6872" hidden="1">"c6872"</definedName>
    <definedName name="IQ_ECO_METRIC_6873" hidden="1">"c6873"</definedName>
    <definedName name="IQ_ECO_METRIC_6874" hidden="1">"c6874"</definedName>
    <definedName name="IQ_ECO_METRIC_6875" hidden="1">"c6875"</definedName>
    <definedName name="IQ_ECO_METRIC_6876" hidden="1">"c6876"</definedName>
    <definedName name="IQ_ECO_METRIC_6877" hidden="1">"c6877"</definedName>
    <definedName name="IQ_ECO_METRIC_6878" hidden="1">"c6878"</definedName>
    <definedName name="IQ_ECO_METRIC_6879" hidden="1">"c6879"</definedName>
    <definedName name="IQ_ECO_METRIC_6880" hidden="1">"c6880"</definedName>
    <definedName name="IQ_ECO_METRIC_6881" hidden="1">"c6881"</definedName>
    <definedName name="IQ_ECO_METRIC_6882" hidden="1">"c6882"</definedName>
    <definedName name="IQ_ECO_METRIC_6883" hidden="1">"c6883"</definedName>
    <definedName name="IQ_ECO_METRIC_6884" hidden="1">"c6884"</definedName>
    <definedName name="IQ_ECO_METRIC_6885" hidden="1">"c6885"</definedName>
    <definedName name="IQ_ECO_METRIC_6886" hidden="1">"c6886"</definedName>
    <definedName name="IQ_ECO_METRIC_6887" hidden="1">"c6887"</definedName>
    <definedName name="IQ_ECO_METRIC_6888" hidden="1">"c6888"</definedName>
    <definedName name="IQ_ECO_METRIC_6889" hidden="1">"c6889"</definedName>
    <definedName name="IQ_ECO_METRIC_6890" hidden="1">"c6890"</definedName>
    <definedName name="IQ_ECO_METRIC_6891" hidden="1">"c6891"</definedName>
    <definedName name="IQ_ECO_METRIC_6892" hidden="1">"c6892"</definedName>
    <definedName name="IQ_ECO_METRIC_6893" hidden="1">"c6893"</definedName>
    <definedName name="IQ_ECO_METRIC_6894" hidden="1">"c6894"</definedName>
    <definedName name="IQ_ECO_METRIC_6895" hidden="1">"c6895"</definedName>
    <definedName name="IQ_ECO_METRIC_6896" hidden="1">"c6896"</definedName>
    <definedName name="IQ_ECO_METRIC_6896_UNUSED_UNUSED_UNUSED" hidden="1">"c6896"</definedName>
    <definedName name="IQ_ECO_METRIC_6897" hidden="1">"c6897"</definedName>
    <definedName name="IQ_ECO_METRIC_6897_UNUSED_UNUSED_UNUSED" hidden="1">"c6897"</definedName>
    <definedName name="IQ_ECO_METRIC_6899" hidden="1">"c6899"</definedName>
    <definedName name="IQ_ECO_METRIC_6900" hidden="1">"c6900"</definedName>
    <definedName name="IQ_ECO_METRIC_6901" hidden="1">"c6901"</definedName>
    <definedName name="IQ_ECO_METRIC_6902" hidden="1">"c6902"</definedName>
    <definedName name="IQ_ECO_METRIC_6903" hidden="1">"c6903"</definedName>
    <definedName name="IQ_ECO_METRIC_6904" hidden="1">"c6904"</definedName>
    <definedName name="IQ_ECO_METRIC_6905" hidden="1">"c6905"</definedName>
    <definedName name="IQ_ECO_METRIC_6906" hidden="1">"c6906"</definedName>
    <definedName name="IQ_ECO_METRIC_6907" hidden="1">"c6907"</definedName>
    <definedName name="IQ_ECO_METRIC_6908" hidden="1">"c6908"</definedName>
    <definedName name="IQ_ECO_METRIC_6909" hidden="1">"c6909"</definedName>
    <definedName name="IQ_ECO_METRIC_6910" hidden="1">"c6910"</definedName>
    <definedName name="IQ_ECO_METRIC_6911" hidden="1">"c6911"</definedName>
    <definedName name="IQ_ECO_METRIC_6912" hidden="1">"c6912"</definedName>
    <definedName name="IQ_ECO_METRIC_6913" hidden="1">"c6913"</definedName>
    <definedName name="IQ_ECO_METRIC_6914" hidden="1">"c6914"</definedName>
    <definedName name="IQ_ECO_METRIC_6915" hidden="1">"c6915"</definedName>
    <definedName name="IQ_ECO_METRIC_6916" hidden="1">"c6916"</definedName>
    <definedName name="IQ_ECO_METRIC_6917" hidden="1">"c6917"</definedName>
    <definedName name="IQ_ECO_METRIC_6918" hidden="1">"c6918"</definedName>
    <definedName name="IQ_ECO_METRIC_6919" hidden="1">"c6919"</definedName>
    <definedName name="IQ_ECO_METRIC_6920" hidden="1">"c6920"</definedName>
    <definedName name="IQ_ECO_METRIC_6921" hidden="1">"c6921"</definedName>
    <definedName name="IQ_ECO_METRIC_6922" hidden="1">"c6922"</definedName>
    <definedName name="IQ_ECO_METRIC_6923" hidden="1">"c6923"</definedName>
    <definedName name="IQ_ECO_METRIC_6924" hidden="1">"c6924"</definedName>
    <definedName name="IQ_ECO_METRIC_6925" hidden="1">"c6925"</definedName>
    <definedName name="IQ_ECO_METRIC_6926" hidden="1">"c6926"</definedName>
    <definedName name="IQ_ECO_METRIC_6928" hidden="1">"c6928"</definedName>
    <definedName name="IQ_ECO_METRIC_6929" hidden="1">"c6929"</definedName>
    <definedName name="IQ_ECO_METRIC_6930" hidden="1">"c6930"</definedName>
    <definedName name="IQ_ECO_METRIC_6931" hidden="1">"c6931"</definedName>
    <definedName name="IQ_ECO_METRIC_6932" hidden="1">"c6932"</definedName>
    <definedName name="IQ_ECO_METRIC_6933" hidden="1">"c6933"</definedName>
    <definedName name="IQ_ECO_METRIC_6934" hidden="1">"c6934"</definedName>
    <definedName name="IQ_ECO_METRIC_6935" hidden="1">"c6935"</definedName>
    <definedName name="IQ_ECO_METRIC_6936" hidden="1">"c6936"</definedName>
    <definedName name="IQ_ECO_METRIC_6937" hidden="1">"c6937"</definedName>
    <definedName name="IQ_ECO_METRIC_6938" hidden="1">"c6938"</definedName>
    <definedName name="IQ_ECO_METRIC_6939" hidden="1">"c6939"</definedName>
    <definedName name="IQ_ECO_METRIC_6940" hidden="1">"c6940"</definedName>
    <definedName name="IQ_ECO_METRIC_6941" hidden="1">"c6941"</definedName>
    <definedName name="IQ_ECO_METRIC_6942" hidden="1">"c6942"</definedName>
    <definedName name="IQ_ECO_METRIC_6943" hidden="1">"c6943"</definedName>
    <definedName name="IQ_ECO_METRIC_6944" hidden="1">"c6944"</definedName>
    <definedName name="IQ_ECO_METRIC_6945" hidden="1">"c6945"</definedName>
    <definedName name="IQ_ECO_METRIC_6946" hidden="1">"c6946"</definedName>
    <definedName name="IQ_ECO_METRIC_6947" hidden="1">"c6947"</definedName>
    <definedName name="IQ_ECO_METRIC_6948" hidden="1">"c6948"</definedName>
    <definedName name="IQ_ECO_METRIC_6949" hidden="1">"c6949"</definedName>
    <definedName name="IQ_ECO_METRIC_6950" hidden="1">"c6950"</definedName>
    <definedName name="IQ_ECO_METRIC_6951" hidden="1">"c6951"</definedName>
    <definedName name="IQ_ECO_METRIC_6952" hidden="1">"c6952"</definedName>
    <definedName name="IQ_ECO_METRIC_6953" hidden="1">"c6953"</definedName>
    <definedName name="IQ_ECO_METRIC_6954" hidden="1">"c6954"</definedName>
    <definedName name="IQ_ECO_METRIC_6955" hidden="1">"c6955"</definedName>
    <definedName name="IQ_ECO_METRIC_6956" hidden="1">"c6956"</definedName>
    <definedName name="IQ_ECO_METRIC_6957" hidden="1">"c6957"</definedName>
    <definedName name="IQ_ECO_METRIC_6958" hidden="1">"c6958"</definedName>
    <definedName name="IQ_ECO_METRIC_6959" hidden="1">"c6959"</definedName>
    <definedName name="IQ_ECO_METRIC_6960" hidden="1">"c6960"</definedName>
    <definedName name="IQ_ECO_METRIC_6962" hidden="1">"c6962"</definedName>
    <definedName name="IQ_ECO_METRIC_6963" hidden="1">"c6963"</definedName>
    <definedName name="IQ_ECO_METRIC_6964" hidden="1">"c6964"</definedName>
    <definedName name="IQ_ECO_METRIC_6965" hidden="1">"c6965"</definedName>
    <definedName name="IQ_ECO_METRIC_6966" hidden="1">"c6966"</definedName>
    <definedName name="IQ_ECO_METRIC_6967" hidden="1">"c6967"</definedName>
    <definedName name="IQ_ECO_METRIC_6968" hidden="1">"c6968"</definedName>
    <definedName name="IQ_ECO_METRIC_6969" hidden="1">"c6969"</definedName>
    <definedName name="IQ_ECO_METRIC_6970" hidden="1">"c6970"</definedName>
    <definedName name="IQ_ECO_METRIC_6971" hidden="1">"c6971"</definedName>
    <definedName name="IQ_ECO_METRIC_6972" hidden="1">"c6972"</definedName>
    <definedName name="IQ_ECO_METRIC_6973" hidden="1">"c6973"</definedName>
    <definedName name="IQ_ECO_METRIC_6974" hidden="1">"c6974"</definedName>
    <definedName name="IQ_ECO_METRIC_6975" hidden="1">"c6975"</definedName>
    <definedName name="IQ_ECO_METRIC_6976" hidden="1">"c6976"</definedName>
    <definedName name="IQ_ECO_METRIC_6977" hidden="1">"c6977"</definedName>
    <definedName name="IQ_ECO_METRIC_6978" hidden="1">"c6978"</definedName>
    <definedName name="IQ_ECO_METRIC_6979" hidden="1">"c6979"</definedName>
    <definedName name="IQ_ECO_METRIC_6980" hidden="1">"c6980"</definedName>
    <definedName name="IQ_ECO_METRIC_6981" hidden="1">"c6981"</definedName>
    <definedName name="IQ_ECO_METRIC_6982" hidden="1">"c6982"</definedName>
    <definedName name="IQ_ECO_METRIC_6983" hidden="1">"c6983"</definedName>
    <definedName name="IQ_ECO_METRIC_6984" hidden="1">"c6984"</definedName>
    <definedName name="IQ_ECO_METRIC_6985" hidden="1">"c6985"</definedName>
    <definedName name="IQ_ECO_METRIC_6986" hidden="1">"c6986"</definedName>
    <definedName name="IQ_ECO_METRIC_6987" hidden="1">"c6987"</definedName>
    <definedName name="IQ_ECO_METRIC_6988" hidden="1">"c6988"</definedName>
    <definedName name="IQ_ECO_METRIC_6988_UNUSED_UNUSED_UNUSED" hidden="1">"c6988"</definedName>
    <definedName name="IQ_ECO_METRIC_6989" hidden="1">"c6989"</definedName>
    <definedName name="IQ_ECO_METRIC_6990" hidden="1">"c6990"</definedName>
    <definedName name="IQ_ECO_METRIC_6991" hidden="1">"c6991"</definedName>
    <definedName name="IQ_ECO_METRIC_6992" hidden="1">"c6992"</definedName>
    <definedName name="IQ_ECO_METRIC_6993" hidden="1">"c6993"</definedName>
    <definedName name="IQ_ECO_METRIC_6994" hidden="1">"c6994"</definedName>
    <definedName name="IQ_ECO_METRIC_6995" hidden="1">"c6995"</definedName>
    <definedName name="IQ_ECO_METRIC_6996" hidden="1">"c6996"</definedName>
    <definedName name="IQ_ECO_METRIC_6997" hidden="1">"c6997"</definedName>
    <definedName name="IQ_ECO_METRIC_6998" hidden="1">"c6998"</definedName>
    <definedName name="IQ_ECO_METRIC_7000" hidden="1">"c7000"</definedName>
    <definedName name="IQ_ECO_METRIC_7001" hidden="1">"c7001"</definedName>
    <definedName name="IQ_ECO_METRIC_7002" hidden="1">"c7002"</definedName>
    <definedName name="IQ_ECO_METRIC_7003" hidden="1">"c7003"</definedName>
    <definedName name="IQ_ECO_METRIC_7004" hidden="1">"c7004"</definedName>
    <definedName name="IQ_ECO_METRIC_7005" hidden="1">"c7005"</definedName>
    <definedName name="IQ_ECO_METRIC_7006" hidden="1">"c7006"</definedName>
    <definedName name="IQ_ECO_METRIC_7007" hidden="1">"c7007"</definedName>
    <definedName name="IQ_ECO_METRIC_7008" hidden="1">"c7008"</definedName>
    <definedName name="IQ_ECO_METRIC_7009" hidden="1">"c7009"</definedName>
    <definedName name="IQ_ECO_METRIC_7010" hidden="1">"c7010"</definedName>
    <definedName name="IQ_ECO_METRIC_7011" hidden="1">"c7011"</definedName>
    <definedName name="IQ_ECO_METRIC_7012" hidden="1">"c7012"</definedName>
    <definedName name="IQ_ECO_METRIC_7013" hidden="1">"c7013"</definedName>
    <definedName name="IQ_ECO_METRIC_7015" hidden="1">"c7015"</definedName>
    <definedName name="IQ_ECO_METRIC_7016" hidden="1">"c7016"</definedName>
    <definedName name="IQ_ECO_METRIC_7017" hidden="1">"c7017"</definedName>
    <definedName name="IQ_ECO_METRIC_7018" hidden="1">"c7018"</definedName>
    <definedName name="IQ_ECO_METRIC_7019" hidden="1">"c7019"</definedName>
    <definedName name="IQ_ECO_METRIC_7020" hidden="1">"c7020"</definedName>
    <definedName name="IQ_ECO_METRIC_7021" hidden="1">"c7021"</definedName>
    <definedName name="IQ_ECO_METRIC_7023" hidden="1">"c7023"</definedName>
    <definedName name="IQ_ECO_METRIC_7024" hidden="1">"c7024"</definedName>
    <definedName name="IQ_ECO_METRIC_7025" hidden="1">"c7025"</definedName>
    <definedName name="IQ_ECO_METRIC_7026" hidden="1">"c7026"</definedName>
    <definedName name="IQ_ECO_METRIC_7027" hidden="1">"c7027"</definedName>
    <definedName name="IQ_ECO_METRIC_7028" hidden="1">"c7028"</definedName>
    <definedName name="IQ_ECO_METRIC_7029" hidden="1">"c7029"</definedName>
    <definedName name="IQ_ECO_METRIC_7030" hidden="1">"c7030"</definedName>
    <definedName name="IQ_ECO_METRIC_7031" hidden="1">"c7031"</definedName>
    <definedName name="IQ_ECO_METRIC_7032" hidden="1">"c7032"</definedName>
    <definedName name="IQ_ECO_METRIC_7033" hidden="1">"c7033"</definedName>
    <definedName name="IQ_ECO_METRIC_7034" hidden="1">"c7034"</definedName>
    <definedName name="IQ_ECO_METRIC_7035" hidden="1">"c7035"</definedName>
    <definedName name="IQ_ECO_METRIC_7036" hidden="1">"c7036"</definedName>
    <definedName name="IQ_ECO_METRIC_7037" hidden="1">"c7037"</definedName>
    <definedName name="IQ_ECO_METRIC_7038" hidden="1">"c7038"</definedName>
    <definedName name="IQ_ECO_METRIC_7039" hidden="1">"c7039"</definedName>
    <definedName name="IQ_ECO_METRIC_7040" hidden="1">"c7040"</definedName>
    <definedName name="IQ_ECO_METRIC_7041" hidden="1">"c7041"</definedName>
    <definedName name="IQ_ECO_METRIC_7042" hidden="1">"c7042"</definedName>
    <definedName name="IQ_ECO_METRIC_7043" hidden="1">"c7043"</definedName>
    <definedName name="IQ_ECO_METRIC_7044" hidden="1">"c7044"</definedName>
    <definedName name="IQ_ECO_METRIC_7045" hidden="1">"c7045"</definedName>
    <definedName name="IQ_ECO_METRIC_7045_UNUSED_UNUSED_UNUSED" hidden="1">"c7045"</definedName>
    <definedName name="IQ_ECO_METRIC_7046" hidden="1">"c7046"</definedName>
    <definedName name="IQ_ECO_METRIC_7047" hidden="1">"c7047"</definedName>
    <definedName name="IQ_ECO_METRIC_7048" hidden="1">"c7048"</definedName>
    <definedName name="IQ_ECO_METRIC_7049" hidden="1">"c7049"</definedName>
    <definedName name="IQ_ECO_METRIC_7050" hidden="1">"c7050"</definedName>
    <definedName name="IQ_ECO_METRIC_7051" hidden="1">"c7051"</definedName>
    <definedName name="IQ_ECO_METRIC_7052" hidden="1">"c7052"</definedName>
    <definedName name="IQ_ECO_METRIC_7053" hidden="1">"c7053"</definedName>
    <definedName name="IQ_ECO_METRIC_7054" hidden="1">"c7054"</definedName>
    <definedName name="IQ_ECO_METRIC_7055" hidden="1">"c7055"</definedName>
    <definedName name="IQ_ECO_METRIC_7056" hidden="1">"c7056"</definedName>
    <definedName name="IQ_ECO_METRIC_7057" hidden="1">"c7057"</definedName>
    <definedName name="IQ_ECO_METRIC_7058" hidden="1">"c7058"</definedName>
    <definedName name="IQ_ECO_METRIC_7059" hidden="1">"c7059"</definedName>
    <definedName name="IQ_ECO_METRIC_7059_UNUSED_UNUSED_UNUSED" hidden="1">"c7059"</definedName>
    <definedName name="IQ_ECO_METRIC_7060" hidden="1">"c7060"</definedName>
    <definedName name="IQ_ECO_METRIC_7061" hidden="1">"c7061"</definedName>
    <definedName name="IQ_ECO_METRIC_7062" hidden="1">"c7062"</definedName>
    <definedName name="IQ_ECO_METRIC_7063" hidden="1">"c7063"</definedName>
    <definedName name="IQ_ECO_METRIC_7064" hidden="1">"c7064"</definedName>
    <definedName name="IQ_ECO_METRIC_7065" hidden="1">"c7065"</definedName>
    <definedName name="IQ_ECO_METRIC_7066" hidden="1">"c7066"</definedName>
    <definedName name="IQ_ECO_METRIC_7067" hidden="1">"c7067"</definedName>
    <definedName name="IQ_ECO_METRIC_7068" hidden="1">"c7068"</definedName>
    <definedName name="IQ_ECO_METRIC_7069" hidden="1">"c7069"</definedName>
    <definedName name="IQ_ECO_METRIC_7070" hidden="1">"c7070"</definedName>
    <definedName name="IQ_ECO_METRIC_7071" hidden="1">"c7071"</definedName>
    <definedName name="IQ_ECO_METRIC_7072" hidden="1">"c7072"</definedName>
    <definedName name="IQ_ECO_METRIC_7073" hidden="1">"c7073"</definedName>
    <definedName name="IQ_ECO_METRIC_7074" hidden="1">"c7074"</definedName>
    <definedName name="IQ_ECO_METRIC_7075" hidden="1">"c7075"</definedName>
    <definedName name="IQ_ECO_METRIC_7076" hidden="1">"c7076"</definedName>
    <definedName name="IQ_ECO_METRIC_7077" hidden="1">"c7077"</definedName>
    <definedName name="IQ_ECO_METRIC_7078" hidden="1">"c7078"</definedName>
    <definedName name="IQ_ECO_METRIC_7079" hidden="1">"c7079"</definedName>
    <definedName name="IQ_ECO_METRIC_7080" hidden="1">"c7080"</definedName>
    <definedName name="IQ_ECO_METRIC_7081" hidden="1">"c7081"</definedName>
    <definedName name="IQ_ECO_METRIC_7082" hidden="1">"c7082"</definedName>
    <definedName name="IQ_ECO_METRIC_7083" hidden="1">"c7083"</definedName>
    <definedName name="IQ_ECO_METRIC_7084" hidden="1">"c7084"</definedName>
    <definedName name="IQ_ECO_METRIC_7085" hidden="1">"c7085"</definedName>
    <definedName name="IQ_ECO_METRIC_7086" hidden="1">"c7086"</definedName>
    <definedName name="IQ_ECO_METRIC_7087" hidden="1">"c7087"</definedName>
    <definedName name="IQ_ECO_METRIC_7088" hidden="1">"c7088"</definedName>
    <definedName name="IQ_ECO_METRIC_7089" hidden="1">"c7089"</definedName>
    <definedName name="IQ_ECO_METRIC_7090" hidden="1">"c7090"</definedName>
    <definedName name="IQ_ECO_METRIC_7091" hidden="1">"c7091"</definedName>
    <definedName name="IQ_ECO_METRIC_7092" hidden="1">"c7092"</definedName>
    <definedName name="IQ_ECO_METRIC_7093" hidden="1">"c7093"</definedName>
    <definedName name="IQ_ECO_METRIC_7094" hidden="1">"c7094"</definedName>
    <definedName name="IQ_ECO_METRIC_7095" hidden="1">"c7095"</definedName>
    <definedName name="IQ_ECO_METRIC_7096" hidden="1">"c7096"</definedName>
    <definedName name="IQ_ECO_METRIC_7097" hidden="1">"c7097"</definedName>
    <definedName name="IQ_ECO_METRIC_7098" hidden="1">"c7098"</definedName>
    <definedName name="IQ_ECO_METRIC_7099" hidden="1">"c7099"</definedName>
    <definedName name="IQ_ECO_METRIC_7100" hidden="1">"c7100"</definedName>
    <definedName name="IQ_ECO_METRIC_7101" hidden="1">"c7101"</definedName>
    <definedName name="IQ_ECO_METRIC_7102" hidden="1">"c7102"</definedName>
    <definedName name="IQ_ECO_METRIC_7103" hidden="1">"c7103"</definedName>
    <definedName name="IQ_ECO_METRIC_7104" hidden="1">"c7104"</definedName>
    <definedName name="IQ_ECO_METRIC_7105" hidden="1">"c7105"</definedName>
    <definedName name="IQ_ECO_METRIC_7106" hidden="1">"c7106"</definedName>
    <definedName name="IQ_ECO_METRIC_7107" hidden="1">"c7107"</definedName>
    <definedName name="IQ_ECO_METRIC_7108" hidden="1">"c7108"</definedName>
    <definedName name="IQ_ECO_METRIC_7109" hidden="1">"c7109"</definedName>
    <definedName name="IQ_ECO_METRIC_7110" hidden="1">"c7110"</definedName>
    <definedName name="IQ_ECO_METRIC_7111" hidden="1">"c7111"</definedName>
    <definedName name="IQ_ECO_METRIC_7112" hidden="1">"c7112"</definedName>
    <definedName name="IQ_ECO_METRIC_7113" hidden="1">"c7113"</definedName>
    <definedName name="IQ_ECO_METRIC_7114" hidden="1">"c7114"</definedName>
    <definedName name="IQ_ECO_METRIC_7115" hidden="1">"c7115"</definedName>
    <definedName name="IQ_ECO_METRIC_7116" hidden="1">"c7116"</definedName>
    <definedName name="IQ_ECO_METRIC_7116_UNUSED_UNUSED_UNUSED" hidden="1">"c7116"</definedName>
    <definedName name="IQ_ECO_METRIC_7117" hidden="1">"c7117"</definedName>
    <definedName name="IQ_ECO_METRIC_7117_UNUSED_UNUSED_UNUSED" hidden="1">"c7117"</definedName>
    <definedName name="IQ_ECO_METRIC_7119" hidden="1">"c7119"</definedName>
    <definedName name="IQ_ECO_METRIC_7120" hidden="1">"c7120"</definedName>
    <definedName name="IQ_ECO_METRIC_7121" hidden="1">"c7121"</definedName>
    <definedName name="IQ_ECO_METRIC_7122" hidden="1">"c7122"</definedName>
    <definedName name="IQ_ECO_METRIC_7123" hidden="1">"c7123"</definedName>
    <definedName name="IQ_ECO_METRIC_7124" hidden="1">"c7124"</definedName>
    <definedName name="IQ_ECO_METRIC_7125" hidden="1">"c7125"</definedName>
    <definedName name="IQ_ECO_METRIC_7126" hidden="1">"c7126"</definedName>
    <definedName name="IQ_ECO_METRIC_7127" hidden="1">"c7127"</definedName>
    <definedName name="IQ_ECO_METRIC_7128" hidden="1">"c7128"</definedName>
    <definedName name="IQ_ECO_METRIC_7129" hidden="1">"c7129"</definedName>
    <definedName name="IQ_ECO_METRIC_7130" hidden="1">"c7130"</definedName>
    <definedName name="IQ_ECO_METRIC_7131" hidden="1">"c7131"</definedName>
    <definedName name="IQ_ECO_METRIC_7132" hidden="1">"c7132"</definedName>
    <definedName name="IQ_ECO_METRIC_7133" hidden="1">"c7133"</definedName>
    <definedName name="IQ_ECO_METRIC_7134" hidden="1">"c7134"</definedName>
    <definedName name="IQ_ECO_METRIC_7135" hidden="1">"c7135"</definedName>
    <definedName name="IQ_ECO_METRIC_7136" hidden="1">"c7136"</definedName>
    <definedName name="IQ_ECO_METRIC_7137" hidden="1">"c7137"</definedName>
    <definedName name="IQ_ECO_METRIC_7138" hidden="1">"c7138"</definedName>
    <definedName name="IQ_ECO_METRIC_7139" hidden="1">"c7139"</definedName>
    <definedName name="IQ_ECO_METRIC_7140" hidden="1">"c7140"</definedName>
    <definedName name="IQ_ECO_METRIC_7141" hidden="1">"c7141"</definedName>
    <definedName name="IQ_ECO_METRIC_7142" hidden="1">"c7142"</definedName>
    <definedName name="IQ_ECO_METRIC_7143" hidden="1">"c7143"</definedName>
    <definedName name="IQ_ECO_METRIC_7144" hidden="1">"c7144"</definedName>
    <definedName name="IQ_ECO_METRIC_7145" hidden="1">"c7145"</definedName>
    <definedName name="IQ_ECO_METRIC_7146" hidden="1">"c7146"</definedName>
    <definedName name="IQ_ECO_METRIC_7148" hidden="1">"c7148"</definedName>
    <definedName name="IQ_ECO_METRIC_7149" hidden="1">"c7149"</definedName>
    <definedName name="IQ_ECO_METRIC_7150" hidden="1">"c7150"</definedName>
    <definedName name="IQ_ECO_METRIC_7151" hidden="1">"c7151"</definedName>
    <definedName name="IQ_ECO_METRIC_7152" hidden="1">"c7152"</definedName>
    <definedName name="IQ_ECO_METRIC_7153" hidden="1">"c7153"</definedName>
    <definedName name="IQ_ECO_METRIC_7154" hidden="1">"c7154"</definedName>
    <definedName name="IQ_ECO_METRIC_7155" hidden="1">"c7155"</definedName>
    <definedName name="IQ_ECO_METRIC_7156" hidden="1">"c7156"</definedName>
    <definedName name="IQ_ECO_METRIC_7157" hidden="1">"c7157"</definedName>
    <definedName name="IQ_ECO_METRIC_7158" hidden="1">"c7158"</definedName>
    <definedName name="IQ_ECO_METRIC_7159" hidden="1">"c7159"</definedName>
    <definedName name="IQ_ECO_METRIC_7160" hidden="1">"c7160"</definedName>
    <definedName name="IQ_ECO_METRIC_7161" hidden="1">"c7161"</definedName>
    <definedName name="IQ_ECO_METRIC_7162" hidden="1">"c7162"</definedName>
    <definedName name="IQ_ECO_METRIC_7163" hidden="1">"c7163"</definedName>
    <definedName name="IQ_ECO_METRIC_7164" hidden="1">"c7164"</definedName>
    <definedName name="IQ_ECO_METRIC_7165" hidden="1">"c7165"</definedName>
    <definedName name="IQ_ECO_METRIC_7166" hidden="1">"c7166"</definedName>
    <definedName name="IQ_ECO_METRIC_7167" hidden="1">"c7167"</definedName>
    <definedName name="IQ_ECO_METRIC_7168" hidden="1">"c7168"</definedName>
    <definedName name="IQ_ECO_METRIC_7169" hidden="1">"c7169"</definedName>
    <definedName name="IQ_ECO_METRIC_7170" hidden="1">"c7170"</definedName>
    <definedName name="IQ_ECO_METRIC_7171" hidden="1">"c7171"</definedName>
    <definedName name="IQ_ECO_METRIC_7172" hidden="1">"c7172"</definedName>
    <definedName name="IQ_ECO_METRIC_7173" hidden="1">"c7173"</definedName>
    <definedName name="IQ_ECO_METRIC_7174" hidden="1">"c7174"</definedName>
    <definedName name="IQ_ECO_METRIC_7175" hidden="1">"c7175"</definedName>
    <definedName name="IQ_ECO_METRIC_7176" hidden="1">"c7176"</definedName>
    <definedName name="IQ_ECO_METRIC_7177" hidden="1">"c7177"</definedName>
    <definedName name="IQ_ECO_METRIC_7178" hidden="1">"c7178"</definedName>
    <definedName name="IQ_ECO_METRIC_7179" hidden="1">"c7179"</definedName>
    <definedName name="IQ_ECO_METRIC_7180" hidden="1">"c7180"</definedName>
    <definedName name="IQ_ECO_METRIC_7182" hidden="1">"c7182"</definedName>
    <definedName name="IQ_ECO_METRIC_7183" hidden="1">"c7183"</definedName>
    <definedName name="IQ_ECO_METRIC_7184" hidden="1">"c7184"</definedName>
    <definedName name="IQ_ECO_METRIC_7185" hidden="1">"c7185"</definedName>
    <definedName name="IQ_ECO_METRIC_7186" hidden="1">"c7186"</definedName>
    <definedName name="IQ_ECO_METRIC_7187" hidden="1">"c7187"</definedName>
    <definedName name="IQ_ECO_METRIC_7188" hidden="1">"c7188"</definedName>
    <definedName name="IQ_ECO_METRIC_7189" hidden="1">"c7189"</definedName>
    <definedName name="IQ_ECO_METRIC_7190" hidden="1">"c7190"</definedName>
    <definedName name="IQ_ECO_METRIC_7191" hidden="1">"c7191"</definedName>
    <definedName name="IQ_ECO_METRIC_7192" hidden="1">"c7192"</definedName>
    <definedName name="IQ_ECO_METRIC_7193" hidden="1">"c7193"</definedName>
    <definedName name="IQ_ECO_METRIC_7194" hidden="1">"c7194"</definedName>
    <definedName name="IQ_ECO_METRIC_7195" hidden="1">"c7195"</definedName>
    <definedName name="IQ_ECO_METRIC_7196" hidden="1">"c7196"</definedName>
    <definedName name="IQ_ECO_METRIC_7197" hidden="1">"c7197"</definedName>
    <definedName name="IQ_ECO_METRIC_7198" hidden="1">"c7198"</definedName>
    <definedName name="IQ_ECO_METRIC_7199" hidden="1">"c7199"</definedName>
    <definedName name="IQ_ECO_METRIC_7200" hidden="1">"c7200"</definedName>
    <definedName name="IQ_ECO_METRIC_7201" hidden="1">"c7201"</definedName>
    <definedName name="IQ_ECO_METRIC_7202" hidden="1">"c7202"</definedName>
    <definedName name="IQ_ECO_METRIC_7203" hidden="1">"c7203"</definedName>
    <definedName name="IQ_ECO_METRIC_7204" hidden="1">"c7204"</definedName>
    <definedName name="IQ_ECO_METRIC_7205" hidden="1">"c7205"</definedName>
    <definedName name="IQ_ECO_METRIC_7206" hidden="1">"c7206"</definedName>
    <definedName name="IQ_ECO_METRIC_7207" hidden="1">"c7207"</definedName>
    <definedName name="IQ_ECO_METRIC_7208" hidden="1">"c7208"</definedName>
    <definedName name="IQ_ECO_METRIC_7208_UNUSED_UNUSED_UNUSED" hidden="1">"c7208"</definedName>
    <definedName name="IQ_ECO_METRIC_7209" hidden="1">"c7209"</definedName>
    <definedName name="IQ_ECO_METRIC_7210" hidden="1">"c7210"</definedName>
    <definedName name="IQ_ECO_METRIC_7211" hidden="1">"c7211"</definedName>
    <definedName name="IQ_ECO_METRIC_7212" hidden="1">"c7212"</definedName>
    <definedName name="IQ_ECO_METRIC_7213" hidden="1">"c7213"</definedName>
    <definedName name="IQ_ECO_METRIC_7214" hidden="1">"c7214"</definedName>
    <definedName name="IQ_ECO_METRIC_7215" hidden="1">"c7215"</definedName>
    <definedName name="IQ_ECO_METRIC_7216" hidden="1">"c7216"</definedName>
    <definedName name="IQ_ECO_METRIC_7217" hidden="1">"c7217"</definedName>
    <definedName name="IQ_ECO_METRIC_7218" hidden="1">"c7218"</definedName>
    <definedName name="IQ_ECO_METRIC_7220" hidden="1">"c7220"</definedName>
    <definedName name="IQ_ECO_METRIC_7221" hidden="1">"c7221"</definedName>
    <definedName name="IQ_ECO_METRIC_7222" hidden="1">"c7222"</definedName>
    <definedName name="IQ_ECO_METRIC_7223" hidden="1">"c7223"</definedName>
    <definedName name="IQ_ECO_METRIC_7224" hidden="1">"c7224"</definedName>
    <definedName name="IQ_ECO_METRIC_7225" hidden="1">"c7225"</definedName>
    <definedName name="IQ_ECO_METRIC_7226" hidden="1">"c7226"</definedName>
    <definedName name="IQ_ECO_METRIC_7227" hidden="1">"c7227"</definedName>
    <definedName name="IQ_ECO_METRIC_7228" hidden="1">"c7228"</definedName>
    <definedName name="IQ_ECO_METRIC_7229" hidden="1">"c7229"</definedName>
    <definedName name="IQ_ECO_METRIC_7230" hidden="1">"c7230"</definedName>
    <definedName name="IQ_ECO_METRIC_7231" hidden="1">"c7231"</definedName>
    <definedName name="IQ_ECO_METRIC_7232" hidden="1">"c7232"</definedName>
    <definedName name="IQ_ECO_METRIC_7233" hidden="1">"c7233"</definedName>
    <definedName name="IQ_ECO_METRIC_7235" hidden="1">"c7235"</definedName>
    <definedName name="IQ_ECO_METRIC_7236" hidden="1">"c7236"</definedName>
    <definedName name="IQ_ECO_METRIC_7237" hidden="1">"c7237"</definedName>
    <definedName name="IQ_ECO_METRIC_7238" hidden="1">"c7238"</definedName>
    <definedName name="IQ_ECO_METRIC_7239" hidden="1">"c7239"</definedName>
    <definedName name="IQ_ECO_METRIC_7240" hidden="1">"c7240"</definedName>
    <definedName name="IQ_ECO_METRIC_7241" hidden="1">"c7241"</definedName>
    <definedName name="IQ_ECO_METRIC_7243" hidden="1">"c7243"</definedName>
    <definedName name="IQ_ECO_METRIC_7244" hidden="1">"c7244"</definedName>
    <definedName name="IQ_ECO_METRIC_7245" hidden="1">"c7245"</definedName>
    <definedName name="IQ_ECO_METRIC_7246" hidden="1">"c7246"</definedName>
    <definedName name="IQ_ECO_METRIC_7247" hidden="1">"c7247"</definedName>
    <definedName name="IQ_ECO_METRIC_7248" hidden="1">"c7248"</definedName>
    <definedName name="IQ_ECO_METRIC_7249" hidden="1">"c7249"</definedName>
    <definedName name="IQ_ECO_METRIC_7250" hidden="1">"c7250"</definedName>
    <definedName name="IQ_ECO_METRIC_7251" hidden="1">"c7251"</definedName>
    <definedName name="IQ_ECO_METRIC_7252" hidden="1">"c7252"</definedName>
    <definedName name="IQ_ECO_METRIC_7253" hidden="1">"c7253"</definedName>
    <definedName name="IQ_ECO_METRIC_7254" hidden="1">"c7254"</definedName>
    <definedName name="IQ_ECO_METRIC_7255" hidden="1">"c7255"</definedName>
    <definedName name="IQ_ECO_METRIC_7256" hidden="1">"c7256"</definedName>
    <definedName name="IQ_ECO_METRIC_7257" hidden="1">"c7257"</definedName>
    <definedName name="IQ_ECO_METRIC_7258" hidden="1">"c7258"</definedName>
    <definedName name="IQ_ECO_METRIC_7259" hidden="1">"c7259"</definedName>
    <definedName name="IQ_ECO_METRIC_7260" hidden="1">"c7260"</definedName>
    <definedName name="IQ_ECO_METRIC_7261" hidden="1">"c7261"</definedName>
    <definedName name="IQ_ECO_METRIC_7262" hidden="1">"c7262"</definedName>
    <definedName name="IQ_ECO_METRIC_7263" hidden="1">"c7263"</definedName>
    <definedName name="IQ_ECO_METRIC_7264" hidden="1">"c7264"</definedName>
    <definedName name="IQ_ECO_METRIC_7265" hidden="1">"c7265"</definedName>
    <definedName name="IQ_ECO_METRIC_7265_UNUSED_UNUSED_UNUSED" hidden="1">"c7265"</definedName>
    <definedName name="IQ_ECO_METRIC_7266" hidden="1">"c7266"</definedName>
    <definedName name="IQ_ECO_METRIC_7267" hidden="1">"c7267"</definedName>
    <definedName name="IQ_ECO_METRIC_7268" hidden="1">"c7268"</definedName>
    <definedName name="IQ_ECO_METRIC_7269" hidden="1">"c7269"</definedName>
    <definedName name="IQ_ECO_METRIC_7270" hidden="1">"c7270"</definedName>
    <definedName name="IQ_ECO_METRIC_7272" hidden="1">"c7272"</definedName>
    <definedName name="IQ_ECO_METRIC_7273" hidden="1">"c7273"</definedName>
    <definedName name="IQ_ECO_METRIC_7274" hidden="1">"c7274"</definedName>
    <definedName name="IQ_ECO_METRIC_7275" hidden="1">"c7275"</definedName>
    <definedName name="IQ_ECO_METRIC_7276" hidden="1">"c7276"</definedName>
    <definedName name="IQ_ECO_METRIC_7277" hidden="1">"c7277"</definedName>
    <definedName name="IQ_ECO_METRIC_7278" hidden="1">"c7278"</definedName>
    <definedName name="IQ_ECO_METRIC_7279" hidden="1">"c7279"</definedName>
    <definedName name="IQ_ECO_METRIC_7279_UNUSED_UNUSED_UNUSED" hidden="1">"c7279"</definedName>
    <definedName name="IQ_ECO_METRIC_7280" hidden="1">"c7280"</definedName>
    <definedName name="IQ_ECO_METRIC_7281" hidden="1">"c7281"</definedName>
    <definedName name="IQ_ECO_METRIC_7282" hidden="1">"c7282"</definedName>
    <definedName name="IQ_ECO_METRIC_7283" hidden="1">"c7283"</definedName>
    <definedName name="IQ_ECO_METRIC_7284" hidden="1">"c7284"</definedName>
    <definedName name="IQ_ECO_METRIC_7285" hidden="1">"c7285"</definedName>
    <definedName name="IQ_ECO_METRIC_7286" hidden="1">"c7286"</definedName>
    <definedName name="IQ_ECO_METRIC_7287" hidden="1">"c7287"</definedName>
    <definedName name="IQ_ECO_METRIC_7288" hidden="1">"c7288"</definedName>
    <definedName name="IQ_ECO_METRIC_7289" hidden="1">"c7289"</definedName>
    <definedName name="IQ_ECO_METRIC_7290" hidden="1">"c7290"</definedName>
    <definedName name="IQ_ECO_METRIC_7291" hidden="1">"c7291"</definedName>
    <definedName name="IQ_ECO_METRIC_7292" hidden="1">"c7292"</definedName>
    <definedName name="IQ_ECO_METRIC_7293" hidden="1">"c7293"</definedName>
    <definedName name="IQ_ECO_METRIC_7294" hidden="1">"c7294"</definedName>
    <definedName name="IQ_ECO_METRIC_7295" hidden="1">"c7295"</definedName>
    <definedName name="IQ_ECO_METRIC_7296" hidden="1">"c7296"</definedName>
    <definedName name="IQ_ECO_METRIC_7297" hidden="1">"c7297"</definedName>
    <definedName name="IQ_ECO_METRIC_7298" hidden="1">"c7298"</definedName>
    <definedName name="IQ_ECO_METRIC_7299" hidden="1">"c7299"</definedName>
    <definedName name="IQ_ECO_METRIC_7300" hidden="1">"c7300"</definedName>
    <definedName name="IQ_ECO_METRIC_7301" hidden="1">"c7301"</definedName>
    <definedName name="IQ_ECO_METRIC_7302" hidden="1">"c7302"</definedName>
    <definedName name="IQ_ECO_METRIC_7303" hidden="1">"c7303"</definedName>
    <definedName name="IQ_ECO_METRIC_7304" hidden="1">"c7304"</definedName>
    <definedName name="IQ_ECO_METRIC_7305" hidden="1">"c7305"</definedName>
    <definedName name="IQ_ECO_METRIC_7306" hidden="1">"c7306"</definedName>
    <definedName name="IQ_ECO_METRIC_7307" hidden="1">"c7307"</definedName>
    <definedName name="IQ_ECO_METRIC_7308" hidden="1">"c7308"</definedName>
    <definedName name="IQ_ECO_METRIC_7309" hidden="1">"c7309"</definedName>
    <definedName name="IQ_ECO_METRIC_7310" hidden="1">"c7310"</definedName>
    <definedName name="IQ_ECO_METRIC_7311" hidden="1">"c7311"</definedName>
    <definedName name="IQ_ECO_METRIC_7312" hidden="1">"c7312"</definedName>
    <definedName name="IQ_ECO_METRIC_7313" hidden="1">"c7313"</definedName>
    <definedName name="IQ_ECO_METRIC_7314" hidden="1">"c7314"</definedName>
    <definedName name="IQ_ECO_METRIC_7315" hidden="1">"c7315"</definedName>
    <definedName name="IQ_ECO_METRIC_7316" hidden="1">"c7316"</definedName>
    <definedName name="IQ_ECO_METRIC_7317" hidden="1">"c7317"</definedName>
    <definedName name="IQ_ECO_METRIC_7318" hidden="1">"c7318"</definedName>
    <definedName name="IQ_ECO_METRIC_7319" hidden="1">"c7319"</definedName>
    <definedName name="IQ_ECO_METRIC_7320" hidden="1">"c7320"</definedName>
    <definedName name="IQ_ECO_METRIC_7321" hidden="1">"c7321"</definedName>
    <definedName name="IQ_ECO_METRIC_7322" hidden="1">"c7322"</definedName>
    <definedName name="IQ_ECO_METRIC_7323" hidden="1">"c7323"</definedName>
    <definedName name="IQ_ECO_METRIC_7324" hidden="1">"c7324"</definedName>
    <definedName name="IQ_ECO_METRIC_7325" hidden="1">"c7325"</definedName>
    <definedName name="IQ_ECO_METRIC_7326" hidden="1">"c7326"</definedName>
    <definedName name="IQ_ECO_METRIC_7327" hidden="1">"c7327"</definedName>
    <definedName name="IQ_ECO_METRIC_7328" hidden="1">"c7328"</definedName>
    <definedName name="IQ_ECO_METRIC_7329" hidden="1">"c7329"</definedName>
    <definedName name="IQ_ECO_METRIC_7330" hidden="1">"c7330"</definedName>
    <definedName name="IQ_ECO_METRIC_7331" hidden="1">"c7331"</definedName>
    <definedName name="IQ_ECO_METRIC_7332" hidden="1">"c7332"</definedName>
    <definedName name="IQ_ECO_METRIC_7333" hidden="1">"c7333"</definedName>
    <definedName name="IQ_ECO_METRIC_7334" hidden="1">"c7334"</definedName>
    <definedName name="IQ_ECO_METRIC_7335" hidden="1">"c7335"</definedName>
    <definedName name="IQ_ECO_METRIC_7336" hidden="1">"c7336"</definedName>
    <definedName name="IQ_ECO_METRIC_7336_UNUSED_UNUSED_UNUSED" hidden="1">"c7336"</definedName>
    <definedName name="IQ_ECO_METRIC_7337" hidden="1">"c7337"</definedName>
    <definedName name="IQ_ECO_METRIC_7337_UNUSED_UNUSED_UNUSED" hidden="1">"c7337"</definedName>
    <definedName name="IQ_ECO_METRIC_7339" hidden="1">"c7339"</definedName>
    <definedName name="IQ_ECO_METRIC_7341" hidden="1">"c7341"</definedName>
    <definedName name="IQ_ECO_METRIC_7342" hidden="1">"c7342"</definedName>
    <definedName name="IQ_ECO_METRIC_7343" hidden="1">"c7343"</definedName>
    <definedName name="IQ_ECO_METRIC_7344" hidden="1">"c7344"</definedName>
    <definedName name="IQ_ECO_METRIC_7345" hidden="1">"c7345"</definedName>
    <definedName name="IQ_ECO_METRIC_7346" hidden="1">"c7346"</definedName>
    <definedName name="IQ_ECO_METRIC_7347" hidden="1">"c7347"</definedName>
    <definedName name="IQ_ECO_METRIC_7348" hidden="1">"c7348"</definedName>
    <definedName name="IQ_ECO_METRIC_7349" hidden="1">"c7349"</definedName>
    <definedName name="IQ_ECO_METRIC_7350" hidden="1">"c7350"</definedName>
    <definedName name="IQ_ECO_METRIC_7351" hidden="1">"c7351"</definedName>
    <definedName name="IQ_ECO_METRIC_7352" hidden="1">"c7352"</definedName>
    <definedName name="IQ_ECO_METRIC_7353" hidden="1">"c7353"</definedName>
    <definedName name="IQ_ECO_METRIC_7354" hidden="1">"c7354"</definedName>
    <definedName name="IQ_ECO_METRIC_7355" hidden="1">"c7355"</definedName>
    <definedName name="IQ_ECO_METRIC_7356" hidden="1">"c7356"</definedName>
    <definedName name="IQ_ECO_METRIC_7357" hidden="1">"c7357"</definedName>
    <definedName name="IQ_ECO_METRIC_7358" hidden="1">"c7358"</definedName>
    <definedName name="IQ_ECO_METRIC_7359" hidden="1">"c7359"</definedName>
    <definedName name="IQ_ECO_METRIC_7360" hidden="1">"c7360"</definedName>
    <definedName name="IQ_ECO_METRIC_7361" hidden="1">"c7361"</definedName>
    <definedName name="IQ_ECO_METRIC_7362" hidden="1">"c7362"</definedName>
    <definedName name="IQ_ECO_METRIC_7363" hidden="1">"c7363"</definedName>
    <definedName name="IQ_ECO_METRIC_7364" hidden="1">"c7364"</definedName>
    <definedName name="IQ_ECO_METRIC_7365" hidden="1">"c7365"</definedName>
    <definedName name="IQ_ECO_METRIC_7366" hidden="1">"c7366"</definedName>
    <definedName name="IQ_ECO_METRIC_7368" hidden="1">"c7368"</definedName>
    <definedName name="IQ_ECO_METRIC_7369" hidden="1">"c7369"</definedName>
    <definedName name="IQ_ECO_METRIC_7370" hidden="1">"c7370"</definedName>
    <definedName name="IQ_ECO_METRIC_7371" hidden="1">"c7371"</definedName>
    <definedName name="IQ_ECO_METRIC_7372" hidden="1">"c7372"</definedName>
    <definedName name="IQ_ECO_METRIC_7373" hidden="1">"c7373"</definedName>
    <definedName name="IQ_ECO_METRIC_7374" hidden="1">"c7374"</definedName>
    <definedName name="IQ_ECO_METRIC_7375" hidden="1">"c7375"</definedName>
    <definedName name="IQ_ECO_METRIC_7376" hidden="1">"c7376"</definedName>
    <definedName name="IQ_ECO_METRIC_7377" hidden="1">"c7377"</definedName>
    <definedName name="IQ_ECO_METRIC_7378" hidden="1">"c7378"</definedName>
    <definedName name="IQ_ECO_METRIC_7379" hidden="1">"c7379"</definedName>
    <definedName name="IQ_ECO_METRIC_7380" hidden="1">"c7380"</definedName>
    <definedName name="IQ_ECO_METRIC_7381" hidden="1">"c7381"</definedName>
    <definedName name="IQ_ECO_METRIC_7382" hidden="1">"c7382"</definedName>
    <definedName name="IQ_ECO_METRIC_7383" hidden="1">"c7383"</definedName>
    <definedName name="IQ_ECO_METRIC_7384" hidden="1">"c7384"</definedName>
    <definedName name="IQ_ECO_METRIC_7385" hidden="1">"c7385"</definedName>
    <definedName name="IQ_ECO_METRIC_7386" hidden="1">"c7386"</definedName>
    <definedName name="IQ_ECO_METRIC_7387" hidden="1">"c7387"</definedName>
    <definedName name="IQ_ECO_METRIC_7388" hidden="1">"c7388"</definedName>
    <definedName name="IQ_ECO_METRIC_7389" hidden="1">"c7389"</definedName>
    <definedName name="IQ_ECO_METRIC_7390" hidden="1">"c7390"</definedName>
    <definedName name="IQ_ECO_METRIC_7391" hidden="1">"c7391"</definedName>
    <definedName name="IQ_ECO_METRIC_7392" hidden="1">"c7392"</definedName>
    <definedName name="IQ_ECO_METRIC_7393" hidden="1">"c7393"</definedName>
    <definedName name="IQ_ECO_METRIC_7394" hidden="1">"c7394"</definedName>
    <definedName name="IQ_ECO_METRIC_7395" hidden="1">"c7395"</definedName>
    <definedName name="IQ_ECO_METRIC_7396" hidden="1">"c7396"</definedName>
    <definedName name="IQ_ECO_METRIC_7397" hidden="1">"c7397"</definedName>
    <definedName name="IQ_ECO_METRIC_7398" hidden="1">"c7398"</definedName>
    <definedName name="IQ_ECO_METRIC_7399" hidden="1">"c7399"</definedName>
    <definedName name="IQ_ECO_METRIC_7400" hidden="1">"c7400"</definedName>
    <definedName name="IQ_ECO_METRIC_7402" hidden="1">"c7402"</definedName>
    <definedName name="IQ_ECO_METRIC_7403" hidden="1">"c7403"</definedName>
    <definedName name="IQ_ECO_METRIC_7404" hidden="1">"c7404"</definedName>
    <definedName name="IQ_ECO_METRIC_7405" hidden="1">"c7405"</definedName>
    <definedName name="IQ_ECO_METRIC_7406" hidden="1">"c7406"</definedName>
    <definedName name="IQ_ECO_METRIC_7407" hidden="1">"c7407"</definedName>
    <definedName name="IQ_ECO_METRIC_7408" hidden="1">"c7408"</definedName>
    <definedName name="IQ_ECO_METRIC_7409" hidden="1">"c7409"</definedName>
    <definedName name="IQ_ECO_METRIC_7410" hidden="1">"c7410"</definedName>
    <definedName name="IQ_ECO_METRIC_7411" hidden="1">"c7411"</definedName>
    <definedName name="IQ_ECO_METRIC_7412" hidden="1">"c7412"</definedName>
    <definedName name="IQ_ECO_METRIC_7413" hidden="1">"c7413"</definedName>
    <definedName name="IQ_ECO_METRIC_7414" hidden="1">"c7414"</definedName>
    <definedName name="IQ_ECO_METRIC_7415" hidden="1">"c7415"</definedName>
    <definedName name="IQ_ECO_METRIC_7416" hidden="1">"c7416"</definedName>
    <definedName name="IQ_ECO_METRIC_7417" hidden="1">"c7417"</definedName>
    <definedName name="IQ_ECO_METRIC_7418" hidden="1">"c7418"</definedName>
    <definedName name="IQ_ECO_METRIC_7419" hidden="1">"c7419"</definedName>
    <definedName name="IQ_ECO_METRIC_7420" hidden="1">"c7420"</definedName>
    <definedName name="IQ_ECO_METRIC_7421" hidden="1">"c7421"</definedName>
    <definedName name="IQ_ECO_METRIC_7422" hidden="1">"c7422"</definedName>
    <definedName name="IQ_ECO_METRIC_7423" hidden="1">"c7423"</definedName>
    <definedName name="IQ_ECO_METRIC_7424" hidden="1">"c7424"</definedName>
    <definedName name="IQ_ECO_METRIC_7425" hidden="1">"c7425"</definedName>
    <definedName name="IQ_ECO_METRIC_7426" hidden="1">"c7426"</definedName>
    <definedName name="IQ_ECO_METRIC_7427" hidden="1">"c7427"</definedName>
    <definedName name="IQ_ECO_METRIC_7428" hidden="1">"c7428"</definedName>
    <definedName name="IQ_ECO_METRIC_7428_UNUSED_UNUSED_UNUSED" hidden="1">"c7428"</definedName>
    <definedName name="IQ_ECO_METRIC_7429" hidden="1">"c7429"</definedName>
    <definedName name="IQ_ECO_METRIC_7430" hidden="1">"c7430"</definedName>
    <definedName name="IQ_ECO_METRIC_7431" hidden="1">"c7431"</definedName>
    <definedName name="IQ_ECO_METRIC_7432" hidden="1">"c7432"</definedName>
    <definedName name="IQ_ECO_METRIC_7433" hidden="1">"c7433"</definedName>
    <definedName name="IQ_ECO_METRIC_7434" hidden="1">"c7434"</definedName>
    <definedName name="IQ_ECO_METRIC_7435" hidden="1">"c7435"</definedName>
    <definedName name="IQ_ECO_METRIC_7436" hidden="1">"c7436"</definedName>
    <definedName name="IQ_ECO_METRIC_7437" hidden="1">"c7437"</definedName>
    <definedName name="IQ_ECO_METRIC_7438" hidden="1">"c7438"</definedName>
    <definedName name="IQ_ECO_METRIC_7440" hidden="1">"c7440"</definedName>
    <definedName name="IQ_ECO_METRIC_7441" hidden="1">"c7441"</definedName>
    <definedName name="IQ_ECO_METRIC_7442" hidden="1">"c7442"</definedName>
    <definedName name="IQ_ECO_METRIC_7443" hidden="1">"c7443"</definedName>
    <definedName name="IQ_ECO_METRIC_7444" hidden="1">"c7444"</definedName>
    <definedName name="IQ_ECO_METRIC_7445" hidden="1">"c7445"</definedName>
    <definedName name="IQ_ECO_METRIC_7446" hidden="1">"c7446"</definedName>
    <definedName name="IQ_ECO_METRIC_7447" hidden="1">"c7447"</definedName>
    <definedName name="IQ_ECO_METRIC_7448" hidden="1">"c7448"</definedName>
    <definedName name="IQ_ECO_METRIC_7449" hidden="1">"c7449"</definedName>
    <definedName name="IQ_ECO_METRIC_7450" hidden="1">"c7450"</definedName>
    <definedName name="IQ_ECO_METRIC_7451" hidden="1">"c7451"</definedName>
    <definedName name="IQ_ECO_METRIC_7452" hidden="1">"c7452"</definedName>
    <definedName name="IQ_ECO_METRIC_7453" hidden="1">"c7453"</definedName>
    <definedName name="IQ_ECO_METRIC_7455" hidden="1">"c7455"</definedName>
    <definedName name="IQ_ECO_METRIC_7456" hidden="1">"c7456"</definedName>
    <definedName name="IQ_ECO_METRIC_7457" hidden="1">"c7457"</definedName>
    <definedName name="IQ_ECO_METRIC_7458" hidden="1">"c7458"</definedName>
    <definedName name="IQ_ECO_METRIC_7459" hidden="1">"c7459"</definedName>
    <definedName name="IQ_ECO_METRIC_7460" hidden="1">"c7460"</definedName>
    <definedName name="IQ_ECO_METRIC_7461" hidden="1">"c7461"</definedName>
    <definedName name="IQ_ECO_METRIC_7463" hidden="1">"c7463"</definedName>
    <definedName name="IQ_ECO_METRIC_7464" hidden="1">"c7464"</definedName>
    <definedName name="IQ_ECO_METRIC_7465" hidden="1">"c7465"</definedName>
    <definedName name="IQ_ECO_METRIC_7466" hidden="1">"c7466"</definedName>
    <definedName name="IQ_ECO_METRIC_7467" hidden="1">"c7467"</definedName>
    <definedName name="IQ_ECO_METRIC_7468" hidden="1">"c7468"</definedName>
    <definedName name="IQ_ECO_METRIC_7469" hidden="1">"c7469"</definedName>
    <definedName name="IQ_ECO_METRIC_7470" hidden="1">"c7470"</definedName>
    <definedName name="IQ_ECO_METRIC_7472" hidden="1">"c7472"</definedName>
    <definedName name="IQ_ECO_METRIC_7473" hidden="1">"c7473"</definedName>
    <definedName name="IQ_ECO_METRIC_7474" hidden="1">"c7474"</definedName>
    <definedName name="IQ_ECO_METRIC_7475" hidden="1">"c7475"</definedName>
    <definedName name="IQ_ECO_METRIC_7476" hidden="1">"c7476"</definedName>
    <definedName name="IQ_ECO_METRIC_7477" hidden="1">"c7477"</definedName>
    <definedName name="IQ_ECO_METRIC_7478" hidden="1">"c7478"</definedName>
    <definedName name="IQ_ECO_METRIC_7479" hidden="1">"c7479"</definedName>
    <definedName name="IQ_ECO_METRIC_7480" hidden="1">"c7480"</definedName>
    <definedName name="IQ_ECO_METRIC_7481" hidden="1">"c7481"</definedName>
    <definedName name="IQ_ECO_METRIC_7482" hidden="1">"c7482"</definedName>
    <definedName name="IQ_ECO_METRIC_7483" hidden="1">"c7483"</definedName>
    <definedName name="IQ_ECO_METRIC_7486" hidden="1">"c7486"</definedName>
    <definedName name="IQ_ECO_METRIC_7487" hidden="1">"c7487"</definedName>
    <definedName name="IQ_ECO_METRIC_7488" hidden="1">"c7488"</definedName>
    <definedName name="IQ_ECO_METRIC_7489" hidden="1">"c7489"</definedName>
    <definedName name="IQ_ECO_METRIC_7490" hidden="1">"c7490"</definedName>
    <definedName name="IQ_ECO_METRIC_7491" hidden="1">"c7491"</definedName>
    <definedName name="IQ_ECO_METRIC_7492" hidden="1">"c7492"</definedName>
    <definedName name="IQ_ECO_METRIC_7493" hidden="1">"c7493"</definedName>
    <definedName name="IQ_ECO_METRIC_7494" hidden="1">"c7494"</definedName>
    <definedName name="IQ_ECO_METRIC_7495" hidden="1">"c7495"</definedName>
    <definedName name="IQ_ECO_METRIC_7496" hidden="1">"c7496"</definedName>
    <definedName name="IQ_ECO_METRIC_7497" hidden="1">"c7497"</definedName>
    <definedName name="IQ_ECO_METRIC_7498" hidden="1">"c7498"</definedName>
    <definedName name="IQ_ECO_METRIC_7500" hidden="1">"c7500"</definedName>
    <definedName name="IQ_ECO_METRIC_7501" hidden="1">"c7501"</definedName>
    <definedName name="IQ_ECO_METRIC_7502" hidden="1">"c7502"</definedName>
    <definedName name="IQ_ECO_METRIC_7503" hidden="1">"c7503"</definedName>
    <definedName name="IQ_ECO_METRIC_7504" hidden="1">"c7504"</definedName>
    <definedName name="IQ_ECO_METRIC_7505" hidden="1">"c7505"</definedName>
    <definedName name="IQ_ECO_METRIC_7507" hidden="1">"c7507"</definedName>
    <definedName name="IQ_ECO_METRIC_7508" hidden="1">"c7508"</definedName>
    <definedName name="IQ_ECO_METRIC_7509" hidden="1">"c7509"</definedName>
    <definedName name="IQ_ECO_METRIC_7510" hidden="1">"c7510"</definedName>
    <definedName name="IQ_ECO_METRIC_7511" hidden="1">"c7511"</definedName>
    <definedName name="IQ_ECO_METRIC_7512" hidden="1">"c7512"</definedName>
    <definedName name="IQ_ECO_METRIC_7513" hidden="1">"c7513"</definedName>
    <definedName name="IQ_ECO_METRIC_7514" hidden="1">"c7514"</definedName>
    <definedName name="IQ_ECO_METRIC_7515" hidden="1">"c7515"</definedName>
    <definedName name="IQ_ECO_METRIC_7516" hidden="1">"c7516"</definedName>
    <definedName name="IQ_ECO_METRIC_7517" hidden="1">"c7517"</definedName>
    <definedName name="IQ_ECO_METRIC_7518" hidden="1">"c7518"</definedName>
    <definedName name="IQ_ECO_METRIC_7519" hidden="1">"c7519"</definedName>
    <definedName name="IQ_ECO_METRIC_7520" hidden="1">"c7520"</definedName>
    <definedName name="IQ_ECO_METRIC_7521" hidden="1">"c7521"</definedName>
    <definedName name="IQ_ECO_METRIC_7522" hidden="1">"c7522"</definedName>
    <definedName name="IQ_ECO_METRIC_7523" hidden="1">"c7523"</definedName>
    <definedName name="IQ_ECO_METRIC_7524" hidden="1">"c7524"</definedName>
    <definedName name="IQ_ECO_METRIC_7525" hidden="1">"c7525"</definedName>
    <definedName name="IQ_ECO_METRIC_7526" hidden="1">"c7526"</definedName>
    <definedName name="IQ_ECO_METRIC_7527" hidden="1">"c7527"</definedName>
    <definedName name="IQ_ECO_METRIC_7528" hidden="1">"c7528"</definedName>
    <definedName name="IQ_ECO_METRIC_7529" hidden="1">"c7529"</definedName>
    <definedName name="IQ_ECO_METRIC_7530" hidden="1">"c7530"</definedName>
    <definedName name="IQ_ECO_METRIC_7531" hidden="1">"c7531"</definedName>
    <definedName name="IQ_ECO_METRIC_7532" hidden="1">"c7532"</definedName>
    <definedName name="IQ_ECO_METRIC_7533" hidden="1">"c7533"</definedName>
    <definedName name="IQ_ECO_METRIC_7534" hidden="1">"c7534"</definedName>
    <definedName name="IQ_ECO_METRIC_7535" hidden="1">"c7535"</definedName>
    <definedName name="IQ_ECO_METRIC_7536" hidden="1">"c7536"</definedName>
    <definedName name="IQ_ECO_METRIC_7537" hidden="1">"c7537"</definedName>
    <definedName name="IQ_ECO_METRIC_7538" hidden="1">"c7538"</definedName>
    <definedName name="IQ_ECO_METRIC_7539" hidden="1">"c7539"</definedName>
    <definedName name="IQ_ECO_METRIC_7540" hidden="1">"c7540"</definedName>
    <definedName name="IQ_ECO_METRIC_7541" hidden="1">"c7541"</definedName>
    <definedName name="IQ_ECO_METRIC_7542" hidden="1">"c7542"</definedName>
    <definedName name="IQ_ECO_METRIC_7543" hidden="1">"c7543"</definedName>
    <definedName name="IQ_ECO_METRIC_7544" hidden="1">"c7544"</definedName>
    <definedName name="IQ_ECO_METRIC_7545" hidden="1">"c7545"</definedName>
    <definedName name="IQ_ECO_METRIC_7546" hidden="1">"c7546"</definedName>
    <definedName name="IQ_ECO_METRIC_7547" hidden="1">"c7547"</definedName>
    <definedName name="IQ_ECO_METRIC_7548" hidden="1">"c7548"</definedName>
    <definedName name="IQ_ECO_METRIC_7549" hidden="1">"c7549"</definedName>
    <definedName name="IQ_ECO_METRIC_7550" hidden="1">"c7550"</definedName>
    <definedName name="IQ_ECO_METRIC_7551" hidden="1">"c7551"</definedName>
    <definedName name="IQ_ECO_METRIC_7552" hidden="1">"c7552"</definedName>
    <definedName name="IQ_ECO_METRIC_7553" hidden="1">"c7553"</definedName>
    <definedName name="IQ_ECO_METRIC_7554" hidden="1">"c7554"</definedName>
    <definedName name="IQ_ECO_METRIC_7555" hidden="1">"c7555"</definedName>
    <definedName name="IQ_ECO_METRIC_7556" hidden="1">"c7556"</definedName>
    <definedName name="IQ_ECO_METRIC_7556_UNUSED_UNUSED_UNUSED" hidden="1">"c7556"</definedName>
    <definedName name="IQ_ECO_METRIC_7557" hidden="1">"c7557"</definedName>
    <definedName name="IQ_ECO_METRIC_7557_UNUSED_UNUSED_UNUSED" hidden="1">"c7557"</definedName>
    <definedName name="IQ_ECO_METRIC_7560" hidden="1">"c7560"</definedName>
    <definedName name="IQ_ECO_METRIC_7561" hidden="1">"c7561"</definedName>
    <definedName name="IQ_ECO_METRIC_7562" hidden="1">"c7562"</definedName>
    <definedName name="IQ_ECO_METRIC_7563" hidden="1">"c7563"</definedName>
    <definedName name="IQ_ECO_METRIC_7564" hidden="1">"c7564"</definedName>
    <definedName name="IQ_ECO_METRIC_7565" hidden="1">"c7565"</definedName>
    <definedName name="IQ_ECO_METRIC_7566" hidden="1">"c7566"</definedName>
    <definedName name="IQ_ECO_METRIC_7567" hidden="1">"c7567"</definedName>
    <definedName name="IQ_ECO_METRIC_7568" hidden="1">"c7568"</definedName>
    <definedName name="IQ_ECO_METRIC_7570" hidden="1">"c7570"</definedName>
    <definedName name="IQ_ECO_METRIC_7571" hidden="1">"c7571"</definedName>
    <definedName name="IQ_ECO_METRIC_7572" hidden="1">"c7572"</definedName>
    <definedName name="IQ_ECO_METRIC_7573" hidden="1">"c7573"</definedName>
    <definedName name="IQ_ECO_METRIC_7574" hidden="1">"c7574"</definedName>
    <definedName name="IQ_ECO_METRIC_7575" hidden="1">"c7575"</definedName>
    <definedName name="IQ_ECO_METRIC_7576" hidden="1">"c7576"</definedName>
    <definedName name="IQ_ECO_METRIC_7577" hidden="1">"c7577"</definedName>
    <definedName name="IQ_ECO_METRIC_7578" hidden="1">"c7578"</definedName>
    <definedName name="IQ_ECO_METRIC_7579" hidden="1">"c7579"</definedName>
    <definedName name="IQ_ECO_METRIC_7580" hidden="1">"c7580"</definedName>
    <definedName name="IQ_ECO_METRIC_7581" hidden="1">"c7581"</definedName>
    <definedName name="IQ_ECO_METRIC_7582" hidden="1">"c7582"</definedName>
    <definedName name="IQ_ECO_METRIC_7583" hidden="1">"c7583"</definedName>
    <definedName name="IQ_ECO_METRIC_7584" hidden="1">"c7584"</definedName>
    <definedName name="IQ_ECO_METRIC_7585" hidden="1">"c7585"</definedName>
    <definedName name="IQ_ECO_METRIC_7586" hidden="1">"c7586"</definedName>
    <definedName name="IQ_ECO_METRIC_7588" hidden="1">"c7588"</definedName>
    <definedName name="IQ_ECO_METRIC_7589" hidden="1">"c7589"</definedName>
    <definedName name="IQ_ECO_METRIC_7590" hidden="1">"c7590"</definedName>
    <definedName name="IQ_ECO_METRIC_7591" hidden="1">"c7591"</definedName>
    <definedName name="IQ_ECO_METRIC_7592" hidden="1">"c7592"</definedName>
    <definedName name="IQ_ECO_METRIC_7593" hidden="1">"c7593"</definedName>
    <definedName name="IQ_ECO_METRIC_7594" hidden="1">"c7594"</definedName>
    <definedName name="IQ_ECO_METRIC_7596" hidden="1">"c7596"</definedName>
    <definedName name="IQ_ECO_METRIC_7597" hidden="1">"c7597"</definedName>
    <definedName name="IQ_ECO_METRIC_7598" hidden="1">"c7598"</definedName>
    <definedName name="IQ_ECO_METRIC_7599" hidden="1">"c7599"</definedName>
    <definedName name="IQ_ECO_METRIC_7600" hidden="1">"c7600"</definedName>
    <definedName name="IQ_ECO_METRIC_7601" hidden="1">"c7601"</definedName>
    <definedName name="IQ_ECO_METRIC_7602" hidden="1">"c7602"</definedName>
    <definedName name="IQ_ECO_METRIC_7603" hidden="1">"c7603"</definedName>
    <definedName name="IQ_ECO_METRIC_7604" hidden="1">"c7604"</definedName>
    <definedName name="IQ_ECO_METRIC_7605" hidden="1">"c7605"</definedName>
    <definedName name="IQ_ECO_METRIC_7606" hidden="1">"c7606"</definedName>
    <definedName name="IQ_ECO_METRIC_7607" hidden="1">"c7607"</definedName>
    <definedName name="IQ_ECO_METRIC_7608" hidden="1">"c7608"</definedName>
    <definedName name="IQ_ECO_METRIC_7609" hidden="1">"c7609"</definedName>
    <definedName name="IQ_ECO_METRIC_7610" hidden="1">"c7610"</definedName>
    <definedName name="IQ_ECO_METRIC_7611" hidden="1">"c7611"</definedName>
    <definedName name="IQ_ECO_METRIC_7612" hidden="1">"c7612"</definedName>
    <definedName name="IQ_ECO_METRIC_7613" hidden="1">"c7613"</definedName>
    <definedName name="IQ_ECO_METRIC_7614" hidden="1">"c7614"</definedName>
    <definedName name="IQ_ECO_METRIC_7615" hidden="1">"c7615"</definedName>
    <definedName name="IQ_ECO_METRIC_7616" hidden="1">"c7616"</definedName>
    <definedName name="IQ_ECO_METRIC_7617" hidden="1">"c7617"</definedName>
    <definedName name="IQ_ECO_METRIC_7618" hidden="1">"c7618"</definedName>
    <definedName name="IQ_ECO_METRIC_7619" hidden="1">"c7619"</definedName>
    <definedName name="IQ_ECO_METRIC_7620" hidden="1">"c7620"</definedName>
    <definedName name="IQ_ECO_METRIC_7622" hidden="1">"c7622"</definedName>
    <definedName name="IQ_ECO_METRIC_7623" hidden="1">"c7623"</definedName>
    <definedName name="IQ_ECO_METRIC_7624" hidden="1">"c7624"</definedName>
    <definedName name="IQ_ECO_METRIC_7625" hidden="1">"c7625"</definedName>
    <definedName name="IQ_ECO_METRIC_7626" hidden="1">"c7626"</definedName>
    <definedName name="IQ_ECO_METRIC_7627" hidden="1">"c7627"</definedName>
    <definedName name="IQ_ECO_METRIC_7628" hidden="1">"c7628"</definedName>
    <definedName name="IQ_ECO_METRIC_7629" hidden="1">"c7629"</definedName>
    <definedName name="IQ_ECO_METRIC_7630" hidden="1">"c7630"</definedName>
    <definedName name="IQ_ECO_METRIC_7631" hidden="1">"c7631"</definedName>
    <definedName name="IQ_ECO_METRIC_7632" hidden="1">"c7632"</definedName>
    <definedName name="IQ_ECO_METRIC_7633" hidden="1">"c7633"</definedName>
    <definedName name="IQ_ECO_METRIC_7634" hidden="1">"c7634"</definedName>
    <definedName name="IQ_ECO_METRIC_7635" hidden="1">"c7635"</definedName>
    <definedName name="IQ_ECO_METRIC_7636" hidden="1">"c7636"</definedName>
    <definedName name="IQ_ECO_METRIC_7637" hidden="1">"c7637"</definedName>
    <definedName name="IQ_ECO_METRIC_7638" hidden="1">"c7638"</definedName>
    <definedName name="IQ_ECO_METRIC_7639" hidden="1">"c7639"</definedName>
    <definedName name="IQ_ECO_METRIC_7640" hidden="1">"c7640"</definedName>
    <definedName name="IQ_ECO_METRIC_7641" hidden="1">"c7641"</definedName>
    <definedName name="IQ_ECO_METRIC_7642" hidden="1">"c7642"</definedName>
    <definedName name="IQ_ECO_METRIC_7643" hidden="1">"c7643"</definedName>
    <definedName name="IQ_ECO_METRIC_7644" hidden="1">"c7644"</definedName>
    <definedName name="IQ_ECO_METRIC_7645" hidden="1">"c7645"</definedName>
    <definedName name="IQ_ECO_METRIC_7646" hidden="1">"c7646"</definedName>
    <definedName name="IQ_ECO_METRIC_7647" hidden="1">"c7647"</definedName>
    <definedName name="IQ_ECO_METRIC_7648" hidden="1">"c7648"</definedName>
    <definedName name="IQ_ECO_METRIC_7648_UNUSED_UNUSED_UNUSED" hidden="1">"c7648"</definedName>
    <definedName name="IQ_ECO_METRIC_7649" hidden="1">"c7649"</definedName>
    <definedName name="IQ_ECO_METRIC_7650" hidden="1">"c7650"</definedName>
    <definedName name="IQ_ECO_METRIC_7651" hidden="1">"c7651"</definedName>
    <definedName name="IQ_ECO_METRIC_7652" hidden="1">"c7652"</definedName>
    <definedName name="IQ_ECO_METRIC_7653" hidden="1">"c7653"</definedName>
    <definedName name="IQ_ECO_METRIC_7654" hidden="1">"c7654"</definedName>
    <definedName name="IQ_ECO_METRIC_7655" hidden="1">"c7655"</definedName>
    <definedName name="IQ_ECO_METRIC_7656" hidden="1">"c7656"</definedName>
    <definedName name="IQ_ECO_METRIC_7657" hidden="1">"c7657"</definedName>
    <definedName name="IQ_ECO_METRIC_7658" hidden="1">"c7658"</definedName>
    <definedName name="IQ_ECO_METRIC_7660" hidden="1">"c7660"</definedName>
    <definedName name="IQ_ECO_METRIC_7661" hidden="1">"c7661"</definedName>
    <definedName name="IQ_ECO_METRIC_7663" hidden="1">"c7663"</definedName>
    <definedName name="IQ_ECO_METRIC_7664" hidden="1">"c7664"</definedName>
    <definedName name="IQ_ECO_METRIC_7665" hidden="1">"c7665"</definedName>
    <definedName name="IQ_ECO_METRIC_7666" hidden="1">"c7666"</definedName>
    <definedName name="IQ_ECO_METRIC_7667" hidden="1">"c7667"</definedName>
    <definedName name="IQ_ECO_METRIC_7668" hidden="1">"c7668"</definedName>
    <definedName name="IQ_ECO_METRIC_7669" hidden="1">"c7669"</definedName>
    <definedName name="IQ_ECO_METRIC_7670" hidden="1">"c7670"</definedName>
    <definedName name="IQ_ECO_METRIC_7675" hidden="1">"c7675"</definedName>
    <definedName name="IQ_ECO_METRIC_7676" hidden="1">"c7676"</definedName>
    <definedName name="IQ_ECO_METRIC_7677" hidden="1">"c7677"</definedName>
    <definedName name="IQ_ECO_METRIC_7678" hidden="1">"c7678"</definedName>
    <definedName name="IQ_ECO_METRIC_7679" hidden="1">"c7679"</definedName>
    <definedName name="IQ_ECO_METRIC_7680" hidden="1">"c7680"</definedName>
    <definedName name="IQ_ECO_METRIC_7681" hidden="1">"c7681"</definedName>
    <definedName name="IQ_ECO_METRIC_7685" hidden="1">"c7685"</definedName>
    <definedName name="IQ_ECO_METRIC_7687" hidden="1">"c7687"</definedName>
    <definedName name="IQ_ECO_METRIC_7688" hidden="1">"c7688"</definedName>
    <definedName name="IQ_ECO_METRIC_7689" hidden="1">"c7689"</definedName>
    <definedName name="IQ_ECO_METRIC_7690" hidden="1">"c7690"</definedName>
    <definedName name="IQ_ECO_METRIC_7691" hidden="1">"c7691"</definedName>
    <definedName name="IQ_ECO_METRIC_7692" hidden="1">"c7692"</definedName>
    <definedName name="IQ_ECO_METRIC_7693" hidden="1">"c7693"</definedName>
    <definedName name="IQ_ECO_METRIC_7694" hidden="1">"c7694"</definedName>
    <definedName name="IQ_ECO_METRIC_7695" hidden="1">"c7695"</definedName>
    <definedName name="IQ_ECO_METRIC_7696" hidden="1">"c7696"</definedName>
    <definedName name="IQ_ECO_METRIC_7697" hidden="1">"c7697"</definedName>
    <definedName name="IQ_ECO_METRIC_7698" hidden="1">"c7698"</definedName>
    <definedName name="IQ_ECO_METRIC_7699" hidden="1">"c7699"</definedName>
    <definedName name="IQ_ECO_METRIC_7700" hidden="1">"c7700"</definedName>
    <definedName name="IQ_ECO_METRIC_7701" hidden="1">"c7701"</definedName>
    <definedName name="IQ_ECO_METRIC_7702" hidden="1">"c7702"</definedName>
    <definedName name="IQ_ECO_METRIC_7703" hidden="1">"c7703"</definedName>
    <definedName name="IQ_ECO_METRIC_7705" hidden="1">"c7705"</definedName>
    <definedName name="IQ_ECO_METRIC_7705_UNUSED_UNUSED_UNUSED" hidden="1">"c7705"</definedName>
    <definedName name="IQ_ECO_METRIC_7707" hidden="1">"c7707"</definedName>
    <definedName name="IQ_ECO_METRIC_7708" hidden="1">"c7708"</definedName>
    <definedName name="IQ_ECO_METRIC_7709" hidden="1">"c7709"</definedName>
    <definedName name="IQ_ECO_METRIC_7710" hidden="1">"c7710"</definedName>
    <definedName name="IQ_ECO_METRIC_7711" hidden="1">"c7711"</definedName>
    <definedName name="IQ_ECO_METRIC_7712" hidden="1">"c7712"</definedName>
    <definedName name="IQ_ECO_METRIC_7713" hidden="1">"c7713"</definedName>
    <definedName name="IQ_ECO_METRIC_7714" hidden="1">"c7714"</definedName>
    <definedName name="IQ_ECO_METRIC_7715" hidden="1">"c7715"</definedName>
    <definedName name="IQ_ECO_METRIC_7716" hidden="1">"c7716"</definedName>
    <definedName name="IQ_ECO_METRIC_7717" hidden="1">"c7717"</definedName>
    <definedName name="IQ_ECO_METRIC_7719" hidden="1">"c7719"</definedName>
    <definedName name="IQ_ECO_METRIC_7719_UNUSED_UNUSED_UNUSED" hidden="1">"c7719"</definedName>
    <definedName name="IQ_ECO_METRIC_7720" hidden="1">"c7720"</definedName>
    <definedName name="IQ_ECO_METRIC_7721" hidden="1">"c7721"</definedName>
    <definedName name="IQ_ECO_METRIC_7722" hidden="1">"c7722"</definedName>
    <definedName name="IQ_ECO_METRIC_7723" hidden="1">"c7723"</definedName>
    <definedName name="IQ_ECO_METRIC_7724" hidden="1">"c7724"</definedName>
    <definedName name="IQ_ECO_METRIC_7725" hidden="1">"c7725"</definedName>
    <definedName name="IQ_ECO_METRIC_7726" hidden="1">"c7726"</definedName>
    <definedName name="IQ_ECO_METRIC_7727" hidden="1">"c7727"</definedName>
    <definedName name="IQ_ECO_METRIC_7728" hidden="1">"c7728"</definedName>
    <definedName name="IQ_ECO_METRIC_7729" hidden="1">"c7729"</definedName>
    <definedName name="IQ_ECO_METRIC_7730" hidden="1">"c7730"</definedName>
    <definedName name="IQ_ECO_METRIC_7731" hidden="1">"c7731"</definedName>
    <definedName name="IQ_ECO_METRIC_7732" hidden="1">"c7732"</definedName>
    <definedName name="IQ_ECO_METRIC_7733" hidden="1">"c7733"</definedName>
    <definedName name="IQ_ECO_METRIC_7734" hidden="1">"c7734"</definedName>
    <definedName name="IQ_ECO_METRIC_7735" hidden="1">"c7735"</definedName>
    <definedName name="IQ_ECO_METRIC_7736" hidden="1">"c7736"</definedName>
    <definedName name="IQ_ECO_METRIC_7737" hidden="1">"c7737"</definedName>
    <definedName name="IQ_ECO_METRIC_7738" hidden="1">"c7738"</definedName>
    <definedName name="IQ_ECO_METRIC_7739" hidden="1">"c7739"</definedName>
    <definedName name="IQ_ECO_METRIC_7740" hidden="1">"c7740"</definedName>
    <definedName name="IQ_ECO_METRIC_7741" hidden="1">"c7741"</definedName>
    <definedName name="IQ_ECO_METRIC_7742" hidden="1">"c7742"</definedName>
    <definedName name="IQ_ECO_METRIC_7743" hidden="1">"c7743"</definedName>
    <definedName name="IQ_ECO_METRIC_7744" hidden="1">"c7744"</definedName>
    <definedName name="IQ_ECO_METRIC_7745" hidden="1">"c7745"</definedName>
    <definedName name="IQ_ECO_METRIC_7746" hidden="1">"c7746"</definedName>
    <definedName name="IQ_ECO_METRIC_7747" hidden="1">"c7747"</definedName>
    <definedName name="IQ_ECO_METRIC_7748" hidden="1">"c7748"</definedName>
    <definedName name="IQ_ECO_METRIC_7749" hidden="1">"c7749"</definedName>
    <definedName name="IQ_ECO_METRIC_7750" hidden="1">"c7750"</definedName>
    <definedName name="IQ_ECO_METRIC_7751" hidden="1">"c7751"</definedName>
    <definedName name="IQ_ECO_METRIC_7752" hidden="1">"c7752"</definedName>
    <definedName name="IQ_ECO_METRIC_7753" hidden="1">"c7753"</definedName>
    <definedName name="IQ_ECO_METRIC_7754" hidden="1">"c7754"</definedName>
    <definedName name="IQ_ECO_METRIC_7755" hidden="1">"c7755"</definedName>
    <definedName name="IQ_ECO_METRIC_7756" hidden="1">"c7756"</definedName>
    <definedName name="IQ_ECO_METRIC_7757" hidden="1">"c7757"</definedName>
    <definedName name="IQ_ECO_METRIC_7758" hidden="1">"c7758"</definedName>
    <definedName name="IQ_ECO_METRIC_7759" hidden="1">"c7759"</definedName>
    <definedName name="IQ_ECO_METRIC_7760" hidden="1">"c7760"</definedName>
    <definedName name="IQ_ECO_METRIC_7761" hidden="1">"c7761"</definedName>
    <definedName name="IQ_ECO_METRIC_7762" hidden="1">"c7762"</definedName>
    <definedName name="IQ_ECO_METRIC_7763" hidden="1">"c7763"</definedName>
    <definedName name="IQ_ECO_METRIC_7764" hidden="1">"c7764"</definedName>
    <definedName name="IQ_ECO_METRIC_7765" hidden="1">"c7765"</definedName>
    <definedName name="IQ_ECO_METRIC_7766" hidden="1">"c7766"</definedName>
    <definedName name="IQ_ECO_METRIC_7767" hidden="1">"c7767"</definedName>
    <definedName name="IQ_ECO_METRIC_7768" hidden="1">"c7768"</definedName>
    <definedName name="IQ_ECO_METRIC_7769" hidden="1">"c7769"</definedName>
    <definedName name="IQ_ECO_METRIC_7770" hidden="1">"c7770"</definedName>
    <definedName name="IQ_ECO_METRIC_7771" hidden="1">"c7771"</definedName>
    <definedName name="IQ_ECO_METRIC_7772" hidden="1">"c7772"</definedName>
    <definedName name="IQ_ECO_METRIC_7773" hidden="1">"c7773"</definedName>
    <definedName name="IQ_ECO_METRIC_7774" hidden="1">"c7774"</definedName>
    <definedName name="IQ_ECO_METRIC_7775" hidden="1">"c7775"</definedName>
    <definedName name="IQ_ECO_METRIC_7776" hidden="1">"c7776"</definedName>
    <definedName name="IQ_ECO_METRIC_7776_UNUSED_UNUSED_UNUSED" hidden="1">"c7776"</definedName>
    <definedName name="IQ_ECO_METRIC_7777" hidden="1">"c7777"</definedName>
    <definedName name="IQ_ECO_METRIC_7777_UNUSED_UNUSED_UNUSED" hidden="1">"c7777"</definedName>
    <definedName name="IQ_ECO_METRIC_7779" hidden="1">"c7779"</definedName>
    <definedName name="IQ_ECO_METRIC_7780" hidden="1">"c7780"</definedName>
    <definedName name="IQ_ECO_METRIC_7781" hidden="1">"c7781"</definedName>
    <definedName name="IQ_ECO_METRIC_7782" hidden="1">"c7782"</definedName>
    <definedName name="IQ_ECO_METRIC_7783" hidden="1">"c7783"</definedName>
    <definedName name="IQ_ECO_METRIC_7784" hidden="1">"c7784"</definedName>
    <definedName name="IQ_ECO_METRIC_7785" hidden="1">"c7785"</definedName>
    <definedName name="IQ_ECO_METRIC_7786" hidden="1">"c7786"</definedName>
    <definedName name="IQ_ECO_METRIC_7787" hidden="1">"c7787"</definedName>
    <definedName name="IQ_ECO_METRIC_7788" hidden="1">"c7788"</definedName>
    <definedName name="IQ_ECO_METRIC_7789" hidden="1">"c7789"</definedName>
    <definedName name="IQ_ECO_METRIC_7790" hidden="1">"c7790"</definedName>
    <definedName name="IQ_ECO_METRIC_7791" hidden="1">"c7791"</definedName>
    <definedName name="IQ_ECO_METRIC_7792" hidden="1">"c7792"</definedName>
    <definedName name="IQ_ECO_METRIC_7793" hidden="1">"c7793"</definedName>
    <definedName name="IQ_ECO_METRIC_7794" hidden="1">"c7794"</definedName>
    <definedName name="IQ_ECO_METRIC_7795" hidden="1">"c7795"</definedName>
    <definedName name="IQ_ECO_METRIC_7796" hidden="1">"c7796"</definedName>
    <definedName name="IQ_ECO_METRIC_7797" hidden="1">"c7797"</definedName>
    <definedName name="IQ_ECO_METRIC_7798" hidden="1">"c7798"</definedName>
    <definedName name="IQ_ECO_METRIC_7799" hidden="1">"c7799"</definedName>
    <definedName name="IQ_ECO_METRIC_7800" hidden="1">"c7800"</definedName>
    <definedName name="IQ_ECO_METRIC_7801" hidden="1">"c7801"</definedName>
    <definedName name="IQ_ECO_METRIC_7802" hidden="1">"c7802"</definedName>
    <definedName name="IQ_ECO_METRIC_7803" hidden="1">"c7803"</definedName>
    <definedName name="IQ_ECO_METRIC_7804" hidden="1">"c7804"</definedName>
    <definedName name="IQ_ECO_METRIC_7805" hidden="1">"c7805"</definedName>
    <definedName name="IQ_ECO_METRIC_7806" hidden="1">"c7806"</definedName>
    <definedName name="IQ_ECO_METRIC_7808" hidden="1">"c7808"</definedName>
    <definedName name="IQ_ECO_METRIC_7809" hidden="1">"c7809"</definedName>
    <definedName name="IQ_ECO_METRIC_7810" hidden="1">"c7810"</definedName>
    <definedName name="IQ_ECO_METRIC_7812" hidden="1">"c7812"</definedName>
    <definedName name="IQ_ECO_METRIC_7813" hidden="1">"c7813"</definedName>
    <definedName name="IQ_ECO_METRIC_7814" hidden="1">"c7814"</definedName>
    <definedName name="IQ_ECO_METRIC_7815" hidden="1">"c7815"</definedName>
    <definedName name="IQ_ECO_METRIC_7816" hidden="1">"c7816"</definedName>
    <definedName name="IQ_ECO_METRIC_7817" hidden="1">"c7817"</definedName>
    <definedName name="IQ_ECO_METRIC_7818" hidden="1">"c7818"</definedName>
    <definedName name="IQ_ECO_METRIC_7819" hidden="1">"c7819"</definedName>
    <definedName name="IQ_ECO_METRIC_7820" hidden="1">"c7820"</definedName>
    <definedName name="IQ_ECO_METRIC_7821" hidden="1">"c7821"</definedName>
    <definedName name="IQ_ECO_METRIC_7822" hidden="1">"c7822"</definedName>
    <definedName name="IQ_ECO_METRIC_7823" hidden="1">"c7823"</definedName>
    <definedName name="IQ_ECO_METRIC_7824" hidden="1">"c7824"</definedName>
    <definedName name="IQ_ECO_METRIC_7825" hidden="1">"c7825"</definedName>
    <definedName name="IQ_ECO_METRIC_7826" hidden="1">"c7826"</definedName>
    <definedName name="IQ_ECO_METRIC_7827" hidden="1">"c7827"</definedName>
    <definedName name="IQ_ECO_METRIC_7828" hidden="1">"c7828"</definedName>
    <definedName name="IQ_ECO_METRIC_7829" hidden="1">"c7829"</definedName>
    <definedName name="IQ_ECO_METRIC_7830" hidden="1">"c7830"</definedName>
    <definedName name="IQ_ECO_METRIC_7831" hidden="1">"c7831"</definedName>
    <definedName name="IQ_ECO_METRIC_7832" hidden="1">"c7832"</definedName>
    <definedName name="IQ_ECO_METRIC_7833" hidden="1">"c7833"</definedName>
    <definedName name="IQ_ECO_METRIC_7834" hidden="1">"c7834"</definedName>
    <definedName name="IQ_ECO_METRIC_7835" hidden="1">"c7835"</definedName>
    <definedName name="IQ_ECO_METRIC_7836" hidden="1">"c7836"</definedName>
    <definedName name="IQ_ECO_METRIC_7837" hidden="1">"c7837"</definedName>
    <definedName name="IQ_ECO_METRIC_7838" hidden="1">"c7838"</definedName>
    <definedName name="IQ_ECO_METRIC_7839" hidden="1">"c7839"</definedName>
    <definedName name="IQ_ECO_METRIC_7840" hidden="1">"c7840"</definedName>
    <definedName name="IQ_ECO_METRIC_7842" hidden="1">"c7842"</definedName>
    <definedName name="IQ_ECO_METRIC_7843" hidden="1">"c7843"</definedName>
    <definedName name="IQ_ECO_METRIC_7844" hidden="1">"c7844"</definedName>
    <definedName name="IQ_ECO_METRIC_7845" hidden="1">"c7845"</definedName>
    <definedName name="IQ_ECO_METRIC_7846" hidden="1">"c7846"</definedName>
    <definedName name="IQ_ECO_METRIC_7847" hidden="1">"c7847"</definedName>
    <definedName name="IQ_ECO_METRIC_7848" hidden="1">"c7848"</definedName>
    <definedName name="IQ_ECO_METRIC_7849" hidden="1">"c7849"</definedName>
    <definedName name="IQ_ECO_METRIC_7850" hidden="1">"c7850"</definedName>
    <definedName name="IQ_ECO_METRIC_7851" hidden="1">"c7851"</definedName>
    <definedName name="IQ_ECO_METRIC_7852" hidden="1">"c7852"</definedName>
    <definedName name="IQ_ECO_METRIC_7853" hidden="1">"c7853"</definedName>
    <definedName name="IQ_ECO_METRIC_7854" hidden="1">"c7854"</definedName>
    <definedName name="IQ_ECO_METRIC_7855" hidden="1">"c7855"</definedName>
    <definedName name="IQ_ECO_METRIC_7856" hidden="1">"c7856"</definedName>
    <definedName name="IQ_ECO_METRIC_7857" hidden="1">"c7857"</definedName>
    <definedName name="IQ_ECO_METRIC_7858" hidden="1">"c7858"</definedName>
    <definedName name="IQ_ECO_METRIC_7859" hidden="1">"c7859"</definedName>
    <definedName name="IQ_ECO_METRIC_7860" hidden="1">"c7860"</definedName>
    <definedName name="IQ_ECO_METRIC_7861" hidden="1">"c7861"</definedName>
    <definedName name="IQ_ECO_METRIC_7862" hidden="1">"c7862"</definedName>
    <definedName name="IQ_ECO_METRIC_7863" hidden="1">"c7863"</definedName>
    <definedName name="IQ_ECO_METRIC_7864" hidden="1">"c7864"</definedName>
    <definedName name="IQ_ECO_METRIC_7865" hidden="1">"c7865"</definedName>
    <definedName name="IQ_ECO_METRIC_7866" hidden="1">"c7866"</definedName>
    <definedName name="IQ_ECO_METRIC_7867" hidden="1">"c7867"</definedName>
    <definedName name="IQ_ECO_METRIC_7868" hidden="1">"c7868"</definedName>
    <definedName name="IQ_ECO_METRIC_7868_UNUSED_UNUSED_UNUSED" hidden="1">"c7868"</definedName>
    <definedName name="IQ_ECO_METRIC_7869" hidden="1">"c7869"</definedName>
    <definedName name="IQ_ECO_METRIC_7870" hidden="1">"c7870"</definedName>
    <definedName name="IQ_ECO_METRIC_7871" hidden="1">"c7871"</definedName>
    <definedName name="IQ_ECO_METRIC_7872" hidden="1">"c7872"</definedName>
    <definedName name="IQ_ECO_METRIC_7874" hidden="1">"c7874"</definedName>
    <definedName name="IQ_ECO_METRIC_7875" hidden="1">"c7875"</definedName>
    <definedName name="IQ_ECO_METRIC_7876" hidden="1">"c7876"</definedName>
    <definedName name="IQ_ECO_METRIC_7877" hidden="1">"c7877"</definedName>
    <definedName name="IQ_ECO_METRIC_7878" hidden="1">"c7878"</definedName>
    <definedName name="IQ_ECO_METRIC_7880" hidden="1">"c7880"</definedName>
    <definedName name="IQ_ECO_METRIC_7881" hidden="1">"c7881"</definedName>
    <definedName name="IQ_ECO_METRIC_7882" hidden="1">"c7882"</definedName>
    <definedName name="IQ_ECO_METRIC_7883" hidden="1">"c7883"</definedName>
    <definedName name="IQ_ECO_METRIC_7884" hidden="1">"c7884"</definedName>
    <definedName name="IQ_ECO_METRIC_7885" hidden="1">"c7885"</definedName>
    <definedName name="IQ_ECO_METRIC_7886" hidden="1">"c7886"</definedName>
    <definedName name="IQ_ECO_METRIC_7887" hidden="1">"c7887"</definedName>
    <definedName name="IQ_ECO_METRIC_7888" hidden="1">"c7888"</definedName>
    <definedName name="IQ_ECO_METRIC_7889" hidden="1">"c7889"</definedName>
    <definedName name="IQ_ECO_METRIC_7890" hidden="1">"c7890"</definedName>
    <definedName name="IQ_ECO_METRIC_7891" hidden="1">"c7891"</definedName>
    <definedName name="IQ_ECO_METRIC_7892" hidden="1">"c7892"</definedName>
    <definedName name="IQ_ECO_METRIC_7893" hidden="1">"c7893"</definedName>
    <definedName name="IQ_ECO_METRIC_7895" hidden="1">"c7895"</definedName>
    <definedName name="IQ_ECO_METRIC_7896" hidden="1">"c7896"</definedName>
    <definedName name="IQ_ECO_METRIC_7897" hidden="1">"c7897"</definedName>
    <definedName name="IQ_ECO_METRIC_7898" hidden="1">"c7898"</definedName>
    <definedName name="IQ_ECO_METRIC_7899" hidden="1">"c7899"</definedName>
    <definedName name="IQ_ECO_METRIC_7900" hidden="1">"c7900"</definedName>
    <definedName name="IQ_ECO_METRIC_7901" hidden="1">"c7901"</definedName>
    <definedName name="IQ_ECO_METRIC_7903" hidden="1">"c7903"</definedName>
    <definedName name="IQ_ECO_METRIC_7904" hidden="1">"c7904"</definedName>
    <definedName name="IQ_ECO_METRIC_7905" hidden="1">"c7905"</definedName>
    <definedName name="IQ_ECO_METRIC_7906" hidden="1">"c7906"</definedName>
    <definedName name="IQ_ECO_METRIC_7907" hidden="1">"c7907"</definedName>
    <definedName name="IQ_ECO_METRIC_7908" hidden="1">"c7908"</definedName>
    <definedName name="IQ_ECO_METRIC_7909" hidden="1">"c7909"</definedName>
    <definedName name="IQ_ECO_METRIC_7910" hidden="1">"c7910"</definedName>
    <definedName name="IQ_ECO_METRIC_7911" hidden="1">"c7911"</definedName>
    <definedName name="IQ_ECO_METRIC_7912" hidden="1">"c7912"</definedName>
    <definedName name="IQ_ECO_METRIC_7913" hidden="1">"c7913"</definedName>
    <definedName name="IQ_ECO_METRIC_7914" hidden="1">"c7914"</definedName>
    <definedName name="IQ_ECO_METRIC_7915" hidden="1">"c7915"</definedName>
    <definedName name="IQ_ECO_METRIC_7916" hidden="1">"c7916"</definedName>
    <definedName name="IQ_ECO_METRIC_7917" hidden="1">"c7917"</definedName>
    <definedName name="IQ_ECO_METRIC_7918" hidden="1">"c7918"</definedName>
    <definedName name="IQ_ECO_METRIC_7919" hidden="1">"c7919"</definedName>
    <definedName name="IQ_ECO_METRIC_7920" hidden="1">"c7920"</definedName>
    <definedName name="IQ_ECO_METRIC_7921" hidden="1">"c7921"</definedName>
    <definedName name="IQ_ECO_METRIC_7922" hidden="1">"c7922"</definedName>
    <definedName name="IQ_ECO_METRIC_7923" hidden="1">"c7923"</definedName>
    <definedName name="IQ_ECO_METRIC_7925" hidden="1">"c7925"</definedName>
    <definedName name="IQ_ECO_METRIC_7925_UNUSED_UNUSED_UNUSED" hidden="1">"c7925"</definedName>
    <definedName name="IQ_ECO_METRIC_7927" hidden="1">"c7927"</definedName>
    <definedName name="IQ_ECO_METRIC_7928" hidden="1">"c7928"</definedName>
    <definedName name="IQ_ECO_METRIC_7929" hidden="1">"c7929"</definedName>
    <definedName name="IQ_ECO_METRIC_7930" hidden="1">"c7930"</definedName>
    <definedName name="IQ_ECO_METRIC_7931" hidden="1">"c7931"</definedName>
    <definedName name="IQ_ECO_METRIC_7932" hidden="1">"c7932"</definedName>
    <definedName name="IQ_ECO_METRIC_7933" hidden="1">"c7933"</definedName>
    <definedName name="IQ_ECO_METRIC_7934" hidden="1">"c7934"</definedName>
    <definedName name="IQ_ECO_METRIC_7935" hidden="1">"c7935"</definedName>
    <definedName name="IQ_ECO_METRIC_7936" hidden="1">"c7936"</definedName>
    <definedName name="IQ_ECO_METRIC_7937" hidden="1">"c7937"</definedName>
    <definedName name="IQ_ECO_METRIC_7939" hidden="1">"c7939"</definedName>
    <definedName name="IQ_ECO_METRIC_7939_UNUSED_UNUSED_UNUSED" hidden="1">"c7939"</definedName>
    <definedName name="IQ_ECO_METRIC_7940" hidden="1">"c7940"</definedName>
    <definedName name="IQ_ECO_METRIC_7941" hidden="1">"c7941"</definedName>
    <definedName name="IQ_ECO_METRIC_7942" hidden="1">"c7942"</definedName>
    <definedName name="IQ_ECO_METRIC_7943" hidden="1">"c7943"</definedName>
    <definedName name="IQ_ECO_METRIC_7944" hidden="1">"c7944"</definedName>
    <definedName name="IQ_ECO_METRIC_7945" hidden="1">"c7945"</definedName>
    <definedName name="IQ_ECO_METRIC_7946" hidden="1">"c7946"</definedName>
    <definedName name="IQ_ECO_METRIC_7947" hidden="1">"c7947"</definedName>
    <definedName name="IQ_ECO_METRIC_7948" hidden="1">"c7948"</definedName>
    <definedName name="IQ_ECO_METRIC_7949" hidden="1">"c7949"</definedName>
    <definedName name="IQ_ECO_METRIC_7950" hidden="1">"c7950"</definedName>
    <definedName name="IQ_ECO_METRIC_7951" hidden="1">"c7951"</definedName>
    <definedName name="IQ_ECO_METRIC_7952" hidden="1">"c7952"</definedName>
    <definedName name="IQ_ECO_METRIC_7953" hidden="1">"c7953"</definedName>
    <definedName name="IQ_ECO_METRIC_7954" hidden="1">"c7954"</definedName>
    <definedName name="IQ_ECO_METRIC_7955" hidden="1">"c7955"</definedName>
    <definedName name="IQ_ECO_METRIC_7956" hidden="1">"c7956"</definedName>
    <definedName name="IQ_ECO_METRIC_7957" hidden="1">"c7957"</definedName>
    <definedName name="IQ_ECO_METRIC_7958" hidden="1">"c7958"</definedName>
    <definedName name="IQ_ECO_METRIC_7959" hidden="1">"c7959"</definedName>
    <definedName name="IQ_ECO_METRIC_7960" hidden="1">"c7960"</definedName>
    <definedName name="IQ_ECO_METRIC_7961" hidden="1">"c7961"</definedName>
    <definedName name="IQ_ECO_METRIC_7962" hidden="1">"c7962"</definedName>
    <definedName name="IQ_ECO_METRIC_7963" hidden="1">"c7963"</definedName>
    <definedName name="IQ_ECO_METRIC_7964" hidden="1">"c7964"</definedName>
    <definedName name="IQ_ECO_METRIC_7965" hidden="1">"c7965"</definedName>
    <definedName name="IQ_ECO_METRIC_7966" hidden="1">"c7966"</definedName>
    <definedName name="IQ_ECO_METRIC_7967" hidden="1">"c7967"</definedName>
    <definedName name="IQ_ECO_METRIC_7968" hidden="1">"c7968"</definedName>
    <definedName name="IQ_ECO_METRIC_7969" hidden="1">"c7969"</definedName>
    <definedName name="IQ_ECO_METRIC_7970" hidden="1">"c7970"</definedName>
    <definedName name="IQ_ECO_METRIC_7971" hidden="1">"c7971"</definedName>
    <definedName name="IQ_ECO_METRIC_7972" hidden="1">"c7972"</definedName>
    <definedName name="IQ_ECO_METRIC_7973" hidden="1">"c7973"</definedName>
    <definedName name="IQ_ECO_METRIC_7974" hidden="1">"c7974"</definedName>
    <definedName name="IQ_ECO_METRIC_7975" hidden="1">"c7975"</definedName>
    <definedName name="IQ_ECO_METRIC_7976" hidden="1">"c7976"</definedName>
    <definedName name="IQ_ECO_METRIC_7977" hidden="1">"c7977"</definedName>
    <definedName name="IQ_ECO_METRIC_7978" hidden="1">"c7978"</definedName>
    <definedName name="IQ_ECO_METRIC_7979" hidden="1">"c7979"</definedName>
    <definedName name="IQ_ECO_METRIC_7980" hidden="1">"c7980"</definedName>
    <definedName name="IQ_ECO_METRIC_7981" hidden="1">"c7981"</definedName>
    <definedName name="IQ_ECO_METRIC_7982" hidden="1">"c7982"</definedName>
    <definedName name="IQ_ECO_METRIC_7983" hidden="1">"c7983"</definedName>
    <definedName name="IQ_ECO_METRIC_7984" hidden="1">"c7984"</definedName>
    <definedName name="IQ_ECO_METRIC_7985" hidden="1">"c7985"</definedName>
    <definedName name="IQ_ECO_METRIC_7986" hidden="1">"c7986"</definedName>
    <definedName name="IQ_ECO_METRIC_7987" hidden="1">"c7987"</definedName>
    <definedName name="IQ_ECO_METRIC_7988" hidden="1">"c7988"</definedName>
    <definedName name="IQ_ECO_METRIC_7989" hidden="1">"c7989"</definedName>
    <definedName name="IQ_ECO_METRIC_7990" hidden="1">"c7990"</definedName>
    <definedName name="IQ_ECO_METRIC_7991" hidden="1">"c7991"</definedName>
    <definedName name="IQ_ECO_METRIC_7992" hidden="1">"c7992"</definedName>
    <definedName name="IQ_ECO_METRIC_7993" hidden="1">"c7993"</definedName>
    <definedName name="IQ_ECO_METRIC_7994" hidden="1">"c7994"</definedName>
    <definedName name="IQ_ECO_METRIC_7995" hidden="1">"c7995"</definedName>
    <definedName name="IQ_ECO_METRIC_7996" hidden="1">"c7996"</definedName>
    <definedName name="IQ_ECO_METRIC_7996_UNUSED_UNUSED_UNUSED" hidden="1">"c7996"</definedName>
    <definedName name="IQ_ECO_METRIC_7997" hidden="1">"c7997"</definedName>
    <definedName name="IQ_ECO_METRIC_7997_UNUSED_UNUSED_UNUSED" hidden="1">"c7997"</definedName>
    <definedName name="IQ_ECO_METRIC_7999" hidden="1">"c7999"</definedName>
    <definedName name="IQ_ECO_METRIC_8000" hidden="1">"c8000"</definedName>
    <definedName name="IQ_ECO_METRIC_8001" hidden="1">"c8001"</definedName>
    <definedName name="IQ_ECO_METRIC_8002" hidden="1">"c8002"</definedName>
    <definedName name="IQ_ECO_METRIC_8003" hidden="1">"c8003"</definedName>
    <definedName name="IQ_ECO_METRIC_8004" hidden="1">"c8004"</definedName>
    <definedName name="IQ_ECO_METRIC_8005" hidden="1">"c8005"</definedName>
    <definedName name="IQ_ECO_METRIC_8006" hidden="1">"c8006"</definedName>
    <definedName name="IQ_ECO_METRIC_8007" hidden="1">"c8007"</definedName>
    <definedName name="IQ_ECO_METRIC_8008" hidden="1">"c8008"</definedName>
    <definedName name="IQ_ECO_METRIC_8009" hidden="1">"c8009"</definedName>
    <definedName name="IQ_ECO_METRIC_8010" hidden="1">"c8010"</definedName>
    <definedName name="IQ_ECO_METRIC_8011" hidden="1">"c8011"</definedName>
    <definedName name="IQ_ECO_METRIC_8012" hidden="1">"c8012"</definedName>
    <definedName name="IQ_ECO_METRIC_8013" hidden="1">"c8013"</definedName>
    <definedName name="IQ_ECO_METRIC_8014" hidden="1">"c8014"</definedName>
    <definedName name="IQ_ECO_METRIC_8015" hidden="1">"c8015"</definedName>
    <definedName name="IQ_ECO_METRIC_8016" hidden="1">"c8016"</definedName>
    <definedName name="IQ_ECO_METRIC_8017" hidden="1">"c8017"</definedName>
    <definedName name="IQ_ECO_METRIC_8018" hidden="1">"c8018"</definedName>
    <definedName name="IQ_ECO_METRIC_8019" hidden="1">"c8019"</definedName>
    <definedName name="IQ_ECO_METRIC_8020" hidden="1">"c8020"</definedName>
    <definedName name="IQ_ECO_METRIC_8021" hidden="1">"c8021"</definedName>
    <definedName name="IQ_ECO_METRIC_8022" hidden="1">"c8022"</definedName>
    <definedName name="IQ_ECO_METRIC_8023" hidden="1">"c8023"</definedName>
    <definedName name="IQ_ECO_METRIC_8024" hidden="1">"c8024"</definedName>
    <definedName name="IQ_ECO_METRIC_8025" hidden="1">"c8025"</definedName>
    <definedName name="IQ_ECO_METRIC_8026" hidden="1">"c8026"</definedName>
    <definedName name="IQ_ECO_METRIC_8028" hidden="1">"c8028"</definedName>
    <definedName name="IQ_ECO_METRIC_8029" hidden="1">"c8029"</definedName>
    <definedName name="IQ_ECO_METRIC_8030" hidden="1">"c8030"</definedName>
    <definedName name="IQ_ECO_METRIC_8032" hidden="1">"c8032"</definedName>
    <definedName name="IQ_ECO_METRIC_8033" hidden="1">"c8033"</definedName>
    <definedName name="IQ_ECO_METRIC_8034" hidden="1">"c8034"</definedName>
    <definedName name="IQ_ECO_METRIC_8035" hidden="1">"c8035"</definedName>
    <definedName name="IQ_ECO_METRIC_8036" hidden="1">"c8036"</definedName>
    <definedName name="IQ_ECO_METRIC_8037" hidden="1">"c8037"</definedName>
    <definedName name="IQ_ECO_METRIC_8038" hidden="1">"c8038"</definedName>
    <definedName name="IQ_ECO_METRIC_8039" hidden="1">"c8039"</definedName>
    <definedName name="IQ_ECO_METRIC_8040" hidden="1">"c8040"</definedName>
    <definedName name="IQ_ECO_METRIC_8041" hidden="1">"c8041"</definedName>
    <definedName name="IQ_ECO_METRIC_8042" hidden="1">"c8042"</definedName>
    <definedName name="IQ_ECO_METRIC_8043" hidden="1">"c8043"</definedName>
    <definedName name="IQ_ECO_METRIC_8044" hidden="1">"c8044"</definedName>
    <definedName name="IQ_ECO_METRIC_8045" hidden="1">"c8045"</definedName>
    <definedName name="IQ_ECO_METRIC_8046" hidden="1">"c8046"</definedName>
    <definedName name="IQ_ECO_METRIC_8047" hidden="1">"c8047"</definedName>
    <definedName name="IQ_ECO_METRIC_8048" hidden="1">"c8048"</definedName>
    <definedName name="IQ_ECO_METRIC_8049" hidden="1">"c8049"</definedName>
    <definedName name="IQ_ECO_METRIC_8050" hidden="1">"c8050"</definedName>
    <definedName name="IQ_ECO_METRIC_8051" hidden="1">"c8051"</definedName>
    <definedName name="IQ_ECO_METRIC_8052" hidden="1">"c8052"</definedName>
    <definedName name="IQ_ECO_METRIC_8053" hidden="1">"c8053"</definedName>
    <definedName name="IQ_ECO_METRIC_8054" hidden="1">"c8054"</definedName>
    <definedName name="IQ_ECO_METRIC_8055" hidden="1">"c8055"</definedName>
    <definedName name="IQ_ECO_METRIC_8056" hidden="1">"c8056"</definedName>
    <definedName name="IQ_ECO_METRIC_8057" hidden="1">"c8057"</definedName>
    <definedName name="IQ_ECO_METRIC_8058" hidden="1">"c8058"</definedName>
    <definedName name="IQ_ECO_METRIC_8059" hidden="1">"c8059"</definedName>
    <definedName name="IQ_ECO_METRIC_8060" hidden="1">"c8060"</definedName>
    <definedName name="IQ_ECO_METRIC_8062" hidden="1">"c8062"</definedName>
    <definedName name="IQ_ECO_METRIC_8063" hidden="1">"c8063"</definedName>
    <definedName name="IQ_ECO_METRIC_8064" hidden="1">"c8064"</definedName>
    <definedName name="IQ_ECO_METRIC_8065" hidden="1">"c8065"</definedName>
    <definedName name="IQ_ECO_METRIC_8066" hidden="1">"c8066"</definedName>
    <definedName name="IQ_ECO_METRIC_8067" hidden="1">"c8067"</definedName>
    <definedName name="IQ_ECO_METRIC_8068" hidden="1">"c8068"</definedName>
    <definedName name="IQ_ECO_METRIC_8069" hidden="1">"c8069"</definedName>
    <definedName name="IQ_ECO_METRIC_8070" hidden="1">"c8070"</definedName>
    <definedName name="IQ_ECO_METRIC_8071" hidden="1">"c8071"</definedName>
    <definedName name="IQ_ECO_METRIC_8072" hidden="1">"c8072"</definedName>
    <definedName name="IQ_ECO_METRIC_8073" hidden="1">"c8073"</definedName>
    <definedName name="IQ_ECO_METRIC_8074" hidden="1">"c8074"</definedName>
    <definedName name="IQ_ECO_METRIC_8075" hidden="1">"c8075"</definedName>
    <definedName name="IQ_ECO_METRIC_8076" hidden="1">"c8076"</definedName>
    <definedName name="IQ_ECO_METRIC_8077" hidden="1">"c8077"</definedName>
    <definedName name="IQ_ECO_METRIC_8078" hidden="1">"c8078"</definedName>
    <definedName name="IQ_ECO_METRIC_8079" hidden="1">"c8079"</definedName>
    <definedName name="IQ_ECO_METRIC_8080" hidden="1">"c8080"</definedName>
    <definedName name="IQ_ECO_METRIC_8081" hidden="1">"c8081"</definedName>
    <definedName name="IQ_ECO_METRIC_8082" hidden="1">"c8082"</definedName>
    <definedName name="IQ_ECO_METRIC_8083" hidden="1">"c8083"</definedName>
    <definedName name="IQ_ECO_METRIC_8084" hidden="1">"c8084"</definedName>
    <definedName name="IQ_ECO_METRIC_8085" hidden="1">"c8085"</definedName>
    <definedName name="IQ_ECO_METRIC_8086" hidden="1">"c8086"</definedName>
    <definedName name="IQ_ECO_METRIC_8087" hidden="1">"c8087"</definedName>
    <definedName name="IQ_ECO_METRIC_8088" hidden="1">"c8088"</definedName>
    <definedName name="IQ_ECO_METRIC_8088_UNUSED_UNUSED_UNUSED" hidden="1">"c8088"</definedName>
    <definedName name="IQ_ECO_METRIC_8089" hidden="1">"c8089"</definedName>
    <definedName name="IQ_ECO_METRIC_8090" hidden="1">"c8090"</definedName>
    <definedName name="IQ_ECO_METRIC_8091" hidden="1">"c8091"</definedName>
    <definedName name="IQ_ECO_METRIC_8092" hidden="1">"c8092"</definedName>
    <definedName name="IQ_ECO_METRIC_8094" hidden="1">"c8094"</definedName>
    <definedName name="IQ_ECO_METRIC_8095" hidden="1">"c8095"</definedName>
    <definedName name="IQ_ECO_METRIC_8096" hidden="1">"c8096"</definedName>
    <definedName name="IQ_ECO_METRIC_8097" hidden="1">"c8097"</definedName>
    <definedName name="IQ_ECO_METRIC_8098" hidden="1">"c8098"</definedName>
    <definedName name="IQ_ECO_METRIC_8100" hidden="1">"c8100"</definedName>
    <definedName name="IQ_ECO_METRIC_8101" hidden="1">"c8101"</definedName>
    <definedName name="IQ_ECO_METRIC_8102" hidden="1">"c8102"</definedName>
    <definedName name="IQ_ECO_METRIC_8103" hidden="1">"c8103"</definedName>
    <definedName name="IQ_ECO_METRIC_8104" hidden="1">"c8104"</definedName>
    <definedName name="IQ_ECO_METRIC_8105" hidden="1">"c8105"</definedName>
    <definedName name="IQ_ECO_METRIC_8106" hidden="1">"c8106"</definedName>
    <definedName name="IQ_ECO_METRIC_8107" hidden="1">"c8107"</definedName>
    <definedName name="IQ_ECO_METRIC_8108" hidden="1">"c8108"</definedName>
    <definedName name="IQ_ECO_METRIC_8109" hidden="1">"c8109"</definedName>
    <definedName name="IQ_ECO_METRIC_8110" hidden="1">"c8110"</definedName>
    <definedName name="IQ_ECO_METRIC_8111" hidden="1">"c8111"</definedName>
    <definedName name="IQ_ECO_METRIC_8112" hidden="1">"c8112"</definedName>
    <definedName name="IQ_ECO_METRIC_8113" hidden="1">"c8113"</definedName>
    <definedName name="IQ_ECO_METRIC_8115" hidden="1">"c8115"</definedName>
    <definedName name="IQ_ECO_METRIC_8116" hidden="1">"c8116"</definedName>
    <definedName name="IQ_ECO_METRIC_8117" hidden="1">"c8117"</definedName>
    <definedName name="IQ_ECO_METRIC_8118" hidden="1">"c8118"</definedName>
    <definedName name="IQ_ECO_METRIC_8119" hidden="1">"c8119"</definedName>
    <definedName name="IQ_ECO_METRIC_8120" hidden="1">"c8120"</definedName>
    <definedName name="IQ_ECO_METRIC_8121" hidden="1">"c8121"</definedName>
    <definedName name="IQ_ECO_METRIC_8123" hidden="1">"c8123"</definedName>
    <definedName name="IQ_ECO_METRIC_8124" hidden="1">"c8124"</definedName>
    <definedName name="IQ_ECO_METRIC_8125" hidden="1">"c8125"</definedName>
    <definedName name="IQ_ECO_METRIC_8126" hidden="1">"c8126"</definedName>
    <definedName name="IQ_ECO_METRIC_8127" hidden="1">"c8127"</definedName>
    <definedName name="IQ_ECO_METRIC_8128" hidden="1">"c8128"</definedName>
    <definedName name="IQ_ECO_METRIC_8129" hidden="1">"c8129"</definedName>
    <definedName name="IQ_ECO_METRIC_8130" hidden="1">"c8130"</definedName>
    <definedName name="IQ_ECO_METRIC_8131" hidden="1">"c8131"</definedName>
    <definedName name="IQ_ECO_METRIC_8132" hidden="1">"c8132"</definedName>
    <definedName name="IQ_ECO_METRIC_8133" hidden="1">"c8133"</definedName>
    <definedName name="IQ_ECO_METRIC_8134" hidden="1">"c8134"</definedName>
    <definedName name="IQ_ECO_METRIC_8135" hidden="1">"c8135"</definedName>
    <definedName name="IQ_ECO_METRIC_8136" hidden="1">"c8136"</definedName>
    <definedName name="IQ_ECO_METRIC_8137" hidden="1">"c8137"</definedName>
    <definedName name="IQ_ECO_METRIC_8138" hidden="1">"c8138"</definedName>
    <definedName name="IQ_ECO_METRIC_8139" hidden="1">"c8139"</definedName>
    <definedName name="IQ_ECO_METRIC_8140" hidden="1">"c8140"</definedName>
    <definedName name="IQ_ECO_METRIC_8141" hidden="1">"c8141"</definedName>
    <definedName name="IQ_ECO_METRIC_8142" hidden="1">"c8142"</definedName>
    <definedName name="IQ_ECO_METRIC_8143" hidden="1">"c8143"</definedName>
    <definedName name="IQ_ECO_METRIC_8145" hidden="1">"c8145"</definedName>
    <definedName name="IQ_ECO_METRIC_8145_UNUSED_UNUSED_UNUSED" hidden="1">"c8145"</definedName>
    <definedName name="IQ_ECO_METRIC_8147" hidden="1">"c8147"</definedName>
    <definedName name="IQ_ECO_METRIC_8148" hidden="1">"c8148"</definedName>
    <definedName name="IQ_ECO_METRIC_8149" hidden="1">"c8149"</definedName>
    <definedName name="IQ_ECO_METRIC_8150" hidden="1">"c8150"</definedName>
    <definedName name="IQ_ECO_METRIC_8152" hidden="1">"c8152"</definedName>
    <definedName name="IQ_ECO_METRIC_8153" hidden="1">"c8153"</definedName>
    <definedName name="IQ_ECO_METRIC_8154" hidden="1">"c8154"</definedName>
    <definedName name="IQ_ECO_METRIC_8155" hidden="1">"c8155"</definedName>
    <definedName name="IQ_ECO_METRIC_8156" hidden="1">"c8156"</definedName>
    <definedName name="IQ_ECO_METRIC_8157" hidden="1">"c8157"</definedName>
    <definedName name="IQ_ECO_METRIC_8159" hidden="1">"c8159"</definedName>
    <definedName name="IQ_ECO_METRIC_8159_UNUSED_UNUSED_UNUSED" hidden="1">"c8159"</definedName>
    <definedName name="IQ_ECO_METRIC_8160" hidden="1">"c8160"</definedName>
    <definedName name="IQ_ECO_METRIC_8161" hidden="1">"c8161"</definedName>
    <definedName name="IQ_ECO_METRIC_8162" hidden="1">"c8162"</definedName>
    <definedName name="IQ_ECO_METRIC_8163" hidden="1">"c8163"</definedName>
    <definedName name="IQ_ECO_METRIC_8164" hidden="1">"c8164"</definedName>
    <definedName name="IQ_ECO_METRIC_8165" hidden="1">"c8165"</definedName>
    <definedName name="IQ_ECO_METRIC_8166" hidden="1">"c8166"</definedName>
    <definedName name="IQ_ECO_METRIC_8167" hidden="1">"c8167"</definedName>
    <definedName name="IQ_ECO_METRIC_8168" hidden="1">"c8168"</definedName>
    <definedName name="IQ_ECO_METRIC_8169" hidden="1">"c8169"</definedName>
    <definedName name="IQ_ECO_METRIC_8170" hidden="1">"c8170"</definedName>
    <definedName name="IQ_ECO_METRIC_8171" hidden="1">"c8171"</definedName>
    <definedName name="IQ_ECO_METRIC_8172" hidden="1">"c8172"</definedName>
    <definedName name="IQ_ECO_METRIC_8173" hidden="1">"c8173"</definedName>
    <definedName name="IQ_ECO_METRIC_8174" hidden="1">"c8174"</definedName>
    <definedName name="IQ_ECO_METRIC_8175" hidden="1">"c8175"</definedName>
    <definedName name="IQ_ECO_METRIC_8176" hidden="1">"c8176"</definedName>
    <definedName name="IQ_ECO_METRIC_8177" hidden="1">"c8177"</definedName>
    <definedName name="IQ_ECO_METRIC_8178" hidden="1">"c8178"</definedName>
    <definedName name="IQ_ECO_METRIC_8179" hidden="1">"c8179"</definedName>
    <definedName name="IQ_ECO_METRIC_8180" hidden="1">"c8180"</definedName>
    <definedName name="IQ_ECO_METRIC_8181" hidden="1">"c8181"</definedName>
    <definedName name="IQ_ECO_METRIC_8182" hidden="1">"c8182"</definedName>
    <definedName name="IQ_ECO_METRIC_8183" hidden="1">"c8183"</definedName>
    <definedName name="IQ_ECO_METRIC_8184" hidden="1">"c8184"</definedName>
    <definedName name="IQ_ECO_METRIC_8185" hidden="1">"c8185"</definedName>
    <definedName name="IQ_ECO_METRIC_8186" hidden="1">"c8186"</definedName>
    <definedName name="IQ_ECO_METRIC_8187" hidden="1">"c8187"</definedName>
    <definedName name="IQ_ECO_METRIC_8188" hidden="1">"c8188"</definedName>
    <definedName name="IQ_ECO_METRIC_8189" hidden="1">"c8189"</definedName>
    <definedName name="IQ_ECO_METRIC_8190" hidden="1">"c8190"</definedName>
    <definedName name="IQ_ECO_METRIC_8191" hidden="1">"c8191"</definedName>
    <definedName name="IQ_ECO_METRIC_8192" hidden="1">"c8192"</definedName>
    <definedName name="IQ_ECO_METRIC_8193" hidden="1">"c8193"</definedName>
    <definedName name="IQ_ECO_METRIC_8194" hidden="1">"c8194"</definedName>
    <definedName name="IQ_ECO_METRIC_8195" hidden="1">"c8195"</definedName>
    <definedName name="IQ_ECO_METRIC_8196" hidden="1">"c8196"</definedName>
    <definedName name="IQ_ECO_METRIC_8197" hidden="1">"c8197"</definedName>
    <definedName name="IQ_ECO_METRIC_8198" hidden="1">"c8198"</definedName>
    <definedName name="IQ_ECO_METRIC_8199" hidden="1">"c8199"</definedName>
    <definedName name="IQ_ECO_METRIC_8200" hidden="1">"c8200"</definedName>
    <definedName name="IQ_ECO_METRIC_8201" hidden="1">"c8201"</definedName>
    <definedName name="IQ_ECO_METRIC_8202" hidden="1">"c8202"</definedName>
    <definedName name="IQ_ECO_METRIC_8203" hidden="1">"c8203"</definedName>
    <definedName name="IQ_ECO_METRIC_8204" hidden="1">"c8204"</definedName>
    <definedName name="IQ_ECO_METRIC_8205" hidden="1">"c8205"</definedName>
    <definedName name="IQ_ECO_METRIC_8206" hidden="1">"c8206"</definedName>
    <definedName name="IQ_ECO_METRIC_8207" hidden="1">"c8207"</definedName>
    <definedName name="IQ_ECO_METRIC_8208" hidden="1">"c8208"</definedName>
    <definedName name="IQ_ECO_METRIC_8209" hidden="1">"c8209"</definedName>
    <definedName name="IQ_ECO_METRIC_8210" hidden="1">"c8210"</definedName>
    <definedName name="IQ_ECO_METRIC_8211" hidden="1">"c8211"</definedName>
    <definedName name="IQ_ECO_METRIC_8212" hidden="1">"c8212"</definedName>
    <definedName name="IQ_ECO_METRIC_8213" hidden="1">"c8213"</definedName>
    <definedName name="IQ_ECO_METRIC_8214" hidden="1">"c8214"</definedName>
    <definedName name="IQ_ECO_METRIC_8215" hidden="1">"c8215"</definedName>
    <definedName name="IQ_ECO_METRIC_8216" hidden="1">"c8216"</definedName>
    <definedName name="IQ_ECO_METRIC_8216_UNUSED_UNUSED_UNUSED" hidden="1">"c8216"</definedName>
    <definedName name="IQ_ECO_METRIC_8217" hidden="1">"c8217"</definedName>
    <definedName name="IQ_ECO_METRIC_8217_UNUSED_UNUSED_UNUSED" hidden="1">"c8217"</definedName>
    <definedName name="IQ_ECO_METRIC_8219" hidden="1">"c8219"</definedName>
    <definedName name="IQ_ECO_METRIC_8221" hidden="1">"c8221"</definedName>
    <definedName name="IQ_ECO_METRIC_8222" hidden="1">"c8222"</definedName>
    <definedName name="IQ_ECO_METRIC_8223" hidden="1">"c8223"</definedName>
    <definedName name="IQ_ECO_METRIC_8224" hidden="1">"c8224"</definedName>
    <definedName name="IQ_ECO_METRIC_8225" hidden="1">"c8225"</definedName>
    <definedName name="IQ_ECO_METRIC_8226" hidden="1">"c8226"</definedName>
    <definedName name="IQ_ECO_METRIC_8227" hidden="1">"c8227"</definedName>
    <definedName name="IQ_ECO_METRIC_8228" hidden="1">"c8228"</definedName>
    <definedName name="IQ_ECO_METRIC_8229" hidden="1">"c8229"</definedName>
    <definedName name="IQ_ECO_METRIC_8230" hidden="1">"c8230"</definedName>
    <definedName name="IQ_ECO_METRIC_8231" hidden="1">"c8231"</definedName>
    <definedName name="IQ_ECO_METRIC_8232" hidden="1">"c8232"</definedName>
    <definedName name="IQ_ECO_METRIC_8233" hidden="1">"c8233"</definedName>
    <definedName name="IQ_ECO_METRIC_8234" hidden="1">"c8234"</definedName>
    <definedName name="IQ_ECO_METRIC_8235" hidden="1">"c8235"</definedName>
    <definedName name="IQ_ECO_METRIC_8236" hidden="1">"c8236"</definedName>
    <definedName name="IQ_ECO_METRIC_8237" hidden="1">"c8237"</definedName>
    <definedName name="IQ_ECO_METRIC_8238" hidden="1">"c8238"</definedName>
    <definedName name="IQ_ECO_METRIC_8239" hidden="1">"c8239"</definedName>
    <definedName name="IQ_ECO_METRIC_8240" hidden="1">"c8240"</definedName>
    <definedName name="IQ_ECO_METRIC_8241" hidden="1">"c8241"</definedName>
    <definedName name="IQ_ECO_METRIC_8242" hidden="1">"c8242"</definedName>
    <definedName name="IQ_ECO_METRIC_8243" hidden="1">"c8243"</definedName>
    <definedName name="IQ_ECO_METRIC_8244" hidden="1">"c8244"</definedName>
    <definedName name="IQ_ECO_METRIC_8245" hidden="1">"c8245"</definedName>
    <definedName name="IQ_ECO_METRIC_8246" hidden="1">"c8246"</definedName>
    <definedName name="IQ_ECO_METRIC_8248" hidden="1">"c8248"</definedName>
    <definedName name="IQ_ECO_METRIC_8249" hidden="1">"c8249"</definedName>
    <definedName name="IQ_ECO_METRIC_8250" hidden="1">"c8250"</definedName>
    <definedName name="IQ_ECO_METRIC_8252" hidden="1">"c8252"</definedName>
    <definedName name="IQ_ECO_METRIC_8253" hidden="1">"c8253"</definedName>
    <definedName name="IQ_ECO_METRIC_8254" hidden="1">"c8254"</definedName>
    <definedName name="IQ_ECO_METRIC_8255" hidden="1">"c8255"</definedName>
    <definedName name="IQ_ECO_METRIC_8256" hidden="1">"c8256"</definedName>
    <definedName name="IQ_ECO_METRIC_8257" hidden="1">"c8257"</definedName>
    <definedName name="IQ_ECO_METRIC_8258" hidden="1">"c8258"</definedName>
    <definedName name="IQ_ECO_METRIC_8259" hidden="1">"c8259"</definedName>
    <definedName name="IQ_ECO_METRIC_8260" hidden="1">"c8260"</definedName>
    <definedName name="IQ_ECO_METRIC_8261" hidden="1">"c8261"</definedName>
    <definedName name="IQ_ECO_METRIC_8262" hidden="1">"c8262"</definedName>
    <definedName name="IQ_ECO_METRIC_8263" hidden="1">"c8263"</definedName>
    <definedName name="IQ_ECO_METRIC_8264" hidden="1">"c8264"</definedName>
    <definedName name="IQ_ECO_METRIC_8265" hidden="1">"c8265"</definedName>
    <definedName name="IQ_ECO_METRIC_8266" hidden="1">"c8266"</definedName>
    <definedName name="IQ_ECO_METRIC_8267" hidden="1">"c8267"</definedName>
    <definedName name="IQ_ECO_METRIC_8268" hidden="1">"c8268"</definedName>
    <definedName name="IQ_ECO_METRIC_8269" hidden="1">"c8269"</definedName>
    <definedName name="IQ_ECO_METRIC_8270" hidden="1">"c8270"</definedName>
    <definedName name="IQ_ECO_METRIC_8271" hidden="1">"c8271"</definedName>
    <definedName name="IQ_ECO_METRIC_8272" hidden="1">"c8272"</definedName>
    <definedName name="IQ_ECO_METRIC_8273" hidden="1">"c8273"</definedName>
    <definedName name="IQ_ECO_METRIC_8274" hidden="1">"c8274"</definedName>
    <definedName name="IQ_ECO_METRIC_8275" hidden="1">"c8275"</definedName>
    <definedName name="IQ_ECO_METRIC_8276" hidden="1">"c8276"</definedName>
    <definedName name="IQ_ECO_METRIC_8277" hidden="1">"c8277"</definedName>
    <definedName name="IQ_ECO_METRIC_8278" hidden="1">"c8278"</definedName>
    <definedName name="IQ_ECO_METRIC_8279" hidden="1">"c8279"</definedName>
    <definedName name="IQ_ECO_METRIC_8280" hidden="1">"c8280"</definedName>
    <definedName name="IQ_ECO_METRIC_8282" hidden="1">"c8282"</definedName>
    <definedName name="IQ_ECO_METRIC_8283" hidden="1">"c8283"</definedName>
    <definedName name="IQ_ECO_METRIC_8284" hidden="1">"c8284"</definedName>
    <definedName name="IQ_ECO_METRIC_8285" hidden="1">"c8285"</definedName>
    <definedName name="IQ_ECO_METRIC_8286" hidden="1">"c8286"</definedName>
    <definedName name="IQ_ECO_METRIC_8287" hidden="1">"c8287"</definedName>
    <definedName name="IQ_ECO_METRIC_8288" hidden="1">"c8288"</definedName>
    <definedName name="IQ_ECO_METRIC_8289" hidden="1">"c8289"</definedName>
    <definedName name="IQ_ECO_METRIC_8290" hidden="1">"c8290"</definedName>
    <definedName name="IQ_ECO_METRIC_8291" hidden="1">"c8291"</definedName>
    <definedName name="IQ_ECO_METRIC_8292" hidden="1">"c8292"</definedName>
    <definedName name="IQ_ECO_METRIC_8293" hidden="1">"c8293"</definedName>
    <definedName name="IQ_ECO_METRIC_8294" hidden="1">"c8294"</definedName>
    <definedName name="IQ_ECO_METRIC_8295" hidden="1">"c8295"</definedName>
    <definedName name="IQ_ECO_METRIC_8296" hidden="1">"c8296"</definedName>
    <definedName name="IQ_ECO_METRIC_8297" hidden="1">"c8297"</definedName>
    <definedName name="IQ_ECO_METRIC_8298" hidden="1">"c8298"</definedName>
    <definedName name="IQ_ECO_METRIC_8299" hidden="1">"c8299"</definedName>
    <definedName name="IQ_ECO_METRIC_8300" hidden="1">"c8300"</definedName>
    <definedName name="IQ_ECO_METRIC_8301" hidden="1">"c8301"</definedName>
    <definedName name="IQ_ECO_METRIC_8302" hidden="1">"c8302"</definedName>
    <definedName name="IQ_ECO_METRIC_8303" hidden="1">"c8303"</definedName>
    <definedName name="IQ_ECO_METRIC_8304" hidden="1">"c8304"</definedName>
    <definedName name="IQ_ECO_METRIC_8305" hidden="1">"c8305"</definedName>
    <definedName name="IQ_ECO_METRIC_8306" hidden="1">"c8306"</definedName>
    <definedName name="IQ_ECO_METRIC_8307" hidden="1">"c8307"</definedName>
    <definedName name="IQ_ECO_METRIC_8308" hidden="1">"c8308"</definedName>
    <definedName name="IQ_ECO_METRIC_8308_UNUSED_UNUSED_UNUSED" hidden="1">"c8308"</definedName>
    <definedName name="IQ_ECO_METRIC_8309" hidden="1">"c8309"</definedName>
    <definedName name="IQ_ECO_METRIC_8310" hidden="1">"c8310"</definedName>
    <definedName name="IQ_ECO_METRIC_8311" hidden="1">"c8311"</definedName>
    <definedName name="IQ_ECO_METRIC_8312" hidden="1">"c8312"</definedName>
    <definedName name="IQ_ECO_METRIC_8314" hidden="1">"c8314"</definedName>
    <definedName name="IQ_ECO_METRIC_8315" hidden="1">"c8315"</definedName>
    <definedName name="IQ_ECO_METRIC_8316" hidden="1">"c8316"</definedName>
    <definedName name="IQ_ECO_METRIC_8317" hidden="1">"c8317"</definedName>
    <definedName name="IQ_ECO_METRIC_8318" hidden="1">"c8318"</definedName>
    <definedName name="IQ_ECO_METRIC_8320" hidden="1">"c8320"</definedName>
    <definedName name="IQ_ECO_METRIC_8321" hidden="1">"c8321"</definedName>
    <definedName name="IQ_ECO_METRIC_8322" hidden="1">"c8322"</definedName>
    <definedName name="IQ_ECO_METRIC_8323" hidden="1">"c8323"</definedName>
    <definedName name="IQ_ECO_METRIC_8324" hidden="1">"c8324"</definedName>
    <definedName name="IQ_ECO_METRIC_8325" hidden="1">"c8325"</definedName>
    <definedName name="IQ_ECO_METRIC_8326" hidden="1">"c8326"</definedName>
    <definedName name="IQ_ECO_METRIC_8327" hidden="1">"c8327"</definedName>
    <definedName name="IQ_ECO_METRIC_8328" hidden="1">"c8328"</definedName>
    <definedName name="IQ_ECO_METRIC_8329" hidden="1">"c8329"</definedName>
    <definedName name="IQ_ECO_METRIC_8330" hidden="1">"c8330"</definedName>
    <definedName name="IQ_ECO_METRIC_8331" hidden="1">"c8331"</definedName>
    <definedName name="IQ_ECO_METRIC_8332" hidden="1">"c8332"</definedName>
    <definedName name="IQ_ECO_METRIC_8333" hidden="1">"c8333"</definedName>
    <definedName name="IQ_ECO_METRIC_8335" hidden="1">"c8335"</definedName>
    <definedName name="IQ_ECO_METRIC_8336" hidden="1">"c8336"</definedName>
    <definedName name="IQ_ECO_METRIC_8337" hidden="1">"c8337"</definedName>
    <definedName name="IQ_ECO_METRIC_8338" hidden="1">"c8338"</definedName>
    <definedName name="IQ_ECO_METRIC_8339" hidden="1">"c8339"</definedName>
    <definedName name="IQ_ECO_METRIC_8340" hidden="1">"c8340"</definedName>
    <definedName name="IQ_ECO_METRIC_8341" hidden="1">"c8341"</definedName>
    <definedName name="IQ_ECO_METRIC_8343" hidden="1">"c8343"</definedName>
    <definedName name="IQ_ECO_METRIC_8344" hidden="1">"c8344"</definedName>
    <definedName name="IQ_ECO_METRIC_8345" hidden="1">"c8345"</definedName>
    <definedName name="IQ_ECO_METRIC_8346" hidden="1">"c8346"</definedName>
    <definedName name="IQ_ECO_METRIC_8347" hidden="1">"c8347"</definedName>
    <definedName name="IQ_ECO_METRIC_8348" hidden="1">"c8348"</definedName>
    <definedName name="IQ_ECO_METRIC_8349" hidden="1">"c8349"</definedName>
    <definedName name="IQ_ECO_METRIC_8350" hidden="1">"c8350"</definedName>
    <definedName name="IQ_ECO_METRIC_8352" hidden="1">"c8352"</definedName>
    <definedName name="IQ_ECO_METRIC_8353" hidden="1">"c8353"</definedName>
    <definedName name="IQ_ECO_METRIC_8354" hidden="1">"c8354"</definedName>
    <definedName name="IQ_ECO_METRIC_8355" hidden="1">"c8355"</definedName>
    <definedName name="IQ_ECO_METRIC_8356" hidden="1">"c8356"</definedName>
    <definedName name="IQ_ECO_METRIC_8357" hidden="1">"c8357"</definedName>
    <definedName name="IQ_ECO_METRIC_8358" hidden="1">"c8358"</definedName>
    <definedName name="IQ_ECO_METRIC_8359" hidden="1">"c8359"</definedName>
    <definedName name="IQ_ECO_METRIC_8360" hidden="1">"c8360"</definedName>
    <definedName name="IQ_ECO_METRIC_8361" hidden="1">"c8361"</definedName>
    <definedName name="IQ_ECO_METRIC_8362" hidden="1">"c8362"</definedName>
    <definedName name="IQ_ECO_METRIC_8363" hidden="1">"c8363"</definedName>
    <definedName name="IQ_ECO_METRIC_8367" hidden="1">"c8367"</definedName>
    <definedName name="IQ_ECO_METRIC_8368" hidden="1">"c8368"</definedName>
    <definedName name="IQ_ECO_METRIC_8369" hidden="1">"c8369"</definedName>
    <definedName name="IQ_ECO_METRIC_8370" hidden="1">"c8370"</definedName>
    <definedName name="IQ_ECO_METRIC_8371" hidden="1">"c8371"</definedName>
    <definedName name="IQ_ECO_METRIC_8372" hidden="1">"c8372"</definedName>
    <definedName name="IQ_ECO_METRIC_8373" hidden="1">"c8373"</definedName>
    <definedName name="IQ_ECO_METRIC_8374" hidden="1">"c8374"</definedName>
    <definedName name="IQ_ECO_METRIC_8375" hidden="1">"c8375"</definedName>
    <definedName name="IQ_ECO_METRIC_8376" hidden="1">"c8376"</definedName>
    <definedName name="IQ_ECO_METRIC_8377" hidden="1">"c8377"</definedName>
    <definedName name="IQ_ECO_METRIC_8380" hidden="1">"c8380"</definedName>
    <definedName name="IQ_ECO_METRIC_8381" hidden="1">"c8381"</definedName>
    <definedName name="IQ_ECO_METRIC_8382" hidden="1">"c8382"</definedName>
    <definedName name="IQ_ECO_METRIC_8383" hidden="1">"c8383"</definedName>
    <definedName name="IQ_ECO_METRIC_8384" hidden="1">"c8384"</definedName>
    <definedName name="IQ_ECO_METRIC_8385" hidden="1">"c8385"</definedName>
    <definedName name="IQ_ECO_METRIC_8387" hidden="1">"c8387"</definedName>
    <definedName name="IQ_ECO_METRIC_8388" hidden="1">"c8388"</definedName>
    <definedName name="IQ_ECO_METRIC_8389" hidden="1">"c8389"</definedName>
    <definedName name="IQ_ECO_METRIC_8390" hidden="1">"c8390"</definedName>
    <definedName name="IQ_ECO_METRIC_8391" hidden="1">"c8391"</definedName>
    <definedName name="IQ_ECO_METRIC_8392" hidden="1">"c8392"</definedName>
    <definedName name="IQ_ECO_METRIC_8393" hidden="1">"c8393"</definedName>
    <definedName name="IQ_ECO_METRIC_8394" hidden="1">"c8394"</definedName>
    <definedName name="IQ_ECO_METRIC_8395" hidden="1">"c8395"</definedName>
    <definedName name="IQ_ECO_METRIC_8396" hidden="1">"c8396"</definedName>
    <definedName name="IQ_ECO_METRIC_8397" hidden="1">"c8397"</definedName>
    <definedName name="IQ_ECO_METRIC_8398" hidden="1">"c8398"</definedName>
    <definedName name="IQ_ECO_METRIC_8399" hidden="1">"c8399"</definedName>
    <definedName name="IQ_ECO_METRIC_8400" hidden="1">"c8400"</definedName>
    <definedName name="IQ_ECO_METRIC_8401" hidden="1">"c8401"</definedName>
    <definedName name="IQ_ECO_METRIC_8402" hidden="1">"c8402"</definedName>
    <definedName name="IQ_ECO_METRIC_8403" hidden="1">"c8403"</definedName>
    <definedName name="IQ_ECO_METRIC_8404" hidden="1">"c8404"</definedName>
    <definedName name="IQ_ECO_METRIC_8405" hidden="1">"c8405"</definedName>
    <definedName name="IQ_ECO_METRIC_8406" hidden="1">"c8406"</definedName>
    <definedName name="IQ_ECO_METRIC_8407" hidden="1">"c8407"</definedName>
    <definedName name="IQ_ECO_METRIC_8408" hidden="1">"c8408"</definedName>
    <definedName name="IQ_ECO_METRIC_8409" hidden="1">"c8409"</definedName>
    <definedName name="IQ_ECO_METRIC_8410" hidden="1">"c8410"</definedName>
    <definedName name="IQ_ECO_METRIC_8411" hidden="1">"c8411"</definedName>
    <definedName name="IQ_ECO_METRIC_8412" hidden="1">"c8412"</definedName>
    <definedName name="IQ_ECO_METRIC_8413" hidden="1">"c8413"</definedName>
    <definedName name="IQ_ECO_METRIC_8414" hidden="1">"c8414"</definedName>
    <definedName name="IQ_ECO_METRIC_8415" hidden="1">"c8415"</definedName>
    <definedName name="IQ_ECO_METRIC_8416" hidden="1">"c8416"</definedName>
    <definedName name="IQ_ECO_METRIC_8417" hidden="1">"c8417"</definedName>
    <definedName name="IQ_ECO_METRIC_8418" hidden="1">"c8418"</definedName>
    <definedName name="IQ_ECO_METRIC_8419" hidden="1">"c8419"</definedName>
    <definedName name="IQ_ECO_METRIC_8420" hidden="1">"c8420"</definedName>
    <definedName name="IQ_ECO_METRIC_8421" hidden="1">"c8421"</definedName>
    <definedName name="IQ_ECO_METRIC_8422" hidden="1">"c8422"</definedName>
    <definedName name="IQ_ECO_METRIC_8423" hidden="1">"c8423"</definedName>
    <definedName name="IQ_ECO_METRIC_8424" hidden="1">"c8424"</definedName>
    <definedName name="IQ_ECO_METRIC_8425" hidden="1">"c8425"</definedName>
    <definedName name="IQ_ECO_METRIC_8426" hidden="1">"c8426"</definedName>
    <definedName name="IQ_ECO_METRIC_8427" hidden="1">"c8427"</definedName>
    <definedName name="IQ_ECO_METRIC_8428" hidden="1">"c8428"</definedName>
    <definedName name="IQ_ECO_METRIC_8429" hidden="1">"c8429"</definedName>
    <definedName name="IQ_ECO_METRIC_8430" hidden="1">"c8430"</definedName>
    <definedName name="IQ_ECO_METRIC_8431" hidden="1">"c8431"</definedName>
    <definedName name="IQ_ECO_METRIC_8432" hidden="1">"c8432"</definedName>
    <definedName name="IQ_ECO_METRIC_8433" hidden="1">"c8433"</definedName>
    <definedName name="IQ_ECO_METRIC_8434" hidden="1">"c8434"</definedName>
    <definedName name="IQ_ECO_METRIC_8435" hidden="1">"c8435"</definedName>
    <definedName name="IQ_ECO_METRIC_8436" hidden="1">"c8436"</definedName>
    <definedName name="IQ_ECO_METRIC_8436_UNUSED_UNUSED_UNUSED" hidden="1">"c8436"</definedName>
    <definedName name="IQ_ECO_METRIC_8437" hidden="1">"c8437"</definedName>
    <definedName name="IQ_ECO_METRIC_8437_UNUSED_UNUSED_UNUSED" hidden="1">"c8437"</definedName>
    <definedName name="IQ_ECO_METRIC_8440" hidden="1">"c8440"</definedName>
    <definedName name="IQ_ECO_METRIC_8441" hidden="1">"c8441"</definedName>
    <definedName name="IQ_ECO_METRIC_8442" hidden="1">"c8442"</definedName>
    <definedName name="IQ_ECO_METRIC_8443" hidden="1">"c8443"</definedName>
    <definedName name="IQ_ECO_METRIC_8444" hidden="1">"c8444"</definedName>
    <definedName name="IQ_ECO_METRIC_8445" hidden="1">"c8445"</definedName>
    <definedName name="IQ_ECO_METRIC_8446" hidden="1">"c8446"</definedName>
    <definedName name="IQ_ECO_METRIC_8447" hidden="1">"c8447"</definedName>
    <definedName name="IQ_ECO_METRIC_8448" hidden="1">"c8448"</definedName>
    <definedName name="IQ_ECO_METRIC_8450" hidden="1">"c8450"</definedName>
    <definedName name="IQ_ECO_METRIC_8451" hidden="1">"c8451"</definedName>
    <definedName name="IQ_ECO_METRIC_8452" hidden="1">"c8452"</definedName>
    <definedName name="IQ_ECO_METRIC_8453" hidden="1">"c8453"</definedName>
    <definedName name="IQ_ECO_METRIC_8454" hidden="1">"c8454"</definedName>
    <definedName name="IQ_ECO_METRIC_8455" hidden="1">"c8455"</definedName>
    <definedName name="IQ_ECO_METRIC_8456" hidden="1">"c8456"</definedName>
    <definedName name="IQ_ECO_METRIC_8457" hidden="1">"c8457"</definedName>
    <definedName name="IQ_ECO_METRIC_8458" hidden="1">"c8458"</definedName>
    <definedName name="IQ_ECO_METRIC_8459" hidden="1">"c8459"</definedName>
    <definedName name="IQ_ECO_METRIC_8460" hidden="1">"c8460"</definedName>
    <definedName name="IQ_ECO_METRIC_8461" hidden="1">"c8461"</definedName>
    <definedName name="IQ_ECO_METRIC_8462" hidden="1">"c8462"</definedName>
    <definedName name="IQ_ECO_METRIC_8463" hidden="1">"c8463"</definedName>
    <definedName name="IQ_ECO_METRIC_8464" hidden="1">"c8464"</definedName>
    <definedName name="IQ_ECO_METRIC_8465" hidden="1">"c8465"</definedName>
    <definedName name="IQ_ECO_METRIC_8466" hidden="1">"c8466"</definedName>
    <definedName name="IQ_ECO_METRIC_8468" hidden="1">"c8468"</definedName>
    <definedName name="IQ_ECO_METRIC_8469" hidden="1">"c8469"</definedName>
    <definedName name="IQ_ECO_METRIC_8470" hidden="1">"c8470"</definedName>
    <definedName name="IQ_ECO_METRIC_8472" hidden="1">"c8472"</definedName>
    <definedName name="IQ_ECO_METRIC_8473" hidden="1">"c8473"</definedName>
    <definedName name="IQ_ECO_METRIC_8474" hidden="1">"c8474"</definedName>
    <definedName name="IQ_ECO_METRIC_8476" hidden="1">"c8476"</definedName>
    <definedName name="IQ_ECO_METRIC_8477" hidden="1">"c8477"</definedName>
    <definedName name="IQ_ECO_METRIC_8478" hidden="1">"c8478"</definedName>
    <definedName name="IQ_ECO_METRIC_8479" hidden="1">"c8479"</definedName>
    <definedName name="IQ_ECO_METRIC_8480" hidden="1">"c8480"</definedName>
    <definedName name="IQ_ECO_METRIC_8481" hidden="1">"c8481"</definedName>
    <definedName name="IQ_ECO_METRIC_8482" hidden="1">"c8482"</definedName>
    <definedName name="IQ_ECO_METRIC_8483" hidden="1">"c8483"</definedName>
    <definedName name="IQ_ECO_METRIC_8484" hidden="1">"c8484"</definedName>
    <definedName name="IQ_ECO_METRIC_8485" hidden="1">"c8485"</definedName>
    <definedName name="IQ_ECO_METRIC_8486" hidden="1">"c8486"</definedName>
    <definedName name="IQ_ECO_METRIC_8487" hidden="1">"c8487"</definedName>
    <definedName name="IQ_ECO_METRIC_8488" hidden="1">"c8488"</definedName>
    <definedName name="IQ_ECO_METRIC_8489" hidden="1">"c8489"</definedName>
    <definedName name="IQ_ECO_METRIC_8490" hidden="1">"c8490"</definedName>
    <definedName name="IQ_ECO_METRIC_8491" hidden="1">"c8491"</definedName>
    <definedName name="IQ_ECO_METRIC_8492" hidden="1">"c8492"</definedName>
    <definedName name="IQ_ECO_METRIC_8493" hidden="1">"c8493"</definedName>
    <definedName name="IQ_ECO_METRIC_8494" hidden="1">"c8494"</definedName>
    <definedName name="IQ_ECO_METRIC_8495" hidden="1">"c8495"</definedName>
    <definedName name="IQ_ECO_METRIC_8496" hidden="1">"c8496"</definedName>
    <definedName name="IQ_ECO_METRIC_8497" hidden="1">"c8497"</definedName>
    <definedName name="IQ_ECO_METRIC_8498" hidden="1">"c8498"</definedName>
    <definedName name="IQ_ECO_METRIC_8499" hidden="1">"c8499"</definedName>
    <definedName name="IQ_ECO_METRIC_8500" hidden="1">"c8500"</definedName>
    <definedName name="IQ_ECO_METRIC_8502" hidden="1">"c8502"</definedName>
    <definedName name="IQ_ECO_METRIC_8503" hidden="1">"c8503"</definedName>
    <definedName name="IQ_ECO_METRIC_8504" hidden="1">"c8504"</definedName>
    <definedName name="IQ_ECO_METRIC_8505" hidden="1">"c8505"</definedName>
    <definedName name="IQ_ECO_METRIC_8506" hidden="1">"c8506"</definedName>
    <definedName name="IQ_ECO_METRIC_8507" hidden="1">"c8507"</definedName>
    <definedName name="IQ_ECO_METRIC_8508" hidden="1">"c8508"</definedName>
    <definedName name="IQ_ECO_METRIC_8509" hidden="1">"c8509"</definedName>
    <definedName name="IQ_ECO_METRIC_8510" hidden="1">"c8510"</definedName>
    <definedName name="IQ_ECO_METRIC_8511" hidden="1">"c8511"</definedName>
    <definedName name="IQ_ECO_METRIC_8512" hidden="1">"c8512"</definedName>
    <definedName name="IQ_ECO_METRIC_8513" hidden="1">"c8513"</definedName>
    <definedName name="IQ_ECO_METRIC_8514" hidden="1">"c8514"</definedName>
    <definedName name="IQ_ECO_METRIC_8515" hidden="1">"c8515"</definedName>
    <definedName name="IQ_ECO_METRIC_8516" hidden="1">"c8516"</definedName>
    <definedName name="IQ_ECO_METRIC_8517" hidden="1">"c8517"</definedName>
    <definedName name="IQ_ECO_METRIC_8518" hidden="1">"c8518"</definedName>
    <definedName name="IQ_ECO_METRIC_8519" hidden="1">"c8519"</definedName>
    <definedName name="IQ_ECO_METRIC_8520" hidden="1">"c8520"</definedName>
    <definedName name="IQ_ECO_METRIC_8521" hidden="1">"c8521"</definedName>
    <definedName name="IQ_ECO_METRIC_8522" hidden="1">"c8522"</definedName>
    <definedName name="IQ_ECO_METRIC_8523" hidden="1">"c8523"</definedName>
    <definedName name="IQ_ECO_METRIC_8524" hidden="1">"c8524"</definedName>
    <definedName name="IQ_ECO_METRIC_8525" hidden="1">"c8525"</definedName>
    <definedName name="IQ_ECO_METRIC_8526" hidden="1">"c8526"</definedName>
    <definedName name="IQ_ECO_METRIC_8527" hidden="1">"c8527"</definedName>
    <definedName name="IQ_ECO_METRIC_8528" hidden="1">"c8528"</definedName>
    <definedName name="IQ_ECO_METRIC_8528_UNUSED_UNUSED_UNUSED" hidden="1">"c8528"</definedName>
    <definedName name="IQ_ECO_METRIC_8529" hidden="1">"c8529"</definedName>
    <definedName name="IQ_ECO_METRIC_8530" hidden="1">"c8530"</definedName>
    <definedName name="IQ_ECO_METRIC_8531" hidden="1">"c8531"</definedName>
    <definedName name="IQ_ECO_METRIC_8532" hidden="1">"c8532"</definedName>
    <definedName name="IQ_ECO_METRIC_8534" hidden="1">"c8534"</definedName>
    <definedName name="IQ_ECO_METRIC_8535" hidden="1">"c8535"</definedName>
    <definedName name="IQ_ECO_METRIC_8536" hidden="1">"c8536"</definedName>
    <definedName name="IQ_ECO_METRIC_8537" hidden="1">"c8537"</definedName>
    <definedName name="IQ_ECO_METRIC_8538" hidden="1">"c8538"</definedName>
    <definedName name="IQ_ECO_METRIC_8540" hidden="1">"c8540"</definedName>
    <definedName name="IQ_ECO_METRIC_8541" hidden="1">"c8541"</definedName>
    <definedName name="IQ_ECO_METRIC_8543" hidden="1">"c8543"</definedName>
    <definedName name="IQ_ECO_METRIC_8544" hidden="1">"c8544"</definedName>
    <definedName name="IQ_ECO_METRIC_8545" hidden="1">"c8545"</definedName>
    <definedName name="IQ_ECO_METRIC_8546" hidden="1">"c8546"</definedName>
    <definedName name="IQ_ECO_METRIC_8547" hidden="1">"c8547"</definedName>
    <definedName name="IQ_ECO_METRIC_8548" hidden="1">"c8548"</definedName>
    <definedName name="IQ_ECO_METRIC_8549" hidden="1">"c8549"</definedName>
    <definedName name="IQ_ECO_METRIC_8550" hidden="1">"c8550"</definedName>
    <definedName name="IQ_ECO_METRIC_8555" hidden="1">"c8555"</definedName>
    <definedName name="IQ_ECO_METRIC_8556" hidden="1">"c8556"</definedName>
    <definedName name="IQ_ECO_METRIC_8557" hidden="1">"c8557"</definedName>
    <definedName name="IQ_ECO_METRIC_8558" hidden="1">"c8558"</definedName>
    <definedName name="IQ_ECO_METRIC_8559" hidden="1">"c8559"</definedName>
    <definedName name="IQ_ECO_METRIC_8560" hidden="1">"c8560"</definedName>
    <definedName name="IQ_ECO_METRIC_8561" hidden="1">"c8561"</definedName>
    <definedName name="IQ_ECO_METRIC_8565" hidden="1">"c8565"</definedName>
    <definedName name="IQ_ECO_METRIC_8567" hidden="1">"c8567"</definedName>
    <definedName name="IQ_ECO_METRIC_8568" hidden="1">"c8568"</definedName>
    <definedName name="IQ_ECO_METRIC_8569" hidden="1">"c8569"</definedName>
    <definedName name="IQ_EFFICIENCY_RATIO_FDIC" hidden="1">"c6736"</definedName>
    <definedName name="IQ_EPS" hidden="1">"IQ_EPS"</definedName>
    <definedName name="IQ_EPS_10K" hidden="1">"IQ_EPS_10K"</definedName>
    <definedName name="IQ_EPS_10Q" hidden="1">"IQ_EPS_10Q"</definedName>
    <definedName name="IQ_EPS_10Q1" hidden="1">"IQ_EPS_10Q1"</definedName>
    <definedName name="IQ_EPS_NO_EST" hidden="1">"c271"</definedName>
    <definedName name="IQ_EQUITY_CAPITAL_ASSETS_FDIC" hidden="1">"c6744"</definedName>
    <definedName name="IQ_EQUITY_FDIC" hidden="1">"c6353"</definedName>
    <definedName name="IQ_EQUITY_SECURITIES_FDIC" hidden="1">"c6304"</definedName>
    <definedName name="IQ_EQUITY_SECURITY_EXPOSURES_FDIC" hidden="1">"c6664"</definedName>
    <definedName name="IQ_EST_ACT_BV_REUT" hidden="1">"c5409"</definedName>
    <definedName name="IQ_EST_ACT_BV_THOM" hidden="1">"c5153"</definedName>
    <definedName name="IQ_EST_BV_DIFF_REUT" hidden="1">"c5433"</definedName>
    <definedName name="IQ_EST_BV_DIFF_THOM" hidden="1">"c5204"</definedName>
    <definedName name="IQ_EST_BV_SURPRISE_PERCENT_REUT" hidden="1">"c5434"</definedName>
    <definedName name="IQ_EST_BV_SURPRISE_PERCENT_THOM" hidden="1">"c5205"</definedName>
    <definedName name="IQ_EST_EPS_SURPRISE" hidden="1">"c1635"</definedName>
    <definedName name="IQ_EST_NUM_BUY_CIQ" hidden="1">"c3700"</definedName>
    <definedName name="IQ_EST_NUM_BUY_REUT" hidden="1">"c3869"</definedName>
    <definedName name="IQ_EST_NUM_BUY_THOM" hidden="1">"c5165"</definedName>
    <definedName name="IQ_EST_NUM_HOLD_CIQ" hidden="1">"c3702"</definedName>
    <definedName name="IQ_EST_NUM_HOLD_REUT" hidden="1">"c3871"</definedName>
    <definedName name="IQ_EST_NUM_HOLD_THOM" hidden="1">"c5167"</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STIMATED_ASSESSABLE_DEPOSITS_FDIC" hidden="1">"c6490"</definedName>
    <definedName name="IQ_ESTIMATED_INSURED_DEPOSITS_FDIC" hidden="1">"c6491"</definedName>
    <definedName name="IQ_EV_OVER_REVENUE_EST" hidden="1">"c165"</definedName>
    <definedName name="IQ_EV_OVER_REVENUE_EST_1" hidden="1">"c166"</definedName>
    <definedName name="IQ_EXPENSE_CODE_">"C132814"</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_BR" hidden="1">"c412"</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ED_FUNDS_PURCHASED_FDIC" hidden="1">"c6343"</definedName>
    <definedName name="IQ_FED_FUNDS_SOLD_FDIC" hidden="1">"c6307"</definedName>
    <definedName name="IQ_FFO_NO_EST" hidden="1">"c276"</definedName>
    <definedName name="IQ_FH" hidden="1">100000</definedName>
    <definedName name="IQ_FHLB_ADVANCES_FDIC" hidden="1">"c6366"</definedName>
    <definedName name="IQ_FHLB_DUE_AFTER_FIVE" hidden="1">"c2086"</definedName>
    <definedName name="IQ_FIDUCIARY_ACTIVITIES_FDIC" hidden="1">"c6571"</definedName>
    <definedName name="IQ_FIFETEEN_YEAR_FIXED_AND_FLOATING_RATE_FDIC" hidden="1">"c6423"</definedName>
    <definedName name="IQ_FIFETEEN_YEAR_MORTGAGE_PASS_THROUGHS_FDIC" hidden="1">"c6415"</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IVE_YEAR_FIXED_AND_FLOATING_RATE_FDIC" hidden="1">"c6422"</definedName>
    <definedName name="IQ_FIVE_YEAR_MORTGAGE_PASS_THROUGHS_FDIC" hidden="1">"c6414"</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OSITS_NONTRANSACTION_ACCOUNTS_FDIC" hidden="1">"c6549"</definedName>
    <definedName name="IQ_FOREIGN_DEPOSITS_TRANSACTION_ACCOUNTS_FDIC" hidden="1">"c6541"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Q" hidden="1">500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_CONTRACTS_FDIC" hidden="1">"c6517"</definedName>
    <definedName name="IQ_FX_CONTRACTS_SPOT_FDIC" hidden="1">"c6356"</definedName>
    <definedName name="IQ_FY" hidden="1">1000</definedName>
    <definedName name="IQ_FY_DATE" hidden="1">"IQ_FY_DATE"</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C_BNK" hidden="1">"c488"</definedName>
    <definedName name="IQ_GAIN_INVEST_REV_BR" hidden="1">"c496"</definedName>
    <definedName name="IQ_GAIN_SALE_LOANS_FDIC" hidden="1">"c6673"</definedName>
    <definedName name="IQ_GAIN_SALE_RE_FDIC" hidden="1">"c6674"</definedName>
    <definedName name="IQ_GAINS_SALE_ASSETS_FDIC" hidden="1">"c6675"</definedName>
    <definedName name="IQ_GNMA_FDIC" hidden="1">"c6398"</definedName>
    <definedName name="IQ_GOODWILL_FDIC" hidden="1">"c6334"</definedName>
    <definedName name="IQ_GOODWILL_IMPAIRMENT_FDIC" hidden="1">"c6678"</definedName>
    <definedName name="IQ_GOODWILL_INTAN_FDIC" hidden="1">"c6333"</definedName>
    <definedName name="IQ_GROSS_GW" hidden="1">"c519"</definedName>
    <definedName name="IQ_GROSS_INTAN" hidden="1">"c520"</definedName>
    <definedName name="IQ_GW_AMORT_BR" hidden="1">"c532"</definedName>
    <definedName name="IQ_GW_INTAN_AMORT_BR" hidden="1">"c1470"</definedName>
    <definedName name="IQ_GW_INTAN_AMORT_CF_BR" hidden="1">"c1473"</definedName>
    <definedName name="IQ_HELD_MATURITY_FDIC" hidden="1">"c6408"</definedName>
    <definedName name="IQ_HG_REV_OTHER_CASINO" hidden="1">"c8721"</definedName>
    <definedName name="IQ_HG_REV_OTHER_HOTEL_MOTEL" hidden="1">"c8731"</definedName>
    <definedName name="IQ_HG_REV_TOTAL_CASINO_GAMING" hidden="1">"c8723"</definedName>
    <definedName name="IQ_HG_REV_TOTAL_HOTEL_MOTEL" hidden="1">"c8732"</definedName>
    <definedName name="IQ_HOME_EQUITY_LOC_NET_CHARGE_OFFS_FDIC" hidden="1">"c6644"</definedName>
    <definedName name="IQ_HOME_EQUITY_LOC_TOTAL_CHARGE_OFFS_FDIC" hidden="1">"c6606"</definedName>
    <definedName name="IQ_HOME_EQUITY_LOC_TOTAL_RECOVERIES_FDIC" hidden="1">"c6625"</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NC_EQUITY_BR" hidden="1">"c550"</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S_SETTLE_BR" hidden="1">"c572"</definedName>
    <definedName name="IQ_INSIDER_3MTH_BOUGHT" hidden="1">"c1534"</definedName>
    <definedName name="IQ_INSIDER_3MTH_NET" hidden="1">"c1535"</definedName>
    <definedName name="IQ_INSIDER_3MTH_SOLD" hidden="1">"c1533"</definedName>
    <definedName name="IQ_INSIDER_6MTH_BOUGHT" hidden="1">"c1537"</definedName>
    <definedName name="IQ_INSIDER_6MTH_NET" hidden="1">"c1538"</definedName>
    <definedName name="IQ_INSIDER_6MTH_SOLD" hidden="1">"c1536"</definedName>
    <definedName name="IQ_INSIDER_LOANS_FDIC" hidden="1">"c6365"</definedName>
    <definedName name="IQ_INSTITUTIONS_EARNINGS_GAINS_FDIC" hidden="1">"c6723"</definedName>
    <definedName name="IQ_INSURANCE_COMMISSION_FEES_FDIC" hidden="1">"c6670"</definedName>
    <definedName name="IQ_INSURANCE_UNDERWRITING_INCOME_FDIC" hidden="1">"c6671"</definedName>
    <definedName name="IQ_INT_DEMAND_NOTES_FDIC" hidden="1">"c6567"</definedName>
    <definedName name="IQ_INT_DOMESTIC_DEPOSITS_FDIC" hidden="1">"c6564"</definedName>
    <definedName name="IQ_INT_EXP_BR" hidden="1">"c586"</definedName>
    <definedName name="IQ_INT_EXP_TOTAL_FDIC" hidden="1">"c6569"</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OREIGN_LOANS_FDIC" hidden="1">"c6556"</definedName>
    <definedName name="IQ_INT_INC_LEASE_RECEIVABLES_FDIC" hidden="1">"c6557"</definedName>
    <definedName name="IQ_INT_INC_OTHER_FDIC" hidden="1">"c6562"</definedName>
    <definedName name="IQ_INT_INC_SECURITIES_FDIC" hidden="1">"c6559"</definedName>
    <definedName name="IQ_INT_INC_TOTAL_FDIC" hidden="1">"c6563"</definedName>
    <definedName name="IQ_INT_INC_TRADING_ACCOUNTS_FDIC" hidden="1">"c6560"</definedName>
    <definedName name="IQ_INT_SUB_NOTES_FDIC" hidden="1">"c6568"</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INC_10K" hidden="1">"IQ_INTEREST_INC_10K"</definedName>
    <definedName name="IQ_INTEREST_INC_10Q" hidden="1">"IQ_INTEREST_INC_10Q"</definedName>
    <definedName name="IQ_INTEREST_INC_10Q1" hidden="1">"IQ_INTEREST_INC_10Q1"</definedName>
    <definedName name="IQ_INTEREST_LT_DEBT" hidden="1">"c2086"</definedName>
    <definedName name="IQ_INTEREST_RATE_CONTRACTS_FDIC" hidden="1">"c6512"</definedName>
    <definedName name="IQ_INTEREST_RATE_EXPOSURES_FDIC" hidden="1">"c6662"</definedName>
    <definedName name="IQ_INVEST_LOANS_CF_BR" hidden="1">"c630"</definedName>
    <definedName name="IQ_INVEST_SECURITY_CF_BR" hidden="1">"c639"</definedName>
    <definedName name="IQ_INVESTMENT_BANKING_OTHER_FEES_FDIC" hidden="1">"c6666"</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UED_GUARANTEED_US_FDIC" hidden="1">"c6404"</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_BR" hidden="1">"c649"</definedName>
    <definedName name="IQ_LIFE_INSURANCE_ASSETS_FDIC" hidden="1">"c6372"</definedName>
    <definedName name="IQ_LISTING_CURRENCY" hidden="1">"c2127"</definedName>
    <definedName name="IQ_LOAN_COMMITMENTS_REVOLVING_FDIC" hidden="1">"c6524"</definedName>
    <definedName name="IQ_LOAN_LOSS_ALLOW_FDIC" hidden="1">"c6326"</definedName>
    <definedName name="IQ_LOAN_LOSS_ALLOWANCE_NONCURRENT_LOANS_FDIC" hidden="1">"c6740"</definedName>
    <definedName name="IQ_LOAN_LOSSES_FDIC" hidden="1">"c6580"</definedName>
    <definedName name="IQ_LOANS_AND_LEASES_HELD_FDIC" hidden="1">"c6367"</definedName>
    <definedName name="IQ_LOANS_CF_BR" hidden="1">"c661"</definedName>
    <definedName name="IQ_LOANS_DEPOSITORY_INSTITUTIONS_FDIC" hidden="1">"c6382"</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SS_ALLOWANCE_LOANS_FDIC" hidden="1">"c6739"</definedName>
    <definedName name="IQ_LT_DEBT_BR" hidden="1">"c676"</definedName>
    <definedName name="IQ_LT_DEBT_ISSUED_BR" hidden="1">"c683"</definedName>
    <definedName name="IQ_LT_DEBT_REPAID_BR" hidden="1">"c691"</definedName>
    <definedName name="IQ_LT_INVEST_BR" hidden="1">"c698"</definedName>
    <definedName name="IQ_LT_SENIOR_DEBT" hidden="1">"c702"</definedName>
    <definedName name="IQ_LT_SUB_DEBT" hidden="1">"c703"</definedName>
    <definedName name="IQ_LTM" hidden="1">2000</definedName>
    <definedName name="IQ_LTM_DATE" hidden="1">"IQ_LTM_DATE"</definedName>
    <definedName name="IQ_LTMMONTH" hidden="1">120000</definedName>
    <definedName name="IQ_MAINT_CAPEX_ACT_OR_EST" hidden="1">"c4458"</definedName>
    <definedName name="IQ_MARKTCAP" hidden="1">"c258"</definedName>
    <definedName name="IQ_MATURITY_ONE_YEAR_LESS_FDIC" hidden="1">"c6425"</definedName>
    <definedName name="IQ_MC_GA_MARGIN" hidden="1">"c9930"</definedName>
    <definedName name="IQ_MC_GA_OPERATING_REV" hidden="1">"c9929"</definedName>
    <definedName name="IQ_MC_MEDICAL_EXPENSE_RATIO" hidden="1">"c9927"</definedName>
    <definedName name="IQ_MC_SGA_MARGIN" hidden="1">"c9932"</definedName>
    <definedName name="IQ_MC_SGA_OPERATING_REV" hidden="1">"c9931"</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RGER_BR" hidden="1">"c715"</definedName>
    <definedName name="IQ_MERGER_RESTRUCTURE_BR" hidden="1">"c721"</definedName>
    <definedName name="IQ_MINORITY_INTEREST_BR" hidden="1">"c729"</definedName>
    <definedName name="IQ_MONEY_MARKET_DEPOSIT_ACCOUNTS_FDIC" hidden="1">"c6553"</definedName>
    <definedName name="IQ_MONTH" hidden="1">15000</definedName>
    <definedName name="IQ_MORTGAGE_BACKED_SECURITIES_FDIC" hidden="1">"c6402"</definedName>
    <definedName name="IQ_MORTGAGE_SERVICING_FDIC" hidden="1">"c6335"</definedName>
    <definedName name="IQ_MTD" hidden="1">800000</definedName>
    <definedName name="IQ_MULTIFAMILY_RESIDENTIAL_LOANS_FDIC" hidden="1">"c6311"</definedName>
    <definedName name="IQ_NAMES_REVISION_DATE_" hidden="1">42549.2980902778</definedName>
    <definedName name="IQ_NAV_ACT_OR_EST" hidden="1">"c2225"</definedName>
    <definedName name="IQ_NET_CHARGE_OFFS_FDIC" hidden="1">"c6641"</definedName>
    <definedName name="IQ_NET_CHARGE_OFFS_LOANS_FDIC" hidden="1">"c6751"</definedName>
    <definedName name="IQ_NET_DEBT_ISSUED_BR" hidden="1">"c753"</definedName>
    <definedName name="IQ_NET_INC_10K" hidden="1">"IQ_NET_INC_10K"</definedName>
    <definedName name="IQ_NET_INC_10Q" hidden="1">"IQ_NET_INC_10Q"</definedName>
    <definedName name="IQ_NET_INC_10Q1" hidden="1">"IQ_NET_INC_10Q1"</definedName>
    <definedName name="IQ_NET_INC_GROWTH_1" hidden="1">"c158"</definedName>
    <definedName name="IQ_NET_INC_GROWTH_2" hidden="1">"c162"</definedName>
    <definedName name="IQ_NET_INCOME_FDIC" hidden="1">"c6587"</definedName>
    <definedName name="IQ_NET_INT_INC_BNK_FDIC" hidden="1">"c6570"</definedName>
    <definedName name="IQ_NET_INT_INC_BR" hidden="1">"c765"</definedName>
    <definedName name="IQ_NET_INTEREST_MARGIN_FDIC" hidden="1">"c6726"</definedName>
    <definedName name="IQ_NET_LOANS_LEASES_CORE_DEPOSITS_FDIC" hidden="1">"c6743"</definedName>
    <definedName name="IQ_NET_LOANS_LEASES_DEPOSITS_FDIC" hidden="1">"c6742"</definedName>
    <definedName name="IQ_NET_OPERATING_INCOME_ASSETS_FDIC" hidden="1">"c6729"</definedName>
    <definedName name="IQ_NET_SECURITIZATION_INCOME_FDIC" hidden="1">"c6669"</definedName>
    <definedName name="IQ_NET_SERVICING_FEES_FDIC" hidden="1">"c6668"</definedName>
    <definedName name="IQ_NON_INT_EXP_FDIC" hidden="1">"c6579"</definedName>
    <definedName name="IQ_NON_INT_INC_FDIC" hidden="1">"c6575"</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TM" hidden="1">6000</definedName>
    <definedName name="IQ_NUM_OFFICES" hidden="1">"c2088"</definedName>
    <definedName name="IQ_NUMBER_DEPOSITS_LESS_THAN_100K_FDIC" hidden="1">"c6495"</definedName>
    <definedName name="IQ_NUMBER_DEPOSITS_MORE_THAN_100K_FDIC" hidden="1">"c6493"</definedName>
    <definedName name="IQ_NUMBER_SHAREHOLDERS_CLASSB" hidden="1">"c1969"</definedName>
    <definedName name="IQ_OBLIGATIONS_OF_STATES_TOTAL_LOANS_FOREIGN_FDIC" hidden="1">"c6447"</definedName>
    <definedName name="IQ_OBLIGATIONS_STATES_FDIC" hidden="1">"c6431"</definedName>
    <definedName name="IQ_OG_DAILY_PRDUCTION_GROWTH_GAS" hidden="1">"c10073"</definedName>
    <definedName name="IQ_OG_DAILY_PRDUCTION_GROWTH_GAS_EQUIVALENT" hidden="1">"c10076"</definedName>
    <definedName name="IQ_OG_DAILY_PRDUCTION_GROWTH_NGL" hidden="1">"c10074"</definedName>
    <definedName name="IQ_OG_DAILY_PRDUCTION_GROWTH_OIL" hidden="1">"c10072"</definedName>
    <definedName name="IQ_OG_DAILY_PRDUCTION_GROWTH_OIL_EQUIVALENT" hidden="1">"c10075"</definedName>
    <definedName name="IQ_OG_OTHER_ADJ" hidden="1">"c1999"</definedName>
    <definedName name="IQ_OG_PRDUCTION_GROWTH_GAS" hidden="1">"c10067"</definedName>
    <definedName name="IQ_OG_PRDUCTION_GROWTH_GAS_EQUIVALENT" hidden="1">"c10070"</definedName>
    <definedName name="IQ_OG_PRDUCTION_GROWTH_NGL" hidden="1">"c10068"</definedName>
    <definedName name="IQ_OG_PRDUCTION_GROWTH_OIL" hidden="1">"c10066"</definedName>
    <definedName name="IQ_OG_PRDUCTION_GROWTH_OIL_EQUIVALENT" hidden="1">"c10069"</definedName>
    <definedName name="IQ_OG_PRDUCTION_GROWTH_TOAL" hidden="1">"c10071"</definedName>
    <definedName name="IQ_OG_TOTAL_OIL_PRODUCTON" hidden="1">"c2059"</definedName>
    <definedName name="IQ_OPENED55" hidden="1">1</definedName>
    <definedName name="IQ_OPER_INC_BR" hidden="1">"c850"</definedName>
    <definedName name="IQ_OPTIONS_EXCERCISED" hidden="1">"c2116"</definedName>
    <definedName name="IQ_OPTIONS_OS" hidden="1">"c858"</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MORT_BR" hidden="1">"c5566"</definedName>
    <definedName name="IQ_OTHER_ASSETS_BR" hidden="1">"c862"</definedName>
    <definedName name="IQ_OTHER_ASSETS_FDIC" hidden="1">"c6338"</definedName>
    <definedName name="IQ_OTHER_BORROWED_FUNDS_FDIC" hidden="1">"c6345"</definedName>
    <definedName name="IQ_OTHER_CA_SUPPL_BR" hidden="1">"c871"</definedName>
    <definedName name="IQ_OTHER_CL_SUPPL_BR" hidden="1">"c880"</definedName>
    <definedName name="IQ_OTHER_COMPREHENSIVE_INCOME_FDIC" hidden="1">"c6503"</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QUITY_BR" hidden="1">"c888"</definedName>
    <definedName name="IQ_OTHER_FINANCE_ACT_BR" hidden="1">"c895"</definedName>
    <definedName name="IQ_OTHER_FINANCE_ACT_SUPPL_BR" hidden="1">"c901"</definedName>
    <definedName name="IQ_OTHER_INSURANCE_FEES_FDIC" hidden="1">"c6672"</definedName>
    <definedName name="IQ_OTHER_INTAN_BR" hidden="1">"c909"</definedName>
    <definedName name="IQ_OTHER_INTANGIBLE_FDIC" hidden="1">"c6337"</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IABILITIES_FDIC" hidden="1">"c6347"</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T_ASSETS_BR" hidden="1">"c948"</definedName>
    <definedName name="IQ_OTHER_NON_INT_EXP_FDIC" hidden="1">"c6578"</definedName>
    <definedName name="IQ_OTHER_NON_INT_EXPENSE_FDIC" hidden="1">"c6679"</definedName>
    <definedName name="IQ_OTHER_NON_INT_INC_FDIC" hidden="1">"c6676"</definedName>
    <definedName name="IQ_OTHER_NON_OPER_EXP_BR" hidden="1">"c957"</definedName>
    <definedName name="IQ_OTHER_NON_OPER_EXP_SUPPL_BR" hidden="1">"c962"</definedName>
    <definedName name="IQ_OTHER_OFF_BS_LIAB_FDIC" hidden="1">"c6533"</definedName>
    <definedName name="IQ_OTHER_OPER_ACT_BR" hidden="1">"c985"</definedName>
    <definedName name="IQ_OTHER_OPER_BR" hidden="1">"c990"</definedName>
    <definedName name="IQ_OTHER_OPER_SUPPL_BR" hidden="1">"c994"</definedName>
    <definedName name="IQ_OTHER_OPER_TOT_BR" hidden="1">"c1000"</definedName>
    <definedName name="IQ_OTHER_RE_OWNED_FDIC" hidden="1">"c6330"</definedName>
    <definedName name="IQ_OTHER_REV_BR" hidden="1">"c1011"</definedName>
    <definedName name="IQ_OTHER_REV_SUPPL_BR" hidden="1">"c1016"</definedName>
    <definedName name="IQ_OTHER_SAVINGS_DEPOSITS_FDIC" hidden="1">"c6554"</definedName>
    <definedName name="IQ_OTHER_TRANSACTIONS_FDIC" hidden="1">"c6504"</definedName>
    <definedName name="IQ_OTHER_UNUSED_COMMITMENTS_FDIC" hidden="1">"c6530"</definedName>
    <definedName name="IQ_OTHER_UNUSUAL_BR" hidden="1">"c1561"</definedName>
    <definedName name="IQ_OTHER_UNUSUAL_SUPPL_BR" hidden="1">"c1496"</definedName>
    <definedName name="IQ_OUTSTANDING_FILING_DATE_TOTAL" hidden="1">"c2107"</definedName>
    <definedName name="IQ_OVER_FIFETEEN_YEAR_MORTGAGE_PASS_THROUGHS_FDIC" hidden="1">"c6416"</definedName>
    <definedName name="IQ_OVER_FIFTEEN_YEAR_FIXED_AND_FLOATING_RATE_FDIC" hidden="1">"c6424"</definedName>
    <definedName name="IQ_OVER_THREE_YEARS_FDIC" hidden="1">"c6418"</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C_WRITTEN" hidden="1">"c1027"</definedName>
    <definedName name="IQ_PERCENT_CHANGE_EST_FFO_12MONTHS" hidden="1">"c1828"</definedName>
    <definedName name="IQ_PERCENT_CHANGE_EST_FFO_12MONTHS_CIQ" hidden="1">"c3769"</definedName>
    <definedName name="IQ_PERCENT_CHANGE_EST_FFO_18MONTHS" hidden="1">"c1829"</definedName>
    <definedName name="IQ_PERCENT_CHANGE_EST_FFO_18MONTHS_CIQ" hidden="1">"c3770"</definedName>
    <definedName name="IQ_PERCENT_CHANGE_EST_FFO_3MONTHS" hidden="1">"c1825"</definedName>
    <definedName name="IQ_PERCENT_CHANGE_EST_FFO_3MONTHS_CIQ" hidden="1">"c3766"</definedName>
    <definedName name="IQ_PERCENT_CHANGE_EST_FFO_6MONTHS" hidden="1">"c1826"</definedName>
    <definedName name="IQ_PERCENT_CHANGE_EST_FFO_6MONTHS_CIQ" hidden="1">"c3767"</definedName>
    <definedName name="IQ_PERCENT_CHANGE_EST_FFO_9MONTHS" hidden="1">"c1827"</definedName>
    <definedName name="IQ_PERCENT_CHANGE_EST_FFO_9MONTHS_CIQ" hidden="1">"c3768"</definedName>
    <definedName name="IQ_PERCENT_CHANGE_EST_FFO_DAY" hidden="1">"c1822"</definedName>
    <definedName name="IQ_PERCENT_CHANGE_EST_FFO_DAY_CIQ" hidden="1">"c3764"</definedName>
    <definedName name="IQ_PERCENT_CHANGE_EST_FFO_MONTH" hidden="1">"c1824"</definedName>
    <definedName name="IQ_PERCENT_CHANGE_EST_FFO_MONTH_CIQ" hidden="1">"c3765"</definedName>
    <definedName name="IQ_PERCENT_CHANGE_EST_FFO_WEEK" hidden="1">"c1823"</definedName>
    <definedName name="IQ_PERCENT_CHANGE_EST_FFO_WEEK_CIQ" hidden="1">"c3795"</definedName>
    <definedName name="IQ_PERCENT_INSURED_FDIC" hidden="1">"c6374"</definedName>
    <definedName name="IQ_PHARMBIO_NUMBER_PROD__APPROVED_DURING_PERIOD" hidden="1">"c10027"</definedName>
    <definedName name="IQ_PHARMBIO_NUMBER_PROD__CLINICAL_DEV" hidden="1">"c10022"</definedName>
    <definedName name="IQ_PHARMBIO_NUMBER_PROD__LAUNCHED_DURING_PERIOD" hidden="1">"c10028"</definedName>
    <definedName name="IQ_PHARMBIO_NUMBER_PROD__PHASE_I" hidden="1">"c10023"</definedName>
    <definedName name="IQ_PHARMBIO_NUMBER_PROD__PHASE_II" hidden="1">"c10024"</definedName>
    <definedName name="IQ_PHARMBIO_NUMBER_PROD__PHASE_III" hidden="1">"c10025"</definedName>
    <definedName name="IQ_PHARMBIO_NUMBER_PROD__PRE_CLINICAL_TRIALS" hidden="1">"c10021"</definedName>
    <definedName name="IQ_PHARMBIO_NUMBER_PROD__PRE_REGISTRATION" hidden="1">"c10026"</definedName>
    <definedName name="IQ_PHARMBIO_NUMBER_PROD__RESEARCH_DEV" hidden="1">"c10020"</definedName>
    <definedName name="IQ_PLEDGED_SECURITIES_FDIC" hidden="1">"c6401"</definedName>
    <definedName name="IQ_PRE_TAX_INCOME_FDIC" hidden="1">"c6581"</definedName>
    <definedName name="IQ_PREF_ISSUED_BR" hidden="1">"c1047"</definedName>
    <definedName name="IQ_PREF_OTHER_BR" hidden="1">"c1055"</definedName>
    <definedName name="IQ_PREF_REP_BR" hidden="1">"c1062"</definedName>
    <definedName name="IQ_PREFERRED_FDIC" hidden="1">"c6349"</definedName>
    <definedName name="IQ_PREMISES_EQUIPMENT_FDIC" hidden="1">"c6577"</definedName>
    <definedName name="IQ_PRETAX_INC_10K" hidden="1">"IQ_PRETAX_INC_10K"</definedName>
    <definedName name="IQ_PRETAX_INC_10Q" hidden="1">"IQ_PRETAX_INC_10Q"</definedName>
    <definedName name="IQ_PRETAX_INC_10Q1" hidden="1">"IQ_PRETAX_INC_10Q1"</definedName>
    <definedName name="IQ_PRETAX_RETURN_ASSETS_FDIC" hidden="1">"c6731"</definedName>
    <definedName name="IQ_PRICE_OVER_EPS_EST" hidden="1">"c174"</definedName>
    <definedName name="IQ_PRICE_OVER_EPS_EST_1" hidden="1">"c175"</definedName>
    <definedName name="IQ_PRICEDATETIME" hidden="1">"IQ_PRICEDATETIME"</definedName>
    <definedName name="IQ_PRIMARY_EPS_TYPE_THOM" hidden="1">"c5297"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QTD" hidden="1">750000</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LATED_PLANS_FDIC" hidden="1">"c6320"</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TATEMENTS_NET_FDIC" hidden="1">"c6500"</definedName>
    <definedName name="IQ_RESTRUCTURE_BR" hidden="1">"c1106"</definedName>
    <definedName name="IQ_RESTRUCTURED_LOANS_1_4_RESIDENTIAL_FDIC" hidden="1">"c6378"</definedName>
    <definedName name="IQ_RESTRUCTURED_LOANS_LEASES_FDIC" hidden="1">"c6377"</definedName>
    <definedName name="IQ_RESTRUCTURED_LOANS_NON_1_4_FDIC" hidden="1">"c6379"</definedName>
    <definedName name="IQ_RETAIL_DEPOSITS_FDIC" hidden="1">"c6488"</definedName>
    <definedName name="IQ_RETAINED_EARNINGS_AVERAGE_EQUITY_FDIC" hidden="1">"c6733"</definedName>
    <definedName name="IQ_RETURN_ASSETS_BROK" hidden="1">"c1115"</definedName>
    <definedName name="IQ_RETURN_ASSETS_FDIC" hidden="1">"c6730"</definedName>
    <definedName name="IQ_RETURN_EQUITY_BROK" hidden="1">"c1120"</definedName>
    <definedName name="IQ_RETURN_EQUITY_FDIC" hidden="1">"c6732"</definedName>
    <definedName name="IQ_REVALUATION_GAINS_FDIC" hidden="1">"c6428"</definedName>
    <definedName name="IQ_REVALUATION_LOSSES_FDIC" hidden="1">"c6429"</definedName>
    <definedName name="IQ_REVENUE_10K" hidden="1">"IQ_REVENUE_10K"</definedName>
    <definedName name="IQ_REVENUE_10Q" hidden="1">"IQ_REVENUE_10Q"</definedName>
    <definedName name="IQ_REVENUE_10Q1" hidden="1">"IQ_REVENUE_10Q1"</definedName>
    <definedName name="IQ_REVENUE_GROWTH_1" hidden="1">"c155"</definedName>
    <definedName name="IQ_REVENUE_GROWTH_2" hidden="1">"c159"</definedName>
    <definedName name="IQ_REVENUE_NO_EST" hidden="1">"c263"</definedName>
    <definedName name="IQ_REVOLVING_SECURED_1_4_NON_ACCRUAL_FFIEC" hidden="1">"c13314"</definedName>
    <definedName name="IQ_RISK_WEIGHTED_ASSETS_FDIC" hidden="1">"c6370"</definedName>
    <definedName name="IQ_SALARY_FDIC" hidden="1">"c6576"</definedName>
    <definedName name="IQ_SALE_CONVERSION_RETIREMENT_STOCK_FDIC" hidden="1">"c6661"</definedName>
    <definedName name="IQ_SALE_INTAN_CF_BR" hidden="1">"c1133"</definedName>
    <definedName name="IQ_SALE_PPE_CF_BR" hidden="1">"c1139"</definedName>
    <definedName name="IQ_SALE_REAL_ESTATE_CF_BR" hidden="1">"c1145"</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MI_BACKLOG_UNITS" hidden="1">"c10005"</definedName>
    <definedName name="IQ_SEMI_BOOKINGS_AVG_PRICE" hidden="1">"c10002"</definedName>
    <definedName name="IQ_SEMI_BOOKINGS_UNITS" hidden="1">"c10001"</definedName>
    <definedName name="IQ_SEMI_BOOKINGS_VALUE" hidden="1">"c10003"</definedName>
    <definedName name="IQ_SEMI_BOOKINGS_VALUE_CHANGE" hidden="1">"c10004"</definedName>
    <definedName name="IQ_SERVICE_CHARGES_FDIC" hidden="1">"c6572"</definedName>
    <definedName name="IQ_SHAREOUTSTANDING" hidden="1">"c1347"</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STATES_NONTRANSACTION_ACCOUNTS_FDIC" hidden="1">"c6547"</definedName>
    <definedName name="IQ_STATES_TOTAL_DEPOSITS_FDIC" hidden="1">"c6473"</definedName>
    <definedName name="IQ_STATES_TRANSACTION_ACCOUNTS_FDIC" hidden="1">"c6539"</definedName>
    <definedName name="IQ_STOCK_BASED_COGS_FIN" hidden="1">"c2998"</definedName>
    <definedName name="IQ_STOCK_BASED_COGS_UTIL" hidden="1">"c2997"</definedName>
    <definedName name="IQ_SUB_DEBT_FDIC" hidden="1">"c6346"</definedName>
    <definedName name="IQ_SURPLUS_FDIC" hidden="1">"c6351"</definedName>
    <definedName name="IQ_TARGET_PRICE_LASTCLOSE" hidden="1">"c1855"</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FDIC" hidden="1">"c6369"</definedName>
    <definedName name="IQ_TIME_DEPOSITS_LESS_THAN_100K_FDIC" hidden="1">"c6465"</definedName>
    <definedName name="IQ_TIME_DEPOSITS_MORE_THAN_100K_FDIC" hidden="1">"c6470"</definedName>
    <definedName name="IQ_TODAY" hidden="1">0</definedName>
    <definedName name="IQ_TOTAL_AR_BR" hidden="1">"c1231"</definedName>
    <definedName name="IQ_TOTAL_ASSETS_FDIC" hidden="1">"c6339"</definedName>
    <definedName name="IQ_TOTAL_CHARGE_OFFS_FDIC" hidden="1">"c6603"</definedName>
    <definedName name="IQ_TOTAL_DEBT_DUE" hidden="1">"c2509"</definedName>
    <definedName name="IQ_TOTAL_DEBT_ISSUED_BR" hidden="1">"c1253"</definedName>
    <definedName name="IQ_TOTAL_DEBT_REPAID_BR" hidden="1">"c1260"</definedName>
    <definedName name="IQ_TOTAL_DEBT_SECURITIES_FDIC" hidden="1">"c6410"</definedName>
    <definedName name="IQ_TOTAL_DEPOSITS_FDIC" hidden="1">"c6342"</definedName>
    <definedName name="IQ_TOTAL_EMPLOYEES_FDIC" hidden="1">"c6355"</definedName>
    <definedName name="IQ_TOTAL_LIAB_BR" hidden="1">"c1278"</definedName>
    <definedName name="IQ_TOTAL_LIAB_EQUITY_FDIC" hidden="1">"c6354"</definedName>
    <definedName name="IQ_TOTAL_LIABILITIES_FDIC" hidden="1">"c6348"</definedName>
    <definedName name="IQ_TOTAL_OPER_EXP_BR" hidden="1">"c1284"</definedName>
    <definedName name="IQ_TOTAL_PENSION_OBLIGATION" hidden="1">"c1292"</definedName>
    <definedName name="IQ_TOTAL_RECOVERIES_FDIC" hidden="1">"c6622"</definedName>
    <definedName name="IQ_TOTAL_REV_BNK_FDIC" hidden="1">"c6786"</definedName>
    <definedName name="IQ_TOTAL_REV_BR" hidden="1">"c1303"</definedName>
    <definedName name="IQ_TOTAL_RISK_BASED_CAPITAL_RATIO_FDIC" hidden="1">"c6747"</definedName>
    <definedName name="IQ_TOTAL_SECURITIES_FDIC" hidden="1">"c6306"</definedName>
    <definedName name="IQ_TOTAL_TIME_DEPOSITS_FDIC" hidden="1">"c6497"</definedName>
    <definedName name="IQ_TOTAL_TIME_SAVINGS_DEPOSITS_FDIC" hidden="1">"c6498"</definedName>
    <definedName name="IQ_TOTAL_UNUSED_COMMITMENTS_FDIC" hidden="1">"c6536"</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ADING_ACCOUNT_GAINS_FEES_FDIC" hidden="1">"c6573"</definedName>
    <definedName name="IQ_TRADING_ASSETS_FDIC" hidden="1">"c6328"</definedName>
    <definedName name="IQ_TRADING_LIABILITIES_FDIC" hidden="1">"c6344"</definedName>
    <definedName name="IQ_TRANSACTION_ACCOUNTS_FDIC" hidden="1">"c6544"</definedName>
    <definedName name="IQ_TREASURY_OTHER_EQUITY_BR" hidden="1">"c1314"</definedName>
    <definedName name="IQ_TREASURY_STOCK_TRANSACTIONS_FDIC" hidden="1">"c6501"</definedName>
    <definedName name="IQ_TWELVE_MONTHS_FIXED_AND_FLOATING_FDIC" hidden="1">"c6420"</definedName>
    <definedName name="IQ_TWELVE_MONTHS_MORTGAGE_PASS_THROUGHS_FDIC" hidden="1">"c6412"</definedName>
    <definedName name="IQ_UNDIVIDED_PROFITS_FDIC" hidden="1">"c6352"</definedName>
    <definedName name="IQ_UNEARN_REV_CURRENT_BR" hidden="1">"c1324"</definedName>
    <definedName name="IQ_UNEARNED_INCOME_FDIC" hidden="1">"c6324"</definedName>
    <definedName name="IQ_UNEARNED_INCOME_FOREIGN_FDIC" hidden="1">"c6385"</definedName>
    <definedName name="IQ_UNPROFITABLE_INSTITUTIONS_FDIC" hidden="1">"c6722"</definedName>
    <definedName name="IQ_UNUSED_LOAN_COMMITMENTS_FDIC" hidden="1">"c6368"</definedName>
    <definedName name="IQ_US_BRANCHES_FOREIGN_BANK_LOANS_FDIC" hidden="1">"c6435"</definedName>
    <definedName name="IQ_US_BRANCHES_FOREIGN_BANKS_FDIC" hidden="1">"c6390"</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VALUATION_ALLOWANCES_FDIC" hidden="1">"c6400"</definedName>
    <definedName name="IQ_VC_REVENUE_FDIC" hidden="1">"c6667"</definedName>
    <definedName name="IQ_VOLATILE_LIABILITIES_FDIC" hidden="1">"c6364"</definedName>
    <definedName name="IQ_WEEK" hidden="1">50000</definedName>
    <definedName name="IQ_WRITTEN_OPTION_CONTRACTS_FDIC" hidden="1">"c6509"</definedName>
    <definedName name="IQ_WRITTEN_OPTION_CONTRACTS_FX_RISK_FDIC" hidden="1">"c6514"</definedName>
    <definedName name="IQ_WRITTEN_OPTION_CONTRACTS_NON_FX_IR_FDIC" hidden="1">"c6519"</definedName>
    <definedName name="IQ_YTD" hidden="1">3000</definedName>
    <definedName name="IQ_YTDMONTH" hidden="1">130000</definedName>
    <definedName name="IQB_BOOKMARK_COUNT" hidden="1">2</definedName>
    <definedName name="IQRA1" hidden="1">"$A$2"</definedName>
    <definedName name="IQRA2" hidden="1">"$A$3"</definedName>
    <definedName name="IQRA4" hidden="1">"$A$5:$A$1246"</definedName>
    <definedName name="IQRA5" hidden="1">"$A$6:$A$43"</definedName>
    <definedName name="IQRA6" hidden="1">"$A$7:$A$44"</definedName>
    <definedName name="IQRA7" hidden="1">"$A$8:$A$37"</definedName>
    <definedName name="IQRA8" hidden="1">"$A$9:$A$260"</definedName>
    <definedName name="IQRAF17" hidden="1">"$AF$18:$AF$265"</definedName>
    <definedName name="IQRAG14" hidden="1">"$AG$15:$AG$262"</definedName>
    <definedName name="IQRAG17" hidden="1">"$AG$18:$AG$265"</definedName>
    <definedName name="IQRAG21" hidden="1">"$AG$22:$AG$269"</definedName>
    <definedName name="IQRAG25" hidden="1">"$AG$26:$AG$273"</definedName>
    <definedName name="IQRAG26" hidden="1">"$AG$27:$AG$274"</definedName>
    <definedName name="IQRAG27" hidden="1">"$AG$28:$AG$275"</definedName>
    <definedName name="IQRAG28" hidden="1">"$AG$29:$AG$276"</definedName>
    <definedName name="IQRAG29" hidden="1">"$AG$30:$AG$277"</definedName>
    <definedName name="IQRAG33" hidden="1">"$AG$34:$AG$281"</definedName>
    <definedName name="IQRAG35" hidden="1">"$AG$36:$AG$283"</definedName>
    <definedName name="IQRAG37" hidden="1">"$AG$38:$AG$285"</definedName>
    <definedName name="IQRAH35" hidden="1">"$AH$36:$AH$283"</definedName>
    <definedName name="IQRAI15" hidden="1">"$AI$16"</definedName>
    <definedName name="IQRAN15" hidden="1">"$AN$16"</definedName>
    <definedName name="IQRAN35" hidden="1">"$AN$36:$AN$287"</definedName>
    <definedName name="IQRB10" hidden="1">"$B$11:$B$4090"</definedName>
    <definedName name="IQRB12" hidden="1">"$B$13:$B$4093"</definedName>
    <definedName name="IQRB3" hidden="1">"$B$4:$B$63"</definedName>
    <definedName name="IQRB5" hidden="1">"$B$6:$B$43"</definedName>
    <definedName name="IQRB6" hidden="1">"$B$7:$B$44"</definedName>
    <definedName name="IQRB8" hidden="1">"$B$9:$B$260"</definedName>
    <definedName name="IQRC3" hidden="1">"$C$4:$C$1308"</definedName>
    <definedName name="IQRC35" hidden="1">"$C$36:$C$45"</definedName>
    <definedName name="IQRC5" hidden="1">"$C$6:$C$43"</definedName>
    <definedName name="IQRC6" hidden="1">"$C$7:$C$44"</definedName>
    <definedName name="IQRC8" hidden="1">"$C$9:$C$260"</definedName>
    <definedName name="IQRD5" hidden="1">"$D$6:$D$43"</definedName>
    <definedName name="IQRD6" hidden="1">"$D$7:$D$44"</definedName>
    <definedName name="IQRE11" hidden="1">"$E$12:$E$3225"</definedName>
    <definedName name="IQRE5" hidden="1">"$E$6:$E$43"</definedName>
    <definedName name="IQRE6" hidden="1">"$E$7:$E$44"</definedName>
    <definedName name="IQRF12" hidden="1">"$F$13:$F$3226"</definedName>
    <definedName name="IQRG12" hidden="1">"$G$13:$G$3226"</definedName>
    <definedName name="IQRG120" hidden="1">"$G$121"</definedName>
    <definedName name="IQRG121" hidden="1">"$G$122"</definedName>
    <definedName name="IQRM26" hidden="1">"$M$27"</definedName>
    <definedName name="IQRP12" hidden="1">"$P$13:$P$4093"</definedName>
    <definedName name="IQRP16" hidden="1">"$P$17:$P$4099"</definedName>
    <definedName name="IQRTradingMultipleA4" hidden="1">[18]NEG!$A$5:$A$1387</definedName>
    <definedName name="IQRU12" hidden="1">"$U$13:$U$3227"</definedName>
    <definedName name="IQRU16" hidden="1">"$U$17:$U$3233"</definedName>
    <definedName name="is">#REF!</definedName>
    <definedName name="IS外幣匯率">'[19]IS-仟元'!#REF!</definedName>
    <definedName name="japan">#REF!</definedName>
    <definedName name="JPY">#REF!</definedName>
    <definedName name="JPY匯率">#REF!</definedName>
    <definedName name="K">#REF!</definedName>
    <definedName name="korea">#REF!</definedName>
    <definedName name="KWC">[8]Japanese!$A$237:$A$349</definedName>
    <definedName name="LEAP">#REF!</definedName>
    <definedName name="Lenovo">[8]Chinese!$A$115:$A$228</definedName>
    <definedName name="LG">#REF!</definedName>
    <definedName name="LG_1">#REF!</definedName>
    <definedName name="limcount" hidden="1">1</definedName>
    <definedName name="maggie">OFFSET(#REF!,0,0,#REF!)</definedName>
    <definedName name="malaysia">#REF!</definedName>
    <definedName name="Mist">[8]Japanese!$A$592:$A$706</definedName>
    <definedName name="model_case">[12]DCF!#REF!</definedName>
    <definedName name="mot_1">#REF!</definedName>
    <definedName name="nec">[8]Japanese!$A$351:$A$468</definedName>
    <definedName name="new_name" hidden="1">{#N/A,#N/A,FALSE,"Aging Summary";#N/A,#N/A,FALSE,"Ratio Analysis";#N/A,#N/A,FALSE,"Test 120 Day Accts";#N/A,#N/A,FALSE,"Tickmarks"}</definedName>
    <definedName name="nok_1">#REF!</definedName>
    <definedName name="Nokia_1">#REF!</definedName>
    <definedName name="NONLEAP">#REF!</definedName>
    <definedName name="nz">#REF!</definedName>
    <definedName name="ONEFIVE">#REF!</definedName>
    <definedName name="ONEFOUR">#REF!</definedName>
    <definedName name="ONESEVEN">#REF!</definedName>
    <definedName name="ONESIX">#REF!</definedName>
    <definedName name="Output">#REF!</definedName>
    <definedName name="P">#REF!</definedName>
    <definedName name="P91_">[14]PROVP!#REF!</definedName>
    <definedName name="P92_">[14]PROVP!#REF!</definedName>
    <definedName name="panasonic">[8]Japanese!$A$469:$A$707</definedName>
    <definedName name="PES">#REF!</definedName>
    <definedName name="PES匯率">#REF!</definedName>
    <definedName name="philippines">#REF!</definedName>
    <definedName name="philips">[8]Chinese!$A$455:$A$680</definedName>
    <definedName name="Price">OFFSET(#REF!,0,0,#REF!)</definedName>
    <definedName name="Print1">#REF!</definedName>
    <definedName name="qergwrh">#REF!</definedName>
    <definedName name="qerhwh">#REF!</definedName>
    <definedName name="qwefqrg">#REF!</definedName>
    <definedName name="rim">#REF!</definedName>
    <definedName name="RMB">#REF!</definedName>
    <definedName name="RMB匯率">#REF!</definedName>
    <definedName name="S">#REF!</definedName>
    <definedName name="Sa">#REF!</definedName>
    <definedName name="sadff">#REF!</definedName>
    <definedName name="sagem">[8]Others!$2:$116</definedName>
    <definedName name="sam_1">#REF!</definedName>
    <definedName name="sanyo">#REF!</definedName>
    <definedName name="sdfa" hidden="1">{"FTSE100","COMPANIES",TRUE}</definedName>
    <definedName name="semc_1">#REF!</definedName>
    <definedName name="sencount" hidden="1">5</definedName>
    <definedName name="sencount2" hidden="1">2</definedName>
    <definedName name="sergseg">#REF!</definedName>
    <definedName name="sh">#REF!</definedName>
    <definedName name="sharp">#REF!</definedName>
    <definedName name="singapore">#REF!</definedName>
    <definedName name="solver_adj" hidden="1">'[20]Net Interest'!#REF!</definedName>
    <definedName name="solver_lin" hidden="1">0</definedName>
    <definedName name="solver_num" hidden="1">0</definedName>
    <definedName name="solver_opt" hidden="1">'[20]Net Interest'!#REF!</definedName>
    <definedName name="solver_typ" hidden="1">3</definedName>
    <definedName name="solver_val" hidden="1">49</definedName>
    <definedName name="SPWS_WBID">"3B7E7448-4D9F-459E-95F0-E8BF55286A84"</definedName>
    <definedName name="srgrgh">#REF!</definedName>
    <definedName name="Supply">#REF!</definedName>
    <definedName name="T">#REF!</definedName>
    <definedName name="taiwan">#REF!</definedName>
    <definedName name="Target">OFFSET(#REF!,0,0,#REF!)</definedName>
    <definedName name="tcl">[8]Chinese!$A$568:$A$680</definedName>
    <definedName name="test2" hidden="1">#REF!</definedName>
    <definedName name="test3" hidden="1">{"EUMOT","COMPANIES",TRUE}</definedName>
    <definedName name="test4" hidden="1">{"ASCONGRP","COMPANIES",TRUE}</definedName>
    <definedName name="test5" hidden="1">{"EUUTIGRP","COMPANIES",TRUE}</definedName>
    <definedName name="test6" hidden="1">{"EUUTI","COMPANIES",TRUE}</definedName>
    <definedName name="thailand">#REF!</definedName>
    <definedName name="THREEFIVE">#REF!</definedName>
    <definedName name="THREEFOUR">#REF!</definedName>
    <definedName name="THREESEVEN">#REF!</definedName>
    <definedName name="THREESIX">#REF!</definedName>
    <definedName name="TickerCell">'[9]#REF'!$X$3</definedName>
    <definedName name="Total">#REF!</definedName>
    <definedName name="Total_1">#REF!</definedName>
    <definedName name="TWOFIVE">#REF!</definedName>
    <definedName name="TWOFOUR">#REF!</definedName>
    <definedName name="TWOSEVEN">#REF!</definedName>
    <definedName name="TWOSIX">#REF!</definedName>
    <definedName name="USD">#REF!</definedName>
    <definedName name="USD匯率">#REF!</definedName>
    <definedName name="UTS">[8]Chinese!$A$229:$A$341</definedName>
    <definedName name="vietnam">#REF!</definedName>
    <definedName name="Vodafone">[8]Others!$A$230:$BF$341</definedName>
    <definedName name="VolumeCell">'[9]#REF'!$D$3</definedName>
    <definedName name="wegg">#REF!</definedName>
    <definedName name="wegwth">#REF!</definedName>
    <definedName name="wer">[12]DCF!#REF!</definedName>
    <definedName name="wergwth">#REF!</definedName>
    <definedName name="WindWorstCase">'[6]Oil Consumption – barrels'!#REF!</definedName>
    <definedName name="wrn.Aging._.and._.Trend._.Analysis." hidden="1">{#N/A,#N/A,FALSE,"Aging Summary";#N/A,#N/A,FALSE,"Ratio Analysis";#N/A,#N/A,FALSE,"Test 120 Day Accts";#N/A,#N/A,FALSE,"Tickmarks"}</definedName>
    <definedName name="wrn.cf." hidden="1">{"one",#N/A,FALSE,"cf";"two",#N/A,FALSE,"cf"}</definedName>
    <definedName name="wrn.euro." hidden="1">{#N/A,#N/A,FALSE,"Austria"}</definedName>
    <definedName name="wtrhwth">#REF!</definedName>
    <definedName name="X">#REF!</definedName>
    <definedName name="x_values1">OFFSET(#REF!,0,0,#REF!)</definedName>
    <definedName name="x_values2">OFFSET(#REF!,0,0,#REF!)</definedName>
    <definedName name="x_values3">OFFSET(#REF!,0,0,#REF!)</definedName>
    <definedName name="x_values4">OFFSET(#REF!,0,0,#REF!)</definedName>
    <definedName name="x_values5">OFFSET(#REF!,0,0,#REF!)</definedName>
    <definedName name="x_values6">OFFSET(#REF!,0,0,#REF!)</definedName>
    <definedName name="XX_TEJ1">[21]Price_Perf.!#REF!</definedName>
    <definedName name="XX_TEJ2">[21]Price_Perf.!#REF!</definedName>
    <definedName name="XX_TEJ3">[21]Price_Perf.!$AG$15:$AH$1391</definedName>
    <definedName name="XX_TEJ4">#REF!</definedName>
    <definedName name="XX_TEJ5">#REF!</definedName>
    <definedName name="XX_TEJ6">#REF!</definedName>
    <definedName name="XX_TEJ7">#REF!</definedName>
    <definedName name="XX_TEJ8">#REF!</definedName>
    <definedName name="XX_TEJ9">#REF!</definedName>
    <definedName name="ZGrowthRate">'[22]User base'!#REF!</definedName>
    <definedName name="Zone_impres_MI">[14]PROVP!$B$5:$B$90</definedName>
    <definedName name="zz" hidden="1">{"'MObitel Pricing'!$B$2:$G$12","'MObitel Pricing'!$G$15"}</definedName>
    <definedName name="其他1匯率">#REF!</definedName>
    <definedName name="其他2匯率">#REF!</definedName>
    <definedName name="外幣匯率">#REF!</definedName>
    <definedName name="表">#REF!</definedName>
    <definedName name="model_case" localSheetId="0">[12]DCF!#REF!</definedName>
    <definedName name="_xlnm.Print_Area" localSheetId="1">'Valuation'!$A$1:$M$83</definedName>
    <definedName name="model_case" localSheetId="4">[12]DCF!#REF!</definedName>
    <definedName name="_DLX1.EMG" localSheetId="5">#REF!</definedName>
    <definedName name="_DLX2.EMG" localSheetId="5">#REF!</definedName>
    <definedName name="model_case" localSheetId="5">[12]DCF!#REF!</definedName>
    <definedName name="wer" localSheetId="5">[12]DCF!#REF!</definedName>
    <definedName name="_bdm.e59dd4eb15b74531abc6f0cb7224a7f8.edm" localSheetId="6" hidden="1">#REF!</definedName>
    <definedName name="_DLX1.EMG" localSheetId="6">#REF!</definedName>
    <definedName name="_DLX15.EMG" localSheetId="6">#REF!</definedName>
    <definedName name="_DLX16.EMG" localSheetId="6">#REF!</definedName>
    <definedName name="_DLX17.EMG" localSheetId="6">#REF!</definedName>
    <definedName name="_DLX18.EMG" localSheetId="6">#REF!</definedName>
    <definedName name="_DLX2.EMG" localSheetId="6">#REF!</definedName>
    <definedName name="_DLX3.EMG" localSheetId="6">[3]IFA!#REF!</definedName>
    <definedName name="\I" localSheetId="6">#REF!</definedName>
    <definedName name="\P" localSheetId="6">#REF!</definedName>
    <definedName name="A" localSheetId="6">#REF!</definedName>
    <definedName name="aa" localSheetId="6">'[6]Oil Consumption – barrels'!#REF!</definedName>
    <definedName name="AA_1" localSheetId="6">'[7]ASP '!#REF!</definedName>
    <definedName name="as" localSheetId="6">#REF!</definedName>
    <definedName name="ASd" localSheetId="6">#REF!</definedName>
    <definedName name="asdf" localSheetId="6">#REF!</definedName>
    <definedName name="asdfasdf" localSheetId="6">#REF!</definedName>
    <definedName name="asssssg" localSheetId="6">#REF!</definedName>
    <definedName name="australia" localSheetId="6">#REF!</definedName>
    <definedName name="B" localSheetId="6">#REF!</definedName>
    <definedName name="bos" localSheetId="6">#REF!</definedName>
    <definedName name="Ccy" localSheetId="6">#REF!</definedName>
    <definedName name="ChartCell" localSheetId="6">#REF!</definedName>
    <definedName name="china" localSheetId="6">#REF!</definedName>
    <definedName name="compa" localSheetId="6">[14]PROVP!#REF!</definedName>
    <definedName name="Conv" localSheetId="6">#REF!</definedName>
    <definedName name="COst" localSheetId="6">'[6]Oil Consumption – barrels'!#REF!</definedName>
    <definedName name="DataPVChart" localSheetId="6">#REF!</definedName>
    <definedName name="DataSPChart" localSheetId="6">#REF!,#REF!</definedName>
    <definedName name="date" localSheetId="6">#REF!</definedName>
    <definedName name="Dates" localSheetId="6">#REF!</definedName>
    <definedName name="erg" localSheetId="6">#REF!</definedName>
    <definedName name="EUR" localSheetId="6">#REF!</definedName>
    <definedName name="EUR匯率" localSheetId="6">#REF!</definedName>
    <definedName name="Excel_BuiltIn_Print_Area_19" localSheetId="6">'[8]Global Sh by Tech Wksht'!#REF!</definedName>
    <definedName name="fdasdfas" localSheetId="6">'[6]Oil Consumption – barrels'!#REF!</definedName>
    <definedName name="Fil" localSheetId="6">#REF!</definedName>
    <definedName name="FOURFIVE" localSheetId="6">#REF!</definedName>
    <definedName name="FOURFOUR" localSheetId="6">#REF!</definedName>
    <definedName name="FOURSIX" localSheetId="6">#REF!</definedName>
    <definedName name="FULLFIVE" localSheetId="6">#REF!</definedName>
    <definedName name="FULLFOUR" localSheetId="6">#REF!</definedName>
    <definedName name="FULLSIX" localSheetId="6">#REF!</definedName>
    <definedName name="G" localSheetId="6">#REF!</definedName>
    <definedName name="GBP" localSheetId="6">#REF!</definedName>
    <definedName name="GBP匯率" localSheetId="6">#REF!</definedName>
    <definedName name="hk" localSheetId="6">#REF!</definedName>
    <definedName name="HKD" localSheetId="6">#REF!</definedName>
    <definedName name="HKD匯率" localSheetId="6">#REF!</definedName>
    <definedName name="Huawei" localSheetId="6">#REF!</definedName>
    <definedName name="IndexedData" localSheetId="6">#REF!</definedName>
    <definedName name="India" localSheetId="6">#REF!</definedName>
    <definedName name="indonesia" localSheetId="6">#REF!</definedName>
    <definedName name="INIT" localSheetId="6">#REF!</definedName>
    <definedName name="IS外幣匯率" localSheetId="6">'[19]IS-仟元'!#REF!</definedName>
    <definedName name="japan" localSheetId="6">#REF!</definedName>
    <definedName name="JPY" localSheetId="6">#REF!</definedName>
    <definedName name="JPY匯率" localSheetId="6">#REF!</definedName>
    <definedName name="K" localSheetId="6">#REF!</definedName>
    <definedName name="korea" localSheetId="6">#REF!</definedName>
    <definedName name="LEAP" localSheetId="6">#REF!</definedName>
    <definedName name="LG" localSheetId="6">#REF!</definedName>
    <definedName name="LG_1" localSheetId="6">#REF!</definedName>
    <definedName name="maggie" localSheetId="6">OFFSET(#REF!,0,0,#REF!)</definedName>
    <definedName name="malaysia" localSheetId="6">#REF!</definedName>
    <definedName name="model_case" localSheetId="6">[12]DCF!#REF!</definedName>
    <definedName name="mot_1" localSheetId="6">#REF!</definedName>
    <definedName name="nok_1" localSheetId="6">#REF!</definedName>
    <definedName name="Nokia_1" localSheetId="6">#REF!</definedName>
    <definedName name="NONLEAP" localSheetId="6">#REF!</definedName>
    <definedName name="nz" localSheetId="6">#REF!</definedName>
    <definedName name="ONEFIVE" localSheetId="6">#REF!</definedName>
    <definedName name="ONEFOUR" localSheetId="6">#REF!</definedName>
    <definedName name="ONESEVEN" localSheetId="6">#REF!</definedName>
    <definedName name="ONESIX" localSheetId="6">#REF!</definedName>
    <definedName name="Output" localSheetId="6">#REF!</definedName>
    <definedName name="P" localSheetId="6">#REF!</definedName>
    <definedName name="P91_" localSheetId="6">[14]PROVP!#REF!</definedName>
    <definedName name="P92_" localSheetId="6">[14]PROVP!#REF!</definedName>
    <definedName name="PES" localSheetId="6">#REF!</definedName>
    <definedName name="PES匯率" localSheetId="6">#REF!</definedName>
    <definedName name="philippines" localSheetId="6">#REF!</definedName>
    <definedName name="Price" localSheetId="6">OFFSET(#REF!,0,0,#REF!)</definedName>
    <definedName name="Print1" localSheetId="6">#REF!</definedName>
    <definedName name="qergwrh" localSheetId="6">#REF!</definedName>
    <definedName name="qerhwh" localSheetId="6">#REF!</definedName>
    <definedName name="qwefqrg" localSheetId="6">#REF!</definedName>
    <definedName name="rim" localSheetId="6">#REF!</definedName>
    <definedName name="RMB" localSheetId="6">#REF!</definedName>
    <definedName name="RMB匯率" localSheetId="6">#REF!</definedName>
    <definedName name="S" localSheetId="6">#REF!</definedName>
    <definedName name="Sa" localSheetId="6">#REF!</definedName>
    <definedName name="sadff" localSheetId="6">#REF!</definedName>
    <definedName name="sam_1" localSheetId="6">#REF!</definedName>
    <definedName name="sanyo" localSheetId="6">#REF!</definedName>
    <definedName name="semc_1" localSheetId="6">#REF!</definedName>
    <definedName name="sergseg" localSheetId="6">#REF!</definedName>
    <definedName name="sharp" localSheetId="6">#REF!</definedName>
    <definedName name="singapore" localSheetId="6">#REF!</definedName>
    <definedName name="srgrgh" localSheetId="6">#REF!</definedName>
    <definedName name="Supply" localSheetId="6">#REF!</definedName>
    <definedName name="T" localSheetId="6">#REF!</definedName>
    <definedName name="taiwan" localSheetId="6">#REF!</definedName>
    <definedName name="Target" localSheetId="6">OFFSET(#REF!,0,0,#REF!)</definedName>
    <definedName name="thailand" localSheetId="6">#REF!</definedName>
    <definedName name="THREEFIVE" localSheetId="6">#REF!</definedName>
    <definedName name="THREEFOUR" localSheetId="6">#REF!</definedName>
    <definedName name="THREESEVEN" localSheetId="6">#REF!</definedName>
    <definedName name="THREESIX" localSheetId="6">#REF!</definedName>
    <definedName name="Total" localSheetId="6">#REF!</definedName>
    <definedName name="Total_1" localSheetId="6">#REF!</definedName>
    <definedName name="TWOFIVE" localSheetId="6">#REF!</definedName>
    <definedName name="TWOFOUR" localSheetId="6">#REF!</definedName>
    <definedName name="TWOSEVEN" localSheetId="6">#REF!</definedName>
    <definedName name="TWOSIX" localSheetId="6">#REF!</definedName>
    <definedName name="USD" localSheetId="6">#REF!</definedName>
    <definedName name="USD匯率" localSheetId="6">#REF!</definedName>
    <definedName name="vietnam" localSheetId="6">#REF!</definedName>
    <definedName name="wegg" localSheetId="6">#REF!</definedName>
    <definedName name="wegwth" localSheetId="6">#REF!</definedName>
    <definedName name="wer" localSheetId="6">[12]DCF!#REF!</definedName>
    <definedName name="wergwth" localSheetId="6">#REF!</definedName>
    <definedName name="WindWorstCase" localSheetId="6">'[6]Oil Consumption – barrels'!#REF!</definedName>
    <definedName name="wtrhwth" localSheetId="6">#REF!</definedName>
    <definedName name="X" localSheetId="6">#REF!</definedName>
    <definedName name="x_values1" localSheetId="6">OFFSET(#REF!,0,0,#REF!)</definedName>
    <definedName name="x_values2" localSheetId="6">OFFSET(#REF!,0,0,#REF!)</definedName>
    <definedName name="x_values3" localSheetId="6">OFFSET(#REF!,0,0,#REF!)</definedName>
    <definedName name="x_values4" localSheetId="6">OFFSET(#REF!,0,0,#REF!)</definedName>
    <definedName name="x_values5" localSheetId="6">OFFSET(#REF!,0,0,#REF!)</definedName>
    <definedName name="x_values6" localSheetId="6">OFFSET(#REF!,0,0,#REF!)</definedName>
    <definedName name="XX_TEJ1" localSheetId="6">[21]Price_Perf.!#REF!</definedName>
    <definedName name="XX_TEJ2" localSheetId="6">[21]Price_Perf.!#REF!</definedName>
    <definedName name="XX_TEJ4" localSheetId="6">#REF!</definedName>
    <definedName name="XX_TEJ5" localSheetId="6">#REF!</definedName>
    <definedName name="XX_TEJ6" localSheetId="6">#REF!</definedName>
    <definedName name="XX_TEJ7" localSheetId="6">#REF!</definedName>
    <definedName name="XX_TEJ8" localSheetId="6">#REF!</definedName>
    <definedName name="XX_TEJ9" localSheetId="6">#REF!</definedName>
    <definedName name="ZGrowthRate" localSheetId="6">'[22]User base'!#REF!</definedName>
    <definedName name="其他1匯率" localSheetId="6">#REF!</definedName>
    <definedName name="其他2匯率" localSheetId="6">#REF!</definedName>
    <definedName name="外幣匯率" localSheetId="6">#REF!</definedName>
    <definedName name="表" localSheetId="6">#REF!</definedName>
    <definedName name="Analyst_Data" localSheetId="9">IPGP!$B$15</definedName>
    <definedName name="CopyRange" localSheetId="9">IPGP!$B$1:$P$140</definedName>
    <definedName name="End_Data" localSheetId="9">IPGP!$B$140</definedName>
    <definedName name="Estimates_Annuals" localSheetId="9">IPGP!$B$20</definedName>
    <definedName name="Estimates_Quarters" localSheetId="9">IPGP!$B$90</definedName>
    <definedName name="Market_Data" localSheetId="9">IPGP!$B$123</definedName>
    <definedName name="Ticker_Data" localSheetId="9">IPGP!$B$3</definedName>
    <definedName name="Valuations" localSheetId="9">IPGP!$B$92</definedName>
    <definedName name="MARKET_DATA" localSheetId="10">'SCB Ticker Sheet'!$P$2:$R$13</definedName>
    <definedName name="NewToCopy" localSheetId="10">'SCB Ticker Sheet'!$B$160:$N$161</definedName>
    <definedName name="CIQWBGuid" localSheetId="11" hidden="1">"a40bbe62-36c2-4aed-981f-f02b58ff5aa8"</definedName>
    <definedName name="IQ_NAMES_REVISION_DATE_" localSheetId="11" hidden="1">42450.610625</definedName>
    <definedName name="IQB_BOOKMARK_COUNT" localSheetId="11" hidden="1">1</definedName>
    <definedName name="Analyst_Data" localSheetId="12">SPX!$B$9</definedName>
    <definedName name="CopyRange" localSheetId="12">SPX!$B$1:$P$44</definedName>
    <definedName name="End_Data" localSheetId="12">SPX!$B$44</definedName>
    <definedName name="Estimates_Annuals" localSheetId="12">SPX!$B$14</definedName>
    <definedName name="Estimates_Quarters" localSheetId="12">SPX!$B$20</definedName>
    <definedName name="Market_Data" localSheetId="12">SPX!$B$27</definedName>
    <definedName name="Ticker_Data" localSheetId="12">SPX!$B$3</definedName>
    <definedName name="Valuations" localSheetId="12">SPX!$B$22</definedName>
    <definedName name="model_case" localSheetId="13">[12]DCF!#REF!</definedName>
    <definedName name="CIQWBGuid" localSheetId="14" hidden="1">"62976175-4da7-4044-b022-757978a6f07a"</definedName>
    <definedName name="IQ_NAMES_REVISION_DATE_" localSheetId="14" hidden="1">41484.9726736111</definedName>
    <definedName name="model_case" localSheetId="14">[12]DCF!#REF!</definedName>
    <definedName name="_xlnm.Print_Area" localSheetId="14">'bands_A'!$T$12:$CL$33</definedName>
    <definedName name="CIQWBGuid" localSheetId="15" hidden="1">"62976175-4da7-4044-b022-757978a6f07a"</definedName>
    <definedName name="IQ_NAMES_REVISION_DATE_" localSheetId="15" hidden="1">41484.9726736111</definedName>
    <definedName name="model_case" localSheetId="15">[12]DCF!#REF!</definedName>
    <definedName name="_xlnm.Print_Area" localSheetId="15">'bands_A-H_Avg'!$T$12:$CL$33</definedName>
    <definedName name="model_case" localSheetId="16">[12]DCF!#REF!</definedName>
    <definedName name="model_case" localSheetId="17">[12]DCF!#REF!</definedName>
    <definedName name="_xlnm.Print_Area" localSheetId="17">'Revisions'!$A$1:$A$5</definedName>
  </definedNames>
  <calcPr calcId="191029" fullCalcOnLoad="1"/>
</workbook>
</file>

<file path=xl/styles.xml><?xml version="1.0" encoding="utf-8"?>
<styleSheet xmlns="http://schemas.openxmlformats.org/spreadsheetml/2006/main">
  <numFmts count="70">
    <numFmt numFmtId="164" formatCode="_(* #,##0_);_(* \(#,##0\);_(* &quot;-&quot;??_);_(@_)"/>
    <numFmt numFmtId="165" formatCode="#,##0.0%_);\(#,##0.0%\)"/>
    <numFmt numFmtId="166" formatCode="#,##0.0000_);\(#,##0.0000\)"/>
    <numFmt numFmtId="167" formatCode="[$-409]mmm\-yy;@"/>
    <numFmt numFmtId="168" formatCode="0_);\(0\)"/>
    <numFmt numFmtId="169" formatCode="#,##0.0\x"/>
    <numFmt numFmtId="170" formatCode="0.0000"/>
    <numFmt numFmtId="171" formatCode="_(* #,##0.000_);_(* \(#,##0.000\);_(* &quot;-&quot;??_);_(@_)"/>
    <numFmt numFmtId="172" formatCode="0.0%"/>
    <numFmt numFmtId="173" formatCode="_(* #,##0.0_);_(* \(#,##0.0\);_(* &quot;-&quot;??_);_(@_)"/>
    <numFmt numFmtId="174" formatCode="#,##0%_);\(#,##0%\)"/>
    <numFmt numFmtId="175" formatCode="#,##0.0_);\(#,##0.0\)"/>
    <numFmt numFmtId="176" formatCode="0.0\x"/>
    <numFmt numFmtId="177" formatCode="##&quot;bps&quot;"/>
    <numFmt numFmtId="178" formatCode="#,##0.00%_);\(#,##0.00%\)"/>
    <numFmt numFmtId="179" formatCode="#,##0_);\(#,##0\);\-\-_);@_)"/>
    <numFmt numFmtId="180" formatCode="0.0"/>
    <numFmt numFmtId="181" formatCode="&quot;FY&quot;####"/>
    <numFmt numFmtId="182" formatCode="0&quot;E&quot;"/>
    <numFmt numFmtId="183" formatCode="0.0%_);\(0.0%\);0.0%_);@_)"/>
    <numFmt numFmtId="184" formatCode="dd\/mm\/yyyy"/>
    <numFmt numFmtId="185" formatCode="_(* #,##0.0_);_(* \(#,##0.0\);_(* &quot;-&quot;?_);_(@_)"/>
    <numFmt numFmtId="186" formatCode="_(* #,##0,_);_(* \(#,##0,\);_(* &quot;-&quot;_);_(@_)"/>
    <numFmt numFmtId="187" formatCode="[$-409]d/mmm/yy;@"/>
    <numFmt numFmtId="188" formatCode="yyyy/mm/dd"/>
    <numFmt numFmtId="189" formatCode="[$-409]mmm/yy;@"/>
    <numFmt numFmtId="190" formatCode="_(* #,##0.000_);_(* \(#,##0.000\);_(* &quot;-&quot;_);_(@_)"/>
    <numFmt numFmtId="191" formatCode="_-[$€-2]* #,##0.00_-;\-[$€-2]* #,##0.00_-;_-[$€-2]* &quot;-&quot;??_-"/>
    <numFmt numFmtId="192" formatCode="0.0000000%"/>
    <numFmt numFmtId="193" formatCode="0.000000000%"/>
    <numFmt numFmtId="194" formatCode="0.00000000%"/>
    <numFmt numFmtId="195" formatCode="0.0000000000%"/>
    <numFmt numFmtId="196" formatCode="&quot;$&quot;#,###.00_);\(&quot;$&quot;#,###.00\);;&quot;num required&quot;\)"/>
    <numFmt numFmtId="197" formatCode="&quot;$&quot;#,##0"/>
    <numFmt numFmtId="198" formatCode="#,##0_);\(#,##0\);"/>
    <numFmt numFmtId="199" formatCode="&quot;$&quot;* #,##0_);&quot;$&quot;* \(#,##0\);;&quot;num required&quot;\)"/>
    <numFmt numFmtId="200" formatCode="General_)"/>
    <numFmt numFmtId="201" formatCode="\ \ \ \ &quot;$&quot;* #,##0.0_);[Red]\(\ \ \ &quot;$&quot;* #,##0.0\)"/>
    <numFmt numFmtId="202" formatCode="_(&quot;$&quot;* #,##0.0_);_(&quot;$&quot;* \(#,##0.0\);_(&quot;$&quot;* &quot;-&quot;?_);_(@_)"/>
    <numFmt numFmtId="203" formatCode="\ &quot;$&quot;* #,##0.0_);\ &quot;$&quot;* \(#,##0.0\);;&quot;num required&quot;\)"/>
    <numFmt numFmtId="204" formatCode="&quot;$&quot;* \ #,###.000_);\(&quot;$&quot;* \ #,###.000\);;&quot;num required&quot;\)"/>
    <numFmt numFmtId="205" formatCode="#,##0.000_);\(#,##0.000\)"/>
    <numFmt numFmtId="206" formatCode="&quot;$&quot;* \ #,###.00_);&quot;$&quot;* \ \(#,###.00\);;&quot;num required&quot;\)"/>
    <numFmt numFmtId="207" formatCode="\ \ \ \ &quot;$&quot;* #,##0.0"/>
    <numFmt numFmtId="208" formatCode="\ \ &quot;$&quot;* #,##0.0_);&quot;$&quot;* \(#,##0.0\);;&quot;num required&quot;\)"/>
    <numFmt numFmtId="209" formatCode="&quot;$&quot;* #,##0.00"/>
    <numFmt numFmtId="210" formatCode="\ &quot;$&quot;* #,##0.0"/>
    <numFmt numFmtId="211" formatCode="\ \ &quot;$&quot;* #,##0.00"/>
    <numFmt numFmtId="212" formatCode="\ \ &quot;$&quot;* #,###.000_);\(\ \ &quot;$&quot;* #,###.000\);;&quot;num required&quot;\)"/>
    <numFmt numFmtId="213" formatCode="#,###.0_);\(#,###.0\)"/>
    <numFmt numFmtId="214" formatCode="#,###.##_);\(#,###.##\);"/>
    <numFmt numFmtId="215" formatCode="&quot;$&quot;* #,##0.#_);&quot;$&quot;* \(#,##0.#\);;&quot;num required&quot;\)"/>
    <numFmt numFmtId="216" formatCode="#,##0&quot;E&quot;_);\(#,##0\)&quot;E&quot;"/>
    <numFmt numFmtId="217" formatCode="0.0%;[Red]\(0.0\)%"/>
    <numFmt numFmtId="218" formatCode="0.0\x;&quot;NM &quot;"/>
    <numFmt numFmtId="219" formatCode="0.0_);\(0.0\)"/>
    <numFmt numFmtId="220" formatCode="0.00%;[Red]\(0.00\)%"/>
    <numFmt numFmtId="221" formatCode="_(* #,##0_)%;_(* \(#,##0\)%;_(* &quot;-&quot;_);_(@_)"/>
    <numFmt numFmtId="222" formatCode="_(* #,##0.0_)%;_(* \(#,##0.0\)%;_(* &quot;-&quot;?_);_(@_)"/>
    <numFmt numFmtId="223" formatCode="mm/dd/yy"/>
    <numFmt numFmtId="224" formatCode="#\ ?/8"/>
    <numFmt numFmtId="225" formatCode="_-&quot;£&quot;* #,##0.00_-;\-&quot;£&quot;* #,##0.00_-;_-&quot;£&quot;* &quot;-&quot;??_-;_-@_-"/>
    <numFmt numFmtId="226" formatCode="_(#,##0.00_)_%;_(\(#,##0.00\)_%;_(&quot;-&quot;??_)_%;_(@_)_%"/>
    <numFmt numFmtId="227" formatCode="_(#,##0.00_)_%;_(\(#,##0.00\)_%"/>
    <numFmt numFmtId="228" formatCode="&quot;$&quot;* #,##0.0_);&quot;$&quot;* \(#,##0.0\);;&quot;num required&quot;\)"/>
    <numFmt numFmtId="229" formatCode="_-* #,##0.00_-;\-* #,##0.00_-;_-* &quot;-&quot;??_-;_-@_-"/>
    <numFmt numFmtId="230" formatCode="_-* #,##0.00\ [$€-1]_-;\-* #,##0.00\ [$€-1]_-;_-* &quot;-&quot;??\ [$€-1]_-"/>
    <numFmt numFmtId="231" formatCode="_-* #,##0.000\ [$€-1]_-;\-* #,##0.000\ [$€-1]_-;_-* &quot;-&quot;??\ [$€-1]_-"/>
    <numFmt numFmtId="232" formatCode="#,##0.00_);[Red]\-#,##0.00_);0.00_);@_)"/>
    <numFmt numFmtId="233" formatCode="_-* #,##0.00\ [$€-1]_-;\-* #,##0.00\ [$€-1]_-;_-* \-??\ [$€-1]_-"/>
  </numFmts>
  <fonts count="262">
    <font>
      <name val="Arial"/>
      <family val="2"/>
      <color theme="1"/>
      <sz val="10"/>
    </font>
    <font>
      <name val="Arial"/>
      <family val="2"/>
      <color theme="1"/>
      <sz val="10"/>
    </font>
    <font>
      <name val="Arial"/>
      <family val="2"/>
      <color rgb="FFFF0000"/>
      <sz val="10"/>
    </font>
    <font>
      <name val="Arial"/>
      <family val="2"/>
      <b val="1"/>
      <color theme="1"/>
      <sz val="10"/>
    </font>
    <font>
      <name val="Arial"/>
      <family val="2"/>
      <sz val="10"/>
    </font>
    <font>
      <name val="Arial"/>
      <family val="2"/>
      <b val="1"/>
      <sz val="20"/>
    </font>
    <font>
      <name val="Arial"/>
      <family val="2"/>
      <color indexed="12"/>
      <sz val="10"/>
    </font>
    <font>
      <name val="Arial"/>
      <family val="2"/>
      <b val="1"/>
      <sz val="10"/>
      <u val="single"/>
    </font>
    <font>
      <name val="Arial"/>
      <family val="2"/>
      <b val="1"/>
      <color indexed="12"/>
      <sz val="10"/>
    </font>
    <font>
      <name val="Arial"/>
      <family val="2"/>
      <b val="1"/>
      <sz val="10"/>
    </font>
    <font>
      <name val="Arial"/>
      <family val="2"/>
      <b val="1"/>
      <color indexed="17"/>
      <sz val="10"/>
    </font>
    <font>
      <name val="Arial"/>
      <family val="2"/>
      <b val="1"/>
      <color indexed="10"/>
      <sz val="10"/>
    </font>
    <font>
      <name val="Calibri"/>
      <family val="2"/>
      <color theme="1"/>
      <sz val="10"/>
      <scheme val="minor"/>
    </font>
    <font>
      <name val="Arial Narrow"/>
      <family val="2"/>
      <color theme="1"/>
      <sz val="10"/>
    </font>
    <font>
      <name val="Arial"/>
      <family val="2"/>
      <color theme="0" tint="-0.249977111117893"/>
      <sz val="10"/>
    </font>
    <font>
      <name val="Arial"/>
      <family val="2"/>
      <b val="1"/>
      <color indexed="9"/>
      <sz val="12"/>
    </font>
    <font>
      <name val="Arial"/>
      <family val="2"/>
      <color indexed="9"/>
      <sz val="10"/>
    </font>
    <font>
      <name val="Arial"/>
      <family val="2"/>
      <b val="1"/>
      <color indexed="9"/>
      <sz val="10"/>
    </font>
    <font>
      <name val="Arial"/>
      <family val="2"/>
      <color rgb="FF0000FF"/>
      <sz val="10"/>
    </font>
    <font>
      <name val="Arial"/>
      <family val="2"/>
      <i val="1"/>
      <color theme="1"/>
      <sz val="10"/>
    </font>
    <font>
      <name val="Arial"/>
      <family val="2"/>
      <b val="1"/>
      <i val="1"/>
      <color theme="5"/>
      <sz val="10"/>
    </font>
    <font>
      <name val="Arial"/>
      <family val="2"/>
      <i val="1"/>
      <color theme="5"/>
      <sz val="10"/>
    </font>
    <font>
      <name val="Arial"/>
      <family val="2"/>
      <color rgb="FF006600"/>
      <sz val="10"/>
    </font>
    <font>
      <name val="Arial"/>
      <family val="2"/>
      <b val="1"/>
      <color theme="1"/>
      <sz val="10"/>
      <u val="single"/>
    </font>
    <font>
      <name val="Arial"/>
      <family val="2"/>
      <color rgb="FF000000"/>
      <sz val="10"/>
    </font>
    <font>
      <name val="Arial"/>
      <family val="2"/>
      <color rgb="FF008000"/>
      <sz val="10"/>
    </font>
    <font>
      <name val="Arial"/>
      <family val="2"/>
      <b val="1"/>
      <color rgb="FF000000"/>
      <sz val="10"/>
    </font>
    <font>
      <name val="Arial"/>
      <family val="2"/>
      <color rgb="FFC00000"/>
      <sz val="10"/>
    </font>
    <font>
      <name val="Arial"/>
      <family val="2"/>
      <color theme="1"/>
      <sz val="8"/>
    </font>
    <font>
      <name val="Arial"/>
      <family val="2"/>
      <b val="1"/>
      <color rgb="FF0000FF"/>
      <sz val="10"/>
    </font>
    <font>
      <name val="Arial"/>
      <family val="2"/>
      <b val="1"/>
      <color rgb="FF006600"/>
      <sz val="10"/>
    </font>
    <font>
      <name val="Arial"/>
      <family val="2"/>
      <b val="1"/>
      <i val="1"/>
      <color theme="1"/>
      <sz val="10"/>
    </font>
    <font>
      <name val="Arial"/>
      <family val="2"/>
      <color theme="1"/>
      <sz val="10"/>
      <u val="single"/>
    </font>
    <font>
      <name val="Arial"/>
      <family val="2"/>
      <i val="1"/>
      <color rgb="FF000000"/>
      <sz val="10"/>
    </font>
    <font>
      <name val="Arial"/>
      <family val="2"/>
      <sz val="10"/>
      <u val="single"/>
    </font>
    <font>
      <name val="Tahoma"/>
      <family val="2"/>
      <color indexed="81"/>
      <sz val="9"/>
    </font>
    <font>
      <name val="Arial"/>
      <family val="2"/>
      <i val="1"/>
      <color rgb="FFFF0000"/>
      <sz val="10"/>
    </font>
    <font>
      <name val="Arial"/>
      <family val="2"/>
      <color indexed="10"/>
      <sz val="10"/>
    </font>
    <font>
      <name val="Arial"/>
      <family val="2"/>
      <b val="1"/>
      <color rgb="FFFF0000"/>
      <sz val="10"/>
    </font>
    <font>
      <name val="Arial"/>
      <family val="2"/>
      <b val="1"/>
      <color rgb="FF008000"/>
      <sz val="10"/>
    </font>
    <font>
      <name val="Arial"/>
      <family val="2"/>
      <i val="1"/>
      <sz val="10"/>
    </font>
    <font>
      <name val="Tahoma"/>
      <family val="2"/>
      <b val="1"/>
      <color indexed="81"/>
      <sz val="9"/>
    </font>
    <font>
      <name val="Arial"/>
      <family val="2"/>
      <i val="1"/>
      <color rgb="FF008000"/>
      <sz val="10"/>
    </font>
    <font>
      <name val="Arial"/>
      <family val="2"/>
      <b val="1"/>
      <color theme="0"/>
      <sz val="10"/>
    </font>
    <font>
      <name val="Arial"/>
      <family val="2"/>
      <b val="1"/>
      <i val="1"/>
      <color theme="0"/>
      <sz val="10"/>
    </font>
    <font>
      <name val="arial narrow"/>
      <family val="2"/>
      <sz val="10"/>
    </font>
    <font>
      <name val="Arial Narrow"/>
      <family val="2"/>
      <color theme="1"/>
      <sz val="10"/>
      <u val="singleAccounting"/>
    </font>
    <font>
      <name val="arial narrow"/>
      <family val="2"/>
      <b val="1"/>
      <color theme="0"/>
      <sz val="10"/>
    </font>
    <font>
      <name val="arial narrow"/>
      <family val="2"/>
      <color theme="0"/>
      <sz val="10"/>
    </font>
    <font>
      <name val="arial narrow"/>
      <family val="2"/>
      <b val="1"/>
      <color theme="1"/>
      <sz val="10"/>
    </font>
    <font>
      <name val="Arial"/>
      <family val="2"/>
      <color theme="0"/>
      <sz val="10"/>
    </font>
    <font>
      <name val="Arial"/>
      <family val="2"/>
      <color theme="1"/>
      <sz val="10"/>
      <u val="singleAccounting"/>
    </font>
    <font>
      <name val="Arial"/>
      <family val="2"/>
      <b val="1"/>
      <i val="1"/>
      <color rgb="FFFF0000"/>
      <sz val="10"/>
    </font>
    <font>
      <name val="Arial"/>
      <family val="2"/>
      <color theme="0"/>
      <sz val="10"/>
      <u val="singleAccounting"/>
    </font>
    <font>
      <name val="Arial"/>
      <family val="2"/>
      <b val="1"/>
      <color theme="0"/>
      <sz val="10"/>
      <u val="singleAccounting"/>
    </font>
    <font>
      <name val="Arial"/>
      <family val="2"/>
      <color indexed="8"/>
      <sz val="10"/>
    </font>
    <font>
      <name val="Verdana"/>
      <family val="2"/>
      <b val="1"/>
      <color indexed="8"/>
      <sz val="8"/>
    </font>
    <font>
      <name val="Arial"/>
      <family val="2"/>
      <b val="1"/>
      <color indexed="8"/>
      <sz val="8"/>
      <u val="singleAccounting"/>
    </font>
    <font>
      <name val="Symbol"/>
      <charset val="2"/>
      <family val="1"/>
      <color indexed="9"/>
      <sz val="1"/>
    </font>
    <font>
      <name val="Verdana"/>
      <family val="2"/>
      <b val="1"/>
      <color indexed="8"/>
      <sz val="8"/>
      <u val="singleAccounting"/>
    </font>
    <font>
      <name val="Verdana"/>
      <family val="2"/>
      <b val="1"/>
      <color indexed="8"/>
      <sz val="12"/>
    </font>
    <font>
      <name val="Verdana"/>
      <family val="2"/>
      <b val="1"/>
      <color indexed="9"/>
      <sz val="8"/>
    </font>
    <font>
      <name val="Arial"/>
      <family val="2"/>
      <color indexed="8"/>
      <sz val="8"/>
      <vertAlign val="subscript"/>
    </font>
    <font>
      <name val="Arial"/>
      <family val="2"/>
      <color indexed="8"/>
      <sz val="8"/>
      <vertAlign val="superscript"/>
    </font>
    <font>
      <name val="Arial"/>
      <family val="2"/>
      <b val="1"/>
      <color indexed="8"/>
      <sz val="8"/>
    </font>
    <font>
      <name val="Arial"/>
      <family val="2"/>
      <i val="1"/>
      <color indexed="8"/>
      <sz val="8"/>
    </font>
    <font>
      <name val="Arial"/>
      <family val="2"/>
      <color indexed="8"/>
      <sz val="8"/>
    </font>
    <font>
      <name val="Verdana"/>
      <family val="2"/>
      <b val="1"/>
      <color indexed="8"/>
      <sz val="13"/>
    </font>
    <font>
      <name val="arial narrow"/>
      <family val="2"/>
      <b val="1"/>
      <color rgb="FFFF0000"/>
      <sz val="10"/>
    </font>
    <font>
      <name val="Calibri"/>
      <charset val="136"/>
      <family val="2"/>
      <color theme="1"/>
      <sz val="12"/>
      <scheme val="minor"/>
    </font>
    <font>
      <name val="Arial"/>
      <family val="2"/>
      <b val="1"/>
      <color theme="1"/>
      <sz val="8"/>
    </font>
    <font>
      <name val="Arial"/>
      <family val="2"/>
      <b val="1"/>
      <color indexed="9"/>
      <sz val="8"/>
    </font>
    <font>
      <name val="Arial"/>
      <family val="2"/>
      <sz val="8"/>
    </font>
    <font>
      <name val="Arial"/>
      <family val="2"/>
      <i val="1"/>
      <color theme="1"/>
      <sz val="8"/>
    </font>
    <font>
      <name val="Arial"/>
      <family val="2"/>
      <b val="1"/>
      <color theme="0"/>
      <sz val="12"/>
    </font>
    <font>
      <name val="Arial"/>
      <family val="2"/>
      <i val="1"/>
      <sz val="8"/>
    </font>
    <font>
      <name val="Arial"/>
      <family val="2"/>
      <b val="1"/>
      <i val="1"/>
      <color theme="1"/>
      <sz val="8"/>
    </font>
    <font>
      <name val="Calibri"/>
      <family val="2"/>
      <color theme="1"/>
      <sz val="12"/>
      <scheme val="minor"/>
    </font>
    <font>
      <name val="Arial"/>
      <family val="2"/>
      <color indexed="12"/>
      <sz val="10"/>
      <u val="single"/>
    </font>
    <font>
      <name val="Arial"/>
      <family val="2"/>
      <sz val="9"/>
    </font>
    <font>
      <name val="MS Sans Serif"/>
      <family val="2"/>
      <color indexed="8"/>
      <sz val="10"/>
    </font>
    <font>
      <name val="Arial"/>
      <family val="2"/>
      <color indexed="12"/>
      <sz val="7"/>
      <u val="single"/>
    </font>
    <font>
      <name val="‚l‚r ‚o–¾’©"/>
      <charset val="128"/>
      <family val="1"/>
      <color indexed="36"/>
      <sz val="11"/>
      <u val="single"/>
    </font>
    <font>
      <name val="–¾’©"/>
      <charset val="128"/>
      <sz val="14"/>
    </font>
    <font>
      <name val="‚l‚r –¾’©"/>
      <charset val="128"/>
      <sz val="16"/>
    </font>
    <font>
      <name val="¹ÙÅÁÃ¼"/>
      <charset val="129"/>
      <family val="1"/>
      <sz val="12"/>
    </font>
    <font>
      <name val="Times New Roman"/>
      <family val="1"/>
      <sz val="10"/>
    </font>
    <font>
      <name val="Arial"/>
      <family val="2"/>
      <b val="1"/>
      <color indexed="0"/>
      <sz val="9"/>
    </font>
    <font>
      <name val="Arial"/>
      <family val="2"/>
      <color indexed="0"/>
      <sz val="9"/>
    </font>
    <font>
      <name val="Tms Rmn"/>
      <color indexed="8"/>
      <sz val="10"/>
    </font>
    <font>
      <name val="Times New Roman"/>
      <family val="1"/>
      <b val="1"/>
      <i val="1"/>
      <color indexed="9"/>
      <sz val="11"/>
    </font>
    <font>
      <name val="Tms Rmn"/>
      <sz val="12"/>
    </font>
    <font>
      <name val="Times New Roman"/>
      <family val="1"/>
      <sz val="9"/>
    </font>
    <font>
      <name val="±¼¸²Ã¼"/>
      <charset val="129"/>
      <family val="3"/>
      <sz val="12"/>
    </font>
    <font>
      <name val="Book Antiqua"/>
      <family val="1"/>
      <sz val="10"/>
    </font>
    <font>
      <name val="Arial"/>
      <family val="2"/>
      <b val="1"/>
      <sz val="11"/>
    </font>
    <font>
      <name val="Arial Narrow"/>
      <family val="2"/>
      <sz val="9"/>
    </font>
    <font>
      <name val="MS Sans Serif"/>
      <family val="2"/>
      <sz val="10"/>
    </font>
    <font>
      <name val="Courier New"/>
      <family val="3"/>
      <b val="1"/>
      <sz val="8"/>
    </font>
    <font>
      <name val="Tms Rmn"/>
      <b val="1"/>
      <color indexed="12"/>
      <sz val="10"/>
    </font>
    <font>
      <name val="Helv"/>
      <sz val="10"/>
    </font>
    <font>
      <name val="MS Sans Serif"/>
      <family val="2"/>
      <sz val="24"/>
    </font>
    <font>
      <name val="Arial"/>
      <family val="2"/>
      <b val="1"/>
      <sz val="14"/>
    </font>
    <font>
      <name val="MS Serif"/>
      <family val="1"/>
      <sz val="10"/>
    </font>
    <font>
      <name val="Arial"/>
      <family val="2"/>
      <b val="1"/>
      <color indexed="18"/>
      <sz val="10"/>
    </font>
    <font>
      <name val="Times New Roman"/>
      <family val="1"/>
      <sz val="11"/>
    </font>
    <font>
      <name val="MS Serif"/>
      <family val="1"/>
      <color indexed="16"/>
      <sz val="10"/>
    </font>
    <font>
      <name val="MS Sans Serif"/>
      <family val="2"/>
      <b val="1"/>
      <color indexed="10"/>
      <sz val="9.5"/>
    </font>
    <font>
      <name val="Times New Roman"/>
      <family val="1"/>
      <sz val="12"/>
    </font>
    <font>
      <name val="Book Antiqua"/>
      <family val="1"/>
      <color indexed="8"/>
      <sz val="9"/>
    </font>
    <font>
      <name val="‚l‚r ‚o–¾’©"/>
      <charset val="128"/>
      <family val="1"/>
      <color indexed="12"/>
      <sz val="11"/>
      <u val="single"/>
    </font>
    <font>
      <name val="Arial"/>
      <family val="2"/>
      <sz val="12"/>
    </font>
    <font>
      <name val="Times New Roman"/>
      <family val="1"/>
      <b val="1"/>
      <sz val="16"/>
    </font>
    <font>
      <name val="Arial"/>
      <family val="2"/>
      <b val="1"/>
      <sz val="12"/>
    </font>
    <font>
      <name val="Arial Narrow"/>
      <family val="2"/>
      <b val="1"/>
      <color indexed="8"/>
      <sz val="9"/>
    </font>
    <font>
      <name val="Arial"/>
      <family val="2"/>
      <color theme="10"/>
      <sz val="10"/>
      <u val="single"/>
    </font>
    <font>
      <name val="GillSans Light"/>
      <family val="2"/>
      <sz val="10"/>
    </font>
    <font>
      <name val="Arial Narrow"/>
      <family val="2"/>
      <color indexed="10"/>
      <sz val="9"/>
    </font>
    <font>
      <name val="Small Fonts"/>
      <family val="2"/>
      <sz val="7"/>
    </font>
    <font>
      <name val="Arial"/>
      <family val="2"/>
      <i val="1"/>
      <color indexed="14"/>
      <sz val="7"/>
    </font>
    <font>
      <name val="Tms Rmn"/>
      <b val="1"/>
      <color indexed="8"/>
      <sz val="10"/>
    </font>
    <font>
      <name val="MS Sans Serif"/>
      <family val="2"/>
      <b val="1"/>
      <sz val="10"/>
    </font>
    <font>
      <name val="Times New Roman"/>
      <family val="1"/>
      <b val="1"/>
      <sz val="10"/>
    </font>
    <font>
      <name val="Helv"/>
      <sz val="8"/>
    </font>
    <font>
      <name val="Helvetica"/>
      <family val="2"/>
      <sz val="8"/>
    </font>
    <font>
      <name val="Tms Rmn"/>
      <sz val="10"/>
    </font>
    <font>
      <name val="MS Sans Serif"/>
      <family val="2"/>
      <b val="1"/>
      <sz val="12"/>
    </font>
    <font>
      <name val="Verdana"/>
      <family val="2"/>
      <sz val="10"/>
    </font>
    <font>
      <name val="Arial"/>
      <family val="2"/>
      <b val="1"/>
      <color indexed="9"/>
      <sz val="14"/>
    </font>
    <font>
      <name val="Arial"/>
      <family val="2"/>
      <b val="1"/>
      <i val="1"/>
      <color indexed="9"/>
      <sz val="8"/>
    </font>
    <font>
      <name val="Arial"/>
      <family val="2"/>
      <b val="1"/>
      <sz val="8"/>
    </font>
    <font>
      <name val="Arial Narrow"/>
      <family val="2"/>
      <b val="1"/>
      <sz val="10"/>
    </font>
    <font>
      <name val="Times New Roman"/>
      <family val="1"/>
      <b val="1"/>
      <sz val="18"/>
    </font>
    <font>
      <name val="Helv"/>
      <b val="1"/>
      <color indexed="8"/>
      <sz val="8"/>
    </font>
    <font>
      <name val="Arial"/>
      <family val="2"/>
      <b val="1"/>
      <sz val="9"/>
    </font>
    <font>
      <name val="Helvetica-Narrow"/>
      <family val="2"/>
      <sz val="8"/>
    </font>
    <font>
      <name val="Helvetica-Narrow"/>
      <family val="2"/>
      <b val="1"/>
      <sz val="7"/>
    </font>
    <font>
      <name val="Tms Rmn"/>
      <i val="1"/>
      <sz val="8"/>
    </font>
    <font>
      <name val="Times New Roman"/>
      <family val="1"/>
      <b val="1"/>
      <sz val="11"/>
    </font>
    <font>
      <name val="Arial"/>
      <family val="2"/>
      <b val="1"/>
      <color indexed="62"/>
      <sz val="16"/>
    </font>
    <font>
      <name val="Tms Rmn"/>
      <b val="1"/>
      <sz val="8"/>
    </font>
    <font>
      <name val="·s2OcuAe"/>
      <family val="1"/>
      <sz val="12"/>
    </font>
    <font>
      <name val="細明朝体"/>
      <charset val="128"/>
      <family val="3"/>
      <sz val="12"/>
    </font>
    <font>
      <name val="Helv"/>
      <family val="2"/>
      <sz val="10"/>
    </font>
    <font>
      <name val="Tahoma"/>
      <family val="2"/>
      <sz val="7"/>
    </font>
    <font>
      <name val="Tahoma"/>
      <family val="2"/>
      <color theme="1"/>
      <sz val="8"/>
    </font>
    <font>
      <name val="Verdana"/>
      <family val="2"/>
      <color indexed="8"/>
      <sz val="10"/>
    </font>
    <font>
      <name val="Osaka"/>
      <family val="1"/>
      <sz val="12"/>
    </font>
    <font>
      <name val="Calibri"/>
      <family val="2"/>
      <color indexed="8"/>
      <sz val="11"/>
    </font>
    <font>
      <name val="Tahoma"/>
      <family val="2"/>
      <color indexed="8"/>
      <sz val="7"/>
    </font>
    <font>
      <name val="Calibri"/>
      <family val="2"/>
      <color theme="1"/>
      <sz val="8"/>
    </font>
    <font>
      <name val="Calibri"/>
      <family val="2"/>
      <color theme="1"/>
      <sz val="11"/>
      <scheme val="minor"/>
    </font>
    <font>
      <name val="ＭＳ Ｐゴシック"/>
      <charset val="128"/>
      <family val="3"/>
      <color indexed="8"/>
      <sz val="11"/>
    </font>
    <font>
      <name val="ＭＳ Ｐゴシック"/>
      <charset val="128"/>
      <family val="2"/>
      <color indexed="8"/>
      <sz val="11"/>
    </font>
    <font>
      <name val="맑은 고딕"/>
      <charset val="129"/>
      <family val="3"/>
      <color indexed="8"/>
      <sz val="11"/>
    </font>
    <font>
      <name val="맑은 고딕"/>
      <family val="3"/>
      <color indexed="8"/>
      <sz val="11"/>
    </font>
    <font>
      <name val="Calibri"/>
      <family val="2"/>
      <color indexed="9"/>
      <sz val="11"/>
    </font>
    <font>
      <name val="Tahoma"/>
      <family val="2"/>
      <color indexed="9"/>
      <sz val="7"/>
    </font>
    <font>
      <name val="Calibri"/>
      <family val="2"/>
      <color theme="0"/>
      <sz val="8"/>
    </font>
    <font>
      <name val="Calibri"/>
      <family val="2"/>
      <color theme="0"/>
      <sz val="11"/>
      <scheme val="minor"/>
    </font>
    <font>
      <name val="ＭＳ Ｐゴシック"/>
      <charset val="128"/>
      <family val="3"/>
      <color indexed="9"/>
      <sz val="11"/>
    </font>
    <font>
      <name val="ＭＳ Ｐゴシック"/>
      <charset val="128"/>
      <family val="2"/>
      <color indexed="9"/>
      <sz val="11"/>
    </font>
    <font>
      <name val="맑은 고딕"/>
      <charset val="129"/>
      <family val="3"/>
      <color indexed="9"/>
      <sz val="11"/>
    </font>
    <font>
      <name val="맑은 고딕"/>
      <family val="3"/>
      <color indexed="9"/>
      <sz val="11"/>
    </font>
    <font>
      <name val="Tahoma"/>
      <family val="2"/>
      <i val="1"/>
      <color theme="0" tint="-0.3499862666707358"/>
      <sz val="8"/>
    </font>
    <font>
      <name val="Calibri"/>
      <family val="2"/>
      <color indexed="20"/>
      <sz val="11"/>
    </font>
    <font>
      <name val="Tahoma"/>
      <family val="2"/>
      <color indexed="20"/>
      <sz val="7"/>
    </font>
    <font>
      <name val="Calibri"/>
      <family val="2"/>
      <color indexed="29"/>
      <sz val="11"/>
    </font>
    <font>
      <name val="Calibri"/>
      <family val="2"/>
      <color rgb="FF9C0006"/>
      <sz val="8"/>
    </font>
    <font>
      <name val="Calibri"/>
      <family val="2"/>
      <color rgb="FF9C0006"/>
      <sz val="11"/>
      <scheme val="minor"/>
    </font>
    <font>
      <name val="Calibri"/>
      <family val="2"/>
      <b val="1"/>
      <color indexed="52"/>
      <sz val="11"/>
    </font>
    <font>
      <name val="Tahoma"/>
      <family val="2"/>
      <b val="1"/>
      <color indexed="52"/>
      <sz val="7"/>
    </font>
    <font>
      <name val="Calibri"/>
      <family val="2"/>
      <b val="1"/>
      <color rgb="FFFA7D00"/>
      <sz val="8"/>
    </font>
    <font>
      <name val="Tahoma"/>
      <family val="2"/>
      <b val="1"/>
      <color rgb="FFFA7D00"/>
      <sz val="10"/>
    </font>
    <font>
      <name val="Calibri"/>
      <charset val="204"/>
      <family val="2"/>
      <b val="1"/>
      <color indexed="52"/>
      <sz val="11"/>
    </font>
    <font>
      <name val="Calibri"/>
      <family val="2"/>
      <b val="1"/>
      <color rgb="FFFA7D00"/>
      <sz val="11"/>
      <scheme val="minor"/>
    </font>
    <font>
      <name val="Calibri"/>
      <family val="2"/>
      <b val="1"/>
      <color indexed="9"/>
      <sz val="11"/>
    </font>
    <font>
      <name val="Tahoma"/>
      <family val="2"/>
      <b val="1"/>
      <color indexed="9"/>
      <sz val="7"/>
    </font>
    <font>
      <name val="Calibri"/>
      <family val="2"/>
      <b val="1"/>
      <color theme="0"/>
      <sz val="8"/>
    </font>
    <font>
      <name val="Calibri"/>
      <family val="2"/>
      <b val="1"/>
      <color theme="0"/>
      <sz val="11"/>
      <scheme val="minor"/>
    </font>
    <font>
      <name val="Calibri"/>
      <charset val="204"/>
      <family val="2"/>
      <b val="1"/>
      <color indexed="9"/>
      <sz val="11"/>
    </font>
    <font>
      <name val="Arial"/>
      <family val="2"/>
      <i val="1"/>
      <color indexed="55"/>
      <sz val="9"/>
    </font>
    <font>
      <name val="Arial"/>
      <family val="2"/>
      <b val="1"/>
      <color rgb="FF00B050"/>
      <sz val="10"/>
    </font>
    <font>
      <name val="Arial"/>
      <family val="2"/>
      <color rgb="FF00B050"/>
      <sz val="10"/>
    </font>
    <font>
      <name val="Arial"/>
      <family val="2"/>
      <i val="1"/>
      <color rgb="FF0000FF"/>
      <sz val="10"/>
    </font>
    <font>
      <name val="Calibri"/>
      <family val="2"/>
      <color rgb="FF990000"/>
      <sz val="10"/>
      <scheme val="minor"/>
    </font>
    <font>
      <name val="Calibri"/>
      <family val="2"/>
      <color rgb="FF32849B"/>
      <sz val="10"/>
      <scheme val="minor"/>
    </font>
    <font>
      <name val="Calibri"/>
      <family val="2"/>
      <color rgb="FF2D2D7D"/>
      <sz val="26"/>
      <scheme val="minor"/>
    </font>
    <font>
      <name val="Calibri"/>
      <family val="2"/>
      <b val="1"/>
      <color rgb="FF000000"/>
      <sz val="10"/>
      <scheme val="minor"/>
    </font>
    <font>
      <name val="Calibri"/>
      <family val="2"/>
      <color rgb="FF000000"/>
      <sz val="10"/>
      <scheme val="minor"/>
    </font>
    <font>
      <name val="Calibri"/>
      <family val="2"/>
      <b val="1"/>
      <color rgb="FF272727"/>
      <sz val="10"/>
      <scheme val="minor"/>
    </font>
    <font>
      <name val="Calibri"/>
      <family val="2"/>
      <b val="1"/>
      <color rgb="FFFFFFFF"/>
      <sz val="10"/>
      <scheme val="minor"/>
    </font>
    <font>
      <name val="Calibri"/>
      <family val="2"/>
      <color rgb="FFFFFFFF"/>
      <sz val="10"/>
      <scheme val="minor"/>
    </font>
    <font>
      <name val="Calibri"/>
      <family val="2"/>
      <b val="1"/>
      <color rgb="FFFFFFFF"/>
      <sz val="11"/>
      <scheme val="minor"/>
    </font>
    <font>
      <name val="Calibri"/>
      <family val="2"/>
      <color rgb="FFFFFFFF"/>
      <sz val="11"/>
      <scheme val="minor"/>
    </font>
    <font>
      <name val="Calibri"/>
      <family val="2"/>
      <b val="1"/>
      <color rgb="FF8C8C8C"/>
      <sz val="10"/>
      <scheme val="minor"/>
    </font>
    <font>
      <name val="Calibri"/>
      <family val="2"/>
      <color rgb="FF8C8C8C"/>
      <sz val="10"/>
      <scheme val="minor"/>
    </font>
    <font>
      <name val="Calibri"/>
      <family val="2"/>
      <color rgb="FFB1C425"/>
      <sz val="11"/>
      <scheme val="minor"/>
    </font>
    <font>
      <name val="Calibri"/>
      <family val="2"/>
      <color rgb="FF2D2D7D"/>
      <sz val="10"/>
      <scheme val="minor"/>
    </font>
    <font>
      <name val="Calibri"/>
      <family val="2"/>
      <b val="1"/>
      <color rgb="FF2D2D7D"/>
      <sz val="10"/>
      <scheme val="minor"/>
    </font>
    <font>
      <name val="Calibri"/>
      <family val="2"/>
      <b val="1"/>
      <i val="1"/>
      <color rgb="FF2D2D7D"/>
      <sz val="9"/>
      <scheme val="minor"/>
    </font>
    <font>
      <name val="Calibri"/>
      <family val="2"/>
      <i val="1"/>
      <color rgb="FF2D2D7D"/>
      <sz val="9"/>
      <scheme val="minor"/>
    </font>
    <font>
      <name val="Arial Narrow"/>
      <family val="2"/>
      <color theme="1"/>
      <sz val="8"/>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Calibri"/>
      <family val="2"/>
      <color indexed="62"/>
      <sz val="11"/>
    </font>
    <font>
      <name val="Calibri"/>
      <family val="2"/>
      <color indexed="52"/>
      <sz val="11"/>
    </font>
    <font>
      <name val="Calibri"/>
      <family val="2"/>
      <color indexed="60"/>
      <sz val="11"/>
    </font>
    <font>
      <name val="Calibri"/>
      <family val="2"/>
      <b val="1"/>
      <color indexed="63"/>
      <sz val="11"/>
    </font>
    <font>
      <name val="Cambria"/>
      <family val="2"/>
      <b val="1"/>
      <color indexed="56"/>
      <sz val="18"/>
    </font>
    <font>
      <name val="Calibri"/>
      <family val="2"/>
      <b val="1"/>
      <color indexed="8"/>
      <sz val="11"/>
    </font>
    <font>
      <name val="Times New Roman"/>
      <family val="1"/>
      <b val="1"/>
      <color indexed="8"/>
      <sz val="15.95"/>
    </font>
    <font>
      <name val="Calibri"/>
      <family val="2"/>
      <color indexed="10"/>
      <sz val="11"/>
    </font>
    <font>
      <name val="Calibri"/>
      <family val="2"/>
      <b val="1"/>
      <color rgb="FFFFFFFF"/>
      <sz val="10"/>
    </font>
    <font>
      <name val="Calibri"/>
      <family val="2"/>
      <color theme="10"/>
      <sz val="11"/>
      <u val="single"/>
      <scheme val="minor"/>
    </font>
    <font>
      <name val="Calibri"/>
      <family val="2"/>
      <b val="1"/>
      <color rgb="FFFFFFFF"/>
      <sz val="11"/>
    </font>
    <font>
      <name val="Calibri"/>
      <family val="2"/>
      <color rgb="FFFFFFFF"/>
      <sz val="9"/>
    </font>
    <font>
      <name val="Calibri"/>
      <family val="2"/>
      <color rgb="FFFFFFFF"/>
      <sz val="11"/>
    </font>
    <font>
      <name val="Calibri"/>
      <family val="2"/>
      <b val="1"/>
      <color rgb="FF1E9BD7"/>
      <sz val="11"/>
      <scheme val="minor"/>
    </font>
    <font>
      <name val="Calibri"/>
      <family val="2"/>
      <color rgb="FF000000"/>
      <sz val="10"/>
    </font>
    <font>
      <name val="Calibri"/>
      <family val="2"/>
      <i val="1"/>
      <color theme="4" tint="-0.249977111117893"/>
      <sz val="8"/>
    </font>
    <font>
      <name val="Calibri"/>
      <family val="2"/>
      <b val="1"/>
      <color rgb="FF272727"/>
      <sz val="10"/>
    </font>
    <font>
      <name val="Calibri"/>
      <family val="2"/>
      <i val="1"/>
      <color theme="1"/>
      <sz val="10"/>
      <scheme val="minor"/>
    </font>
    <font>
      <name val="Calibri"/>
      <family val="2"/>
      <b val="1"/>
      <i val="1"/>
      <color theme="1"/>
      <sz val="10"/>
      <scheme val="minor"/>
    </font>
    <font>
      <name val="Calibri"/>
      <family val="2"/>
      <b val="1"/>
      <i val="1"/>
      <color rgb="FF2D2D7D"/>
      <sz val="10"/>
    </font>
    <font>
      <name val="Calibri"/>
      <family val="2"/>
      <i val="1"/>
      <color rgb="FF2D2D7D"/>
      <sz val="10"/>
    </font>
    <font>
      <name val="Calibri"/>
      <family val="2"/>
      <color rgb="FF2D2D7D"/>
      <sz val="10"/>
    </font>
    <font>
      <name val="Calibri"/>
      <family val="2"/>
      <b val="1"/>
      <color rgb="FF8C8C8C"/>
      <sz val="10"/>
    </font>
    <font>
      <name val="Calibri"/>
      <family val="2"/>
      <b val="1"/>
      <i val="1"/>
      <color rgb="FF000000"/>
      <sz val="10"/>
      <scheme val="minor"/>
    </font>
    <font>
      <name val="Calibri"/>
      <family val="2"/>
      <i val="1"/>
      <color rgb="FF000000"/>
      <sz val="10"/>
      <scheme val="minor"/>
    </font>
    <font>
      <name val="Calibri"/>
      <family val="2"/>
      <i val="1"/>
      <color rgb="FFFFFFFF"/>
      <sz val="10"/>
    </font>
    <font>
      <name val="Calibri"/>
      <family val="2"/>
      <color rgb="FF8C8C8C"/>
      <sz val="8"/>
    </font>
    <font>
      <name val="Calibri"/>
      <family val="2"/>
      <b val="1"/>
      <i val="1"/>
      <color rgb="FF2D2D7D"/>
      <sz val="9"/>
    </font>
    <font>
      <name val="Calibri"/>
      <family val="2"/>
      <b val="1"/>
      <color rgb="FF272727"/>
      <sz val="12"/>
    </font>
    <font>
      <name val="Calibri"/>
      <family val="2"/>
      <i val="1"/>
      <color rgb="FF2D2D7D"/>
      <sz val="9"/>
    </font>
    <font>
      <name val="Calibri"/>
      <family val="2"/>
      <color rgb="FF272727"/>
      <sz val="10"/>
    </font>
    <font>
      <name val="Calibri"/>
      <family val="2"/>
      <color theme="0"/>
      <sz val="9"/>
    </font>
    <font>
      <name val="Calibri"/>
      <family val="2"/>
      <color rgb="FF8C8C8C"/>
      <sz val="10"/>
    </font>
    <font>
      <name val="Calibri"/>
      <family val="2"/>
      <b val="1"/>
      <color rgb="FF000000"/>
      <sz val="10"/>
    </font>
    <font>
      <name val="Calibri"/>
      <family val="2"/>
      <i val="1"/>
      <color rgb="FF1674A0"/>
      <sz val="8"/>
    </font>
    <font>
      <name val="Calibri"/>
      <family val="2"/>
      <i val="1"/>
      <color rgb="FF8C8C8C"/>
      <sz val="10"/>
    </font>
    <font>
      <name val="Calibri"/>
      <family val="2"/>
      <b val="1"/>
      <i val="1"/>
      <color rgb="FF2E6EBC"/>
      <sz val="9"/>
    </font>
    <font>
      <name val="Calibri"/>
      <family val="2"/>
      <i val="1"/>
      <color rgb="FF2E6EBC"/>
      <sz val="9"/>
    </font>
    <font>
      <name val="Calibri"/>
      <family val="2"/>
      <color rgb="FFFFFFFF"/>
      <sz val="8"/>
      <scheme val="minor"/>
    </font>
    <font>
      <name val="Calibri"/>
      <family val="2"/>
      <color theme="1"/>
      <sz val="9"/>
      <scheme val="minor"/>
    </font>
    <font>
      <name val="Calibri"/>
      <family val="2"/>
      <color rgb="FF000000"/>
      <sz val="11"/>
      <scheme val="minor"/>
    </font>
    <font>
      <name val="Calibri"/>
      <family val="2"/>
      <b val="1"/>
      <color rgb="FFFFFFFF"/>
      <sz val="8"/>
    </font>
    <font>
      <name val="Calibri"/>
      <family val="2"/>
      <color rgb="FF000000"/>
      <sz val="9"/>
    </font>
    <font>
      <name val="Calibri"/>
      <family val="2"/>
      <color theme="1"/>
      <sz val="8"/>
      <scheme val="minor"/>
    </font>
    <font>
      <name val="Calibri"/>
      <family val="2"/>
      <b val="1"/>
      <sz val="11"/>
      <scheme val="minor"/>
    </font>
    <font>
      <name val="Calibri"/>
      <family val="2"/>
      <color theme="4" tint="-0.249977111117893"/>
      <sz val="8"/>
    </font>
    <font>
      <name val="Calibri"/>
      <family val="2"/>
      <color rgb="FFA6A6A6"/>
      <sz val="8"/>
    </font>
    <font>
      <name val="Calibri"/>
      <family val="2"/>
      <color theme="0" tint="-0.3499862666707358"/>
      <sz val="8"/>
    </font>
    <font>
      <name val="Calibri"/>
      <family val="2"/>
      <color theme="1"/>
      <sz val="11"/>
    </font>
    <font>
      <name val="Calibri"/>
      <family val="2"/>
      <b val="1"/>
      <sz val="11"/>
      <u val="single"/>
      <scheme val="minor"/>
    </font>
    <font>
      <name val="Calibri"/>
      <family val="2"/>
      <sz val="11"/>
      <scheme val="minor"/>
    </font>
    <font>
      <name val="Calibri"/>
      <family val="2"/>
      <b val="1"/>
      <color theme="1"/>
      <sz val="11"/>
      <scheme val="minor"/>
    </font>
    <font>
      <name val="Calibri"/>
      <family val="2"/>
      <i val="1"/>
      <color rgb="FF8C8C8C"/>
      <sz val="8"/>
    </font>
    <font>
      <name val="Segoe UI"/>
      <charset val="1"/>
      <color rgb="FF000000"/>
      <sz val="8"/>
    </font>
  </fonts>
  <fills count="115">
    <fill>
      <patternFill/>
    </fill>
    <fill>
      <patternFill patternType="gray125"/>
    </fill>
    <fill>
      <patternFill patternType="solid">
        <fgColor indexed="9"/>
        <bgColor indexed="64"/>
      </patternFill>
    </fill>
    <fill>
      <patternFill patternType="solid">
        <fgColor theme="0"/>
        <bgColor indexed="64"/>
      </patternFill>
    </fill>
    <fill>
      <patternFill patternType="solid">
        <fgColor theme="0" tint="-0.1499984740745262"/>
        <bgColor indexed="64"/>
      </patternFill>
    </fill>
    <fill>
      <patternFill patternType="solid">
        <fgColor rgb="FF002060"/>
        <bgColor indexed="64"/>
      </patternFill>
    </fill>
    <fill>
      <patternFill patternType="solid">
        <fgColor theme="3"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1"/>
        <bgColor indexed="64"/>
      </patternFill>
    </fill>
    <fill>
      <patternFill patternType="solid">
        <fgColor rgb="FFCCFFFF"/>
        <bgColor indexed="64"/>
      </patternFill>
    </fill>
    <fill>
      <patternFill patternType="solid">
        <fgColor theme="6" tint="0.5999938962981048"/>
        <bgColor indexed="64"/>
      </patternFill>
    </fill>
    <fill>
      <patternFill patternType="solid">
        <fgColor theme="8" tint="0.3999755851924192"/>
        <bgColor indexed="64"/>
      </patternFill>
    </fill>
    <fill>
      <patternFill patternType="solid">
        <fgColor indexed="60"/>
        <bgColor indexed="64"/>
      </patternFill>
    </fill>
    <fill>
      <patternFill patternType="solid">
        <fgColor indexed="62"/>
        <bgColor indexed="64"/>
      </patternFill>
    </fill>
    <fill>
      <patternFill patternType="solid">
        <fgColor indexed="63"/>
        <bgColor indexed="64"/>
      </patternFill>
    </fill>
    <fill>
      <patternFill patternType="solid">
        <fgColor indexed="56"/>
        <bgColor indexed="64"/>
      </patternFill>
    </fill>
    <fill>
      <patternFill patternType="solid">
        <fgColor rgb="FFC0C0C0"/>
        <bgColor indexed="64"/>
      </patternFill>
    </fill>
    <fill>
      <patternFill patternType="solid">
        <fgColor indexed="8"/>
        <bgColor indexed="64"/>
      </patternFill>
    </fill>
    <fill>
      <patternFill patternType="solid">
        <fgColor indexed="49"/>
        <bgColor indexed="64"/>
      </patternFill>
    </fill>
    <fill>
      <patternFill patternType="solid">
        <fgColor indexed="13"/>
        <bgColor indexed="64"/>
      </patternFill>
    </fill>
    <fill>
      <patternFill patternType="lightGray">
        <fgColor indexed="12"/>
      </patternFill>
    </fill>
    <fill>
      <patternFill patternType="solid">
        <fgColor indexed="22"/>
        <bgColor indexed="64"/>
      </patternFill>
    </fill>
    <fill>
      <patternFill patternType="solid">
        <fgColor indexed="13"/>
      </patternFill>
    </fill>
    <fill>
      <patternFill patternType="solid">
        <fgColor indexed="44"/>
        <bgColor indexed="64"/>
      </patternFill>
    </fill>
    <fill>
      <patternFill patternType="solid">
        <fgColor indexed="26"/>
        <bgColor indexed="64"/>
      </patternFill>
    </fill>
    <fill>
      <patternFill patternType="mediumGray">
        <fgColor indexed="22"/>
      </patternFill>
    </fill>
    <fill>
      <patternFill patternType="gray0625">
        <fgColor indexed="13"/>
      </patternFill>
    </fill>
    <fill>
      <patternFill patternType="gray125">
        <fgColor indexed="8"/>
      </patternFill>
    </fill>
    <fill>
      <patternFill patternType="solid">
        <fgColor rgb="FFFFC7CE"/>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rgb="FFFFC000"/>
        <bgColor indexed="64"/>
      </patternFill>
    </fill>
    <fill>
      <patternFill patternType="solid">
        <fgColor rgb="FFFF0000"/>
        <bgColor indexed="64"/>
      </patternFill>
    </fill>
    <fill>
      <patternFill patternType="solid">
        <fgColor indexed="55"/>
        <bgColor indexed="64"/>
      </patternFill>
    </fill>
    <fill>
      <patternFill patternType="solid">
        <fgColor indexed="46"/>
      </patternFill>
    </fill>
    <fill>
      <patternFill patternType="solid">
        <fgColor indexed="9"/>
      </patternFill>
    </fill>
    <fill>
      <patternFill patternType="solid">
        <fgColor indexed="45"/>
      </patternFill>
    </fill>
    <fill>
      <patternFill patternType="solid">
        <fgColor indexed="47"/>
      </patternFill>
    </fill>
    <fill>
      <patternFill patternType="solid">
        <fgColor indexed="60"/>
      </patternFill>
    </fill>
    <fill>
      <patternFill patternType="solid">
        <fgColor indexed="44"/>
      </patternFill>
    </fill>
    <fill>
      <patternFill patternType="solid">
        <fgColor indexed="26"/>
      </patternFill>
    </fill>
    <fill>
      <patternFill patternType="solid">
        <fgColor indexed="27"/>
      </patternFill>
    </fill>
    <fill>
      <patternFill patternType="solid">
        <fgColor indexed="43"/>
      </patternFill>
    </fill>
    <fill>
      <patternFill patternType="solid">
        <fgColor indexed="29"/>
      </patternFill>
    </fill>
    <fill>
      <patternFill patternType="solid">
        <fgColor indexed="31"/>
      </patternFill>
    </fill>
    <fill>
      <patternFill patternType="solid">
        <fgColor indexed="42"/>
      </patternFill>
    </fill>
    <fill>
      <patternFill patternType="solid">
        <fgColor indexed="22"/>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28"/>
      </patternFill>
    </fill>
    <fill>
      <patternFill patternType="solid">
        <fgColor indexed="10"/>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7"/>
      </patternFill>
    </fill>
    <fill>
      <patternFill patternType="solid">
        <fgColor indexed="54"/>
      </patternFill>
    </fill>
    <fill>
      <patternFill patternType="solid">
        <fgColor indexed="26"/>
        <bgColor indexed="26"/>
      </patternFill>
    </fill>
    <fill>
      <patternFill patternType="solid">
        <fgColor indexed="47"/>
        <bgColor indexed="47"/>
      </patternFill>
    </fill>
    <fill>
      <patternFill patternType="solid">
        <fgColor indexed="53"/>
      </patternFill>
    </fill>
    <fill>
      <patternFill patternType="solid">
        <fgColor indexed="14"/>
      </patternFill>
    </fill>
    <fill>
      <patternFill patternType="solid">
        <fgColor indexed="55"/>
      </patternFill>
    </fill>
    <fill>
      <patternFill patternType="solid">
        <fgColor theme="0" tint="-0.249977111117893"/>
        <bgColor indexed="64"/>
      </patternFill>
    </fill>
    <fill>
      <patternFill patternType="solid">
        <fgColor rgb="FFF0F0F0"/>
        <bgColor indexed="64"/>
      </patternFill>
    </fill>
    <fill>
      <patternFill patternType="solid">
        <fgColor rgb="FFB1C425"/>
        <bgColor indexed="64"/>
      </patternFill>
    </fill>
    <fill>
      <patternFill patternType="solid">
        <fgColor rgb="FFADADAD"/>
        <bgColor indexed="64"/>
      </patternFill>
    </fill>
    <fill>
      <patternFill patternType="solid">
        <fgColor rgb="FFFFFFFF"/>
        <bgColor indexed="64"/>
      </patternFill>
    </fill>
    <fill>
      <patternFill patternType="solid">
        <fgColor theme="3" tint="0.5999938962981048"/>
        <bgColor indexed="64"/>
      </patternFill>
    </fill>
    <fill>
      <patternFill patternType="solid">
        <fgColor theme="0" tint="-0.499984740745262"/>
        <bgColor indexed="64"/>
      </patternFill>
    </fill>
    <fill>
      <patternFill patternType="solid">
        <fgColor indexed="62"/>
      </patternFill>
    </fill>
    <fill>
      <patternFill patternType="solid">
        <fgColor rgb="FF1E9BD7"/>
        <bgColor indexed="64"/>
      </patternFill>
    </fill>
    <fill>
      <patternFill patternType="solid">
        <fgColor rgb="FFD9D9D9"/>
        <bgColor indexed="64"/>
      </patternFill>
    </fill>
    <fill>
      <patternFill patternType="solid">
        <fgColor rgb="FFD8D8D8"/>
        <bgColor indexed="64"/>
      </patternFill>
    </fill>
    <fill>
      <patternFill patternType="solid">
        <fgColor theme="0" tint="-0.0499893185216834"/>
        <bgColor indexed="64"/>
      </patternFill>
    </fill>
    <fill>
      <patternFill patternType="solid">
        <fgColor rgb="FFB9F7EF"/>
        <bgColor indexed="64"/>
      </patternFill>
    </fill>
    <fill>
      <patternFill patternType="solid">
        <fgColor rgb="FFD6D1EB"/>
        <bgColor indexed="64"/>
      </patternFill>
    </fill>
    <fill>
      <patternFill patternType="solid">
        <fgColor rgb="FF73C5EC"/>
        <bgColor indexed="64"/>
      </patternFill>
    </fill>
    <fill>
      <patternFill patternType="solid">
        <fgColor rgb="FFFFD87B"/>
        <bgColor indexed="64"/>
      </patternFill>
    </fill>
    <fill>
      <patternFill patternType="solid">
        <fgColor rgb="FF998DCD"/>
        <bgColor indexed="64"/>
      </patternFill>
    </fill>
    <fill>
      <patternFill patternType="solid">
        <fgColor rgb="FF1CD8C0"/>
        <bgColor indexed="64"/>
      </patternFill>
    </fill>
    <fill>
      <patternFill patternType="solid">
        <fgColor theme="9" tint="0.3999755851924192"/>
        <bgColor indexed="64"/>
      </patternFill>
    </fill>
  </fills>
  <borders count="1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diagonal/>
    </border>
    <border>
      <left style="thin">
        <color theme="0" tint="-0.249946592608417"/>
      </left>
      <right style="thin">
        <color theme="0" tint="-0.249946592608417"/>
      </right>
      <top style="thin">
        <color theme="0" tint="-0.249946592608417"/>
      </top>
      <bottom style="thin">
        <color theme="0" tint="-0.249946592608417"/>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diagonalDown="1">
      <left/>
      <right/>
      <top/>
      <bottom/>
      <diagonal/>
    </border>
    <border>
      <left/>
      <right/>
      <top/>
      <bottom style="thick">
        <color indexed="64"/>
      </bottom>
      <diagonal/>
    </border>
    <border>
      <left/>
      <right style="thin">
        <color indexed="8"/>
      </right>
      <top/>
      <bottom style="thin">
        <color indexed="8"/>
      </bottom>
      <diagonal/>
    </border>
    <border>
      <left/>
      <right/>
      <top/>
      <bottom style="double">
        <color indexed="64"/>
      </bottom>
      <diagonal/>
    </border>
    <border>
      <left style="thin">
        <color indexed="8"/>
      </left>
      <right style="thin">
        <color indexed="8"/>
      </right>
      <top style="thin">
        <color indexed="8"/>
      </top>
      <bottom style="thin">
        <color indexed="8"/>
      </bottom>
      <diagonal/>
    </border>
    <border>
      <left/>
      <right/>
      <top style="medium">
        <color indexed="64"/>
      </top>
      <bottom style="thin">
        <color indexed="64"/>
      </bottom>
      <diagonal/>
    </border>
    <border>
      <left style="thin">
        <color indexed="22"/>
      </left>
      <right style="thin">
        <color indexed="61"/>
      </right>
      <top style="thin">
        <color indexed="22"/>
      </top>
      <bottom style="thin">
        <color indexed="6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FF0000"/>
      </left>
      <right/>
      <top/>
      <bottom/>
      <diagonal/>
    </border>
    <border>
      <left style="thin">
        <color indexed="23"/>
      </left>
      <right style="thin">
        <color indexed="23"/>
      </right>
      <top style="thin">
        <color indexed="23"/>
      </top>
      <bottom style="thin">
        <color indexed="23"/>
      </bottom>
      <diagonal/>
    </border>
    <border>
      <left/>
      <right style="thin">
        <color rgb="FFFF0000"/>
      </right>
      <top/>
      <bottom/>
      <diagonal/>
    </border>
    <border>
      <left style="double">
        <color indexed="63"/>
      </left>
      <right style="double">
        <color indexed="63"/>
      </right>
      <top style="double">
        <color indexed="63"/>
      </top>
      <bottom style="double">
        <color indexed="63"/>
      </bottom>
      <diagonal/>
    </border>
    <border>
      <left/>
      <right/>
      <top/>
      <bottom style="thin">
        <color theme="0"/>
      </bottom>
      <diagonal/>
    </border>
    <border>
      <left/>
      <right/>
      <top/>
      <bottom style="mediumDashed">
        <color indexed="64"/>
      </bottom>
      <diagonal/>
    </border>
    <border>
      <left/>
      <right/>
      <top style="thick">
        <color rgb="FFFFFFFF"/>
      </top>
      <bottom/>
      <diagonal/>
    </border>
    <border>
      <left style="thick">
        <color rgb="FFFFFFFF"/>
      </left>
      <right/>
      <top style="thick">
        <color rgb="FFFFFFFF"/>
      </top>
      <bottom style="thick">
        <color rgb="FFFFFFFF"/>
      </bottom>
      <diagonal/>
    </border>
    <border>
      <left/>
      <right/>
      <top style="thick">
        <color rgb="FFFFFFFF"/>
      </top>
      <bottom style="thick">
        <color rgb="FFFFFFFF"/>
      </bottom>
      <diagonal/>
    </border>
    <border>
      <left/>
      <right style="thin">
        <color rgb="FFADADAD"/>
      </right>
      <top/>
      <bottom/>
      <diagonal/>
    </border>
    <border>
      <left style="thin">
        <color rgb="FFADADAD"/>
      </left>
      <right style="thin">
        <color rgb="FFADADAD"/>
      </right>
      <top/>
      <bottom/>
      <diagonal/>
    </border>
    <border>
      <left/>
      <right style="thin">
        <color rgb="FFADADAD"/>
      </right>
      <top style="thick">
        <color rgb="FFFFFFFF"/>
      </top>
      <bottom/>
      <diagonal/>
    </border>
    <border>
      <left/>
      <right style="thin">
        <color rgb="FFADADAD"/>
      </right>
      <top style="thick">
        <color rgb="FFFFFFFF"/>
      </top>
      <bottom style="thick">
        <color rgb="FFFFFFFF"/>
      </bottom>
      <diagonal/>
    </border>
    <border>
      <left style="thin">
        <color rgb="FFADADAD"/>
      </left>
      <right style="thin">
        <color rgb="FFADADAD"/>
      </right>
      <top style="thick">
        <color rgb="FFFFFFFF"/>
      </top>
      <bottom style="thick">
        <color rgb="FFFFFFFF"/>
      </bottom>
      <diagonal/>
    </border>
    <border>
      <left style="thin">
        <color rgb="FFADADAD"/>
      </left>
      <right/>
      <top style="thick">
        <color rgb="FFFFFFFF"/>
      </top>
      <bottom style="thick">
        <color rgb="FFFFFFFF"/>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ADADAD"/>
      </left>
      <right/>
      <top/>
      <bottom/>
      <diagonal/>
    </border>
    <border>
      <left style="thin">
        <color rgb="FFADADAD"/>
      </left>
      <right style="thin">
        <color rgb="FFADADAD"/>
      </right>
      <top style="thick">
        <color rgb="FFFFFFFF"/>
      </top>
      <bottom/>
      <diagonal/>
    </border>
    <border>
      <left style="thin">
        <color rgb="FFADADAD"/>
      </left>
      <right/>
      <top style="thick">
        <color rgb="FFFFFFFF"/>
      </top>
      <bottom/>
      <diagonal/>
    </border>
    <border>
      <left/>
      <right/>
      <top/>
      <bottom style="thick">
        <color rgb="FFFFFFFF"/>
      </bottom>
      <diagonal/>
    </border>
    <border>
      <left style="thick">
        <color rgb="FFFFFFFF"/>
      </left>
      <right/>
      <top/>
      <bottom/>
      <diagonal/>
    </border>
    <border>
      <left style="thin">
        <color theme="4" tint="0.3999755851924192"/>
      </left>
      <right style="thin">
        <color theme="4" tint="0.3999755851924192"/>
      </right>
      <top/>
      <bottom/>
      <diagonal/>
    </border>
    <border>
      <left/>
      <right style="thin">
        <color theme="4"/>
      </right>
      <top/>
      <bottom/>
      <diagonal/>
    </border>
    <border>
      <left style="thin">
        <color rgb="FFADADAD"/>
      </left>
      <right style="thin">
        <color theme="4"/>
      </right>
      <top/>
      <bottom/>
      <diagonal/>
    </border>
    <border>
      <left/>
      <right/>
      <top style="thin">
        <color rgb="FF000000"/>
      </top>
      <bottom/>
      <diagonal/>
    </border>
    <border>
      <left/>
      <right/>
      <top/>
      <bottom style="thin">
        <color auto="1"/>
      </bottom>
      <diagonal/>
    </border>
  </borders>
  <cellStyleXfs count="2198">
    <xf numFmtId="0" fontId="1" fillId="0" borderId="0"/>
    <xf numFmtId="43" fontId="1" fillId="0" borderId="0"/>
    <xf numFmtId="9" fontId="1" fillId="0" borderId="0"/>
    <xf numFmtId="0" fontId="4" fillId="0" borderId="0"/>
    <xf numFmtId="0" fontId="4" fillId="0" borderId="0"/>
    <xf numFmtId="191" fontId="4" fillId="0" borderId="0"/>
    <xf numFmtId="0" fontId="12" fillId="0" borderId="0"/>
    <xf numFmtId="0" fontId="13" fillId="0" borderId="0"/>
    <xf numFmtId="0" fontId="55" fillId="0" borderId="0"/>
    <xf numFmtId="0" fontId="56" fillId="0" borderId="0"/>
    <xf numFmtId="0" fontId="56" fillId="0" borderId="0"/>
    <xf numFmtId="0" fontId="56" fillId="0" borderId="0"/>
    <xf numFmtId="0" fontId="56" fillId="0" borderId="0"/>
    <xf numFmtId="0" fontId="57" fillId="13" borderId="0"/>
    <xf numFmtId="0" fontId="58" fillId="0" borderId="0"/>
    <xf numFmtId="0" fontId="59" fillId="14" borderId="0"/>
    <xf numFmtId="0" fontId="17" fillId="15" borderId="0"/>
    <xf numFmtId="0" fontId="60" fillId="0" borderId="0"/>
    <xf numFmtId="0" fontId="61" fillId="16" borderId="0"/>
    <xf numFmtId="0" fontId="62" fillId="0" borderId="0"/>
    <xf numFmtId="0" fontId="63" fillId="0" borderId="0"/>
    <xf numFmtId="0" fontId="64" fillId="0" borderId="0"/>
    <xf numFmtId="0" fontId="65" fillId="0" borderId="0"/>
    <xf numFmtId="0" fontId="66" fillId="0" borderId="0"/>
    <xf numFmtId="0" fontId="67" fillId="0" borderId="0"/>
    <xf numFmtId="0" fontId="64" fillId="0" borderId="0" applyAlignment="1">
      <alignment wrapText="1"/>
    </xf>
    <xf numFmtId="43" fontId="69" fillId="0" borderId="0"/>
    <xf numFmtId="0" fontId="69" fillId="0" borderId="0" applyAlignment="1">
      <alignment vertical="center"/>
    </xf>
    <xf numFmtId="0" fontId="1" fillId="0" borderId="0"/>
    <xf numFmtId="0" fontId="4" fillId="0" borderId="0"/>
    <xf numFmtId="0" fontId="4" fillId="0" borderId="0"/>
    <xf numFmtId="0" fontId="1" fillId="0" borderId="0"/>
    <xf numFmtId="0" fontId="4" fillId="0" borderId="0"/>
    <xf numFmtId="9" fontId="69" fillId="0" borderId="0"/>
    <xf numFmtId="9" fontId="4" fillId="0" borderId="0"/>
    <xf numFmtId="0" fontId="77" fillId="0" borderId="0"/>
    <xf numFmtId="43" fontId="77" fillId="0" borderId="0"/>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0" fontId="78" fillId="0" borderId="0" applyAlignment="1" applyProtection="1">
      <alignment vertical="top"/>
      <protection locked="0" hidden="0"/>
    </xf>
    <xf numFmtId="3" fontId="79" fillId="0" borderId="0"/>
    <xf numFmtId="0" fontId="78" fillId="0" borderId="0" applyAlignment="1" applyProtection="1">
      <alignment vertical="top"/>
      <protection locked="0" hidden="0"/>
    </xf>
    <xf numFmtId="3" fontId="79" fillId="0" borderId="0"/>
    <xf numFmtId="3" fontId="79" fillId="0" borderId="0"/>
    <xf numFmtId="0" fontId="78" fillId="0" borderId="0" applyAlignment="1" applyProtection="1">
      <alignment vertical="top"/>
      <protection locked="0" hidden="0"/>
    </xf>
    <xf numFmtId="0" fontId="80" fillId="0" borderId="0"/>
    <xf numFmtId="0" fontId="78" fillId="0" borderId="0" applyAlignment="1" applyProtection="1">
      <alignment vertical="top"/>
      <protection locked="0" hidden="0"/>
    </xf>
    <xf numFmtId="0" fontId="4" fillId="0" borderId="0" applyAlignment="1">
      <alignment horizontal="left" wrapText="1"/>
    </xf>
    <xf numFmtId="0" fontId="81" fillId="0" borderId="0" applyAlignment="1" applyProtection="1">
      <alignment vertical="top"/>
      <protection locked="0" hidden="0"/>
    </xf>
    <xf numFmtId="0" fontId="4" fillId="0" borderId="0"/>
    <xf numFmtId="0" fontId="4" fillId="0" borderId="0" applyAlignment="1">
      <alignment horizontal="left" wrapText="1"/>
    </xf>
    <xf numFmtId="3" fontId="79" fillId="0" borderId="0"/>
    <xf numFmtId="0" fontId="80" fillId="0" borderId="0"/>
    <xf numFmtId="0" fontId="80" fillId="0" borderId="0"/>
    <xf numFmtId="0" fontId="78" fillId="0" borderId="0" applyAlignment="1" applyProtection="1">
      <alignment vertical="top"/>
      <protection locked="0" hidden="0"/>
    </xf>
    <xf numFmtId="3" fontId="79" fillId="0" borderId="0"/>
    <xf numFmtId="0" fontId="82" fillId="0" borderId="0" applyAlignment="1" applyProtection="1">
      <alignment vertical="top"/>
      <protection locked="0" hidden="0"/>
    </xf>
    <xf numFmtId="0" fontId="83" fillId="0" borderId="0"/>
    <xf numFmtId="0" fontId="84" fillId="0" borderId="0"/>
    <xf numFmtId="9" fontId="85" fillId="0" borderId="0"/>
    <xf numFmtId="192" fontId="4" fillId="0" borderId="0"/>
    <xf numFmtId="193" fontId="4" fillId="0" borderId="0"/>
    <xf numFmtId="0" fontId="4" fillId="0" borderId="0"/>
    <xf numFmtId="0" fontId="86" fillId="0" borderId="15" applyAlignment="1">
      <alignment horizontal="center" vertical="center"/>
    </xf>
    <xf numFmtId="194" fontId="4" fillId="0" borderId="0"/>
    <xf numFmtId="195" fontId="4" fillId="0" borderId="0"/>
    <xf numFmtId="0" fontId="87" fillId="0" borderId="28" applyAlignment="1">
      <alignment horizontal="left"/>
    </xf>
    <xf numFmtId="0" fontId="88" fillId="0" borderId="28" applyAlignment="1">
      <alignment horizontal="left" wrapText="1"/>
    </xf>
    <xf numFmtId="0" fontId="89" fillId="0" borderId="0"/>
    <xf numFmtId="0" fontId="90" fillId="18" borderId="0"/>
    <xf numFmtId="0" fontId="91" fillId="0" borderId="0"/>
    <xf numFmtId="196" fontId="92" fillId="0" borderId="29"/>
    <xf numFmtId="41" fontId="4" fillId="0" borderId="0"/>
    <xf numFmtId="0" fontId="93" fillId="0" borderId="0"/>
    <xf numFmtId="41" fontId="4" fillId="0" borderId="0"/>
    <xf numFmtId="197" fontId="86" fillId="0" borderId="0"/>
    <xf numFmtId="0" fontId="4" fillId="19" borderId="9"/>
    <xf numFmtId="0" fontId="86" fillId="0" borderId="0"/>
    <xf numFmtId="0" fontId="88" fillId="0" borderId="0" applyAlignment="1">
      <alignment horizontal="right" vertical="center"/>
    </xf>
    <xf numFmtId="0" fontId="94" fillId="0" borderId="0"/>
    <xf numFmtId="0" fontId="94" fillId="0" borderId="0"/>
    <xf numFmtId="0" fontId="94" fillId="0" borderId="0"/>
    <xf numFmtId="0" fontId="94" fillId="0" borderId="0"/>
    <xf numFmtId="0" fontId="95" fillId="0" borderId="0" applyAlignment="1" applyProtection="1">
      <alignment horizontal="center"/>
      <protection locked="0" hidden="0"/>
    </xf>
    <xf numFmtId="198" fontId="86" fillId="0" borderId="0"/>
    <xf numFmtId="199" fontId="86" fillId="0" borderId="0"/>
    <xf numFmtId="0" fontId="87" fillId="0" borderId="0" applyAlignment="1">
      <alignment horizontal="center" vertical="center" wrapText="1"/>
    </xf>
    <xf numFmtId="0" fontId="96" fillId="0" borderId="0"/>
    <xf numFmtId="0" fontId="97" fillId="0" borderId="0" applyAlignment="1" applyProtection="1">
      <alignment horizontal="center" wrapText="1"/>
      <protection locked="1" hidden="1"/>
    </xf>
    <xf numFmtId="0" fontId="94" fillId="0" borderId="0"/>
    <xf numFmtId="0" fontId="94" fillId="0" borderId="0"/>
    <xf numFmtId="0" fontId="9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97" fontId="4" fillId="0" borderId="0"/>
    <xf numFmtId="185" fontId="98" fillId="0" borderId="0"/>
    <xf numFmtId="43" fontId="99" fillId="20" borderId="0"/>
    <xf numFmtId="43" fontId="4" fillId="0" borderId="0"/>
    <xf numFmtId="200" fontId="91" fillId="0" borderId="30"/>
    <xf numFmtId="3" fontId="4" fillId="0" borderId="0"/>
    <xf numFmtId="0" fontId="100" fillId="0" borderId="0"/>
    <xf numFmtId="3" fontId="4" fillId="0" borderId="0"/>
    <xf numFmtId="0" fontId="101" fillId="21" borderId="0" applyAlignment="1">
      <alignment horizontal="center" vertical="center" wrapText="1"/>
    </xf>
    <xf numFmtId="0" fontId="102" fillId="0" borderId="0" applyProtection="1">
      <protection locked="0" hidden="0"/>
    </xf>
    <xf numFmtId="0" fontId="103" fillId="0" borderId="0" applyAlignment="1">
      <alignment horizontal="left"/>
    </xf>
    <xf numFmtId="0" fontId="97" fillId="0" borderId="0" applyAlignment="1" applyProtection="1">
      <alignment horizontal="right"/>
      <protection locked="0" hidden="0"/>
    </xf>
    <xf numFmtId="0" fontId="100" fillId="0" borderId="0"/>
    <xf numFmtId="201" fontId="86" fillId="0" borderId="0"/>
    <xf numFmtId="202" fontId="99" fillId="20" borderId="0" applyProtection="1">
      <protection locked="0" hidden="0"/>
    </xf>
    <xf numFmtId="44" fontId="99" fillId="20" borderId="0" applyProtection="1">
      <protection locked="0" hidden="0"/>
    </xf>
    <xf numFmtId="44" fontId="4" fillId="0" borderId="0"/>
    <xf numFmtId="44" fontId="4" fillId="0" borderId="0"/>
    <xf numFmtId="5" fontId="4" fillId="0" borderId="0"/>
    <xf numFmtId="203" fontId="92" fillId="0" borderId="0"/>
    <xf numFmtId="0" fontId="104" fillId="0" borderId="0" applyAlignment="1">
      <alignment vertical="center"/>
    </xf>
    <xf numFmtId="14" fontId="4" fillId="0" borderId="0"/>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04" fontId="86" fillId="0" borderId="31"/>
    <xf numFmtId="205" fontId="105" fillId="0" borderId="0"/>
    <xf numFmtId="180" fontId="86" fillId="0" borderId="0"/>
    <xf numFmtId="180" fontId="86" fillId="0" borderId="19"/>
    <xf numFmtId="0" fontId="86" fillId="22" borderId="0"/>
    <xf numFmtId="0" fontId="106" fillId="0" borderId="0" applyAlignment="1">
      <alignment horizontal="left"/>
    </xf>
    <xf numFmtId="9" fontId="107" fillId="0" borderId="9" applyProtection="1">
      <protection locked="0" hidden="0"/>
    </xf>
    <xf numFmtId="206" fontId="86" fillId="0" borderId="31"/>
    <xf numFmtId="207" fontId="86" fillId="0" borderId="0"/>
    <xf numFmtId="208" fontId="86" fillId="0" borderId="0"/>
    <xf numFmtId="209" fontId="86" fillId="0" borderId="0"/>
    <xf numFmtId="210" fontId="86" fillId="0" borderId="0"/>
    <xf numFmtId="211" fontId="86" fillId="0" borderId="0"/>
    <xf numFmtId="212" fontId="108" fillId="0" borderId="31"/>
    <xf numFmtId="175" fontId="92" fillId="0" borderId="0"/>
    <xf numFmtId="213" fontId="86" fillId="0" borderId="0"/>
    <xf numFmtId="214" fontId="86" fillId="0" borderId="0"/>
    <xf numFmtId="215" fontId="86" fillId="0" borderId="0"/>
    <xf numFmtId="216" fontId="109" fillId="0" borderId="0" applyAlignment="1" applyProtection="1">
      <alignment horizontal="right"/>
      <protection locked="0" hidden="0"/>
    </xf>
    <xf numFmtId="0" fontId="94" fillId="0" borderId="0"/>
    <xf numFmtId="11" fontId="97" fillId="23" borderId="9"/>
    <xf numFmtId="2" fontId="4" fillId="0" borderId="0"/>
    <xf numFmtId="0" fontId="110" fillId="0" borderId="0" applyAlignment="1" applyProtection="1">
      <alignment vertical="top"/>
      <protection locked="0" hidden="0"/>
    </xf>
    <xf numFmtId="0" fontId="94" fillId="0" borderId="0"/>
    <xf numFmtId="0" fontId="111" fillId="0" borderId="0" applyAlignment="1">
      <alignment horizontal="left"/>
    </xf>
    <xf numFmtId="38" fontId="72" fillId="22" borderId="0"/>
    <xf numFmtId="0" fontId="112" fillId="24" borderId="0" applyAlignment="1">
      <alignment horizontal="left"/>
    </xf>
    <xf numFmtId="0" fontId="113" fillId="0" borderId="27" applyAlignment="1">
      <alignment horizontal="left" vertical="center"/>
    </xf>
    <xf numFmtId="0" fontId="113" fillId="0" borderId="15" applyAlignment="1">
      <alignment horizontal="left" vertical="center"/>
    </xf>
    <xf numFmtId="0" fontId="114" fillId="0" borderId="0" applyProtection="1">
      <protection locked="0" hidden="0"/>
    </xf>
    <xf numFmtId="0" fontId="95" fillId="0" borderId="0" applyProtection="1">
      <protection locked="0" hidden="0"/>
    </xf>
    <xf numFmtId="0" fontId="95" fillId="0" borderId="16" applyProtection="1">
      <protection locked="0" hidden="0"/>
    </xf>
    <xf numFmtId="0" fontId="4" fillId="0" borderId="0" applyAlignment="1">
      <alignment wrapText="1"/>
    </xf>
    <xf numFmtId="0" fontId="4" fillId="0" borderId="0" applyAlignment="1">
      <alignment horizontal="justify" vertical="top" wrapText="1"/>
    </xf>
    <xf numFmtId="0" fontId="115" fillId="0" borderId="0" applyAlignment="1" applyProtection="1">
      <alignment vertical="top"/>
      <protection locked="0" hidden="0"/>
    </xf>
    <xf numFmtId="10" fontId="72" fillId="25" borderId="9"/>
    <xf numFmtId="0" fontId="97" fillId="0" borderId="0" applyAlignment="1" applyProtection="1">
      <alignment horizontal="right"/>
      <protection locked="0" hidden="0"/>
    </xf>
    <xf numFmtId="0" fontId="97" fillId="0" borderId="0" applyAlignment="1" applyProtection="1">
      <alignment horizontal="right"/>
      <protection locked="0" hidden="0"/>
    </xf>
    <xf numFmtId="0" fontId="9" fillId="20" borderId="32" applyAlignment="1">
      <alignment horizontal="left" vertical="center" wrapText="1"/>
    </xf>
    <xf numFmtId="0" fontId="116" fillId="0" borderId="0" applyAlignment="1">
      <alignment horizontal="left" vertical="center"/>
    </xf>
    <xf numFmtId="0" fontId="94" fillId="0" borderId="0"/>
    <xf numFmtId="0" fontId="94" fillId="0" borderId="0"/>
    <xf numFmtId="0" fontId="94" fillId="0" borderId="0"/>
    <xf numFmtId="0" fontId="94" fillId="0" borderId="0"/>
    <xf numFmtId="0" fontId="94" fillId="0" borderId="0"/>
    <xf numFmtId="0" fontId="94" fillId="0" borderId="0"/>
    <xf numFmtId="0" fontId="94" fillId="0" borderId="0"/>
    <xf numFmtId="217" fontId="40" fillId="0" borderId="0"/>
    <xf numFmtId="38" fontId="40" fillId="0" borderId="0"/>
    <xf numFmtId="38" fontId="40" fillId="0" borderId="0"/>
    <xf numFmtId="218" fontId="4" fillId="0" borderId="0"/>
    <xf numFmtId="0" fontId="117" fillId="0" borderId="0"/>
    <xf numFmtId="37" fontId="118" fillId="0" borderId="0"/>
    <xf numFmtId="0" fontId="86" fillId="0" borderId="0"/>
    <xf numFmtId="0" fontId="1" fillId="0" borderId="0"/>
    <xf numFmtId="219" fontId="4" fillId="0" borderId="0" applyAlignment="1">
      <alignment horizontal="center"/>
    </xf>
    <xf numFmtId="0" fontId="92" fillId="0" borderId="0" applyAlignment="1">
      <alignment horizontal="left"/>
    </xf>
    <xf numFmtId="37" fontId="86" fillId="0" borderId="0" applyAlignment="1">
      <alignment vertical="top"/>
    </xf>
    <xf numFmtId="175" fontId="86" fillId="0" borderId="0" applyAlignment="1" applyProtection="1">
      <alignment vertical="top"/>
      <protection locked="0" hidden="0"/>
    </xf>
    <xf numFmtId="39" fontId="86" fillId="0" borderId="0" applyAlignment="1">
      <alignment vertical="top"/>
    </xf>
    <xf numFmtId="3" fontId="79" fillId="0" borderId="10"/>
    <xf numFmtId="37" fontId="119" fillId="0" borderId="0" applyAlignment="1">
      <alignment horizontal="center"/>
    </xf>
    <xf numFmtId="220" fontId="79" fillId="0" borderId="0"/>
    <xf numFmtId="172" fontId="86" fillId="0" borderId="0"/>
    <xf numFmtId="221" fontId="99" fillId="20" borderId="0"/>
    <xf numFmtId="222" fontId="120" fillId="0" borderId="0"/>
    <xf numFmtId="10" fontId="4" fillId="0" borderId="0"/>
    <xf numFmtId="9" fontId="86" fillId="0" borderId="0"/>
    <xf numFmtId="10" fontId="86" fillId="0" borderId="0"/>
    <xf numFmtId="0" fontId="97" fillId="0" borderId="0" applyAlignment="1" applyProtection="1">
      <alignment horizontal="right"/>
      <protection locked="0" hidden="0"/>
    </xf>
    <xf numFmtId="0" fontId="97" fillId="0" borderId="0" applyAlignment="1">
      <alignment horizontal="left"/>
    </xf>
    <xf numFmtId="15" fontId="97" fillId="0" borderId="0"/>
    <xf numFmtId="4" fontId="97" fillId="0" borderId="0"/>
    <xf numFmtId="0" fontId="121" fillId="0" borderId="7" applyAlignment="1">
      <alignment horizontal="center"/>
    </xf>
    <xf numFmtId="3" fontId="97" fillId="0" borderId="0"/>
    <xf numFmtId="0" fontId="97" fillId="26" borderId="0"/>
    <xf numFmtId="0" fontId="97" fillId="0" borderId="0" applyAlignment="1" applyProtection="1">
      <alignment horizontal="right"/>
      <protection locked="0" hidden="0"/>
    </xf>
    <xf numFmtId="49" fontId="79" fillId="0" borderId="0" applyAlignment="1">
      <alignment horizontal="right"/>
    </xf>
    <xf numFmtId="0" fontId="122" fillId="0" borderId="0" applyAlignment="1">
      <alignment horizontal="center" wrapText="1"/>
    </xf>
    <xf numFmtId="0" fontId="80" fillId="0" borderId="11"/>
    <xf numFmtId="223" fontId="123" fillId="0" borderId="0" applyAlignment="1">
      <alignment horizontal="left"/>
    </xf>
    <xf numFmtId="0" fontId="88" fillId="0" borderId="0" applyAlignment="1">
      <alignment horizontal="left" vertical="center" wrapText="1"/>
    </xf>
    <xf numFmtId="0" fontId="124" fillId="0" borderId="0"/>
    <xf numFmtId="0" fontId="125" fillId="0" borderId="33"/>
    <xf numFmtId="0" fontId="86" fillId="0" borderId="9"/>
    <xf numFmtId="0" fontId="122" fillId="2" borderId="0" applyAlignment="1">
      <alignment horizontal="center" wrapText="1"/>
    </xf>
    <xf numFmtId="0" fontId="126" fillId="21" borderId="9" applyAlignment="1" applyProtection="1">
      <alignment horizontal="center" vertical="center" wrapText="1"/>
      <protection locked="1" hidden="1"/>
    </xf>
    <xf numFmtId="0" fontId="4" fillId="25" borderId="34"/>
    <xf numFmtId="0" fontId="86" fillId="0" borderId="16" applyAlignment="1">
      <alignment horizontal="center" vertical="center"/>
    </xf>
    <xf numFmtId="0" fontId="4" fillId="27" borderId="0"/>
    <xf numFmtId="0" fontId="100" fillId="28" borderId="0"/>
    <xf numFmtId="0" fontId="4" fillId="0" borderId="0"/>
    <xf numFmtId="3" fontId="72" fillId="0" borderId="0"/>
    <xf numFmtId="0" fontId="87" fillId="0" borderId="0" applyAlignment="1">
      <alignment horizontal="left" vertical="center" wrapText="1"/>
    </xf>
    <xf numFmtId="0" fontId="97" fillId="0" borderId="0"/>
    <xf numFmtId="0" fontId="127" fillId="0" borderId="0"/>
    <xf numFmtId="224" fontId="123" fillId="0" borderId="0"/>
    <xf numFmtId="0" fontId="78" fillId="0" borderId="0" applyAlignment="1" applyProtection="1">
      <alignment vertical="top"/>
      <protection locked="0" hidden="0"/>
    </xf>
    <xf numFmtId="0" fontId="128" fillId="15" borderId="0"/>
    <xf numFmtId="0" fontId="102" fillId="0" borderId="0"/>
    <xf numFmtId="0" fontId="15" fillId="15" borderId="0"/>
    <xf numFmtId="0" fontId="113" fillId="0" borderId="0"/>
    <xf numFmtId="0" fontId="9" fillId="0" borderId="0"/>
    <xf numFmtId="0" fontId="17" fillId="18" borderId="0"/>
    <xf numFmtId="0" fontId="17" fillId="18" borderId="0" applyAlignment="1">
      <alignment horizontal="center"/>
    </xf>
    <xf numFmtId="0" fontId="129" fillId="18" borderId="0"/>
    <xf numFmtId="0" fontId="4" fillId="0" borderId="0" applyAlignment="1">
      <alignment horizontal="right"/>
    </xf>
    <xf numFmtId="0" fontId="4" fillId="0" borderId="0" applyAlignment="1">
      <alignment horizontal="left"/>
    </xf>
    <xf numFmtId="0" fontId="72" fillId="0" borderId="0"/>
    <xf numFmtId="0" fontId="130" fillId="0" borderId="0"/>
    <xf numFmtId="0" fontId="4" fillId="14" borderId="0"/>
    <xf numFmtId="170" fontId="4" fillId="0" borderId="0"/>
    <xf numFmtId="2" fontId="4" fillId="0" borderId="0"/>
    <xf numFmtId="180" fontId="4" fillId="0" borderId="0"/>
    <xf numFmtId="0" fontId="4" fillId="0" borderId="7"/>
    <xf numFmtId="0" fontId="4" fillId="0" borderId="7"/>
    <xf numFmtId="0" fontId="131" fillId="0" borderId="0"/>
    <xf numFmtId="0" fontId="122" fillId="0" borderId="0" applyAlignment="1">
      <alignment horizontal="left"/>
    </xf>
    <xf numFmtId="0" fontId="132" fillId="0" borderId="0"/>
    <xf numFmtId="40" fontId="133" fillId="0" borderId="0" applyAlignment="1">
      <alignment horizontal="right"/>
    </xf>
    <xf numFmtId="225" fontId="122" fillId="25" borderId="9"/>
    <xf numFmtId="0" fontId="94" fillId="0" borderId="0"/>
    <xf numFmtId="0" fontId="94" fillId="0" borderId="0"/>
    <xf numFmtId="0" fontId="94" fillId="0" borderId="0"/>
    <xf numFmtId="0" fontId="94" fillId="0" borderId="0"/>
    <xf numFmtId="0" fontId="94" fillId="0" borderId="0"/>
    <xf numFmtId="0" fontId="94" fillId="0" borderId="0"/>
    <xf numFmtId="3" fontId="134" fillId="0" borderId="0"/>
    <xf numFmtId="0" fontId="94" fillId="0" borderId="0"/>
    <xf numFmtId="0" fontId="94" fillId="0" borderId="0"/>
    <xf numFmtId="0" fontId="94" fillId="0" borderId="0"/>
    <xf numFmtId="226" fontId="94" fillId="0" borderId="0"/>
    <xf numFmtId="227" fontId="94" fillId="0" borderId="0"/>
    <xf numFmtId="0" fontId="94" fillId="0" borderId="0"/>
    <xf numFmtId="0" fontId="94" fillId="0" borderId="0"/>
    <xf numFmtId="226" fontId="94" fillId="0" borderId="0"/>
    <xf numFmtId="0" fontId="112" fillId="0" borderId="0" applyAlignment="1">
      <alignment horizontal="centerContinuous"/>
    </xf>
    <xf numFmtId="0" fontId="135" fillId="0" borderId="0" applyAlignment="1">
      <alignment horizontal="left"/>
    </xf>
    <xf numFmtId="0" fontId="135" fillId="0" borderId="0" applyAlignment="1">
      <alignment horizontal="right"/>
    </xf>
    <xf numFmtId="0" fontId="136" fillId="0" borderId="0" applyAlignment="1">
      <alignment horizontal="right"/>
    </xf>
    <xf numFmtId="0" fontId="112" fillId="0" borderId="0" applyAlignment="1">
      <alignment horizontal="centerContinuous"/>
    </xf>
    <xf numFmtId="0" fontId="137" fillId="0" borderId="0"/>
    <xf numFmtId="0" fontId="94" fillId="0" borderId="0"/>
    <xf numFmtId="40" fontId="138" fillId="0" borderId="0"/>
    <xf numFmtId="3" fontId="139" fillId="0" borderId="0"/>
    <xf numFmtId="0" fontId="97" fillId="0" borderId="0"/>
    <xf numFmtId="0" fontId="140" fillId="0" borderId="0"/>
    <xf numFmtId="0" fontId="134" fillId="0" borderId="15" applyAlignment="1">
      <alignment horizontal="center" wrapText="1"/>
    </xf>
    <xf numFmtId="3" fontId="134" fillId="0" borderId="16"/>
    <xf numFmtId="228" fontId="86" fillId="0" borderId="0"/>
    <xf numFmtId="0" fontId="141" fillId="0" borderId="0"/>
    <xf numFmtId="0" fontId="142" fillId="0" borderId="0"/>
    <xf numFmtId="0" fontId="55" fillId="0" borderId="0"/>
    <xf numFmtId="0" fontId="55" fillId="0" borderId="0"/>
    <xf numFmtId="0" fontId="56" fillId="0" borderId="0"/>
    <xf numFmtId="0" fontId="56" fillId="0" borderId="0"/>
    <xf numFmtId="0" fontId="143" fillId="0" borderId="0"/>
    <xf numFmtId="0" fontId="4" fillId="0" borderId="0"/>
    <xf numFmtId="0" fontId="4" fillId="0" borderId="0"/>
    <xf numFmtId="0" fontId="144" fillId="0" borderId="0"/>
    <xf numFmtId="0" fontId="4" fillId="0" borderId="0"/>
    <xf numFmtId="0" fontId="4" fillId="0" borderId="0"/>
    <xf numFmtId="180" fontId="145" fillId="57" borderId="37"/>
    <xf numFmtId="43" fontId="55" fillId="0" borderId="0"/>
    <xf numFmtId="229" fontId="55" fillId="0" borderId="0"/>
    <xf numFmtId="41" fontId="86" fillId="0" borderId="0"/>
    <xf numFmtId="4" fontId="146" fillId="58" borderId="142" applyAlignment="1" applyProtection="1">
      <alignment readingOrder="1"/>
      <protection locked="0" hidden="0"/>
    </xf>
    <xf numFmtId="0" fontId="147" fillId="0" borderId="0"/>
    <xf numFmtId="167" fontId="148" fillId="59" borderId="0"/>
    <xf numFmtId="167" fontId="149" fillId="59" borderId="0"/>
    <xf numFmtId="0" fontId="148" fillId="60" borderId="0"/>
    <xf numFmtId="230" fontId="150" fillId="33" borderId="0"/>
    <xf numFmtId="231" fontId="149" fillId="59" borderId="0"/>
    <xf numFmtId="0" fontId="149" fillId="59" borderId="0"/>
    <xf numFmtId="167" fontId="148" fillId="59" borderId="0"/>
    <xf numFmtId="167" fontId="148" fillId="59" borderId="0"/>
    <xf numFmtId="0" fontId="150" fillId="33" borderId="0"/>
    <xf numFmtId="0" fontId="150" fillId="33" borderId="0"/>
    <xf numFmtId="0" fontId="150" fillId="33" borderId="0"/>
    <xf numFmtId="230" fontId="149" fillId="59" borderId="0"/>
    <xf numFmtId="230" fontId="150" fillId="33" borderId="0"/>
    <xf numFmtId="231" fontId="150" fillId="33" borderId="0"/>
    <xf numFmtId="0" fontId="150" fillId="33" borderId="0"/>
    <xf numFmtId="0" fontId="150" fillId="33" borderId="0"/>
    <xf numFmtId="0" fontId="150" fillId="33" borderId="0"/>
    <xf numFmtId="167" fontId="149" fillId="59" borderId="0"/>
    <xf numFmtId="0" fontId="150" fillId="33" borderId="0"/>
    <xf numFmtId="231" fontId="150" fillId="33" borderId="0"/>
    <xf numFmtId="0" fontId="150" fillId="33" borderId="0"/>
    <xf numFmtId="230" fontId="150" fillId="33" borderId="0"/>
    <xf numFmtId="230" fontId="150" fillId="33" borderId="0"/>
    <xf numFmtId="231" fontId="150" fillId="33" borderId="0"/>
    <xf numFmtId="0" fontId="150" fillId="33" borderId="0"/>
    <xf numFmtId="0" fontId="150" fillId="33" borderId="0"/>
    <xf numFmtId="167" fontId="148" fillId="60"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50" fillId="33" borderId="0"/>
    <xf numFmtId="0" fontId="150" fillId="33" borderId="0"/>
    <xf numFmtId="0" fontId="150" fillId="33" borderId="0"/>
    <xf numFmtId="230" fontId="151" fillId="33" borderId="0"/>
    <xf numFmtId="230" fontId="151" fillId="33" borderId="0"/>
    <xf numFmtId="230" fontId="151" fillId="33" borderId="0"/>
    <xf numFmtId="0" fontId="150" fillId="33" borderId="0"/>
    <xf numFmtId="230" fontId="151" fillId="33" borderId="0"/>
    <xf numFmtId="230" fontId="151" fillId="33" borderId="0"/>
    <xf numFmtId="230" fontId="151" fillId="33" borderId="0"/>
    <xf numFmtId="0" fontId="150" fillId="33" borderId="0"/>
    <xf numFmtId="0" fontId="148" fillId="60"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230" fontId="151" fillId="33" borderId="0"/>
    <xf numFmtId="0" fontId="150" fillId="33" borderId="0"/>
    <xf numFmtId="230" fontId="151" fillId="33" borderId="0"/>
    <xf numFmtId="0" fontId="150" fillId="33" borderId="0"/>
    <xf numFmtId="0" fontId="150" fillId="33" borderId="0"/>
    <xf numFmtId="0" fontId="150" fillId="33" borderId="0"/>
    <xf numFmtId="231" fontId="150" fillId="33" borderId="0"/>
    <xf numFmtId="167" fontId="148" fillId="61" borderId="0"/>
    <xf numFmtId="167" fontId="149" fillId="61" borderId="0"/>
    <xf numFmtId="0" fontId="148" fillId="62" borderId="0"/>
    <xf numFmtId="230" fontId="150" fillId="37" borderId="0"/>
    <xf numFmtId="231" fontId="149" fillId="61" borderId="0"/>
    <xf numFmtId="0" fontId="149" fillId="61" borderId="0"/>
    <xf numFmtId="167" fontId="148" fillId="61" borderId="0"/>
    <xf numFmtId="167" fontId="148" fillId="61" borderId="0"/>
    <xf numFmtId="0" fontId="150" fillId="37" borderId="0"/>
    <xf numFmtId="0" fontId="150" fillId="37" borderId="0"/>
    <xf numFmtId="0" fontId="150" fillId="37" borderId="0"/>
    <xf numFmtId="230" fontId="149" fillId="61" borderId="0"/>
    <xf numFmtId="230" fontId="150" fillId="37" borderId="0"/>
    <xf numFmtId="231" fontId="150" fillId="37" borderId="0"/>
    <xf numFmtId="0" fontId="150" fillId="37" borderId="0"/>
    <xf numFmtId="0" fontId="150" fillId="37" borderId="0"/>
    <xf numFmtId="0" fontId="150" fillId="37" borderId="0"/>
    <xf numFmtId="167" fontId="149" fillId="61" borderId="0"/>
    <xf numFmtId="0" fontId="150" fillId="37" borderId="0"/>
    <xf numFmtId="231" fontId="150" fillId="37" borderId="0"/>
    <xf numFmtId="0" fontId="150" fillId="37" borderId="0"/>
    <xf numFmtId="230" fontId="150" fillId="37" borderId="0"/>
    <xf numFmtId="230" fontId="150" fillId="37" borderId="0"/>
    <xf numFmtId="231" fontId="150" fillId="37" borderId="0"/>
    <xf numFmtId="0" fontId="150" fillId="37" borderId="0"/>
    <xf numFmtId="0" fontId="150" fillId="37" borderId="0"/>
    <xf numFmtId="167" fontId="148" fillId="63"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50" fillId="37" borderId="0"/>
    <xf numFmtId="0" fontId="150" fillId="37" borderId="0"/>
    <xf numFmtId="0" fontId="150" fillId="37" borderId="0"/>
    <xf numFmtId="230" fontId="151" fillId="37" borderId="0"/>
    <xf numFmtId="230" fontId="151" fillId="37" borderId="0"/>
    <xf numFmtId="230" fontId="151" fillId="37" borderId="0"/>
    <xf numFmtId="0" fontId="150" fillId="37" borderId="0"/>
    <xf numFmtId="230" fontId="151" fillId="37" borderId="0"/>
    <xf numFmtId="230" fontId="151" fillId="37" borderId="0"/>
    <xf numFmtId="230" fontId="151" fillId="37" borderId="0"/>
    <xf numFmtId="0" fontId="150" fillId="37" borderId="0"/>
    <xf numFmtId="0" fontId="148" fillId="62"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230" fontId="151" fillId="37" borderId="0"/>
    <xf numFmtId="0" fontId="150" fillId="37" borderId="0"/>
    <xf numFmtId="230" fontId="151" fillId="37" borderId="0"/>
    <xf numFmtId="0" fontId="150" fillId="37" borderId="0"/>
    <xf numFmtId="0" fontId="150" fillId="37" borderId="0"/>
    <xf numFmtId="0" fontId="150" fillId="37" borderId="0"/>
    <xf numFmtId="231" fontId="150" fillId="37" borderId="0"/>
    <xf numFmtId="167" fontId="148" fillId="64" borderId="0"/>
    <xf numFmtId="0" fontId="150" fillId="41" borderId="0"/>
    <xf numFmtId="0" fontId="150" fillId="41" borderId="0"/>
    <xf numFmtId="167" fontId="149" fillId="64" borderId="0"/>
    <xf numFmtId="0" fontId="148" fillId="65" borderId="0"/>
    <xf numFmtId="230" fontId="150" fillId="41" borderId="0"/>
    <xf numFmtId="231" fontId="149" fillId="64" borderId="0"/>
    <xf numFmtId="0" fontId="149" fillId="64" borderId="0"/>
    <xf numFmtId="167" fontId="148" fillId="61" borderId="0"/>
    <xf numFmtId="0" fontId="150" fillId="41" borderId="0"/>
    <xf numFmtId="0" fontId="148" fillId="61" borderId="0"/>
    <xf numFmtId="0" fontId="150" fillId="41" borderId="0"/>
    <xf numFmtId="0" fontId="150" fillId="41" borderId="0"/>
    <xf numFmtId="0" fontId="148" fillId="61" borderId="0"/>
    <xf numFmtId="167" fontId="148" fillId="64" borderId="0"/>
    <xf numFmtId="167" fontId="148" fillId="64" borderId="0"/>
    <xf numFmtId="0" fontId="150" fillId="41" borderId="0"/>
    <xf numFmtId="230" fontId="150" fillId="41" borderId="0"/>
    <xf numFmtId="230" fontId="150" fillId="41" borderId="0"/>
    <xf numFmtId="231" fontId="150" fillId="41" borderId="0"/>
    <xf numFmtId="0" fontId="149" fillId="64" borderId="0"/>
    <xf numFmtId="167" fontId="148" fillId="64" borderId="0"/>
    <xf numFmtId="0" fontId="150" fillId="41" borderId="0"/>
    <xf numFmtId="167" fontId="149" fillId="64" borderId="0"/>
    <xf numFmtId="167" fontId="148" fillId="64" borderId="0"/>
    <xf numFmtId="0" fontId="150" fillId="41" borderId="0"/>
    <xf numFmtId="0" fontId="148" fillId="64" borderId="0"/>
    <xf numFmtId="0" fontId="150" fillId="41" borderId="0"/>
    <xf numFmtId="0" fontId="150" fillId="41" borderId="0"/>
    <xf numFmtId="0" fontId="148" fillId="64" borderId="0"/>
    <xf numFmtId="167" fontId="148" fillId="64" borderId="0"/>
    <xf numFmtId="231" fontId="150" fillId="41" borderId="0"/>
    <xf numFmtId="0" fontId="150" fillId="41" borderId="0"/>
    <xf numFmtId="0" fontId="150" fillId="41" borderId="0"/>
    <xf numFmtId="230" fontId="150" fillId="41" borderId="0"/>
    <xf numFmtId="231" fontId="150" fillId="41" borderId="0"/>
    <xf numFmtId="0" fontId="150" fillId="41" borderId="0"/>
    <xf numFmtId="0" fontId="150" fillId="41" borderId="0"/>
    <xf numFmtId="0" fontId="150" fillId="41" borderId="0"/>
    <xf numFmtId="167" fontId="148" fillId="6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230" fontId="151" fillId="41" borderId="0"/>
    <xf numFmtId="231" fontId="148" fillId="61" borderId="0"/>
    <xf numFmtId="0" fontId="150" fillId="41" borderId="0"/>
    <xf numFmtId="0" fontId="148" fillId="61" borderId="0"/>
    <xf numFmtId="167" fontId="148" fillId="63" borderId="0"/>
    <xf numFmtId="0" fontId="150" fillId="41" borderId="0"/>
    <xf numFmtId="230" fontId="151" fillId="41" borderId="0"/>
    <xf numFmtId="230" fontId="151" fillId="41" borderId="0"/>
    <xf numFmtId="230" fontId="151" fillId="41" borderId="0"/>
    <xf numFmtId="0" fontId="150" fillId="41" borderId="0"/>
    <xf numFmtId="230" fontId="151" fillId="41" borderId="0"/>
    <xf numFmtId="230" fontId="151" fillId="41" borderId="0"/>
    <xf numFmtId="230" fontId="151" fillId="41" borderId="0"/>
    <xf numFmtId="0" fontId="150" fillId="41" borderId="0"/>
    <xf numFmtId="0" fontId="150" fillId="41" borderId="0"/>
    <xf numFmtId="0" fontId="148" fillId="65"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230" fontId="151" fillId="41" borderId="0"/>
    <xf numFmtId="0" fontId="150" fillId="41" borderId="0"/>
    <xf numFmtId="230" fontId="151" fillId="41" borderId="0"/>
    <xf numFmtId="0" fontId="150" fillId="41" borderId="0"/>
    <xf numFmtId="0" fontId="150" fillId="41" borderId="0"/>
    <xf numFmtId="0" fontId="150" fillId="41" borderId="0"/>
    <xf numFmtId="231" fontId="150" fillId="41" borderId="0"/>
    <xf numFmtId="167" fontId="148" fillId="60" borderId="0"/>
    <xf numFmtId="167" fontId="149" fillId="60" borderId="0"/>
    <xf numFmtId="0" fontId="148" fillId="60" borderId="0"/>
    <xf numFmtId="230" fontId="150" fillId="45" borderId="0"/>
    <xf numFmtId="231" fontId="149" fillId="60" borderId="0"/>
    <xf numFmtId="0" fontId="149" fillId="60" borderId="0"/>
    <xf numFmtId="167" fontId="148" fillId="60" borderId="0"/>
    <xf numFmtId="167" fontId="148" fillId="60" borderId="0"/>
    <xf numFmtId="0" fontId="150" fillId="45" borderId="0"/>
    <xf numFmtId="0" fontId="150" fillId="45" borderId="0"/>
    <xf numFmtId="0" fontId="150" fillId="45" borderId="0"/>
    <xf numFmtId="230" fontId="149" fillId="60" borderId="0"/>
    <xf numFmtId="230" fontId="150" fillId="45" borderId="0"/>
    <xf numFmtId="231" fontId="150" fillId="45" borderId="0"/>
    <xf numFmtId="0" fontId="150" fillId="45" borderId="0"/>
    <xf numFmtId="0" fontId="150" fillId="45" borderId="0"/>
    <xf numFmtId="0" fontId="150" fillId="45" borderId="0"/>
    <xf numFmtId="167" fontId="149" fillId="60" borderId="0"/>
    <xf numFmtId="0" fontId="150" fillId="45" borderId="0"/>
    <xf numFmtId="231" fontId="150" fillId="45" borderId="0"/>
    <xf numFmtId="0" fontId="150" fillId="45" borderId="0"/>
    <xf numFmtId="230" fontId="150" fillId="45" borderId="0"/>
    <xf numFmtId="230" fontId="150" fillId="45" borderId="0"/>
    <xf numFmtId="231" fontId="150" fillId="45" borderId="0"/>
    <xf numFmtId="0" fontId="150" fillId="45" borderId="0"/>
    <xf numFmtId="0" fontId="150" fillId="45" borderId="0"/>
    <xf numFmtId="167" fontId="148" fillId="60"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50" fillId="45" borderId="0"/>
    <xf numFmtId="0" fontId="150" fillId="45" borderId="0"/>
    <xf numFmtId="0" fontId="150" fillId="45" borderId="0"/>
    <xf numFmtId="230" fontId="151" fillId="45" borderId="0"/>
    <xf numFmtId="230" fontId="151" fillId="45" borderId="0"/>
    <xf numFmtId="230" fontId="151" fillId="45" borderId="0"/>
    <xf numFmtId="0" fontId="150" fillId="45" borderId="0"/>
    <xf numFmtId="230" fontId="151" fillId="45" borderId="0"/>
    <xf numFmtId="230" fontId="151" fillId="45" borderId="0"/>
    <xf numFmtId="230" fontId="151" fillId="45" borderId="0"/>
    <xf numFmtId="0" fontId="150" fillId="45" borderId="0"/>
    <xf numFmtId="0" fontId="148" fillId="60"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230" fontId="151" fillId="45" borderId="0"/>
    <xf numFmtId="0" fontId="150" fillId="45" borderId="0"/>
    <xf numFmtId="230" fontId="151" fillId="45" borderId="0"/>
    <xf numFmtId="0" fontId="150" fillId="45" borderId="0"/>
    <xf numFmtId="0" fontId="150" fillId="45" borderId="0"/>
    <xf numFmtId="0" fontId="150" fillId="45" borderId="0"/>
    <xf numFmtId="231" fontId="150" fillId="45" borderId="0"/>
    <xf numFmtId="167" fontId="148" fillId="59" borderId="0"/>
    <xf numFmtId="167" fontId="149" fillId="59" borderId="0"/>
    <xf numFmtId="0" fontId="148" fillId="66" borderId="0"/>
    <xf numFmtId="230" fontId="150" fillId="49" borderId="0"/>
    <xf numFmtId="231" fontId="149" fillId="59" borderId="0"/>
    <xf numFmtId="0" fontId="149" fillId="59" borderId="0"/>
    <xf numFmtId="167" fontId="148" fillId="59" borderId="0"/>
    <xf numFmtId="167" fontId="148" fillId="59" borderId="0"/>
    <xf numFmtId="0" fontId="150" fillId="49" borderId="0"/>
    <xf numFmtId="0" fontId="150" fillId="49" borderId="0"/>
    <xf numFmtId="0" fontId="150" fillId="49" borderId="0"/>
    <xf numFmtId="230" fontId="149" fillId="59" borderId="0"/>
    <xf numFmtId="230" fontId="150" fillId="49" borderId="0"/>
    <xf numFmtId="231" fontId="150" fillId="49" borderId="0"/>
    <xf numFmtId="0" fontId="150" fillId="49" borderId="0"/>
    <xf numFmtId="0" fontId="150" fillId="49" borderId="0"/>
    <xf numFmtId="0" fontId="150" fillId="49" borderId="0"/>
    <xf numFmtId="167" fontId="149" fillId="59" borderId="0"/>
    <xf numFmtId="0" fontId="150" fillId="49" borderId="0"/>
    <xf numFmtId="231" fontId="150" fillId="49" borderId="0"/>
    <xf numFmtId="0" fontId="150" fillId="49" borderId="0"/>
    <xf numFmtId="230" fontId="150" fillId="49" borderId="0"/>
    <xf numFmtId="230" fontId="150" fillId="49" borderId="0"/>
    <xf numFmtId="231" fontId="150" fillId="49" borderId="0"/>
    <xf numFmtId="0" fontId="150" fillId="49" borderId="0"/>
    <xf numFmtId="0" fontId="150" fillId="49" borderId="0"/>
    <xf numFmtId="167" fontId="148" fillId="66"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50" fillId="49" borderId="0"/>
    <xf numFmtId="0" fontId="150" fillId="49" borderId="0"/>
    <xf numFmtId="0" fontId="150" fillId="49" borderId="0"/>
    <xf numFmtId="230" fontId="151" fillId="49" borderId="0"/>
    <xf numFmtId="230" fontId="151" fillId="49" borderId="0"/>
    <xf numFmtId="230" fontId="151" fillId="49" borderId="0"/>
    <xf numFmtId="0" fontId="150" fillId="49" borderId="0"/>
    <xf numFmtId="230" fontId="151" fillId="49" borderId="0"/>
    <xf numFmtId="230" fontId="151" fillId="49" borderId="0"/>
    <xf numFmtId="230" fontId="151" fillId="49" borderId="0"/>
    <xf numFmtId="0" fontId="150" fillId="49" borderId="0"/>
    <xf numFmtId="0" fontId="148" fillId="66"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230" fontId="151" fillId="49" borderId="0"/>
    <xf numFmtId="0" fontId="150" fillId="49" borderId="0"/>
    <xf numFmtId="230" fontId="151" fillId="49" borderId="0"/>
    <xf numFmtId="0" fontId="150" fillId="49" borderId="0"/>
    <xf numFmtId="0" fontId="150" fillId="49" borderId="0"/>
    <xf numFmtId="0" fontId="150" fillId="49" borderId="0"/>
    <xf numFmtId="231" fontId="150" fillId="49" borderId="0"/>
    <xf numFmtId="167" fontId="148" fillId="67" borderId="0"/>
    <xf numFmtId="167" fontId="149" fillId="67" borderId="0"/>
    <xf numFmtId="0" fontId="148" fillId="62" borderId="0"/>
    <xf numFmtId="230" fontId="150" fillId="53" borderId="0"/>
    <xf numFmtId="231" fontId="149" fillId="67" borderId="0"/>
    <xf numFmtId="0" fontId="149" fillId="67" borderId="0"/>
    <xf numFmtId="167" fontId="148" fillId="67" borderId="0"/>
    <xf numFmtId="167" fontId="148" fillId="67" borderId="0"/>
    <xf numFmtId="0" fontId="150" fillId="53" borderId="0"/>
    <xf numFmtId="0" fontId="150" fillId="53" borderId="0"/>
    <xf numFmtId="0" fontId="150" fillId="53" borderId="0"/>
    <xf numFmtId="230" fontId="149" fillId="67" borderId="0"/>
    <xf numFmtId="230" fontId="150" fillId="53" borderId="0"/>
    <xf numFmtId="231" fontId="150" fillId="53" borderId="0"/>
    <xf numFmtId="0" fontId="150" fillId="53" borderId="0"/>
    <xf numFmtId="0" fontId="150" fillId="53" borderId="0"/>
    <xf numFmtId="0" fontId="150" fillId="53" borderId="0"/>
    <xf numFmtId="167" fontId="149" fillId="67" borderId="0"/>
    <xf numFmtId="0" fontId="150" fillId="53" borderId="0"/>
    <xf numFmtId="231" fontId="150" fillId="53" borderId="0"/>
    <xf numFmtId="0" fontId="150" fillId="53" borderId="0"/>
    <xf numFmtId="230" fontId="150" fillId="53" borderId="0"/>
    <xf numFmtId="230" fontId="150" fillId="53" borderId="0"/>
    <xf numFmtId="231" fontId="150" fillId="53" borderId="0"/>
    <xf numFmtId="0" fontId="150" fillId="53" borderId="0"/>
    <xf numFmtId="0" fontId="150" fillId="53" borderId="0"/>
    <xf numFmtId="167" fontId="148" fillId="62"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50" fillId="53" borderId="0"/>
    <xf numFmtId="0" fontId="150" fillId="53" borderId="0"/>
    <xf numFmtId="0" fontId="150" fillId="53" borderId="0"/>
    <xf numFmtId="230" fontId="151" fillId="53" borderId="0"/>
    <xf numFmtId="230" fontId="151" fillId="53" borderId="0"/>
    <xf numFmtId="230" fontId="151" fillId="53" borderId="0"/>
    <xf numFmtId="0" fontId="150" fillId="53" borderId="0"/>
    <xf numFmtId="230" fontId="151" fillId="53" borderId="0"/>
    <xf numFmtId="230" fontId="151" fillId="53" borderId="0"/>
    <xf numFmtId="230" fontId="151" fillId="53" borderId="0"/>
    <xf numFmtId="0" fontId="150" fillId="53" borderId="0"/>
    <xf numFmtId="0" fontId="148" fillId="62"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230" fontId="151" fillId="53" borderId="0"/>
    <xf numFmtId="0" fontId="150" fillId="53" borderId="0"/>
    <xf numFmtId="230" fontId="151" fillId="53" borderId="0"/>
    <xf numFmtId="0" fontId="150" fillId="53" borderId="0"/>
    <xf numFmtId="0" fontId="150" fillId="53" borderId="0"/>
    <xf numFmtId="0" fontId="150" fillId="53" borderId="0"/>
    <xf numFmtId="231" fontId="150" fillId="53" borderId="0"/>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167" fontId="152" fillId="62" borderId="0" applyAlignment="1">
      <alignment vertical="center"/>
    </xf>
    <xf numFmtId="167" fontId="152" fillId="62" borderId="0" applyAlignment="1">
      <alignment vertical="center"/>
    </xf>
    <xf numFmtId="230" fontId="152" fillId="62" borderId="0" applyAlignment="1">
      <alignment vertical="center"/>
    </xf>
    <xf numFmtId="230" fontId="153" fillId="62" borderId="0" applyAlignment="1">
      <alignment vertical="center"/>
    </xf>
    <xf numFmtId="230" fontId="153" fillId="62" borderId="0" applyAlignment="1">
      <alignment vertical="center"/>
    </xf>
    <xf numFmtId="231" fontId="152" fillId="62" borderId="0" applyAlignment="1">
      <alignment vertical="center"/>
    </xf>
    <xf numFmtId="0" fontId="152" fillId="62" borderId="0" applyAlignment="1">
      <alignment vertical="center"/>
    </xf>
    <xf numFmtId="167" fontId="152" fillId="66" borderId="0" applyAlignment="1">
      <alignment vertical="center"/>
    </xf>
    <xf numFmtId="167" fontId="152" fillId="66" borderId="0" applyAlignment="1">
      <alignment vertical="center"/>
    </xf>
    <xf numFmtId="230" fontId="152" fillId="66" borderId="0" applyAlignment="1">
      <alignment vertical="center"/>
    </xf>
    <xf numFmtId="230" fontId="153" fillId="66" borderId="0" applyAlignment="1">
      <alignment vertical="center"/>
    </xf>
    <xf numFmtId="230" fontId="153" fillId="66" borderId="0" applyAlignment="1">
      <alignment vertical="center"/>
    </xf>
    <xf numFmtId="231" fontId="152" fillId="66" borderId="0" applyAlignment="1">
      <alignment vertical="center"/>
    </xf>
    <xf numFmtId="0" fontId="152" fillId="66" borderId="0" applyAlignment="1">
      <alignment vertical="center"/>
    </xf>
    <xf numFmtId="167" fontId="152" fillId="65" borderId="0" applyAlignment="1">
      <alignment vertical="center"/>
    </xf>
    <xf numFmtId="167" fontId="152" fillId="65" borderId="0" applyAlignment="1">
      <alignment vertical="center"/>
    </xf>
    <xf numFmtId="230" fontId="152" fillId="65" borderId="0" applyAlignment="1">
      <alignment vertical="center"/>
    </xf>
    <xf numFmtId="230" fontId="153" fillId="65" borderId="0" applyAlignment="1">
      <alignment vertical="center"/>
    </xf>
    <xf numFmtId="230" fontId="153" fillId="65" borderId="0" applyAlignment="1">
      <alignment vertical="center"/>
    </xf>
    <xf numFmtId="231" fontId="152" fillId="65" borderId="0" applyAlignment="1">
      <alignment vertical="center"/>
    </xf>
    <xf numFmtId="0" fontId="152" fillId="65" borderId="0" applyAlignment="1">
      <alignment vertical="center"/>
    </xf>
    <xf numFmtId="0" fontId="154" fillId="69" borderId="0" applyAlignment="1">
      <alignment vertical="center"/>
    </xf>
    <xf numFmtId="0" fontId="155" fillId="69" borderId="0" applyAlignment="1">
      <alignment vertical="center"/>
    </xf>
    <xf numFmtId="0" fontId="154" fillId="61" borderId="0" applyAlignment="1">
      <alignment vertical="center"/>
    </xf>
    <xf numFmtId="0" fontId="155" fillId="61" borderId="0" applyAlignment="1">
      <alignment vertical="center"/>
    </xf>
    <xf numFmtId="0" fontId="154" fillId="70" borderId="0" applyAlignment="1">
      <alignment vertical="center"/>
    </xf>
    <xf numFmtId="0" fontId="155" fillId="70" borderId="0" applyAlignment="1">
      <alignment vertical="center"/>
    </xf>
    <xf numFmtId="0" fontId="154" fillId="59" borderId="0" applyAlignment="1">
      <alignment vertical="center"/>
    </xf>
    <xf numFmtId="0" fontId="155" fillId="59" borderId="0" applyAlignment="1">
      <alignment vertical="center"/>
    </xf>
    <xf numFmtId="0" fontId="154" fillId="66" borderId="0" applyAlignment="1">
      <alignment vertical="center"/>
    </xf>
    <xf numFmtId="0" fontId="155" fillId="66" borderId="0" applyAlignment="1">
      <alignment vertical="center"/>
    </xf>
    <xf numFmtId="0" fontId="154" fillId="62" borderId="0" applyAlignment="1">
      <alignment vertical="center"/>
    </xf>
    <xf numFmtId="0" fontId="155" fillId="62" borderId="0" applyAlignment="1">
      <alignment vertical="center"/>
    </xf>
    <xf numFmtId="167" fontId="148" fillId="59" borderId="0"/>
    <xf numFmtId="167" fontId="149" fillId="59" borderId="0"/>
    <xf numFmtId="0" fontId="148" fillId="71" borderId="0"/>
    <xf numFmtId="230" fontId="150" fillId="34" borderId="0"/>
    <xf numFmtId="231" fontId="149" fillId="59" borderId="0"/>
    <xf numFmtId="0" fontId="149" fillId="59" borderId="0"/>
    <xf numFmtId="167" fontId="148" fillId="59" borderId="0"/>
    <xf numFmtId="167" fontId="148" fillId="59" borderId="0"/>
    <xf numFmtId="0" fontId="150" fillId="34" borderId="0"/>
    <xf numFmtId="0" fontId="150" fillId="34" borderId="0"/>
    <xf numFmtId="0" fontId="150" fillId="34" borderId="0"/>
    <xf numFmtId="230" fontId="149" fillId="59" borderId="0"/>
    <xf numFmtId="230" fontId="150" fillId="34" borderId="0"/>
    <xf numFmtId="231" fontId="150" fillId="34" borderId="0"/>
    <xf numFmtId="0" fontId="150" fillId="34" borderId="0"/>
    <xf numFmtId="0" fontId="150" fillId="34" borderId="0"/>
    <xf numFmtId="0" fontId="150" fillId="34" borderId="0"/>
    <xf numFmtId="167" fontId="149" fillId="59" borderId="0"/>
    <xf numFmtId="0" fontId="150" fillId="34" borderId="0"/>
    <xf numFmtId="231" fontId="150" fillId="34" borderId="0"/>
    <xf numFmtId="0" fontId="150" fillId="34" borderId="0"/>
    <xf numFmtId="230" fontId="150" fillId="34" borderId="0"/>
    <xf numFmtId="230" fontId="150" fillId="34" borderId="0"/>
    <xf numFmtId="231" fontId="150" fillId="34" borderId="0"/>
    <xf numFmtId="0" fontId="150" fillId="34" borderId="0"/>
    <xf numFmtId="0" fontId="150" fillId="34" borderId="0"/>
    <xf numFmtId="167" fontId="148" fillId="71"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50" fillId="34" borderId="0"/>
    <xf numFmtId="0" fontId="150" fillId="34" borderId="0"/>
    <xf numFmtId="0" fontId="150" fillId="34" borderId="0"/>
    <xf numFmtId="230" fontId="151" fillId="34" borderId="0"/>
    <xf numFmtId="230" fontId="151" fillId="34" borderId="0"/>
    <xf numFmtId="230" fontId="151" fillId="34" borderId="0"/>
    <xf numFmtId="0" fontId="150" fillId="34" borderId="0"/>
    <xf numFmtId="230" fontId="151" fillId="34" borderId="0"/>
    <xf numFmtId="230" fontId="151" fillId="34" borderId="0"/>
    <xf numFmtId="230" fontId="151" fillId="34" borderId="0"/>
    <xf numFmtId="0" fontId="150" fillId="34" borderId="0"/>
    <xf numFmtId="0" fontId="148" fillId="71"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230" fontId="151" fillId="34" borderId="0"/>
    <xf numFmtId="0" fontId="150" fillId="34" borderId="0"/>
    <xf numFmtId="230" fontId="151" fillId="34" borderId="0"/>
    <xf numFmtId="0" fontId="150" fillId="34" borderId="0"/>
    <xf numFmtId="0" fontId="150" fillId="34" borderId="0"/>
    <xf numFmtId="0" fontId="150" fillId="34" borderId="0"/>
    <xf numFmtId="231" fontId="150" fillId="34" borderId="0"/>
    <xf numFmtId="167" fontId="148" fillId="61" borderId="0"/>
    <xf numFmtId="167" fontId="149" fillId="61" borderId="0"/>
    <xf numFmtId="0" fontId="148" fillId="62" borderId="0"/>
    <xf numFmtId="230" fontId="150" fillId="38" borderId="0"/>
    <xf numFmtId="231" fontId="149" fillId="61" borderId="0"/>
    <xf numFmtId="0" fontId="149" fillId="61" borderId="0"/>
    <xf numFmtId="167" fontId="148" fillId="61" borderId="0"/>
    <xf numFmtId="167" fontId="148" fillId="61" borderId="0"/>
    <xf numFmtId="0" fontId="150" fillId="38" borderId="0"/>
    <xf numFmtId="0" fontId="150" fillId="38" borderId="0"/>
    <xf numFmtId="0" fontId="150" fillId="38" borderId="0"/>
    <xf numFmtId="230" fontId="149" fillId="61" borderId="0"/>
    <xf numFmtId="230" fontId="150" fillId="38" borderId="0"/>
    <xf numFmtId="231" fontId="150" fillId="38" borderId="0"/>
    <xf numFmtId="0" fontId="150" fillId="38" borderId="0"/>
    <xf numFmtId="0" fontId="150" fillId="38" borderId="0"/>
    <xf numFmtId="0" fontId="150" fillId="38" borderId="0"/>
    <xf numFmtId="167" fontId="149" fillId="61" borderId="0"/>
    <xf numFmtId="0" fontId="150" fillId="38" borderId="0"/>
    <xf numFmtId="231" fontId="150" fillId="38" borderId="0"/>
    <xf numFmtId="0" fontId="150" fillId="38" borderId="0"/>
    <xf numFmtId="230" fontId="150" fillId="38" borderId="0"/>
    <xf numFmtId="230" fontId="150" fillId="38" borderId="0"/>
    <xf numFmtId="231" fontId="150" fillId="38" borderId="0"/>
    <xf numFmtId="0" fontId="150" fillId="38" borderId="0"/>
    <xf numFmtId="0" fontId="150" fillId="38" borderId="0"/>
    <xf numFmtId="167" fontId="148" fillId="6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50" fillId="38" borderId="0"/>
    <xf numFmtId="0" fontId="150" fillId="38" borderId="0"/>
    <xf numFmtId="0" fontId="150" fillId="38" borderId="0"/>
    <xf numFmtId="230" fontId="151" fillId="38" borderId="0"/>
    <xf numFmtId="230" fontId="151" fillId="38" borderId="0"/>
    <xf numFmtId="230" fontId="151" fillId="38" borderId="0"/>
    <xf numFmtId="0" fontId="150" fillId="38" borderId="0"/>
    <xf numFmtId="230" fontId="151" fillId="38" borderId="0"/>
    <xf numFmtId="230" fontId="151" fillId="38" borderId="0"/>
    <xf numFmtId="230" fontId="151" fillId="38" borderId="0"/>
    <xf numFmtId="0" fontId="150" fillId="38" borderId="0"/>
    <xf numFmtId="0" fontId="148" fillId="62"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230" fontId="151" fillId="38" borderId="0"/>
    <xf numFmtId="0" fontId="150" fillId="38" borderId="0"/>
    <xf numFmtId="230" fontId="151" fillId="38" borderId="0"/>
    <xf numFmtId="0" fontId="150" fillId="38" borderId="0"/>
    <xf numFmtId="0" fontId="150" fillId="38" borderId="0"/>
    <xf numFmtId="0" fontId="150" fillId="38" borderId="0"/>
    <xf numFmtId="231" fontId="150" fillId="38" borderId="0"/>
    <xf numFmtId="167" fontId="148" fillId="64" borderId="0"/>
    <xf numFmtId="167" fontId="149" fillId="64" borderId="0"/>
    <xf numFmtId="0" fontId="148" fillId="67" borderId="0"/>
    <xf numFmtId="230" fontId="150" fillId="42" borderId="0"/>
    <xf numFmtId="231" fontId="149" fillId="64" borderId="0"/>
    <xf numFmtId="0" fontId="149" fillId="64" borderId="0"/>
    <xf numFmtId="167" fontId="148" fillId="64" borderId="0"/>
    <xf numFmtId="167" fontId="148" fillId="64" borderId="0"/>
    <xf numFmtId="0" fontId="150" fillId="42" borderId="0"/>
    <xf numFmtId="0" fontId="150" fillId="42" borderId="0"/>
    <xf numFmtId="0" fontId="150" fillId="42" borderId="0"/>
    <xf numFmtId="230" fontId="149" fillId="64" borderId="0"/>
    <xf numFmtId="230" fontId="150" fillId="42" borderId="0"/>
    <xf numFmtId="231" fontId="150" fillId="42" borderId="0"/>
    <xf numFmtId="0" fontId="150" fillId="42" borderId="0"/>
    <xf numFmtId="0" fontId="150" fillId="42" borderId="0"/>
    <xf numFmtId="0" fontId="150" fillId="42" borderId="0"/>
    <xf numFmtId="167" fontId="149" fillId="64" borderId="0"/>
    <xf numFmtId="0" fontId="150" fillId="42" borderId="0"/>
    <xf numFmtId="231" fontId="150" fillId="42" borderId="0"/>
    <xf numFmtId="0" fontId="150" fillId="42" borderId="0"/>
    <xf numFmtId="230" fontId="150" fillId="42" borderId="0"/>
    <xf numFmtId="230" fontId="150" fillId="42" borderId="0"/>
    <xf numFmtId="231" fontId="150" fillId="42" borderId="0"/>
    <xf numFmtId="0" fontId="150" fillId="42" borderId="0"/>
    <xf numFmtId="0" fontId="150" fillId="42" borderId="0"/>
    <xf numFmtId="167" fontId="148" fillId="63"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50" fillId="42" borderId="0"/>
    <xf numFmtId="0" fontId="150" fillId="42" borderId="0"/>
    <xf numFmtId="0" fontId="150" fillId="42" borderId="0"/>
    <xf numFmtId="230" fontId="151" fillId="42" borderId="0"/>
    <xf numFmtId="230" fontId="151" fillId="42" borderId="0"/>
    <xf numFmtId="230" fontId="151" fillId="42" borderId="0"/>
    <xf numFmtId="0" fontId="150" fillId="42" borderId="0"/>
    <xf numFmtId="230" fontId="151" fillId="42" borderId="0"/>
    <xf numFmtId="230" fontId="151" fillId="42" borderId="0"/>
    <xf numFmtId="230" fontId="151" fillId="42" borderId="0"/>
    <xf numFmtId="0" fontId="150" fillId="42" borderId="0"/>
    <xf numFmtId="0" fontId="148" fillId="67"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230" fontId="151" fillId="42" borderId="0"/>
    <xf numFmtId="0" fontId="150" fillId="42" borderId="0"/>
    <xf numFmtId="230" fontId="151" fillId="42" borderId="0"/>
    <xf numFmtId="0" fontId="150" fillId="42" borderId="0"/>
    <xf numFmtId="0" fontId="150" fillId="42" borderId="0"/>
    <xf numFmtId="0" fontId="150" fillId="42" borderId="0"/>
    <xf numFmtId="231" fontId="150" fillId="42" borderId="0"/>
    <xf numFmtId="167" fontId="148" fillId="71" borderId="0"/>
    <xf numFmtId="167" fontId="149" fillId="71" borderId="0"/>
    <xf numFmtId="0" fontId="148" fillId="71" borderId="0"/>
    <xf numFmtId="230" fontId="150" fillId="46" borderId="0"/>
    <xf numFmtId="231" fontId="149" fillId="71" borderId="0"/>
    <xf numFmtId="0" fontId="149" fillId="71" borderId="0"/>
    <xf numFmtId="167" fontId="148" fillId="71" borderId="0"/>
    <xf numFmtId="167" fontId="148" fillId="71" borderId="0"/>
    <xf numFmtId="0" fontId="150" fillId="46" borderId="0"/>
    <xf numFmtId="0" fontId="150" fillId="46" borderId="0"/>
    <xf numFmtId="0" fontId="150" fillId="46" borderId="0"/>
    <xf numFmtId="230" fontId="149" fillId="71" borderId="0"/>
    <xf numFmtId="230" fontId="150" fillId="46" borderId="0"/>
    <xf numFmtId="231" fontId="150" fillId="46" borderId="0"/>
    <xf numFmtId="0" fontId="150" fillId="46" borderId="0"/>
    <xf numFmtId="0" fontId="150" fillId="46" borderId="0"/>
    <xf numFmtId="0" fontId="150" fillId="46" borderId="0"/>
    <xf numFmtId="167" fontId="149" fillId="71" borderId="0"/>
    <xf numFmtId="0" fontId="150" fillId="46" borderId="0"/>
    <xf numFmtId="231" fontId="150" fillId="46" borderId="0"/>
    <xf numFmtId="0" fontId="150" fillId="46" borderId="0"/>
    <xf numFmtId="230" fontId="150" fillId="46" borderId="0"/>
    <xf numFmtId="230" fontId="150" fillId="46" borderId="0"/>
    <xf numFmtId="231" fontId="150" fillId="46" borderId="0"/>
    <xf numFmtId="0" fontId="150" fillId="46" borderId="0"/>
    <xf numFmtId="0" fontId="150" fillId="46" borderId="0"/>
    <xf numFmtId="167" fontId="148" fillId="71"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50" fillId="46" borderId="0"/>
    <xf numFmtId="0" fontId="150" fillId="46" borderId="0"/>
    <xf numFmtId="0" fontId="150" fillId="46" borderId="0"/>
    <xf numFmtId="230" fontId="151" fillId="46" borderId="0"/>
    <xf numFmtId="230" fontId="151" fillId="46" borderId="0"/>
    <xf numFmtId="230" fontId="151" fillId="46" borderId="0"/>
    <xf numFmtId="0" fontId="150" fillId="46" borderId="0"/>
    <xf numFmtId="230" fontId="151" fillId="46" borderId="0"/>
    <xf numFmtId="230" fontId="151" fillId="46" borderId="0"/>
    <xf numFmtId="230" fontId="151" fillId="46" borderId="0"/>
    <xf numFmtId="0" fontId="150" fillId="46" borderId="0"/>
    <xf numFmtId="0" fontId="148" fillId="71"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230" fontId="151" fillId="46" borderId="0"/>
    <xf numFmtId="0" fontId="150" fillId="46" borderId="0"/>
    <xf numFmtId="230" fontId="151" fillId="46" borderId="0"/>
    <xf numFmtId="0" fontId="150" fillId="46" borderId="0"/>
    <xf numFmtId="0" fontId="150" fillId="46" borderId="0"/>
    <xf numFmtId="0" fontId="150" fillId="46" borderId="0"/>
    <xf numFmtId="231" fontId="150" fillId="46" borderId="0"/>
    <xf numFmtId="167" fontId="148" fillId="59" borderId="0"/>
    <xf numFmtId="167" fontId="149" fillId="59" borderId="0"/>
    <xf numFmtId="0" fontId="148" fillId="64" borderId="0"/>
    <xf numFmtId="230" fontId="150" fillId="50" borderId="0"/>
    <xf numFmtId="231" fontId="149" fillId="59" borderId="0"/>
    <xf numFmtId="0" fontId="149" fillId="59" borderId="0"/>
    <xf numFmtId="167" fontId="148" fillId="59" borderId="0"/>
    <xf numFmtId="167" fontId="148" fillId="59" borderId="0"/>
    <xf numFmtId="0" fontId="150" fillId="50" borderId="0"/>
    <xf numFmtId="0" fontId="150" fillId="50" borderId="0"/>
    <xf numFmtId="0" fontId="150" fillId="50" borderId="0"/>
    <xf numFmtId="230" fontId="149" fillId="59" borderId="0"/>
    <xf numFmtId="230" fontId="150" fillId="50" borderId="0"/>
    <xf numFmtId="231" fontId="150" fillId="50" borderId="0"/>
    <xf numFmtId="0" fontId="150" fillId="50" borderId="0"/>
    <xf numFmtId="0" fontId="150" fillId="50" borderId="0"/>
    <xf numFmtId="0" fontId="150" fillId="50" borderId="0"/>
    <xf numFmtId="167" fontId="149" fillId="59" borderId="0"/>
    <xf numFmtId="0" fontId="150" fillId="50" borderId="0"/>
    <xf numFmtId="231" fontId="150" fillId="50" borderId="0"/>
    <xf numFmtId="0" fontId="150" fillId="50" borderId="0"/>
    <xf numFmtId="230" fontId="150" fillId="50" borderId="0"/>
    <xf numFmtId="230" fontId="150" fillId="50" borderId="0"/>
    <xf numFmtId="231" fontId="150" fillId="50" borderId="0"/>
    <xf numFmtId="0" fontId="150" fillId="50" borderId="0"/>
    <xf numFmtId="0" fontId="150" fillId="50" borderId="0"/>
    <xf numFmtId="167" fontId="148" fillId="64"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50" fillId="50" borderId="0"/>
    <xf numFmtId="0" fontId="150" fillId="50" borderId="0"/>
    <xf numFmtId="0" fontId="150" fillId="50" borderId="0"/>
    <xf numFmtId="230" fontId="151" fillId="50" borderId="0"/>
    <xf numFmtId="230" fontId="151" fillId="50" borderId="0"/>
    <xf numFmtId="230" fontId="151" fillId="50" borderId="0"/>
    <xf numFmtId="0" fontId="150" fillId="50" borderId="0"/>
    <xf numFmtId="230" fontId="151" fillId="50" borderId="0"/>
    <xf numFmtId="230" fontId="151" fillId="50" borderId="0"/>
    <xf numFmtId="230" fontId="151" fillId="50" borderId="0"/>
    <xf numFmtId="0" fontId="150" fillId="50" borderId="0"/>
    <xf numFmtId="0" fontId="148" fillId="64"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230" fontId="151" fillId="50" borderId="0"/>
    <xf numFmtId="0" fontId="150" fillId="50" borderId="0"/>
    <xf numFmtId="230" fontId="151" fillId="50" borderId="0"/>
    <xf numFmtId="0" fontId="150" fillId="50" borderId="0"/>
    <xf numFmtId="0" fontId="150" fillId="50" borderId="0"/>
    <xf numFmtId="0" fontId="150" fillId="50" borderId="0"/>
    <xf numFmtId="231" fontId="150" fillId="50" borderId="0"/>
    <xf numFmtId="167" fontId="148" fillId="67" borderId="0"/>
    <xf numFmtId="167" fontId="149" fillId="67" borderId="0"/>
    <xf numFmtId="0" fontId="148" fillId="62" borderId="0"/>
    <xf numFmtId="230" fontId="150" fillId="54" borderId="0"/>
    <xf numFmtId="231" fontId="149" fillId="67" borderId="0"/>
    <xf numFmtId="0" fontId="149" fillId="67" borderId="0"/>
    <xf numFmtId="167" fontId="148" fillId="67" borderId="0"/>
    <xf numFmtId="167" fontId="148" fillId="67" borderId="0"/>
    <xf numFmtId="0" fontId="150" fillId="54" borderId="0"/>
    <xf numFmtId="0" fontId="150" fillId="54" borderId="0"/>
    <xf numFmtId="0" fontId="150" fillId="54" borderId="0"/>
    <xf numFmtId="230" fontId="149" fillId="67" borderId="0"/>
    <xf numFmtId="230" fontId="150" fillId="54" borderId="0"/>
    <xf numFmtId="231" fontId="150" fillId="54" borderId="0"/>
    <xf numFmtId="0" fontId="150" fillId="54" borderId="0"/>
    <xf numFmtId="0" fontId="150" fillId="54" borderId="0"/>
    <xf numFmtId="0" fontId="150" fillId="54" borderId="0"/>
    <xf numFmtId="167" fontId="149" fillId="67" borderId="0"/>
    <xf numFmtId="0" fontId="150" fillId="54" borderId="0"/>
    <xf numFmtId="231" fontId="150" fillId="54" borderId="0"/>
    <xf numFmtId="0" fontId="150" fillId="54" borderId="0"/>
    <xf numFmtId="230" fontId="150" fillId="54" borderId="0"/>
    <xf numFmtId="230" fontId="150" fillId="54" borderId="0"/>
    <xf numFmtId="231" fontId="150" fillId="54" borderId="0"/>
    <xf numFmtId="0" fontId="150" fillId="54" borderId="0"/>
    <xf numFmtId="0" fontId="150" fillId="54" borderId="0"/>
    <xf numFmtId="167" fontId="148" fillId="62"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50" fillId="54" borderId="0"/>
    <xf numFmtId="0" fontId="150" fillId="54" borderId="0"/>
    <xf numFmtId="0" fontId="150" fillId="54" borderId="0"/>
    <xf numFmtId="230" fontId="151" fillId="54" borderId="0"/>
    <xf numFmtId="230" fontId="151" fillId="54" borderId="0"/>
    <xf numFmtId="230" fontId="151" fillId="54" borderId="0"/>
    <xf numFmtId="0" fontId="150" fillId="54" borderId="0"/>
    <xf numFmtId="230" fontId="151" fillId="54" borderId="0"/>
    <xf numFmtId="230" fontId="151" fillId="54" borderId="0"/>
    <xf numFmtId="230" fontId="151" fillId="54" borderId="0"/>
    <xf numFmtId="0" fontId="150" fillId="54" borderId="0"/>
    <xf numFmtId="0" fontId="148" fillId="62"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230" fontId="151" fillId="54" borderId="0"/>
    <xf numFmtId="0" fontId="150" fillId="54" borderId="0"/>
    <xf numFmtId="230" fontId="151" fillId="54" borderId="0"/>
    <xf numFmtId="0" fontId="150" fillId="54" borderId="0"/>
    <xf numFmtId="0" fontId="150" fillId="54" borderId="0"/>
    <xf numFmtId="0" fontId="150" fillId="54" borderId="0"/>
    <xf numFmtId="231" fontId="150" fillId="54" borderId="0"/>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8" borderId="0" applyAlignment="1">
      <alignment vertical="center"/>
    </xf>
    <xf numFmtId="167" fontId="152" fillId="68" borderId="0" applyAlignment="1">
      <alignment vertical="center"/>
    </xf>
    <xf numFmtId="230" fontId="152" fillId="68" borderId="0" applyAlignment="1">
      <alignment vertical="center"/>
    </xf>
    <xf numFmtId="230" fontId="153" fillId="68" borderId="0" applyAlignment="1">
      <alignment vertical="center"/>
    </xf>
    <xf numFmtId="230" fontId="153" fillId="68" borderId="0" applyAlignment="1">
      <alignment vertical="center"/>
    </xf>
    <xf numFmtId="231" fontId="152" fillId="68" borderId="0" applyAlignment="1">
      <alignment vertical="center"/>
    </xf>
    <xf numFmtId="0" fontId="152" fillId="68"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167" fontId="152" fillId="71" borderId="0" applyAlignment="1">
      <alignment vertical="center"/>
    </xf>
    <xf numFmtId="167" fontId="152" fillId="71" borderId="0" applyAlignment="1">
      <alignment vertical="center"/>
    </xf>
    <xf numFmtId="230" fontId="152" fillId="71" borderId="0" applyAlignment="1">
      <alignment vertical="center"/>
    </xf>
    <xf numFmtId="230" fontId="153" fillId="71" borderId="0" applyAlignment="1">
      <alignment vertical="center"/>
    </xf>
    <xf numFmtId="230" fontId="153" fillId="71" borderId="0" applyAlignment="1">
      <alignment vertical="center"/>
    </xf>
    <xf numFmtId="231" fontId="152" fillId="71" borderId="0" applyAlignment="1">
      <alignment vertical="center"/>
    </xf>
    <xf numFmtId="0" fontId="152" fillId="71" borderId="0" applyAlignment="1">
      <alignment vertical="center"/>
    </xf>
    <xf numFmtId="167" fontId="152" fillId="64" borderId="0" applyAlignment="1">
      <alignment vertical="center"/>
    </xf>
    <xf numFmtId="167" fontId="152" fillId="64" borderId="0" applyAlignment="1">
      <alignment vertical="center"/>
    </xf>
    <xf numFmtId="230" fontId="152" fillId="64" borderId="0" applyAlignment="1">
      <alignment vertical="center"/>
    </xf>
    <xf numFmtId="230" fontId="153" fillId="64" borderId="0" applyAlignment="1">
      <alignment vertical="center"/>
    </xf>
    <xf numFmtId="230" fontId="153" fillId="64" borderId="0" applyAlignment="1">
      <alignment vertical="center"/>
    </xf>
    <xf numFmtId="231" fontId="152" fillId="64" borderId="0" applyAlignment="1">
      <alignment vertical="center"/>
    </xf>
    <xf numFmtId="0" fontId="152" fillId="64" borderId="0" applyAlignment="1">
      <alignment vertical="center"/>
    </xf>
    <xf numFmtId="167" fontId="152" fillId="67" borderId="0" applyAlignment="1">
      <alignment vertical="center"/>
    </xf>
    <xf numFmtId="167" fontId="152" fillId="67" borderId="0" applyAlignment="1">
      <alignment vertical="center"/>
    </xf>
    <xf numFmtId="230" fontId="152" fillId="67" borderId="0" applyAlignment="1">
      <alignment vertical="center"/>
    </xf>
    <xf numFmtId="230" fontId="153" fillId="67" borderId="0" applyAlignment="1">
      <alignment vertical="center"/>
    </xf>
    <xf numFmtId="230" fontId="153" fillId="67" borderId="0" applyAlignment="1">
      <alignment vertical="center"/>
    </xf>
    <xf numFmtId="231" fontId="152" fillId="67" borderId="0" applyAlignment="1">
      <alignment vertical="center"/>
    </xf>
    <xf numFmtId="0" fontId="152" fillId="67" borderId="0" applyAlignment="1">
      <alignment vertical="center"/>
    </xf>
    <xf numFmtId="0" fontId="154" fillId="64" borderId="0" applyAlignment="1">
      <alignment vertical="center"/>
    </xf>
    <xf numFmtId="0" fontId="155" fillId="64" borderId="0" applyAlignment="1">
      <alignment vertical="center"/>
    </xf>
    <xf numFmtId="0" fontId="154" fillId="68" borderId="0" applyAlignment="1">
      <alignment vertical="center"/>
    </xf>
    <xf numFmtId="0" fontId="155" fillId="68" borderId="0" applyAlignment="1">
      <alignment vertical="center"/>
    </xf>
    <xf numFmtId="0" fontId="154" fillId="72" borderId="0" applyAlignment="1">
      <alignment vertical="center"/>
    </xf>
    <xf numFmtId="0" fontId="155" fillId="72" borderId="0" applyAlignment="1">
      <alignment vertical="center"/>
    </xf>
    <xf numFmtId="0" fontId="154" fillId="59" borderId="0" applyAlignment="1">
      <alignment vertical="center"/>
    </xf>
    <xf numFmtId="0" fontId="155" fillId="59" borderId="0" applyAlignment="1">
      <alignment vertical="center"/>
    </xf>
    <xf numFmtId="0" fontId="154" fillId="64" borderId="0" applyAlignment="1">
      <alignment vertical="center"/>
    </xf>
    <xf numFmtId="0" fontId="155" fillId="64" borderId="0" applyAlignment="1">
      <alignment vertical="center"/>
    </xf>
    <xf numFmtId="0" fontId="154" fillId="73" borderId="0" applyAlignment="1">
      <alignment vertical="center"/>
    </xf>
    <xf numFmtId="0" fontId="155" fillId="73" borderId="0" applyAlignment="1">
      <alignment vertical="center"/>
    </xf>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5" borderId="0"/>
    <xf numFmtId="231" fontId="156" fillId="70" borderId="0"/>
    <xf numFmtId="0" fontId="157" fillId="70" borderId="0"/>
    <xf numFmtId="167" fontId="156" fillId="70" borderId="0"/>
    <xf numFmtId="0" fontId="158" fillId="35" borderId="0"/>
    <xf numFmtId="0" fontId="156" fillId="70" borderId="0"/>
    <xf numFmtId="167" fontId="157" fillId="70" borderId="0"/>
    <xf numFmtId="0" fontId="156" fillId="74" borderId="0"/>
    <xf numFmtId="230" fontId="158" fillId="35" borderId="0"/>
    <xf numFmtId="231" fontId="157" fillId="70" borderId="0"/>
    <xf numFmtId="0" fontId="157" fillId="70" borderId="0"/>
    <xf numFmtId="167" fontId="156" fillId="74" borderId="0"/>
    <xf numFmtId="230" fontId="159" fillId="35" borderId="0"/>
    <xf numFmtId="230" fontId="159" fillId="35" borderId="0"/>
    <xf numFmtId="230" fontId="158" fillId="35" borderId="0"/>
    <xf numFmtId="231" fontId="158" fillId="35" borderId="0"/>
    <xf numFmtId="167" fontId="156" fillId="61" borderId="0"/>
    <xf numFmtId="167" fontId="157" fillId="61" borderId="0"/>
    <xf numFmtId="0" fontId="156" fillId="62" borderId="0"/>
    <xf numFmtId="0" fontId="157" fillId="61" borderId="0"/>
    <xf numFmtId="0" fontId="156" fillId="62" borderId="0"/>
    <xf numFmtId="0" fontId="157" fillId="61" borderId="0"/>
    <xf numFmtId="167" fontId="156" fillId="61" borderId="0"/>
    <xf numFmtId="0" fontId="158" fillId="39" borderId="0"/>
    <xf numFmtId="231" fontId="156" fillId="61" borderId="0"/>
    <xf numFmtId="0" fontId="157" fillId="61" borderId="0"/>
    <xf numFmtId="167" fontId="156" fillId="61" borderId="0"/>
    <xf numFmtId="0" fontId="158" fillId="39" borderId="0"/>
    <xf numFmtId="0" fontId="156" fillId="61" borderId="0"/>
    <xf numFmtId="167" fontId="157" fillId="61" borderId="0"/>
    <xf numFmtId="0" fontId="156" fillId="62" borderId="0"/>
    <xf numFmtId="230" fontId="158" fillId="39" borderId="0"/>
    <xf numFmtId="231" fontId="157" fillId="61" borderId="0"/>
    <xf numFmtId="0" fontId="157" fillId="61" borderId="0"/>
    <xf numFmtId="167" fontId="156" fillId="68" borderId="0"/>
    <xf numFmtId="230" fontId="159" fillId="39" borderId="0"/>
    <xf numFmtId="230" fontId="159" fillId="39" borderId="0"/>
    <xf numFmtId="230" fontId="158" fillId="39" borderId="0"/>
    <xf numFmtId="231" fontId="158" fillId="39" borderId="0"/>
    <xf numFmtId="167" fontId="156" fillId="64" borderId="0"/>
    <xf numFmtId="167" fontId="157" fillId="64" borderId="0"/>
    <xf numFmtId="0" fontId="156" fillId="67" borderId="0"/>
    <xf numFmtId="0" fontId="157" fillId="64" borderId="0"/>
    <xf numFmtId="0" fontId="156" fillId="67" borderId="0"/>
    <xf numFmtId="0" fontId="157" fillId="64" borderId="0"/>
    <xf numFmtId="167" fontId="156" fillId="64" borderId="0"/>
    <xf numFmtId="0" fontId="158" fillId="43" borderId="0"/>
    <xf numFmtId="231" fontId="156" fillId="64" borderId="0"/>
    <xf numFmtId="0" fontId="157" fillId="64" borderId="0"/>
    <xf numFmtId="167" fontId="156" fillId="64" borderId="0"/>
    <xf numFmtId="0" fontId="158" fillId="43" borderId="0"/>
    <xf numFmtId="0" fontId="156" fillId="64" borderId="0"/>
    <xf numFmtId="167" fontId="157" fillId="64" borderId="0"/>
    <xf numFmtId="0" fontId="156" fillId="67" borderId="0"/>
    <xf numFmtId="230" fontId="158" fillId="43" borderId="0"/>
    <xf numFmtId="231" fontId="157" fillId="64" borderId="0"/>
    <xf numFmtId="0" fontId="157" fillId="64" borderId="0"/>
    <xf numFmtId="167" fontId="156" fillId="63" borderId="0"/>
    <xf numFmtId="230" fontId="159" fillId="43" borderId="0"/>
    <xf numFmtId="230" fontId="159" fillId="43" borderId="0"/>
    <xf numFmtId="230" fontId="158" fillId="43" borderId="0"/>
    <xf numFmtId="231" fontId="158" fillId="43" borderId="0"/>
    <xf numFmtId="167" fontId="156" fillId="71" borderId="0"/>
    <xf numFmtId="167" fontId="157" fillId="71" borderId="0"/>
    <xf numFmtId="0" fontId="156" fillId="71" borderId="0"/>
    <xf numFmtId="0" fontId="157" fillId="71" borderId="0"/>
    <xf numFmtId="0" fontId="156" fillId="71" borderId="0"/>
    <xf numFmtId="0" fontId="157" fillId="71" borderId="0"/>
    <xf numFmtId="167" fontId="156" fillId="71" borderId="0"/>
    <xf numFmtId="0" fontId="158" fillId="47" borderId="0"/>
    <xf numFmtId="231" fontId="156" fillId="71" borderId="0"/>
    <xf numFmtId="0" fontId="157" fillId="71" borderId="0"/>
    <xf numFmtId="167" fontId="156" fillId="71" borderId="0"/>
    <xf numFmtId="0" fontId="158" fillId="47" borderId="0"/>
    <xf numFmtId="0" fontId="156" fillId="71" borderId="0"/>
    <xf numFmtId="167" fontId="157" fillId="71" borderId="0"/>
    <xf numFmtId="0" fontId="156" fillId="71" borderId="0"/>
    <xf numFmtId="230" fontId="158" fillId="47" borderId="0"/>
    <xf numFmtId="231" fontId="157" fillId="71" borderId="0"/>
    <xf numFmtId="0" fontId="157" fillId="71" borderId="0"/>
    <xf numFmtId="167" fontId="156" fillId="71" borderId="0"/>
    <xf numFmtId="230" fontId="159" fillId="47" borderId="0"/>
    <xf numFmtId="230" fontId="159" fillId="47" borderId="0"/>
    <xf numFmtId="230" fontId="158" fillId="47" borderId="0"/>
    <xf numFmtId="231" fontId="158" fillId="47"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51" borderId="0"/>
    <xf numFmtId="231" fontId="156" fillId="70" borderId="0"/>
    <xf numFmtId="0" fontId="157" fillId="70" borderId="0"/>
    <xf numFmtId="167" fontId="156" fillId="70" borderId="0"/>
    <xf numFmtId="0" fontId="158" fillId="51" borderId="0"/>
    <xf numFmtId="0" fontId="156" fillId="70" borderId="0"/>
    <xf numFmtId="167" fontId="157" fillId="70" borderId="0"/>
    <xf numFmtId="0" fontId="156" fillId="74" borderId="0"/>
    <xf numFmtId="230" fontId="158" fillId="51" borderId="0"/>
    <xf numFmtId="231" fontId="157" fillId="70" borderId="0"/>
    <xf numFmtId="0" fontId="157" fillId="70" borderId="0"/>
    <xf numFmtId="167" fontId="156" fillId="74" borderId="0"/>
    <xf numFmtId="230" fontId="159" fillId="51" borderId="0"/>
    <xf numFmtId="230" fontId="159" fillId="51" borderId="0"/>
    <xf numFmtId="230" fontId="158" fillId="51" borderId="0"/>
    <xf numFmtId="231" fontId="158" fillId="51" borderId="0"/>
    <xf numFmtId="167" fontId="156" fillId="67" borderId="0"/>
    <xf numFmtId="167" fontId="157" fillId="67" borderId="0"/>
    <xf numFmtId="0" fontId="156" fillId="62" borderId="0"/>
    <xf numFmtId="0" fontId="157" fillId="67" borderId="0"/>
    <xf numFmtId="0" fontId="156" fillId="62" borderId="0"/>
    <xf numFmtId="0" fontId="157" fillId="67" borderId="0"/>
    <xf numFmtId="167" fontId="156" fillId="67" borderId="0"/>
    <xf numFmtId="0" fontId="158" fillId="55" borderId="0"/>
    <xf numFmtId="231" fontId="156" fillId="67" borderId="0"/>
    <xf numFmtId="0" fontId="157" fillId="67" borderId="0"/>
    <xf numFmtId="167" fontId="156" fillId="67" borderId="0"/>
    <xf numFmtId="0" fontId="158" fillId="55" borderId="0"/>
    <xf numFmtId="0" fontId="156" fillId="67" borderId="0"/>
    <xf numFmtId="167" fontId="157" fillId="67" borderId="0"/>
    <xf numFmtId="0" fontId="156" fillId="62" borderId="0"/>
    <xf numFmtId="230" fontId="158" fillId="55" borderId="0"/>
    <xf numFmtId="231" fontId="157" fillId="67" borderId="0"/>
    <xf numFmtId="0" fontId="157" fillId="67" borderId="0"/>
    <xf numFmtId="167" fontId="156" fillId="62" borderId="0"/>
    <xf numFmtId="230" fontId="159" fillId="55" borderId="0"/>
    <xf numFmtId="230" fontId="159" fillId="55" borderId="0"/>
    <xf numFmtId="230" fontId="158" fillId="55" borderId="0"/>
    <xf numFmtId="231" fontId="158" fillId="55" borderId="0"/>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167" fontId="160" fillId="67" borderId="0" applyAlignment="1">
      <alignment vertical="center"/>
    </xf>
    <xf numFmtId="167" fontId="160" fillId="67" borderId="0" applyAlignment="1">
      <alignment vertical="center"/>
    </xf>
    <xf numFmtId="230" fontId="160" fillId="67" borderId="0" applyAlignment="1">
      <alignment vertical="center"/>
    </xf>
    <xf numFmtId="230" fontId="161" fillId="67" borderId="0" applyAlignment="1">
      <alignment vertical="center"/>
    </xf>
    <xf numFmtId="230" fontId="161" fillId="67" borderId="0" applyAlignment="1">
      <alignment vertical="center"/>
    </xf>
    <xf numFmtId="231" fontId="160" fillId="67" borderId="0" applyAlignment="1">
      <alignment vertical="center"/>
    </xf>
    <xf numFmtId="0" fontId="160" fillId="67" borderId="0" applyAlignment="1">
      <alignment vertical="center"/>
    </xf>
    <xf numFmtId="167" fontId="160" fillId="71" borderId="0" applyAlignment="1">
      <alignment vertical="center"/>
    </xf>
    <xf numFmtId="167" fontId="160" fillId="71" borderId="0" applyAlignment="1">
      <alignment vertical="center"/>
    </xf>
    <xf numFmtId="230" fontId="160" fillId="71" borderId="0" applyAlignment="1">
      <alignment vertical="center"/>
    </xf>
    <xf numFmtId="230" fontId="161" fillId="71" borderId="0" applyAlignment="1">
      <alignment vertical="center"/>
    </xf>
    <xf numFmtId="230" fontId="161" fillId="71" borderId="0" applyAlignment="1">
      <alignment vertical="center"/>
    </xf>
    <xf numFmtId="231" fontId="160" fillId="71" borderId="0" applyAlignment="1">
      <alignment vertical="center"/>
    </xf>
    <xf numFmtId="0" fontId="160" fillId="71" borderId="0" applyAlignment="1">
      <alignment vertical="center"/>
    </xf>
    <xf numFmtId="167" fontId="160" fillId="74" borderId="0" applyAlignment="1">
      <alignment vertical="center"/>
    </xf>
    <xf numFmtId="167" fontId="160" fillId="74" borderId="0" applyAlignment="1">
      <alignment vertical="center"/>
    </xf>
    <xf numFmtId="230" fontId="160" fillId="74" borderId="0" applyAlignment="1">
      <alignment vertical="center"/>
    </xf>
    <xf numFmtId="230" fontId="161" fillId="74" borderId="0" applyAlignment="1">
      <alignment vertical="center"/>
    </xf>
    <xf numFmtId="230" fontId="161" fillId="74" borderId="0" applyAlignment="1">
      <alignment vertical="center"/>
    </xf>
    <xf numFmtId="231" fontId="160" fillId="74" borderId="0" applyAlignment="1">
      <alignment vertical="center"/>
    </xf>
    <xf numFmtId="0" fontId="160" fillId="74" borderId="0" applyAlignment="1">
      <alignment vertical="center"/>
    </xf>
    <xf numFmtId="167" fontId="160" fillId="68" borderId="0" applyAlignment="1">
      <alignment vertical="center"/>
    </xf>
    <xf numFmtId="167" fontId="160" fillId="68" borderId="0" applyAlignment="1">
      <alignment vertical="center"/>
    </xf>
    <xf numFmtId="230" fontId="160" fillId="68" borderId="0" applyAlignment="1">
      <alignment vertical="center"/>
    </xf>
    <xf numFmtId="230" fontId="161" fillId="68" borderId="0" applyAlignment="1">
      <alignment vertical="center"/>
    </xf>
    <xf numFmtId="230" fontId="161" fillId="68" borderId="0" applyAlignment="1">
      <alignment vertical="center"/>
    </xf>
    <xf numFmtId="231" fontId="160" fillId="68" borderId="0" applyAlignment="1">
      <alignment vertical="center"/>
    </xf>
    <xf numFmtId="0" fontId="160" fillId="68" borderId="0" applyAlignment="1">
      <alignment vertical="center"/>
    </xf>
    <xf numFmtId="0" fontId="162" fillId="75" borderId="0" applyAlignment="1">
      <alignment vertical="center"/>
    </xf>
    <xf numFmtId="0" fontId="163" fillId="75" borderId="0" applyAlignment="1">
      <alignment vertical="center"/>
    </xf>
    <xf numFmtId="0" fontId="162" fillId="68" borderId="0" applyAlignment="1">
      <alignment vertical="center"/>
    </xf>
    <xf numFmtId="0" fontId="163" fillId="68" borderId="0" applyAlignment="1">
      <alignment vertical="center"/>
    </xf>
    <xf numFmtId="0" fontId="162" fillId="72" borderId="0" applyAlignment="1">
      <alignment vertical="center"/>
    </xf>
    <xf numFmtId="0" fontId="163" fillId="72" borderId="0" applyAlignment="1">
      <alignment vertical="center"/>
    </xf>
    <xf numFmtId="0" fontId="162" fillId="76" borderId="0" applyAlignment="1">
      <alignment vertical="center"/>
    </xf>
    <xf numFmtId="0" fontId="163" fillId="76" borderId="0" applyAlignment="1">
      <alignment vertical="center"/>
    </xf>
    <xf numFmtId="0" fontId="162" fillId="74" borderId="0" applyAlignment="1">
      <alignment vertical="center"/>
    </xf>
    <xf numFmtId="0" fontId="163" fillId="74" borderId="0" applyAlignment="1">
      <alignment vertical="center"/>
    </xf>
    <xf numFmtId="0" fontId="162" fillId="77" borderId="0" applyAlignment="1">
      <alignment vertical="center"/>
    </xf>
    <xf numFmtId="0" fontId="163" fillId="77" borderId="0" applyAlignment="1">
      <alignment vertical="center"/>
    </xf>
    <xf numFmtId="0" fontId="148" fillId="78" borderId="0"/>
    <xf numFmtId="0" fontId="148" fillId="79" borderId="0"/>
    <xf numFmtId="0" fontId="156" fillId="80" borderId="0"/>
    <xf numFmtId="167" fontId="156" fillId="70" borderId="0"/>
    <xf numFmtId="167" fontId="157" fillId="70" borderId="0"/>
    <xf numFmtId="0" fontId="156" fillId="74" borderId="0"/>
    <xf numFmtId="0" fontId="157" fillId="70" borderId="0"/>
    <xf numFmtId="0" fontId="156" fillId="74" borderId="0"/>
    <xf numFmtId="0" fontId="157" fillId="70" borderId="0"/>
    <xf numFmtId="167" fontId="156" fillId="70" borderId="0"/>
    <xf numFmtId="0" fontId="158" fillId="32" borderId="0"/>
    <xf numFmtId="231" fontId="156" fillId="70" borderId="0"/>
    <xf numFmtId="0" fontId="157" fillId="70" borderId="0"/>
    <xf numFmtId="167" fontId="156" fillId="70" borderId="0"/>
    <xf numFmtId="0" fontId="158" fillId="32" borderId="0"/>
    <xf numFmtId="0" fontId="156" fillId="70" borderId="0"/>
    <xf numFmtId="167" fontId="157" fillId="70" borderId="0"/>
    <xf numFmtId="0" fontId="156" fillId="74" borderId="0"/>
    <xf numFmtId="230" fontId="158" fillId="32" borderId="0"/>
    <xf numFmtId="231" fontId="157" fillId="70" borderId="0"/>
    <xf numFmtId="0" fontId="159" fillId="32" borderId="0"/>
    <xf numFmtId="0" fontId="157" fillId="70" borderId="0"/>
    <xf numFmtId="167" fontId="156" fillId="74" borderId="0"/>
    <xf numFmtId="0" fontId="159" fillId="32" borderId="0"/>
    <xf numFmtId="230" fontId="159" fillId="32" borderId="0"/>
    <xf numFmtId="230" fontId="159" fillId="32" borderId="0"/>
    <xf numFmtId="230" fontId="158" fillId="32" borderId="0"/>
    <xf numFmtId="231" fontId="158" fillId="32" borderId="0"/>
    <xf numFmtId="0" fontId="159" fillId="32" borderId="0"/>
    <xf numFmtId="0" fontId="148" fillId="81" borderId="0"/>
    <xf numFmtId="0" fontId="148" fillId="82" borderId="0"/>
    <xf numFmtId="0" fontId="156" fillId="83" borderId="0"/>
    <xf numFmtId="167" fontId="156" fillId="84" borderId="0"/>
    <xf numFmtId="167" fontId="157" fillId="84" borderId="0"/>
    <xf numFmtId="0" fontId="156" fillId="85" borderId="0"/>
    <xf numFmtId="0" fontId="157" fillId="84" borderId="0"/>
    <xf numFmtId="0" fontId="156" fillId="85" borderId="0"/>
    <xf numFmtId="0" fontId="157" fillId="84" borderId="0"/>
    <xf numFmtId="167" fontId="156" fillId="84" borderId="0"/>
    <xf numFmtId="0" fontId="158" fillId="36" borderId="0"/>
    <xf numFmtId="231" fontId="156" fillId="84" borderId="0"/>
    <xf numFmtId="0" fontId="157" fillId="84" borderId="0"/>
    <xf numFmtId="167" fontId="156" fillId="84" borderId="0"/>
    <xf numFmtId="0" fontId="158" fillId="36" borderId="0"/>
    <xf numFmtId="0" fontId="156" fillId="84" borderId="0"/>
    <xf numFmtId="167" fontId="157" fillId="84" borderId="0"/>
    <xf numFmtId="0" fontId="156" fillId="85" borderId="0"/>
    <xf numFmtId="230" fontId="158" fillId="36" borderId="0"/>
    <xf numFmtId="231" fontId="157" fillId="84" borderId="0"/>
    <xf numFmtId="0" fontId="159" fillId="36" borderId="0"/>
    <xf numFmtId="0" fontId="157" fillId="84" borderId="0"/>
    <xf numFmtId="167" fontId="156" fillId="85" borderId="0"/>
    <xf numFmtId="0" fontId="159" fillId="36" borderId="0"/>
    <xf numFmtId="230" fontId="159" fillId="36" borderId="0"/>
    <xf numFmtId="230" fontId="159" fillId="36" borderId="0"/>
    <xf numFmtId="230" fontId="158" fillId="36" borderId="0"/>
    <xf numFmtId="231" fontId="158" fillId="36" borderId="0"/>
    <xf numFmtId="0" fontId="159" fillId="36" borderId="0"/>
    <xf numFmtId="0" fontId="148" fillId="86" borderId="0"/>
    <xf numFmtId="0" fontId="148" fillId="87" borderId="0"/>
    <xf numFmtId="0" fontId="156" fillId="88" borderId="0"/>
    <xf numFmtId="167" fontId="156" fillId="65" borderId="0"/>
    <xf numFmtId="167" fontId="157" fillId="65" borderId="0"/>
    <xf numFmtId="0" fontId="156" fillId="89" borderId="0"/>
    <xf numFmtId="0" fontId="157" fillId="65" borderId="0"/>
    <xf numFmtId="0" fontId="156" fillId="89" borderId="0"/>
    <xf numFmtId="0" fontId="157" fillId="65" borderId="0"/>
    <xf numFmtId="167" fontId="156" fillId="65" borderId="0"/>
    <xf numFmtId="0" fontId="158" fillId="40" borderId="0"/>
    <xf numFmtId="231" fontId="156" fillId="65" borderId="0"/>
    <xf numFmtId="0" fontId="157" fillId="65" borderId="0"/>
    <xf numFmtId="167" fontId="156" fillId="65" borderId="0"/>
    <xf numFmtId="0" fontId="158" fillId="40" borderId="0"/>
    <xf numFmtId="0" fontId="156" fillId="65" borderId="0"/>
    <xf numFmtId="167" fontId="157" fillId="65" borderId="0"/>
    <xf numFmtId="0" fontId="156" fillId="89" borderId="0"/>
    <xf numFmtId="230" fontId="158" fillId="40" borderId="0"/>
    <xf numFmtId="231" fontId="157" fillId="65" borderId="0"/>
    <xf numFmtId="0" fontId="159" fillId="40" borderId="0"/>
    <xf numFmtId="0" fontId="157" fillId="65" borderId="0"/>
    <xf numFmtId="167" fontId="156" fillId="63" borderId="0"/>
    <xf numFmtId="0" fontId="159" fillId="40" borderId="0"/>
    <xf numFmtId="230" fontId="159" fillId="40" borderId="0"/>
    <xf numFmtId="230" fontId="159" fillId="40" borderId="0"/>
    <xf numFmtId="230" fontId="158" fillId="40" borderId="0"/>
    <xf numFmtId="231" fontId="158" fillId="40" borderId="0"/>
    <xf numFmtId="0" fontId="159" fillId="40" borderId="0"/>
    <xf numFmtId="0" fontId="148" fillId="87" borderId="0"/>
    <xf numFmtId="0" fontId="148" fillId="88" borderId="0"/>
    <xf numFmtId="0" fontId="156" fillId="88" borderId="0"/>
    <xf numFmtId="167" fontId="156" fillId="66" borderId="0"/>
    <xf numFmtId="167" fontId="157" fillId="66" borderId="0"/>
    <xf numFmtId="0" fontId="156" fillId="90" borderId="0"/>
    <xf numFmtId="0" fontId="157" fillId="66" borderId="0"/>
    <xf numFmtId="0" fontId="156" fillId="90" borderId="0"/>
    <xf numFmtId="0" fontId="157" fillId="66" borderId="0"/>
    <xf numFmtId="167" fontId="156" fillId="66" borderId="0"/>
    <xf numFmtId="0" fontId="158" fillId="44" borderId="0"/>
    <xf numFmtId="231" fontId="156" fillId="66" borderId="0"/>
    <xf numFmtId="0" fontId="157" fillId="66" borderId="0"/>
    <xf numFmtId="167" fontId="156" fillId="66" borderId="0"/>
    <xf numFmtId="0" fontId="158" fillId="44" borderId="0"/>
    <xf numFmtId="0" fontId="156" fillId="66" borderId="0"/>
    <xf numFmtId="167" fontId="157" fillId="66" borderId="0"/>
    <xf numFmtId="0" fontId="156" fillId="90" borderId="0"/>
    <xf numFmtId="230" fontId="158" fillId="44" borderId="0"/>
    <xf numFmtId="231" fontId="157" fillId="66" borderId="0"/>
    <xf numFmtId="0" fontId="159" fillId="44" borderId="0"/>
    <xf numFmtId="0" fontId="157" fillId="66" borderId="0"/>
    <xf numFmtId="167" fontId="156" fillId="90" borderId="0"/>
    <xf numFmtId="0" fontId="159" fillId="44" borderId="0"/>
    <xf numFmtId="230" fontId="159" fillId="44" borderId="0"/>
    <xf numFmtId="230" fontId="159" fillId="44" borderId="0"/>
    <xf numFmtId="230" fontId="158" fillId="44" borderId="0"/>
    <xf numFmtId="231" fontId="158" fillId="44" borderId="0"/>
    <xf numFmtId="0" fontId="159" fillId="44" borderId="0"/>
    <xf numFmtId="0" fontId="148" fillId="78" borderId="0"/>
    <xf numFmtId="0" fontId="148" fillId="79" borderId="0"/>
    <xf numFmtId="0" fontId="156" fillId="79" borderId="0"/>
    <xf numFmtId="167" fontId="156" fillId="74" borderId="0"/>
    <xf numFmtId="167" fontId="157" fillId="74" borderId="0"/>
    <xf numFmtId="0" fontId="156" fillId="74" borderId="0"/>
    <xf numFmtId="0" fontId="157" fillId="74" borderId="0"/>
    <xf numFmtId="0" fontId="156" fillId="74" borderId="0"/>
    <xf numFmtId="0" fontId="157" fillId="74" borderId="0"/>
    <xf numFmtId="167" fontId="156" fillId="74" borderId="0"/>
    <xf numFmtId="0" fontId="158" fillId="48" borderId="0"/>
    <xf numFmtId="231" fontId="156" fillId="74" borderId="0"/>
    <xf numFmtId="0" fontId="157" fillId="74" borderId="0"/>
    <xf numFmtId="167" fontId="156" fillId="74" borderId="0"/>
    <xf numFmtId="0" fontId="158" fillId="48" borderId="0"/>
    <xf numFmtId="0" fontId="156" fillId="74" borderId="0"/>
    <xf numFmtId="167" fontId="157" fillId="74" borderId="0"/>
    <xf numFmtId="0" fontId="156" fillId="74" borderId="0"/>
    <xf numFmtId="230" fontId="158" fillId="48" borderId="0"/>
    <xf numFmtId="231" fontId="157" fillId="74" borderId="0"/>
    <xf numFmtId="0" fontId="159" fillId="48" borderId="0"/>
    <xf numFmtId="0" fontId="157" fillId="74" borderId="0"/>
    <xf numFmtId="167" fontId="156" fillId="74" borderId="0"/>
    <xf numFmtId="0" fontId="159" fillId="48" borderId="0"/>
    <xf numFmtId="230" fontId="159" fillId="48" borderId="0"/>
    <xf numFmtId="230" fontId="159" fillId="48" borderId="0"/>
    <xf numFmtId="230" fontId="158" fillId="48" borderId="0"/>
    <xf numFmtId="231" fontId="158" fillId="48" borderId="0"/>
    <xf numFmtId="0" fontId="159" fillId="48" borderId="0"/>
    <xf numFmtId="0" fontId="148" fillId="91" borderId="0"/>
    <xf numFmtId="0" fontId="148" fillId="82" borderId="0"/>
    <xf numFmtId="0" fontId="156" fillId="92" borderId="0"/>
    <xf numFmtId="167" fontId="156" fillId="67" borderId="0"/>
    <xf numFmtId="167" fontId="157" fillId="67" borderId="0"/>
    <xf numFmtId="0" fontId="156" fillId="93" borderId="0"/>
    <xf numFmtId="0" fontId="157" fillId="67" borderId="0"/>
    <xf numFmtId="0" fontId="156" fillId="93" borderId="0"/>
    <xf numFmtId="0" fontId="157" fillId="67" borderId="0"/>
    <xf numFmtId="167" fontId="156" fillId="67" borderId="0"/>
    <xf numFmtId="0" fontId="158" fillId="52" borderId="0"/>
    <xf numFmtId="231" fontId="156" fillId="67" borderId="0"/>
    <xf numFmtId="0" fontId="157" fillId="67" borderId="0"/>
    <xf numFmtId="167" fontId="156" fillId="67" borderId="0"/>
    <xf numFmtId="0" fontId="158" fillId="52" borderId="0"/>
    <xf numFmtId="0" fontId="156" fillId="67" borderId="0"/>
    <xf numFmtId="167" fontId="157" fillId="67" borderId="0"/>
    <xf numFmtId="0" fontId="156" fillId="93" borderId="0"/>
    <xf numFmtId="230" fontId="158" fillId="52" borderId="0"/>
    <xf numFmtId="231" fontId="157" fillId="67" borderId="0"/>
    <xf numFmtId="0" fontId="159" fillId="52" borderId="0"/>
    <xf numFmtId="0" fontId="157" fillId="67" borderId="0"/>
    <xf numFmtId="167" fontId="156" fillId="93" borderId="0"/>
    <xf numFmtId="0" fontId="159" fillId="52" borderId="0"/>
    <xf numFmtId="230" fontId="159" fillId="52" borderId="0"/>
    <xf numFmtId="230" fontId="159" fillId="52" borderId="0"/>
    <xf numFmtId="230" fontId="158" fillId="52" borderId="0"/>
    <xf numFmtId="231" fontId="158" fillId="52" borderId="0"/>
    <xf numFmtId="0" fontId="159" fillId="52" borderId="0"/>
    <xf numFmtId="180" fontId="164" fillId="56" borderId="39"/>
    <xf numFmtId="167" fontId="165" fillId="94" borderId="0"/>
    <xf numFmtId="167" fontId="166" fillId="94" borderId="0"/>
    <xf numFmtId="0" fontId="167" fillId="61" borderId="0"/>
    <xf numFmtId="0" fontId="166" fillId="94" borderId="0"/>
    <xf numFmtId="0" fontId="167" fillId="61" borderId="0"/>
    <xf numFmtId="0" fontId="166" fillId="94" borderId="0"/>
    <xf numFmtId="167" fontId="165" fillId="94" borderId="0"/>
    <xf numFmtId="0" fontId="168" fillId="29" borderId="0"/>
    <xf numFmtId="231" fontId="165" fillId="94" borderId="0"/>
    <xf numFmtId="0" fontId="166" fillId="94" borderId="0"/>
    <xf numFmtId="167" fontId="165" fillId="94" borderId="0"/>
    <xf numFmtId="0" fontId="168" fillId="29" borderId="0"/>
    <xf numFmtId="0" fontId="165" fillId="94" borderId="0"/>
    <xf numFmtId="167" fontId="166" fillId="94" borderId="0"/>
    <xf numFmtId="0" fontId="167" fillId="61" borderId="0"/>
    <xf numFmtId="230" fontId="168" fillId="29" borderId="0"/>
    <xf numFmtId="231" fontId="166" fillId="94" borderId="0"/>
    <xf numFmtId="0" fontId="166" fillId="94" borderId="0"/>
    <xf numFmtId="167" fontId="165" fillId="61" borderId="0"/>
    <xf numFmtId="230" fontId="169" fillId="29" borderId="0"/>
    <xf numFmtId="230" fontId="169" fillId="29" borderId="0"/>
    <xf numFmtId="230" fontId="168" fillId="29" borderId="0"/>
    <xf numFmtId="231" fontId="168" fillId="29" borderId="0"/>
    <xf numFmtId="167" fontId="170" fillId="60" borderId="142"/>
    <xf numFmtId="167" fontId="171" fillId="60" borderId="142"/>
    <xf numFmtId="0" fontId="170" fillId="60" borderId="142"/>
    <xf numFmtId="0" fontId="170" fillId="60" borderId="142"/>
    <xf numFmtId="0" fontId="171" fillId="60" borderId="142"/>
    <xf numFmtId="0" fontId="170" fillId="60" borderId="142"/>
    <xf numFmtId="0" fontId="170" fillId="60" borderId="142"/>
    <xf numFmtId="0" fontId="170" fillId="60" borderId="142"/>
    <xf numFmtId="0" fontId="171" fillId="60" borderId="142"/>
    <xf numFmtId="167" fontId="170" fillId="60" borderId="142"/>
    <xf numFmtId="0" fontId="170" fillId="60" borderId="142"/>
    <xf numFmtId="0" fontId="170" fillId="60" borderId="142"/>
    <xf numFmtId="0" fontId="170" fillId="60" borderId="142"/>
    <xf numFmtId="0" fontId="170" fillId="60" borderId="142"/>
    <xf numFmtId="0" fontId="172" fillId="30" borderId="35"/>
    <xf numFmtId="0" fontId="173" fillId="0" borderId="0"/>
    <xf numFmtId="0" fontId="170" fillId="60" borderId="142"/>
    <xf numFmtId="0" fontId="170" fillId="60" borderId="142"/>
    <xf numFmtId="0" fontId="170" fillId="60" borderId="142"/>
    <xf numFmtId="0" fontId="173" fillId="0" borderId="0"/>
    <xf numFmtId="0" fontId="170" fillId="60" borderId="142"/>
    <xf numFmtId="0" fontId="170" fillId="60" borderId="142"/>
    <xf numFmtId="0" fontId="170" fillId="60" borderId="142"/>
    <xf numFmtId="0" fontId="170" fillId="60" borderId="142"/>
    <xf numFmtId="0" fontId="174" fillId="71" borderId="142"/>
    <xf numFmtId="0" fontId="172" fillId="30" borderId="35"/>
    <xf numFmtId="0" fontId="170" fillId="60" borderId="142"/>
    <xf numFmtId="167" fontId="171" fillId="60" borderId="142"/>
    <xf numFmtId="0" fontId="170" fillId="60" borderId="142"/>
    <xf numFmtId="230" fontId="172" fillId="30" borderId="35"/>
    <xf numFmtId="231" fontId="171" fillId="60" borderId="142"/>
    <xf numFmtId="0" fontId="171" fillId="60" borderId="142"/>
    <xf numFmtId="167" fontId="170" fillId="60" borderId="142"/>
    <xf numFmtId="230" fontId="175" fillId="30" borderId="35"/>
    <xf numFmtId="230" fontId="175" fillId="30" borderId="35"/>
    <xf numFmtId="230" fontId="172" fillId="30" borderId="35"/>
    <xf numFmtId="231" fontId="172" fillId="30" borderId="35"/>
    <xf numFmtId="167" fontId="176" fillId="95" borderId="40"/>
    <xf numFmtId="167" fontId="177" fillId="95" borderId="40"/>
    <xf numFmtId="0" fontId="176" fillId="95" borderId="40"/>
    <xf numFmtId="0" fontId="177" fillId="95" borderId="40"/>
    <xf numFmtId="0" fontId="176" fillId="95" borderId="40"/>
    <xf numFmtId="0" fontId="177" fillId="95" borderId="40"/>
    <xf numFmtId="167" fontId="176" fillId="95" borderId="40"/>
    <xf numFmtId="0" fontId="178" fillId="31" borderId="36"/>
    <xf numFmtId="0" fontId="179" fillId="31" borderId="36"/>
    <xf numFmtId="0" fontId="179" fillId="31" borderId="36"/>
    <xf numFmtId="0" fontId="180" fillId="95" borderId="40"/>
    <xf numFmtId="0" fontId="178" fillId="31" borderId="36"/>
    <xf numFmtId="0" fontId="176" fillId="95" borderId="40"/>
    <xf numFmtId="167" fontId="177" fillId="95" borderId="40"/>
    <xf numFmtId="0" fontId="176" fillId="95" borderId="40"/>
    <xf numFmtId="230" fontId="178" fillId="31" borderId="36"/>
    <xf numFmtId="231" fontId="177" fillId="95" borderId="40"/>
    <xf numFmtId="0" fontId="177" fillId="95" borderId="40"/>
    <xf numFmtId="167" fontId="176" fillId="95" borderId="40"/>
    <xf numFmtId="230" fontId="179" fillId="31" borderId="36"/>
    <xf numFmtId="230" fontId="179" fillId="31" borderId="36"/>
    <xf numFmtId="230" fontId="178" fillId="31" borderId="36"/>
    <xf numFmtId="231" fontId="178" fillId="31" borderId="36"/>
    <xf numFmtId="232" fontId="181" fillId="0" borderId="0" applyAlignment="1">
      <alignment vertical="center"/>
    </xf>
    <xf numFmtId="0" fontId="4" fillId="0" borderId="0"/>
    <xf numFmtId="0" fontId="4" fillId="0" borderId="0"/>
    <xf numFmtId="0" fontId="148" fillId="69" borderId="0"/>
    <xf numFmtId="0" fontId="148" fillId="61" borderId="0"/>
    <xf numFmtId="0" fontId="148" fillId="70" borderId="0"/>
    <xf numFmtId="0" fontId="148" fillId="59" borderId="0"/>
    <xf numFmtId="0" fontId="156" fillId="103" borderId="0"/>
    <xf numFmtId="0" fontId="156" fillId="93" borderId="0"/>
    <xf numFmtId="0" fontId="148" fillId="64" borderId="0"/>
    <xf numFmtId="0" fontId="148" fillId="68" borderId="0"/>
    <xf numFmtId="0" fontId="148" fillId="72" borderId="0"/>
    <xf numFmtId="0" fontId="148" fillId="59" borderId="0"/>
    <xf numFmtId="0" fontId="208" fillId="62" borderId="142"/>
    <xf numFmtId="0" fontId="148" fillId="73" borderId="0"/>
    <xf numFmtId="0" fontId="156" fillId="75" borderId="0"/>
    <xf numFmtId="0" fontId="156" fillId="68" borderId="0"/>
    <xf numFmtId="0" fontId="156" fillId="72" borderId="0"/>
    <xf numFmtId="0" fontId="156" fillId="76" borderId="0"/>
    <xf numFmtId="0" fontId="170" fillId="71" borderId="142"/>
    <xf numFmtId="0" fontId="156" fillId="77"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65" fillId="61" borderId="0"/>
    <xf numFmtId="0" fontId="170" fillId="71" borderId="142"/>
    <xf numFmtId="0" fontId="156" fillId="103" borderId="0"/>
    <xf numFmtId="44" fontId="4" fillId="0" borderId="0"/>
    <xf numFmtId="0" fontId="91" fillId="0" borderId="0"/>
    <xf numFmtId="233" fontId="4" fillId="0" borderId="0"/>
    <xf numFmtId="0" fontId="203" fillId="0" borderId="0"/>
    <xf numFmtId="0" fontId="204" fillId="70" borderId="0"/>
    <xf numFmtId="0" fontId="148" fillId="65" borderId="143"/>
    <xf numFmtId="0" fontId="113" fillId="0" borderId="52" applyAlignment="1">
      <alignment horizontal="left" vertical="center"/>
    </xf>
    <xf numFmtId="0" fontId="205" fillId="0" borderId="53"/>
    <xf numFmtId="0" fontId="206" fillId="0" borderId="54"/>
    <xf numFmtId="0" fontId="207" fillId="0" borderId="55"/>
    <xf numFmtId="0" fontId="207" fillId="0" borderId="0"/>
    <xf numFmtId="0" fontId="208" fillId="62" borderId="142"/>
    <xf numFmtId="0" fontId="209" fillId="0" borderId="56"/>
    <xf numFmtId="0" fontId="210" fillId="67" borderId="0"/>
    <xf numFmtId="0" fontId="148" fillId="65" borderId="143"/>
    <xf numFmtId="0" fontId="211" fillId="71" borderId="144"/>
    <xf numFmtId="0" fontId="212" fillId="0" borderId="0"/>
    <xf numFmtId="0" fontId="213" fillId="0" borderId="145"/>
    <xf numFmtId="43" fontId="214" fillId="0" borderId="0"/>
    <xf numFmtId="44" fontId="4" fillId="0" borderId="0"/>
    <xf numFmtId="0" fontId="215" fillId="0" borderId="0"/>
    <xf numFmtId="0" fontId="202" fillId="0" borderId="0"/>
    <xf numFmtId="0" fontId="4" fillId="0" borderId="0"/>
    <xf numFmtId="9" fontId="4" fillId="0" borderId="0"/>
    <xf numFmtId="0" fontId="156" fillId="85" borderId="0"/>
    <xf numFmtId="0" fontId="156" fillId="89" borderId="0"/>
    <xf numFmtId="44" fontId="4" fillId="0" borderId="0"/>
    <xf numFmtId="0" fontId="156" fillId="76" borderId="0"/>
    <xf numFmtId="0" fontId="156" fillId="74" borderId="0"/>
    <xf numFmtId="0" fontId="156" fillId="93" borderId="0"/>
    <xf numFmtId="0" fontId="156" fillId="103" borderId="0"/>
    <xf numFmtId="0" fontId="156" fillId="85" borderId="0"/>
    <xf numFmtId="44" fontId="4" fillId="0" borderId="0"/>
    <xf numFmtId="0" fontId="156" fillId="89" borderId="0"/>
    <xf numFmtId="0" fontId="170" fillId="71" borderId="142"/>
    <xf numFmtId="0" fontId="156" fillId="76" borderId="0"/>
    <xf numFmtId="0" fontId="156" fillId="103" borderId="0"/>
    <xf numFmtId="0" fontId="156" fillId="85" borderId="0"/>
    <xf numFmtId="0" fontId="156" fillId="89" borderId="0"/>
    <xf numFmtId="0" fontId="156" fillId="76"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156" fillId="85" borderId="0"/>
    <xf numFmtId="0" fontId="156" fillId="103" borderId="0"/>
    <xf numFmtId="0" fontId="156" fillId="74" borderId="0"/>
    <xf numFmtId="0" fontId="156" fillId="93" borderId="0"/>
    <xf numFmtId="0" fontId="156" fillId="93" borderId="0"/>
    <xf numFmtId="0" fontId="156" fillId="74" borderId="0"/>
    <xf numFmtId="0" fontId="156" fillId="76" borderId="0"/>
    <xf numFmtId="44" fontId="4" fillId="0" borderId="0"/>
    <xf numFmtId="0" fontId="156" fillId="89" borderId="0"/>
    <xf numFmtId="0" fontId="208" fillId="62" borderId="142"/>
    <xf numFmtId="0" fontId="156" fillId="103" borderId="0"/>
    <xf numFmtId="0" fontId="156" fillId="74" borderId="0"/>
    <xf numFmtId="44" fontId="4" fillId="0" borderId="0"/>
    <xf numFmtId="0" fontId="156" fillId="89" borderId="0"/>
    <xf numFmtId="0" fontId="156" fillId="85" borderId="0"/>
    <xf numFmtId="0" fontId="156" fillId="103" borderId="0"/>
    <xf numFmtId="0" fontId="208" fillId="62" borderId="142"/>
    <xf numFmtId="0" fontId="156" fillId="76" borderId="0"/>
    <xf numFmtId="0" fontId="4" fillId="0" borderId="0"/>
    <xf numFmtId="0" fontId="156" fillId="76" borderId="0"/>
    <xf numFmtId="0" fontId="170" fillId="71" borderId="142"/>
    <xf numFmtId="9" fontId="4" fillId="0" borderId="0"/>
    <xf numFmtId="0" fontId="156" fillId="85" borderId="0"/>
    <xf numFmtId="0" fontId="156" fillId="85" borderId="0"/>
    <xf numFmtId="0" fontId="208" fillId="62" borderId="142"/>
    <xf numFmtId="44" fontId="4" fillId="0" borderId="0"/>
    <xf numFmtId="0" fontId="156" fillId="93" borderId="0"/>
    <xf numFmtId="0" fontId="156" fillId="103" borderId="0"/>
    <xf numFmtId="0" fontId="4" fillId="0" borderId="0"/>
    <xf numFmtId="0" fontId="156" fillId="89" borderId="0"/>
    <xf numFmtId="44" fontId="4" fillId="0" borderId="0"/>
    <xf numFmtId="9" fontId="4" fillId="0" borderId="0"/>
    <xf numFmtId="0" fontId="156" fillId="85" borderId="0"/>
    <xf numFmtId="0" fontId="156" fillId="74" borderId="0"/>
    <xf numFmtId="0" fontId="156" fillId="74" borderId="0"/>
    <xf numFmtId="0" fontId="156" fillId="76" borderId="0"/>
    <xf numFmtId="0" fontId="208" fillId="62" borderId="142"/>
    <xf numFmtId="0" fontId="156" fillId="89" borderId="0"/>
    <xf numFmtId="0" fontId="156" fillId="85" borderId="0"/>
    <xf numFmtId="0" fontId="156" fillId="74" borderId="0"/>
    <xf numFmtId="0" fontId="4" fillId="0" borderId="0"/>
    <xf numFmtId="0" fontId="156" fillId="93" borderId="0"/>
    <xf numFmtId="0" fontId="156" fillId="93" borderId="0"/>
    <xf numFmtId="9" fontId="4" fillId="0" borderId="0"/>
    <xf numFmtId="0" fontId="156" fillId="89" borderId="0"/>
    <xf numFmtId="44" fontId="4" fillId="0" borderId="0"/>
    <xf numFmtId="0" fontId="156" fillId="93" borderId="0"/>
    <xf numFmtId="0" fontId="208" fillId="62" borderId="142"/>
    <xf numFmtId="0" fontId="156" fillId="85" borderId="0"/>
    <xf numFmtId="0" fontId="156" fillId="103" borderId="0"/>
    <xf numFmtId="0" fontId="4" fillId="0" borderId="0"/>
    <xf numFmtId="0" fontId="156" fillId="85" borderId="0"/>
    <xf numFmtId="0" fontId="156" fillId="89" borderId="0"/>
    <xf numFmtId="9" fontId="4" fillId="0"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4" fillId="0" borderId="0"/>
    <xf numFmtId="0" fontId="156" fillId="76" borderId="0"/>
    <xf numFmtId="0" fontId="156" fillId="103" borderId="0"/>
    <xf numFmtId="9" fontId="4" fillId="0" borderId="0"/>
    <xf numFmtId="44" fontId="4" fillId="0" borderId="0"/>
    <xf numFmtId="0" fontId="148" fillId="65" borderId="143"/>
    <xf numFmtId="0" fontId="211" fillId="71" borderId="144"/>
    <xf numFmtId="0" fontId="156" fillId="89" borderId="0"/>
    <xf numFmtId="0" fontId="213" fillId="0" borderId="145"/>
    <xf numFmtId="0" fontId="156" fillId="85" borderId="0"/>
    <xf numFmtId="0" fontId="148" fillId="65" borderId="143"/>
    <xf numFmtId="0" fontId="4" fillId="0" borderId="0"/>
    <xf numFmtId="0" fontId="208" fillId="62" borderId="142"/>
    <xf numFmtId="44" fontId="4" fillId="0" borderId="0"/>
    <xf numFmtId="9" fontId="4" fillId="0" borderId="0"/>
    <xf numFmtId="0" fontId="156" fillId="89" borderId="0"/>
    <xf numFmtId="0" fontId="208" fillId="62" borderId="142"/>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156" fillId="89" borderId="0"/>
    <xf numFmtId="0" fontId="156" fillId="85" borderId="0"/>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0" fontId="156" fillId="103"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44" fontId="4" fillId="0" borderId="0"/>
    <xf numFmtId="9" fontId="4" fillId="0" borderId="0"/>
    <xf numFmtId="0" fontId="156" fillId="93" borderId="0"/>
    <xf numFmtId="0" fontId="156" fillId="85" borderId="0"/>
    <xf numFmtId="0" fontId="156" fillId="103" borderId="0"/>
    <xf numFmtId="0" fontId="156" fillId="93" borderId="0"/>
    <xf numFmtId="0" fontId="156" fillId="74" borderId="0"/>
    <xf numFmtId="0" fontId="170" fillId="71" borderId="142"/>
    <xf numFmtId="0" fontId="156" fillId="76" borderId="0"/>
    <xf numFmtId="44" fontId="4" fillId="0" borderId="0"/>
    <xf numFmtId="0" fontId="208" fillId="62" borderId="142"/>
    <xf numFmtId="0" fontId="4" fillId="0" borderId="0"/>
    <xf numFmtId="0" fontId="156" fillId="74" borderId="0"/>
    <xf numFmtId="0" fontId="156" fillId="76"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156" fillId="85" borderId="0"/>
    <xf numFmtId="0" fontId="156" fillId="103" borderId="0"/>
    <xf numFmtId="0" fontId="208" fillId="62" borderId="142"/>
    <xf numFmtId="0" fontId="4" fillId="0" borderId="0"/>
    <xf numFmtId="9" fontId="4" fillId="0" borderId="0"/>
    <xf numFmtId="0" fontId="156" fillId="89" borderId="0"/>
    <xf numFmtId="0" fontId="148" fillId="65" borderId="143"/>
    <xf numFmtId="0" fontId="211" fillId="71" borderId="144"/>
    <xf numFmtId="0" fontId="208" fillId="62" borderId="142"/>
    <xf numFmtId="0" fontId="213" fillId="0" borderId="145"/>
    <xf numFmtId="0" fontId="4" fillId="0" borderId="0"/>
    <xf numFmtId="9" fontId="4" fillId="0" borderId="0"/>
    <xf numFmtId="0" fontId="4" fillId="0" borderId="0"/>
    <xf numFmtId="9" fontId="4" fillId="0" borderId="0"/>
    <xf numFmtId="0" fontId="148" fillId="65" borderId="143"/>
    <xf numFmtId="0" fontId="211" fillId="71" borderId="144"/>
    <xf numFmtId="0" fontId="213" fillId="0" borderId="145"/>
    <xf numFmtId="9" fontId="4" fillId="0" borderId="0"/>
    <xf numFmtId="0" fontId="1" fillId="0" borderId="0"/>
    <xf numFmtId="0" fontId="151" fillId="0" borderId="0"/>
    <xf numFmtId="0" fontId="217" fillId="0" borderId="0"/>
    <xf numFmtId="0" fontId="151" fillId="0" borderId="0"/>
  </cellStyleXfs>
  <cellXfs count="1011">
    <xf numFmtId="0" fontId="0" fillId="0" borderId="0" pivotButton="0" quotePrefix="0" xfId="0"/>
    <xf numFmtId="0" fontId="4" fillId="0" borderId="0" pivotButton="0" quotePrefix="0" xfId="3"/>
    <xf numFmtId="0" fontId="5" fillId="2" borderId="0" pivotButton="0" quotePrefix="0" xfId="3"/>
    <xf numFmtId="0" fontId="4" fillId="2" borderId="0" pivotButton="0" quotePrefix="0" xfId="3"/>
    <xf numFmtId="0" fontId="6" fillId="2" borderId="0" pivotButton="0" quotePrefix="0" xfId="3"/>
    <xf numFmtId="0" fontId="4" fillId="3" borderId="0" pivotButton="0" quotePrefix="0" xfId="3"/>
    <xf numFmtId="0" fontId="7" fillId="2" borderId="1" pivotButton="0" quotePrefix="0" xfId="3"/>
    <xf numFmtId="0" fontId="4" fillId="2" borderId="2" pivotButton="0" quotePrefix="0" xfId="3"/>
    <xf numFmtId="0" fontId="4" fillId="2" borderId="3" pivotButton="0" quotePrefix="0" xfId="3"/>
    <xf numFmtId="0" fontId="8" fillId="2" borderId="4" pivotButton="0" quotePrefix="0" xfId="3"/>
    <xf numFmtId="0" fontId="4" fillId="2" borderId="5" pivotButton="0" quotePrefix="0" xfId="3"/>
    <xf numFmtId="0" fontId="9" fillId="2" borderId="4" pivotButton="0" quotePrefix="0" xfId="3"/>
    <xf numFmtId="0" fontId="10" fillId="2" borderId="4" pivotButton="0" quotePrefix="0" xfId="3"/>
    <xf numFmtId="0" fontId="11" fillId="2" borderId="6" pivotButton="0" quotePrefix="0" xfId="3"/>
    <xf numFmtId="0" fontId="4" fillId="2" borderId="7" pivotButton="0" quotePrefix="0" xfId="3"/>
    <xf numFmtId="0" fontId="4" fillId="2" borderId="8" pivotButton="0" quotePrefix="0" xfId="3"/>
    <xf numFmtId="0" fontId="4" fillId="3" borderId="0" pivotButton="0" quotePrefix="1" xfId="3"/>
    <xf numFmtId="0" fontId="9" fillId="3" borderId="0" pivotButton="0" quotePrefix="0" xfId="3"/>
    <xf numFmtId="0" fontId="4" fillId="3" borderId="0" applyAlignment="1" pivotButton="0" quotePrefix="0" xfId="3">
      <alignment horizontal="left"/>
    </xf>
    <xf numFmtId="0" fontId="4" fillId="3" borderId="0" applyAlignment="1" pivotButton="0" quotePrefix="0" xfId="3">
      <alignment horizontal="right"/>
    </xf>
    <xf numFmtId="0" fontId="0" fillId="3" borderId="0" pivotButton="0" quotePrefix="0" xfId="0"/>
    <xf numFmtId="0" fontId="3" fillId="3" borderId="0" pivotButton="0" quotePrefix="0" xfId="0"/>
    <xf numFmtId="0" fontId="3" fillId="0" borderId="0" pivotButton="0" quotePrefix="0" xfId="0"/>
    <xf numFmtId="0" fontId="14" fillId="0" borderId="0" pivotButton="0" quotePrefix="0" xfId="0"/>
    <xf numFmtId="0" fontId="14" fillId="0" borderId="0" applyAlignment="1" pivotButton="0" quotePrefix="0" xfId="0">
      <alignment horizontal="right"/>
    </xf>
    <xf numFmtId="0" fontId="0" fillId="0" borderId="0" applyAlignment="1" pivotButton="0" quotePrefix="0" xfId="0">
      <alignment horizontal="right"/>
    </xf>
    <xf numFmtId="0" fontId="3" fillId="0" borderId="0" applyAlignment="1" pivotButton="0" quotePrefix="0" xfId="0">
      <alignment horizontal="right"/>
    </xf>
    <xf numFmtId="0" fontId="15" fillId="5" borderId="0" pivotButton="0" quotePrefix="0" xfId="4"/>
    <xf numFmtId="0" fontId="16" fillId="5" borderId="0" pivotButton="0" quotePrefix="0" xfId="4"/>
    <xf numFmtId="164" fontId="9" fillId="0" borderId="0" pivotButton="0" quotePrefix="0" xfId="1"/>
    <xf numFmtId="164" fontId="4" fillId="0" borderId="0" pivotButton="0" quotePrefix="0" xfId="1"/>
    <xf numFmtId="0" fontId="4" fillId="0" borderId="0" pivotButton="0" quotePrefix="0" xfId="0"/>
    <xf numFmtId="0" fontId="3" fillId="3" borderId="0" applyAlignment="1" pivotButton="0" quotePrefix="0" xfId="0">
      <alignment horizontal="left"/>
    </xf>
    <xf numFmtId="0" fontId="0" fillId="0" borderId="0" applyAlignment="1" pivotButton="0" quotePrefix="0" xfId="0">
      <alignment horizontal="left" indent="2"/>
    </xf>
    <xf numFmtId="0" fontId="17" fillId="6" borderId="0" pivotButton="0" quotePrefix="0" xfId="4"/>
    <xf numFmtId="165" fontId="0" fillId="0" borderId="0" pivotButton="0" quotePrefix="0" xfId="0"/>
    <xf numFmtId="0" fontId="28" fillId="0" borderId="0" applyAlignment="1" pivotButton="0" quotePrefix="0" xfId="0">
      <alignment horizontal="center"/>
    </xf>
    <xf numFmtId="0" fontId="17" fillId="5" borderId="0" applyAlignment="1" pivotButton="0" quotePrefix="0" xfId="4">
      <alignment horizontal="center" vertical="top" wrapText="1"/>
    </xf>
    <xf numFmtId="0" fontId="31" fillId="3" borderId="0" applyAlignment="1" pivotButton="0" quotePrefix="0" xfId="0">
      <alignment horizontal="left"/>
    </xf>
    <xf numFmtId="0" fontId="0" fillId="5" borderId="0" pivotButton="0" quotePrefix="0" xfId="0"/>
    <xf numFmtId="0" fontId="3" fillId="0" borderId="0" applyAlignment="1" pivotButton="0" quotePrefix="0" xfId="0">
      <alignment horizontal="left"/>
    </xf>
    <xf numFmtId="165" fontId="3" fillId="0" borderId="0" pivotButton="0" quotePrefix="0" xfId="0"/>
    <xf numFmtId="0" fontId="32" fillId="0" borderId="0" pivotButton="0" quotePrefix="0" xfId="0"/>
    <xf numFmtId="0" fontId="19" fillId="0" borderId="0" applyAlignment="1" pivotButton="0" quotePrefix="0" xfId="0">
      <alignment horizontal="left" indent="1"/>
    </xf>
    <xf numFmtId="0" fontId="19" fillId="0" borderId="0" pivotButton="0" quotePrefix="0" xfId="0"/>
    <xf numFmtId="165" fontId="33" fillId="0" borderId="0" pivotButton="0" quotePrefix="0" xfId="0"/>
    <xf numFmtId="14" fontId="19" fillId="0" borderId="0" pivotButton="0" quotePrefix="0" xfId="0"/>
    <xf numFmtId="39" fontId="19" fillId="0" borderId="0" pivotButton="0" quotePrefix="0" xfId="0"/>
    <xf numFmtId="39" fontId="0" fillId="0" borderId="0" pivotButton="0" quotePrefix="0" xfId="0"/>
    <xf numFmtId="0" fontId="28" fillId="0" borderId="0" applyAlignment="1" pivotButton="0" quotePrefix="0" xfId="0">
      <alignment horizontal="right"/>
    </xf>
    <xf numFmtId="37" fontId="0" fillId="0" borderId="0" pivotButton="0" quotePrefix="0" xfId="0"/>
    <xf numFmtId="166" fontId="36" fillId="0" borderId="12" pivotButton="0" quotePrefix="0" xfId="0"/>
    <xf numFmtId="0" fontId="4" fillId="0" borderId="0" applyAlignment="1" pivotButton="0" quotePrefix="0" xfId="4">
      <alignment horizontal="left"/>
    </xf>
    <xf numFmtId="0" fontId="4" fillId="0" borderId="0" pivotButton="0" quotePrefix="0" xfId="4"/>
    <xf numFmtId="165" fontId="37" fillId="0" borderId="0" pivotButton="0" quotePrefix="0" xfId="4"/>
    <xf numFmtId="39" fontId="37" fillId="0" borderId="0" pivotButton="0" quotePrefix="0" xfId="1"/>
    <xf numFmtId="0" fontId="0" fillId="3" borderId="0" applyAlignment="1" pivotButton="0" quotePrefix="0" xfId="0">
      <alignment horizontal="left"/>
    </xf>
    <xf numFmtId="0" fontId="14" fillId="3" borderId="0" pivotButton="0" quotePrefix="0" xfId="0"/>
    <xf numFmtId="14" fontId="14" fillId="3" borderId="0" pivotButton="0" quotePrefix="0" xfId="0"/>
    <xf numFmtId="165" fontId="4" fillId="0" borderId="0" pivotButton="0" quotePrefix="0" xfId="4"/>
    <xf numFmtId="165" fontId="0" fillId="3" borderId="0" pivotButton="0" quotePrefix="0" xfId="0"/>
    <xf numFmtId="0" fontId="3" fillId="3" borderId="0" applyAlignment="1" pivotButton="0" quotePrefix="0" xfId="0">
      <alignment horizontal="center"/>
    </xf>
    <xf numFmtId="0" fontId="31" fillId="3" borderId="0" pivotButton="0" quotePrefix="0" xfId="0"/>
    <xf numFmtId="0" fontId="4" fillId="2" borderId="0" pivotButton="0" quotePrefix="0" xfId="4"/>
    <xf numFmtId="37" fontId="0" fillId="3" borderId="0" pivotButton="0" quotePrefix="0" xfId="0"/>
    <xf numFmtId="167" fontId="2" fillId="0" borderId="0" pivotButton="0" quotePrefix="0" xfId="0"/>
    <xf numFmtId="37" fontId="3" fillId="3" borderId="0" pivotButton="0" quotePrefix="0" xfId="0"/>
    <xf numFmtId="0" fontId="0" fillId="3" borderId="0" applyAlignment="1" pivotButton="0" quotePrefix="0" xfId="0">
      <alignment horizontal="right"/>
    </xf>
    <xf numFmtId="0" fontId="3" fillId="3" borderId="15" pivotButton="0" quotePrefix="0" xfId="0"/>
    <xf numFmtId="168" fontId="9" fillId="3" borderId="15" applyAlignment="1" pivotButton="0" quotePrefix="0" xfId="0">
      <alignment horizontal="right"/>
    </xf>
    <xf numFmtId="39" fontId="0" fillId="3" borderId="0" pivotButton="0" quotePrefix="0" xfId="0"/>
    <xf numFmtId="0" fontId="0" fillId="3" borderId="10" applyAlignment="1" pivotButton="0" quotePrefix="0" xfId="0">
      <alignment horizontal="left"/>
    </xf>
    <xf numFmtId="37" fontId="9" fillId="0" borderId="0" pivotButton="0" quotePrefix="0" xfId="0"/>
    <xf numFmtId="165" fontId="2" fillId="0" borderId="0" pivotButton="0" quotePrefix="0" xfId="0"/>
    <xf numFmtId="0" fontId="0" fillId="0" borderId="0" applyAlignment="1" pivotButton="0" quotePrefix="0" xfId="0">
      <alignment horizontal="left" indent="1"/>
    </xf>
    <xf numFmtId="37" fontId="2" fillId="3" borderId="0" pivotButton="0" quotePrefix="0" xfId="0"/>
    <xf numFmtId="164" fontId="4" fillId="0" borderId="0" pivotButton="0" quotePrefix="0" xfId="0"/>
    <xf numFmtId="0" fontId="23" fillId="0" borderId="0" pivotButton="0" quotePrefix="0" xfId="0"/>
    <xf numFmtId="164" fontId="24" fillId="0" borderId="0" pivotButton="0" quotePrefix="0" xfId="1"/>
    <xf numFmtId="37" fontId="25" fillId="0" borderId="0" pivotButton="0" quotePrefix="0" xfId="0"/>
    <xf numFmtId="164" fontId="25" fillId="0" borderId="0" pivotButton="0" quotePrefix="0" xfId="0"/>
    <xf numFmtId="0" fontId="17" fillId="6" borderId="0" pivotButton="0" quotePrefix="0" xfId="4"/>
    <xf numFmtId="37" fontId="19" fillId="0" borderId="0" pivotButton="0" quotePrefix="0" xfId="0"/>
    <xf numFmtId="166" fontId="40" fillId="0" borderId="0" pivotButton="0" quotePrefix="0" xfId="0"/>
    <xf numFmtId="43" fontId="0" fillId="0" borderId="0" pivotButton="0" quotePrefix="0" xfId="0"/>
    <xf numFmtId="0" fontId="0" fillId="0" borderId="11" pivotButton="0" quotePrefix="0" xfId="0"/>
    <xf numFmtId="164" fontId="24" fillId="0" borderId="0" pivotButton="0" quotePrefix="0" xfId="0"/>
    <xf numFmtId="165" fontId="24" fillId="0" borderId="0" pivotButton="0" quotePrefix="0" xfId="2"/>
    <xf numFmtId="164" fontId="24" fillId="0" borderId="0" pivotButton="0" quotePrefix="0" xfId="1"/>
    <xf numFmtId="0" fontId="0" fillId="3" borderId="0" applyAlignment="1" pivotButton="0" quotePrefix="0" xfId="0">
      <alignment horizontal="left" indent="1"/>
    </xf>
    <xf numFmtId="0" fontId="3" fillId="3" borderId="0" applyAlignment="1" pivotButton="0" quotePrefix="0" xfId="0">
      <alignment horizontal="left" indent="1"/>
    </xf>
    <xf numFmtId="164" fontId="26" fillId="0" borderId="0" pivotButton="0" quotePrefix="0" xfId="1"/>
    <xf numFmtId="9" fontId="4" fillId="3" borderId="0" applyAlignment="1" pivotButton="0" quotePrefix="0" xfId="2">
      <alignment horizontal="left" indent="1"/>
    </xf>
    <xf numFmtId="9" fontId="4" fillId="0" borderId="0" pivotButton="0" quotePrefix="0" xfId="0"/>
    <xf numFmtId="169" fontId="24" fillId="0" borderId="0" pivotButton="0" quotePrefix="0" xfId="1"/>
    <xf numFmtId="0" fontId="29" fillId="0" borderId="0" pivotButton="0" quotePrefix="0" xfId="0"/>
    <xf numFmtId="164" fontId="30" fillId="0" borderId="0" pivotButton="0" quotePrefix="0" xfId="1"/>
    <xf numFmtId="164" fontId="29" fillId="0" borderId="0" pivotButton="0" quotePrefix="0" xfId="1"/>
    <xf numFmtId="164" fontId="9" fillId="0" borderId="0" pivotButton="0" quotePrefix="0" xfId="1"/>
    <xf numFmtId="164" fontId="0" fillId="0" borderId="0" pivotButton="0" quotePrefix="0" xfId="1"/>
    <xf numFmtId="9" fontId="27" fillId="0" borderId="0" pivotButton="0" quotePrefix="0" xfId="2"/>
    <xf numFmtId="0" fontId="17" fillId="0" borderId="0" pivotButton="0" quotePrefix="0" xfId="4"/>
    <xf numFmtId="164" fontId="22" fillId="3" borderId="0" pivotButton="0" quotePrefix="0" xfId="1"/>
    <xf numFmtId="164" fontId="9" fillId="3" borderId="0" pivotButton="0" quotePrefix="0" xfId="1"/>
    <xf numFmtId="0" fontId="4" fillId="0" borderId="0" applyAlignment="1" pivotButton="0" quotePrefix="0" xfId="0">
      <alignment horizontal="left" indent="1"/>
    </xf>
    <xf numFmtId="0" fontId="0" fillId="0" borderId="0" applyAlignment="1" pivotButton="0" quotePrefix="0" xfId="0">
      <alignment horizontal="left"/>
    </xf>
    <xf numFmtId="0" fontId="19" fillId="0" borderId="0" applyAlignment="1" pivotButton="0" quotePrefix="0" xfId="0">
      <alignment horizontal="left"/>
    </xf>
    <xf numFmtId="164" fontId="22" fillId="0" borderId="0" pivotButton="0" quotePrefix="0" xfId="1"/>
    <xf numFmtId="164" fontId="0" fillId="0" borderId="0" pivotButton="0" quotePrefix="0" xfId="0"/>
    <xf numFmtId="9" fontId="0" fillId="0" borderId="0" pivotButton="0" quotePrefix="0" xfId="2"/>
    <xf numFmtId="9" fontId="0" fillId="0" borderId="0" pivotButton="0" quotePrefix="0" xfId="0"/>
    <xf numFmtId="0" fontId="22" fillId="0" borderId="0" pivotButton="0" quotePrefix="0" xfId="0"/>
    <xf numFmtId="164" fontId="22" fillId="0" borderId="0" pivotButton="0" quotePrefix="0" xfId="0"/>
    <xf numFmtId="170" fontId="19" fillId="0" borderId="0" pivotButton="0" quotePrefix="0" xfId="0"/>
    <xf numFmtId="165" fontId="0" fillId="0" borderId="0" pivotButton="0" quotePrefix="0" xfId="1"/>
    <xf numFmtId="0" fontId="9" fillId="3" borderId="9" applyAlignment="1" pivotButton="0" quotePrefix="0" xfId="3">
      <alignment wrapText="1"/>
    </xf>
    <xf numFmtId="0" fontId="4" fillId="3" borderId="9" applyAlignment="1" pivotButton="0" quotePrefix="0" xfId="3">
      <alignment wrapText="1"/>
    </xf>
    <xf numFmtId="0" fontId="4" fillId="8" borderId="9" applyAlignment="1" pivotButton="0" quotePrefix="0" xfId="3">
      <alignment wrapText="1"/>
    </xf>
    <xf numFmtId="43" fontId="26" fillId="0" borderId="0" pivotButton="0" quotePrefix="0" xfId="1"/>
    <xf numFmtId="164" fontId="4" fillId="3" borderId="0" pivotButton="0" quotePrefix="0" xfId="0"/>
    <xf numFmtId="164" fontId="33" fillId="0" borderId="0" pivotButton="0" quotePrefix="0" xfId="0"/>
    <xf numFmtId="164" fontId="26" fillId="0" borderId="0" pivotButton="0" quotePrefix="0" xfId="0"/>
    <xf numFmtId="164" fontId="9" fillId="0" borderId="0" pivotButton="0" quotePrefix="0" xfId="0"/>
    <xf numFmtId="164" fontId="26" fillId="0" borderId="0" pivotButton="0" quotePrefix="0" xfId="1"/>
    <xf numFmtId="171" fontId="4" fillId="0" borderId="0" pivotButton="0" quotePrefix="0" xfId="1"/>
    <xf numFmtId="171" fontId="18" fillId="0" borderId="0" pivotButton="0" quotePrefix="0" xfId="1"/>
    <xf numFmtId="164" fontId="18" fillId="0" borderId="0" pivotButton="0" quotePrefix="0" xfId="1"/>
    <xf numFmtId="164" fontId="22" fillId="0" borderId="0" pivotButton="0" quotePrefix="0" xfId="1"/>
    <xf numFmtId="164" fontId="3" fillId="0" borderId="0" pivotButton="0" quotePrefix="0" xfId="0"/>
    <xf numFmtId="164" fontId="3" fillId="0" borderId="0" pivotButton="0" quotePrefix="0" xfId="1"/>
    <xf numFmtId="172" fontId="0" fillId="0" borderId="0" pivotButton="0" quotePrefix="0" xfId="2"/>
    <xf numFmtId="164" fontId="3" fillId="0" borderId="0" pivotButton="0" quotePrefix="0" xfId="1"/>
    <xf numFmtId="164" fontId="30" fillId="0" borderId="0" pivotButton="0" quotePrefix="0" xfId="1"/>
    <xf numFmtId="164" fontId="29" fillId="0" borderId="0" pivotButton="0" quotePrefix="0" xfId="1"/>
    <xf numFmtId="164" fontId="18" fillId="0" borderId="0" pivotButton="0" quotePrefix="0" xfId="0"/>
    <xf numFmtId="164" fontId="4" fillId="0" borderId="0" pivotButton="0" quotePrefix="0" xfId="1"/>
    <xf numFmtId="0" fontId="20" fillId="0" borderId="0" pivotButton="0" quotePrefix="0" xfId="0"/>
    <xf numFmtId="164" fontId="21" fillId="0" borderId="0" pivotButton="0" quotePrefix="0" xfId="0"/>
    <xf numFmtId="165" fontId="24" fillId="0" borderId="0" pivotButton="0" quotePrefix="0" xfId="0"/>
    <xf numFmtId="43" fontId="30" fillId="0" borderId="0" pivotButton="0" quotePrefix="0" xfId="1"/>
    <xf numFmtId="37" fontId="4" fillId="0" borderId="0" pivotButton="0" quotePrefix="0" xfId="0"/>
    <xf numFmtId="164" fontId="22" fillId="0" borderId="0" pivotButton="0" quotePrefix="0" xfId="1"/>
    <xf numFmtId="164" fontId="0" fillId="0" borderId="0" pivotButton="0" quotePrefix="0" xfId="1"/>
    <xf numFmtId="164" fontId="4" fillId="0" borderId="0" pivotButton="0" quotePrefix="0" xfId="1"/>
    <xf numFmtId="164" fontId="18" fillId="0" borderId="0" pivotButton="0" quotePrefix="0" xfId="1"/>
    <xf numFmtId="164" fontId="18" fillId="0" borderId="0" pivotButton="0" quotePrefix="0" xfId="1"/>
    <xf numFmtId="0" fontId="31" fillId="0" borderId="0" applyAlignment="1" pivotButton="0" quotePrefix="0" xfId="0">
      <alignment horizontal="left"/>
    </xf>
    <xf numFmtId="164" fontId="9" fillId="0" borderId="0" pivotButton="0" quotePrefix="0" xfId="1"/>
    <xf numFmtId="164" fontId="30" fillId="0" borderId="0" pivotButton="0" quotePrefix="0" xfId="1"/>
    <xf numFmtId="164" fontId="39" fillId="0" borderId="0" pivotButton="0" quotePrefix="0" xfId="1"/>
    <xf numFmtId="43" fontId="39" fillId="0" borderId="0" pivotButton="0" quotePrefix="0" xfId="1"/>
    <xf numFmtId="164" fontId="40" fillId="0" borderId="0" pivotButton="0" quotePrefix="0" xfId="0"/>
    <xf numFmtId="37" fontId="24" fillId="0" borderId="0" pivotButton="0" quotePrefix="0" xfId="0"/>
    <xf numFmtId="164" fontId="39" fillId="0" borderId="0" pivotButton="0" quotePrefix="0" xfId="0"/>
    <xf numFmtId="173" fontId="24" fillId="0" borderId="0" pivotButton="0" quotePrefix="0" xfId="1"/>
    <xf numFmtId="9" fontId="4" fillId="0" borderId="0" pivotButton="0" quotePrefix="0" xfId="2"/>
    <xf numFmtId="39" fontId="25" fillId="0" borderId="0" pivotButton="0" quotePrefix="0" xfId="0"/>
    <xf numFmtId="174" fontId="18" fillId="0" borderId="0" pivotButton="0" quotePrefix="0" xfId="2"/>
    <xf numFmtId="164" fontId="26" fillId="3" borderId="0" pivotButton="0" quotePrefix="0" xfId="0"/>
    <xf numFmtId="164" fontId="24" fillId="3" borderId="0" pivotButton="0" quotePrefix="0" xfId="0"/>
    <xf numFmtId="165" fontId="26" fillId="3" borderId="0" pivotButton="0" quotePrefix="0" xfId="2"/>
    <xf numFmtId="165" fontId="26" fillId="0" borderId="0" pivotButton="0" quotePrefix="0" xfId="2"/>
    <xf numFmtId="14" fontId="33" fillId="0" borderId="0" pivotButton="0" quotePrefix="0" xfId="0"/>
    <xf numFmtId="14" fontId="42" fillId="0" borderId="0" pivotButton="0" quotePrefix="0" xfId="0"/>
    <xf numFmtId="39" fontId="33" fillId="0" borderId="0" pivotButton="0" quotePrefix="0" xfId="0"/>
    <xf numFmtId="170" fontId="42" fillId="0" borderId="0" pivotButton="0" quotePrefix="0" xfId="0"/>
    <xf numFmtId="164" fontId="0" fillId="3" borderId="0" pivotButton="0" quotePrefix="0" xfId="0"/>
    <xf numFmtId="43" fontId="18" fillId="0" borderId="0" pivotButton="0" quotePrefix="0" xfId="1"/>
    <xf numFmtId="172" fontId="18" fillId="0" borderId="0" pivotButton="0" quotePrefix="0" xfId="2"/>
    <xf numFmtId="0" fontId="17" fillId="0" borderId="0" pivotButton="0" quotePrefix="0" xfId="4"/>
    <xf numFmtId="164" fontId="29" fillId="0" borderId="0" pivotButton="0" quotePrefix="0" xfId="0"/>
    <xf numFmtId="172" fontId="29" fillId="0" borderId="0" pivotButton="0" quotePrefix="0" xfId="2"/>
    <xf numFmtId="164" fontId="18" fillId="4" borderId="0" pivotButton="0" quotePrefix="0" xfId="0"/>
    <xf numFmtId="43" fontId="22" fillId="0" borderId="0" pivotButton="0" quotePrefix="0" xfId="1"/>
    <xf numFmtId="0" fontId="4" fillId="0" borderId="0" applyAlignment="1" pivotButton="0" quotePrefix="0" xfId="0">
      <alignment horizontal="left"/>
    </xf>
    <xf numFmtId="164" fontId="25" fillId="0" borderId="0" pivotButton="0" quotePrefix="0" xfId="1"/>
    <xf numFmtId="0" fontId="0" fillId="0" borderId="16" pivotButton="0" quotePrefix="0" xfId="0"/>
    <xf numFmtId="165" fontId="4" fillId="0" borderId="16" pivotButton="0" quotePrefix="0" xfId="0"/>
    <xf numFmtId="0" fontId="4" fillId="0" borderId="16" pivotButton="0" quotePrefix="0" xfId="0"/>
    <xf numFmtId="165" fontId="4" fillId="0" borderId="0" pivotButton="0" quotePrefix="0" xfId="0"/>
    <xf numFmtId="165" fontId="0" fillId="0" borderId="10" pivotButton="0" quotePrefix="0" xfId="0"/>
    <xf numFmtId="0" fontId="0" fillId="0" borderId="10" pivotButton="0" quotePrefix="0" xfId="0"/>
    <xf numFmtId="165" fontId="4" fillId="0" borderId="10" pivotButton="0" quotePrefix="0" xfId="0"/>
    <xf numFmtId="0" fontId="4" fillId="0" borderId="10" pivotButton="0" quotePrefix="0" xfId="0"/>
    <xf numFmtId="0" fontId="43" fillId="9" borderId="15" applyAlignment="1" pivotButton="0" quotePrefix="0" xfId="0">
      <alignment horizontal="left"/>
    </xf>
    <xf numFmtId="39" fontId="4" fillId="0" borderId="16" pivotButton="0" quotePrefix="0" xfId="0"/>
    <xf numFmtId="165" fontId="4" fillId="0" borderId="0" applyAlignment="1" pivotButton="0" quotePrefix="0" xfId="0">
      <alignment horizontal="right"/>
    </xf>
    <xf numFmtId="39" fontId="4" fillId="0" borderId="10" pivotButton="0" quotePrefix="0" xfId="0"/>
    <xf numFmtId="168" fontId="43" fillId="9" borderId="15" applyAlignment="1" pivotButton="0" quotePrefix="0" xfId="0">
      <alignment horizontal="right"/>
    </xf>
    <xf numFmtId="0" fontId="44" fillId="9" borderId="15" applyAlignment="1" pivotButton="0" quotePrefix="0" xfId="0">
      <alignment horizontal="left"/>
    </xf>
    <xf numFmtId="9" fontId="4" fillId="0" borderId="0" pivotButton="0" quotePrefix="0" xfId="2"/>
    <xf numFmtId="0" fontId="19" fillId="0" borderId="0" applyAlignment="1" pivotButton="0" quotePrefix="0" xfId="0">
      <alignment horizontal="left" indent="2"/>
    </xf>
    <xf numFmtId="0" fontId="9" fillId="0" borderId="0" pivotButton="0" quotePrefix="0" xfId="4"/>
    <xf numFmtId="43" fontId="4" fillId="0" borderId="0" pivotButton="0" quotePrefix="0" xfId="0"/>
    <xf numFmtId="43" fontId="24" fillId="0" borderId="0" pivotButton="0" quotePrefix="0" xfId="1"/>
    <xf numFmtId="0" fontId="13" fillId="3" borderId="0" pivotButton="0" quotePrefix="0" xfId="7"/>
    <xf numFmtId="0" fontId="13" fillId="3" borderId="0" applyAlignment="1" pivotButton="0" quotePrefix="0" xfId="7">
      <alignment horizontal="center"/>
    </xf>
    <xf numFmtId="4" fontId="13" fillId="3" borderId="0" pivotButton="0" quotePrefix="0" xfId="7"/>
    <xf numFmtId="14" fontId="13" fillId="3" borderId="0" pivotButton="0" quotePrefix="0" xfId="7"/>
    <xf numFmtId="39" fontId="13" fillId="3" borderId="0" pivotButton="0" quotePrefix="0" xfId="7"/>
    <xf numFmtId="165" fontId="13" fillId="3" borderId="0" pivotButton="0" quotePrefix="0" xfId="7"/>
    <xf numFmtId="175" fontId="13" fillId="3" borderId="0" pivotButton="0" quotePrefix="0" xfId="7"/>
    <xf numFmtId="3" fontId="13" fillId="3" borderId="0" pivotButton="0" quotePrefix="0" xfId="7"/>
    <xf numFmtId="0" fontId="13" fillId="10" borderId="0" applyAlignment="1" pivotButton="0" quotePrefix="0" xfId="7">
      <alignment horizontal="center"/>
    </xf>
    <xf numFmtId="0" fontId="45" fillId="7" borderId="0" applyAlignment="1" pivotButton="0" quotePrefix="0" xfId="7">
      <alignment horizontal="center"/>
    </xf>
    <xf numFmtId="4" fontId="13" fillId="7"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0" fontId="13" fillId="3" borderId="0" applyAlignment="1" pivotButton="0" quotePrefix="0" xfId="7">
      <alignment horizontal="right"/>
    </xf>
    <xf numFmtId="176" fontId="13" fillId="10" borderId="0" pivotButton="0" quotePrefix="0" xfId="7"/>
    <xf numFmtId="0" fontId="13" fillId="3" borderId="0" applyAlignment="1" pivotButton="0" quotePrefix="0" xfId="7">
      <alignment horizontal="centerContinuous"/>
    </xf>
    <xf numFmtId="0" fontId="46" fillId="3" borderId="0" applyAlignment="1" pivotButton="0" quotePrefix="0" xfId="7">
      <alignment horizontal="centerContinuous"/>
    </xf>
    <xf numFmtId="0" fontId="47" fillId="9" borderId="0" pivotButton="0" quotePrefix="0" xfId="7"/>
    <xf numFmtId="4" fontId="0" fillId="0" borderId="0" pivotButton="0" quotePrefix="0" xfId="0"/>
    <xf numFmtId="165" fontId="13" fillId="11" borderId="0" pivotButton="0" quotePrefix="0" xfId="7"/>
    <xf numFmtId="165" fontId="48" fillId="12" borderId="0" pivotButton="0" quotePrefix="0" xfId="7"/>
    <xf numFmtId="39" fontId="13" fillId="11" borderId="0" pivotButton="0" quotePrefix="0" xfId="7"/>
    <xf numFmtId="39" fontId="48" fillId="12" borderId="0" pivotButton="0" quotePrefix="0" xfId="7"/>
    <xf numFmtId="0" fontId="13" fillId="7" borderId="0" pivotButton="0" quotePrefix="0" xfId="7"/>
    <xf numFmtId="0" fontId="49" fillId="3" borderId="0" pivotButton="0" quotePrefix="0" xfId="7"/>
    <xf numFmtId="0" fontId="49" fillId="3" borderId="0" applyAlignment="1" pivotButton="0" quotePrefix="0" xfId="7">
      <alignment horizontal="center"/>
    </xf>
    <xf numFmtId="175" fontId="4" fillId="0" borderId="0" pivotButton="0" quotePrefix="0" xfId="0"/>
    <xf numFmtId="39" fontId="43" fillId="9" borderId="17" applyAlignment="1" pivotButton="0" quotePrefix="0" xfId="0">
      <alignment horizontal="right"/>
    </xf>
    <xf numFmtId="0" fontId="50" fillId="9" borderId="18" pivotButton="0" quotePrefix="0" xfId="0"/>
    <xf numFmtId="0" fontId="50" fillId="9" borderId="19" applyAlignment="1" pivotButton="0" quotePrefix="0" xfId="0">
      <alignment horizontal="center"/>
    </xf>
    <xf numFmtId="0" fontId="50" fillId="9" borderId="0" applyAlignment="1" pivotButton="0" quotePrefix="0" xfId="0">
      <alignment horizontal="center"/>
    </xf>
    <xf numFmtId="0" fontId="50" fillId="9" borderId="11" applyAlignment="1" pivotButton="0" quotePrefix="0" xfId="0">
      <alignment horizontal="center"/>
    </xf>
    <xf numFmtId="164" fontId="39" fillId="3" borderId="0" pivotButton="0" quotePrefix="0" xfId="0"/>
    <xf numFmtId="177" fontId="0" fillId="3" borderId="16" pivotButton="0" quotePrefix="0" xfId="0"/>
    <xf numFmtId="174" fontId="0" fillId="3" borderId="16" pivotButton="0" quotePrefix="0" xfId="0"/>
    <xf numFmtId="174" fontId="0" fillId="3" borderId="20" pivotButton="0" quotePrefix="0" xfId="0"/>
    <xf numFmtId="177" fontId="0" fillId="3" borderId="21" pivotButton="0" quotePrefix="0" xfId="0"/>
    <xf numFmtId="39" fontId="0" fillId="3" borderId="22" pivotButton="0" quotePrefix="0" xfId="0"/>
    <xf numFmtId="0" fontId="0" fillId="3" borderId="16" pivotButton="0" quotePrefix="0" xfId="0"/>
    <xf numFmtId="177" fontId="0" fillId="3" borderId="0" pivotButton="0" quotePrefix="0" xfId="0"/>
    <xf numFmtId="174" fontId="0" fillId="3" borderId="0" pivotButton="0" quotePrefix="0" xfId="0"/>
    <xf numFmtId="174" fontId="0" fillId="3" borderId="19" pivotButton="0" quotePrefix="0" xfId="0"/>
    <xf numFmtId="177" fontId="0" fillId="3" borderId="11" pivotButton="0" quotePrefix="0" xfId="0"/>
    <xf numFmtId="39" fontId="0" fillId="3" borderId="14" pivotButton="0" quotePrefix="0" xfId="0"/>
    <xf numFmtId="175" fontId="0" fillId="3" borderId="14" pivotButton="0" quotePrefix="0" xfId="0"/>
    <xf numFmtId="177" fontId="0" fillId="3" borderId="10" pivotButton="0" quotePrefix="0" xfId="0"/>
    <xf numFmtId="174" fontId="0" fillId="3" borderId="10" pivotButton="0" quotePrefix="0" xfId="0"/>
    <xf numFmtId="174" fontId="0" fillId="3" borderId="17" pivotButton="0" quotePrefix="0" xfId="0"/>
    <xf numFmtId="177" fontId="0" fillId="3" borderId="18" pivotButton="0" quotePrefix="0" xfId="0"/>
    <xf numFmtId="175" fontId="0" fillId="3" borderId="13" pivotButton="0" quotePrefix="0" xfId="0"/>
    <xf numFmtId="0" fontId="0" fillId="3" borderId="10" pivotButton="0" quotePrefix="0" xfId="0"/>
    <xf numFmtId="0" fontId="0" fillId="3" borderId="16" applyAlignment="1" pivotButton="0" quotePrefix="0" xfId="0">
      <alignment horizontal="right"/>
    </xf>
    <xf numFmtId="0" fontId="0" fillId="3" borderId="20" applyAlignment="1" pivotButton="0" quotePrefix="0" xfId="0">
      <alignment horizontal="right"/>
    </xf>
    <xf numFmtId="0" fontId="0" fillId="3" borderId="21" applyAlignment="1" pivotButton="0" quotePrefix="0" xfId="0">
      <alignment horizontal="right"/>
    </xf>
    <xf numFmtId="0" fontId="0" fillId="3" borderId="22" applyAlignment="1" pivotButton="0" quotePrefix="0" xfId="0">
      <alignment horizontal="right"/>
    </xf>
    <xf numFmtId="0" fontId="51" fillId="3" borderId="10" applyAlignment="1" pivotButton="0" quotePrefix="0" xfId="0">
      <alignment horizontal="centerContinuous"/>
    </xf>
    <xf numFmtId="0" fontId="51" fillId="3" borderId="17" applyAlignment="1" pivotButton="0" quotePrefix="0" xfId="0">
      <alignment horizontal="centerContinuous"/>
    </xf>
    <xf numFmtId="0" fontId="51" fillId="3" borderId="18" applyAlignment="1" pivotButton="0" quotePrefix="0" xfId="0">
      <alignment horizontal="centerContinuous"/>
    </xf>
    <xf numFmtId="0" fontId="51" fillId="3" borderId="13" applyAlignment="1" pivotButton="0" quotePrefix="0" xfId="0">
      <alignment horizontal="centerContinuous"/>
    </xf>
    <xf numFmtId="177" fontId="0" fillId="0" borderId="16" pivotButton="0" quotePrefix="0" xfId="0"/>
    <xf numFmtId="178" fontId="0" fillId="0" borderId="16" pivotButton="0" quotePrefix="0" xfId="0"/>
    <xf numFmtId="178" fontId="0" fillId="0" borderId="20" pivotButton="0" quotePrefix="0" xfId="0"/>
    <xf numFmtId="177" fontId="0" fillId="0" borderId="21" pivotButton="0" quotePrefix="0" xfId="0"/>
    <xf numFmtId="178" fontId="0" fillId="0" borderId="22" pivotButton="0" quotePrefix="0" xfId="0"/>
    <xf numFmtId="39" fontId="0" fillId="0" borderId="19" pivotButton="0" quotePrefix="0" xfId="0"/>
    <xf numFmtId="165" fontId="0" fillId="0" borderId="11" pivotButton="0" quotePrefix="0" xfId="0"/>
    <xf numFmtId="39" fontId="0" fillId="0" borderId="14" pivotButton="0" quotePrefix="0" xfId="0"/>
    <xf numFmtId="165" fontId="0" fillId="0" borderId="16" pivotButton="0" quotePrefix="0" xfId="0"/>
    <xf numFmtId="165" fontId="0" fillId="0" borderId="20" pivotButton="0" quotePrefix="0" xfId="0"/>
    <xf numFmtId="177" fontId="0" fillId="0" borderId="10" pivotButton="0" quotePrefix="0" xfId="0"/>
    <xf numFmtId="165" fontId="0" fillId="0" borderId="17" pivotButton="0" quotePrefix="0" xfId="0"/>
    <xf numFmtId="177" fontId="0" fillId="0" borderId="18" pivotButton="0" quotePrefix="0" xfId="0"/>
    <xf numFmtId="175" fontId="0" fillId="0" borderId="0" pivotButton="0" quotePrefix="0" xfId="0"/>
    <xf numFmtId="175" fontId="0" fillId="0" borderId="19" pivotButton="0" quotePrefix="0" xfId="0"/>
    <xf numFmtId="175" fontId="0" fillId="0" borderId="14" pivotButton="0" quotePrefix="0" xfId="0"/>
    <xf numFmtId="0" fontId="0" fillId="0" borderId="16" applyAlignment="1" pivotButton="0" quotePrefix="0" xfId="0">
      <alignment horizontal="right"/>
    </xf>
    <xf numFmtId="0" fontId="0" fillId="0" borderId="21" applyAlignment="1" pivotButton="0" quotePrefix="0" xfId="0">
      <alignment horizontal="right"/>
    </xf>
    <xf numFmtId="0" fontId="0" fillId="0" borderId="20" applyAlignment="1" pivotButton="0" quotePrefix="0" xfId="0">
      <alignment horizontal="right"/>
    </xf>
    <xf numFmtId="0" fontId="0" fillId="0" borderId="22" applyAlignment="1" pivotButton="0" quotePrefix="0" xfId="0">
      <alignment horizontal="right"/>
    </xf>
    <xf numFmtId="0" fontId="51" fillId="0" borderId="10" applyAlignment="1" pivotButton="0" quotePrefix="0" xfId="0">
      <alignment horizontal="centerContinuous"/>
    </xf>
    <xf numFmtId="0" fontId="51" fillId="0" borderId="18" applyAlignment="1" pivotButton="0" quotePrefix="0" xfId="0">
      <alignment horizontal="centerContinuous"/>
    </xf>
    <xf numFmtId="0" fontId="51" fillId="0" borderId="17" applyAlignment="1" pivotButton="0" quotePrefix="0" xfId="0">
      <alignment horizontal="centerContinuous"/>
    </xf>
    <xf numFmtId="0" fontId="51" fillId="0" borderId="13" applyAlignment="1" pivotButton="0" quotePrefix="0" xfId="0">
      <alignment horizontal="centerContinuous"/>
    </xf>
    <xf numFmtId="14" fontId="3" fillId="0" borderId="0" pivotButton="0" quotePrefix="0" xfId="0"/>
    <xf numFmtId="0" fontId="52" fillId="0" borderId="0" pivotButton="0" quotePrefix="0" xfId="0"/>
    <xf numFmtId="164" fontId="36" fillId="0" borderId="0" pivotButton="0" quotePrefix="0" xfId="0"/>
    <xf numFmtId="0" fontId="2" fillId="3" borderId="0" pivotButton="0" quotePrefix="0" xfId="0"/>
    <xf numFmtId="0" fontId="38" fillId="0" borderId="0" applyAlignment="1" pivotButton="0" quotePrefix="0" xfId="0">
      <alignment horizontal="left"/>
    </xf>
    <xf numFmtId="0" fontId="2" fillId="0" borderId="0" pivotButton="0" quotePrefix="0" xfId="0"/>
    <xf numFmtId="165" fontId="0" fillId="3" borderId="21" pivotButton="0" quotePrefix="0" xfId="0"/>
    <xf numFmtId="165" fontId="0" fillId="3" borderId="16" pivotButton="0" quotePrefix="0" xfId="0"/>
    <xf numFmtId="165" fontId="0" fillId="3" borderId="20" pivotButton="0" quotePrefix="0" xfId="0"/>
    <xf numFmtId="0" fontId="18" fillId="3" borderId="16" pivotButton="0" quotePrefix="0" xfId="0"/>
    <xf numFmtId="165" fontId="0" fillId="3" borderId="11" pivotButton="0" quotePrefix="0" xfId="0"/>
    <xf numFmtId="165" fontId="0" fillId="3" borderId="19" pivotButton="0" quotePrefix="0" xfId="0"/>
    <xf numFmtId="0" fontId="18" fillId="3" borderId="0" pivotButton="0" quotePrefix="0" xfId="0"/>
    <xf numFmtId="0" fontId="50" fillId="9" borderId="0" pivotButton="0" quotePrefix="0" xfId="0"/>
    <xf numFmtId="0" fontId="50" fillId="9" borderId="11" pivotButton="0" quotePrefix="0" xfId="0"/>
    <xf numFmtId="0" fontId="50" fillId="9" borderId="19" pivotButton="0" quotePrefix="0" xfId="0"/>
    <xf numFmtId="0" fontId="43" fillId="9" borderId="0" pivotButton="0" quotePrefix="0" xfId="0"/>
    <xf numFmtId="165" fontId="0" fillId="3" borderId="0" applyAlignment="1" pivotButton="0" quotePrefix="0" xfId="0">
      <alignment horizontal="right"/>
    </xf>
    <xf numFmtId="37" fontId="0" fillId="3" borderId="11" pivotButton="0" quotePrefix="0" xfId="0"/>
    <xf numFmtId="37" fontId="0" fillId="3" borderId="19" pivotButton="0" quotePrefix="0" xfId="0"/>
    <xf numFmtId="39" fontId="0" fillId="3" borderId="11" pivotButton="0" quotePrefix="0" xfId="0"/>
    <xf numFmtId="39" fontId="0" fillId="3" borderId="19" pivotButton="0" quotePrefix="0" xfId="0"/>
    <xf numFmtId="0" fontId="0" fillId="3" borderId="11" applyAlignment="1" pivotButton="0" quotePrefix="0" xfId="0">
      <alignment horizontal="right"/>
    </xf>
    <xf numFmtId="0" fontId="0" fillId="3" borderId="19" applyAlignment="1" pivotButton="0" quotePrefix="0" xfId="0">
      <alignment horizontal="right"/>
    </xf>
    <xf numFmtId="0" fontId="0" fillId="3" borderId="15" applyAlignment="1" pivotButton="0" quotePrefix="0" xfId="0">
      <alignment horizontal="right"/>
    </xf>
    <xf numFmtId="0" fontId="0" fillId="3" borderId="23" applyAlignment="1" pivotButton="0" quotePrefix="0" xfId="0">
      <alignment horizontal="right"/>
    </xf>
    <xf numFmtId="0" fontId="0" fillId="3" borderId="24" applyAlignment="1" pivotButton="0" quotePrefix="0" xfId="0">
      <alignment horizontal="right"/>
    </xf>
    <xf numFmtId="0" fontId="0" fillId="3" borderId="15" pivotButton="0" quotePrefix="0" xfId="0"/>
    <xf numFmtId="0" fontId="18" fillId="3" borderId="25" applyAlignment="1" pivotButton="0" quotePrefix="0" xfId="0">
      <alignment horizontal="center"/>
    </xf>
    <xf numFmtId="0" fontId="0" fillId="3" borderId="26" pivotButton="0" quotePrefix="0" xfId="0"/>
    <xf numFmtId="0" fontId="17" fillId="9" borderId="0" pivotButton="0" quotePrefix="0" xfId="4"/>
    <xf numFmtId="165" fontId="0" fillId="3" borderId="16" applyAlignment="1" pivotButton="0" quotePrefix="0" xfId="0">
      <alignment horizontal="right"/>
    </xf>
    <xf numFmtId="165" fontId="0" fillId="3" borderId="21" applyAlignment="1" pivotButton="0" quotePrefix="0" xfId="0">
      <alignment horizontal="right"/>
    </xf>
    <xf numFmtId="0" fontId="50" fillId="9" borderId="0" applyAlignment="1" pivotButton="0" quotePrefix="0" xfId="0">
      <alignment horizontal="left"/>
    </xf>
    <xf numFmtId="0" fontId="0" fillId="3" borderId="11" pivotButton="0" quotePrefix="0" xfId="0"/>
    <xf numFmtId="0" fontId="17" fillId="9" borderId="0" applyAlignment="1" pivotButton="0" quotePrefix="0" xfId="4">
      <alignment horizontal="left"/>
    </xf>
    <xf numFmtId="43" fontId="9" fillId="0" borderId="0" pivotButton="0" quotePrefix="0" xfId="1"/>
    <xf numFmtId="0" fontId="0" fillId="3" borderId="27" pivotButton="0" quotePrefix="0" xfId="0"/>
    <xf numFmtId="0" fontId="17" fillId="0" borderId="0" applyAlignment="1" pivotButton="0" quotePrefix="0" xfId="4">
      <alignment horizontal="left"/>
    </xf>
    <xf numFmtId="0" fontId="18" fillId="0" borderId="0" applyAlignment="1" pivotButton="0" quotePrefix="0" xfId="0">
      <alignment horizontal="center"/>
    </xf>
    <xf numFmtId="0" fontId="54" fillId="9" borderId="19" applyAlignment="1" pivotButton="0" quotePrefix="0" xfId="0">
      <alignment horizontal="centerContinuous"/>
    </xf>
    <xf numFmtId="0" fontId="54" fillId="9" borderId="0" applyAlignment="1" pivotButton="0" quotePrefix="0" xfId="0">
      <alignment horizontal="centerContinuous"/>
    </xf>
    <xf numFmtId="0" fontId="54" fillId="9" borderId="11" applyAlignment="1" pivotButton="0" quotePrefix="0" xfId="0">
      <alignment horizontal="centerContinuous"/>
    </xf>
    <xf numFmtId="0" fontId="53" fillId="9" borderId="0" applyAlignment="1" pivotButton="0" quotePrefix="0" xfId="0">
      <alignment horizontal="centerContinuous"/>
    </xf>
    <xf numFmtId="0" fontId="50" fillId="9" borderId="17" applyAlignment="1" pivotButton="0" quotePrefix="0" xfId="0">
      <alignment horizontal="right"/>
    </xf>
    <xf numFmtId="0" fontId="50" fillId="9" borderId="10" applyAlignment="1" pivotButton="0" quotePrefix="0" xfId="0">
      <alignment horizontal="right"/>
    </xf>
    <xf numFmtId="0" fontId="50" fillId="9" borderId="18" applyAlignment="1" pivotButton="0" quotePrefix="0" xfId="0">
      <alignment horizontal="right"/>
    </xf>
    <xf numFmtId="0" fontId="0" fillId="3" borderId="18" applyAlignment="1" pivotButton="0" quotePrefix="0" xfId="0">
      <alignment horizontal="left"/>
    </xf>
    <xf numFmtId="37" fontId="0" fillId="3" borderId="10" pivotButton="0" quotePrefix="0" xfId="0"/>
    <xf numFmtId="37" fontId="0" fillId="3" borderId="18" pivotButton="0" quotePrefix="0" xfId="0"/>
    <xf numFmtId="0" fontId="0" fillId="3" borderId="11" applyAlignment="1" pivotButton="0" quotePrefix="0" xfId="0">
      <alignment horizontal="left"/>
    </xf>
    <xf numFmtId="0" fontId="0" fillId="3" borderId="21" applyAlignment="1" pivotButton="0" quotePrefix="0" xfId="0">
      <alignment horizontal="left"/>
    </xf>
    <xf numFmtId="39" fontId="0" fillId="3" borderId="10" pivotButton="0" quotePrefix="0" xfId="0"/>
    <xf numFmtId="0" fontId="4" fillId="3" borderId="0" applyAlignment="1" pivotButton="0" quotePrefix="0" xfId="0">
      <alignment horizontal="center" vertical="center"/>
    </xf>
    <xf numFmtId="39" fontId="48" fillId="3" borderId="0" pivotButton="0" quotePrefix="0" xfId="7"/>
    <xf numFmtId="9" fontId="0" fillId="3" borderId="0" pivotButton="0" quotePrefix="0" xfId="0"/>
    <xf numFmtId="37" fontId="3" fillId="3" borderId="10" pivotButton="0" quotePrefix="0" xfId="0"/>
    <xf numFmtId="0" fontId="3" fillId="3" borderId="10" applyAlignment="1" pivotButton="0" quotePrefix="0" xfId="0">
      <alignment horizontal="left"/>
    </xf>
    <xf numFmtId="0" fontId="3" fillId="3" borderId="15" applyAlignment="1" pivotButton="0" quotePrefix="0" xfId="0">
      <alignment horizontal="right"/>
    </xf>
    <xf numFmtId="0" fontId="3" fillId="3" borderId="15" applyAlignment="1" pivotButton="0" quotePrefix="0" xfId="0">
      <alignment horizontal="left"/>
    </xf>
    <xf numFmtId="39" fontId="0" fillId="3" borderId="16" pivotButton="0" quotePrefix="0" xfId="0"/>
    <xf numFmtId="0" fontId="0" fillId="3" borderId="16" applyAlignment="1" pivotButton="0" quotePrefix="0" xfId="0">
      <alignment horizontal="left"/>
    </xf>
    <xf numFmtId="166" fontId="0" fillId="3" borderId="0" pivotButton="0" quotePrefix="0" xfId="0"/>
    <xf numFmtId="0" fontId="0" fillId="0" borderId="0" applyAlignment="1" pivotButton="0" quotePrefix="1" xfId="0">
      <alignment horizontal="left" indent="1"/>
    </xf>
    <xf numFmtId="164" fontId="3" fillId="3" borderId="0" pivotButton="0" quotePrefix="0" xfId="0"/>
    <xf numFmtId="164" fontId="3" fillId="3" borderId="0" pivotButton="0" quotePrefix="0" xfId="1"/>
    <xf numFmtId="173" fontId="24" fillId="0" borderId="0" pivotButton="0" quotePrefix="0" xfId="1"/>
    <xf numFmtId="173" fontId="4" fillId="0" borderId="0" pivotButton="0" quotePrefix="0" xfId="1"/>
    <xf numFmtId="164" fontId="18" fillId="8" borderId="0" pivotButton="0" quotePrefix="0" xfId="1"/>
    <xf numFmtId="164" fontId="18" fillId="0" borderId="13" pivotButton="0" quotePrefix="0" xfId="1"/>
    <xf numFmtId="164" fontId="18" fillId="0" borderId="22" pivotButton="0" quotePrefix="0" xfId="1"/>
    <xf numFmtId="165" fontId="18" fillId="0" borderId="0" pivotButton="0" quotePrefix="0" xfId="1"/>
    <xf numFmtId="37" fontId="50" fillId="3" borderId="11" pivotButton="0" quotePrefix="0" xfId="0"/>
    <xf numFmtId="165" fontId="50" fillId="3" borderId="21" applyAlignment="1" pivotButton="0" quotePrefix="0" xfId="0">
      <alignment horizontal="right"/>
    </xf>
    <xf numFmtId="39" fontId="50" fillId="3" borderId="0" pivotButton="0" quotePrefix="0" xfId="0"/>
    <xf numFmtId="165" fontId="50" fillId="3" borderId="16" applyAlignment="1" pivotButton="0" quotePrefix="0" xfId="0">
      <alignment horizontal="right"/>
    </xf>
    <xf numFmtId="0" fontId="29" fillId="0" borderId="0" pivotButton="0" quotePrefix="0" xfId="1"/>
    <xf numFmtId="43" fontId="24" fillId="0" borderId="0" pivotButton="0" quotePrefix="0" xfId="0"/>
    <xf numFmtId="9" fontId="40" fillId="0" borderId="0" pivotButton="0" quotePrefix="0" xfId="2"/>
    <xf numFmtId="165" fontId="4" fillId="3" borderId="0" pivotButton="0" quotePrefix="0" xfId="0"/>
    <xf numFmtId="174" fontId="4" fillId="0" borderId="0" pivotButton="0" quotePrefix="0" xfId="0"/>
    <xf numFmtId="0" fontId="13" fillId="0" borderId="0" applyAlignment="1" pivotButton="0" quotePrefix="0" xfId="7">
      <alignment horizontal="right"/>
    </xf>
    <xf numFmtId="0" fontId="13" fillId="0" borderId="0" pivotButton="0" quotePrefix="0" xfId="7"/>
    <xf numFmtId="4" fontId="13" fillId="0" borderId="0" pivotButton="0" quotePrefix="0" xfId="7"/>
    <xf numFmtId="37" fontId="50" fillId="3" borderId="0" pivotButton="0" quotePrefix="0" xfId="0"/>
    <xf numFmtId="166" fontId="50" fillId="3" borderId="0" pivotButton="0" quotePrefix="0" xfId="0"/>
    <xf numFmtId="174" fontId="18" fillId="0" borderId="0" pivotButton="0" quotePrefix="0" xfId="1"/>
    <xf numFmtId="164" fontId="18" fillId="7" borderId="0" pivotButton="0" quotePrefix="0" xfId="1"/>
    <xf numFmtId="172" fontId="26" fillId="0" borderId="0" pivotButton="0" quotePrefix="0" xfId="2"/>
    <xf numFmtId="166" fontId="13" fillId="3" borderId="0" pivotButton="0" quotePrefix="0" xfId="7"/>
    <xf numFmtId="174" fontId="68" fillId="3" borderId="24" pivotButton="0" quotePrefix="0" xfId="7"/>
    <xf numFmtId="174" fontId="68" fillId="3" borderId="23" pivotButton="0" quotePrefix="0" xfId="7"/>
    <xf numFmtId="39" fontId="13" fillId="7" borderId="0" pivotButton="0" quotePrefix="0" xfId="7"/>
    <xf numFmtId="166" fontId="13" fillId="7" borderId="0" pivotButton="0" quotePrefix="0" xfId="7"/>
    <xf numFmtId="39" fontId="13" fillId="0" borderId="0" pivotButton="0" quotePrefix="0" xfId="7"/>
    <xf numFmtId="166" fontId="13" fillId="0" borderId="0" pivotButton="0" quotePrefix="0" xfId="7"/>
    <xf numFmtId="164" fontId="22" fillId="17" borderId="0" pivotButton="0" quotePrefix="0" xfId="1"/>
    <xf numFmtId="169" fontId="3" fillId="0" borderId="16" applyAlignment="1" pivotButton="0" quotePrefix="0" xfId="0">
      <alignment horizontal="center"/>
    </xf>
    <xf numFmtId="0" fontId="0" fillId="0" borderId="11" applyAlignment="1" pivotButton="0" quotePrefix="0" xfId="0">
      <alignment horizontal="left"/>
    </xf>
    <xf numFmtId="37" fontId="0" fillId="0" borderId="11" pivotButton="0" quotePrefix="0" xfId="0"/>
    <xf numFmtId="0" fontId="16" fillId="0" borderId="0" pivotButton="0" quotePrefix="0" xfId="4"/>
    <xf numFmtId="164" fontId="0" fillId="3" borderId="0" pivotButton="0" quotePrefix="0" xfId="1"/>
    <xf numFmtId="43" fontId="40" fillId="0" borderId="0" pivotButton="0" quotePrefix="0" xfId="0"/>
    <xf numFmtId="43" fontId="22" fillId="0" borderId="0" pivotButton="0" quotePrefix="0" xfId="1"/>
    <xf numFmtId="164" fontId="38" fillId="0" borderId="0" pivotButton="0" quotePrefix="0" xfId="1"/>
    <xf numFmtId="0" fontId="71" fillId="6" borderId="0" pivotButton="0" quotePrefix="0" xfId="4"/>
    <xf numFmtId="0" fontId="71" fillId="0" borderId="0" pivotButton="0" quotePrefix="0" xfId="4"/>
    <xf numFmtId="0" fontId="70" fillId="0" borderId="0" applyAlignment="1" pivotButton="0" quotePrefix="0" xfId="0">
      <alignment horizontal="left"/>
    </xf>
    <xf numFmtId="0" fontId="28" fillId="0" borderId="0" applyAlignment="1" pivotButton="0" quotePrefix="0" xfId="0">
      <alignment horizontal="left" indent="1"/>
    </xf>
    <xf numFmtId="0" fontId="28" fillId="0" borderId="0" pivotButton="0" quotePrefix="0" xfId="0"/>
    <xf numFmtId="0" fontId="70" fillId="0" borderId="0" pivotButton="0" quotePrefix="0" xfId="0"/>
    <xf numFmtId="0" fontId="72" fillId="0" borderId="0" applyAlignment="1" pivotButton="0" quotePrefix="0" xfId="0">
      <alignment horizontal="left" indent="1"/>
    </xf>
    <xf numFmtId="0" fontId="28" fillId="3" borderId="0" applyAlignment="1" pivotButton="0" quotePrefix="0" xfId="0">
      <alignment horizontal="left" indent="1"/>
    </xf>
    <xf numFmtId="0" fontId="70" fillId="3" borderId="0" applyAlignment="1" pivotButton="0" quotePrefix="0" xfId="0">
      <alignment horizontal="left" indent="1"/>
    </xf>
    <xf numFmtId="9" fontId="72" fillId="3" borderId="0" applyAlignment="1" pivotButton="0" quotePrefix="0" xfId="2">
      <alignment horizontal="left" indent="1"/>
    </xf>
    <xf numFmtId="0" fontId="28" fillId="0" borderId="0" applyAlignment="1" pivotButton="0" quotePrefix="0" xfId="0">
      <alignment horizontal="left"/>
    </xf>
    <xf numFmtId="0" fontId="73" fillId="0" borderId="0" pivotButton="0" quotePrefix="0" xfId="0"/>
    <xf numFmtId="9" fontId="0" fillId="3" borderId="0" pivotButton="0" quotePrefix="0" xfId="2"/>
    <xf numFmtId="0" fontId="66" fillId="0" borderId="0" applyAlignment="1" pivotButton="0" quotePrefix="0" xfId="0">
      <alignment horizontal="left" vertical="top"/>
    </xf>
    <xf numFmtId="164" fontId="2" fillId="0" borderId="0" pivotButton="0" quotePrefix="0" xfId="1"/>
    <xf numFmtId="9" fontId="36" fillId="0" borderId="0" pivotButton="0" quotePrefix="0" xfId="2"/>
    <xf numFmtId="0" fontId="38" fillId="3" borderId="0" pivotButton="0" quotePrefix="0" xfId="0"/>
    <xf numFmtId="164" fontId="2" fillId="0" borderId="0" pivotButton="0" quotePrefix="0" xfId="1"/>
    <xf numFmtId="1" fontId="0" fillId="0" borderId="0" pivotButton="0" quotePrefix="0" xfId="0"/>
    <xf numFmtId="174" fontId="0" fillId="0" borderId="0" pivotButton="0" quotePrefix="0" xfId="0"/>
    <xf numFmtId="37" fontId="3" fillId="0" borderId="0" pivotButton="0" quotePrefix="0" xfId="0"/>
    <xf numFmtId="174" fontId="24" fillId="0" borderId="0" pivotButton="0" quotePrefix="0" xfId="0"/>
    <xf numFmtId="164" fontId="4" fillId="8" borderId="0" pivotButton="0" quotePrefix="0" xfId="1"/>
    <xf numFmtId="3" fontId="0" fillId="0" borderId="0" pivotButton="0" quotePrefix="0" xfId="0"/>
    <xf numFmtId="172" fontId="0" fillId="0" borderId="0" pivotButton="0" quotePrefix="0" xfId="2"/>
    <xf numFmtId="173" fontId="4" fillId="0" borderId="0" pivotButton="0" quotePrefix="0" xfId="1"/>
    <xf numFmtId="0" fontId="74" fillId="9" borderId="0" applyAlignment="1" pivotButton="0" quotePrefix="0" xfId="0">
      <alignment vertical="center"/>
    </xf>
    <xf numFmtId="0" fontId="3" fillId="0" borderId="0" applyAlignment="1" pivotButton="0" quotePrefix="0" xfId="0">
      <alignment horizontal="left" indent="1"/>
    </xf>
    <xf numFmtId="0" fontId="3" fillId="0" borderId="0" pivotButton="0" quotePrefix="0" xfId="4"/>
    <xf numFmtId="0" fontId="34" fillId="0" borderId="0" applyAlignment="1" pivotButton="0" quotePrefix="0" xfId="7">
      <alignment vertical="center"/>
    </xf>
    <xf numFmtId="0" fontId="4" fillId="0" borderId="0" applyAlignment="1" pivotButton="0" quotePrefix="0" xfId="7">
      <alignment horizontal="left" vertical="center" indent="1"/>
    </xf>
    <xf numFmtId="179" fontId="3" fillId="0" borderId="0" pivotButton="0" quotePrefix="0" xfId="7"/>
    <xf numFmtId="0" fontId="0" fillId="0" borderId="0" pivotButton="0" quotePrefix="0" xfId="7"/>
    <xf numFmtId="0" fontId="9" fillId="0" borderId="0" applyAlignment="1" pivotButton="0" quotePrefix="0" xfId="7">
      <alignment vertical="center"/>
    </xf>
    <xf numFmtId="179" fontId="4" fillId="0" borderId="0" applyAlignment="1" pivotButton="0" quotePrefix="0" xfId="7">
      <alignment vertical="center"/>
    </xf>
    <xf numFmtId="179" fontId="9" fillId="0" borderId="0" pivotButton="0" quotePrefix="0" xfId="7"/>
    <xf numFmtId="0" fontId="0" fillId="0" borderId="0" applyAlignment="1" pivotButton="0" quotePrefix="0" xfId="7">
      <alignment horizontal="left" indent="1"/>
    </xf>
    <xf numFmtId="0" fontId="1" fillId="0" borderId="0" applyAlignment="1" pivotButton="0" quotePrefix="0" xfId="7">
      <alignment horizontal="left" indent="1"/>
    </xf>
    <xf numFmtId="0" fontId="3" fillId="0" borderId="0" pivotButton="0" quotePrefix="0" xfId="7"/>
    <xf numFmtId="175" fontId="3" fillId="0" borderId="0" pivotButton="0" quotePrefix="0" xfId="0"/>
    <xf numFmtId="175" fontId="24" fillId="0" borderId="0" pivotButton="0" quotePrefix="0" xfId="0"/>
    <xf numFmtId="165" fontId="25" fillId="0" borderId="0" pivotButton="0" quotePrefix="0" xfId="0"/>
    <xf numFmtId="0" fontId="43" fillId="9" borderId="0" pivotButton="0" quotePrefix="0" xfId="4"/>
    <xf numFmtId="37" fontId="2" fillId="0" borderId="0" pivotButton="0" quotePrefix="0" xfId="0"/>
    <xf numFmtId="0" fontId="9" fillId="0" borderId="0" pivotButton="0" quotePrefix="0" xfId="4"/>
    <xf numFmtId="179" fontId="0" fillId="0" borderId="0" applyAlignment="1" pivotButton="0" quotePrefix="0" xfId="7">
      <alignment horizontal="left"/>
    </xf>
    <xf numFmtId="0" fontId="0" fillId="0" borderId="0" applyAlignment="1" pivotButton="0" quotePrefix="0" xfId="7">
      <alignment horizontal="left"/>
    </xf>
    <xf numFmtId="180" fontId="4" fillId="0" borderId="0" pivotButton="0" quotePrefix="0" xfId="1"/>
    <xf numFmtId="0" fontId="73" fillId="0" borderId="0" applyAlignment="1" pivotButton="0" quotePrefix="0" xfId="0">
      <alignment horizontal="left" indent="1"/>
    </xf>
    <xf numFmtId="0" fontId="19" fillId="3" borderId="0" pivotButton="0" quotePrefix="0" xfId="0"/>
    <xf numFmtId="9" fontId="19" fillId="3" borderId="0" pivotButton="0" quotePrefix="0" xfId="2"/>
    <xf numFmtId="9" fontId="75" fillId="3" borderId="0" applyAlignment="1" pivotButton="0" quotePrefix="0" xfId="2">
      <alignment horizontal="left" indent="1"/>
    </xf>
    <xf numFmtId="172" fontId="19" fillId="3" borderId="0" pivotButton="0" quotePrefix="0" xfId="2"/>
    <xf numFmtId="0" fontId="76" fillId="0" borderId="0" pivotButton="0" quotePrefix="0" xfId="0"/>
    <xf numFmtId="0" fontId="76" fillId="3" borderId="0" pivotButton="0" quotePrefix="0" xfId="0"/>
    <xf numFmtId="175" fontId="0" fillId="3" borderId="0" pivotButton="0" quotePrefix="0" xfId="0"/>
    <xf numFmtId="9" fontId="26" fillId="0" borderId="0" pivotButton="0" quotePrefix="0" xfId="2"/>
    <xf numFmtId="3" fontId="2" fillId="3" borderId="0" pivotButton="0" quotePrefix="0" xfId="0"/>
    <xf numFmtId="9" fontId="2" fillId="3" borderId="0" pivotButton="0" quotePrefix="0" xfId="0"/>
    <xf numFmtId="3" fontId="0" fillId="3" borderId="0" pivotButton="0" quotePrefix="0" xfId="0"/>
    <xf numFmtId="165" fontId="0" fillId="0" borderId="0" applyAlignment="1" pivotButton="0" quotePrefix="0" xfId="0">
      <alignment horizontal="right"/>
    </xf>
    <xf numFmtId="43" fontId="4" fillId="0" borderId="0" pivotButton="0" quotePrefix="0" xfId="1"/>
    <xf numFmtId="0" fontId="3" fillId="0" borderId="15" applyAlignment="1" pivotButton="0" quotePrefix="0" xfId="0">
      <alignment horizontal="right"/>
    </xf>
    <xf numFmtId="37" fontId="3" fillId="0" borderId="10" pivotButton="0" quotePrefix="0" xfId="0"/>
    <xf numFmtId="0" fontId="3" fillId="0" borderId="15" applyAlignment="1" pivotButton="0" quotePrefix="0" xfId="0">
      <alignment horizontal="left"/>
    </xf>
    <xf numFmtId="0" fontId="3" fillId="0" borderId="10" applyAlignment="1" pivotButton="0" quotePrefix="0" xfId="0">
      <alignment horizontal="left"/>
    </xf>
    <xf numFmtId="0" fontId="3" fillId="0" borderId="16" applyAlignment="1" pivotButton="0" quotePrefix="0" xfId="0">
      <alignment horizontal="left"/>
    </xf>
    <xf numFmtId="37" fontId="3" fillId="0" borderId="16" pivotButton="0" quotePrefix="0" xfId="0"/>
    <xf numFmtId="166" fontId="36" fillId="0" borderId="0" pivotButton="0" quotePrefix="0" xfId="0"/>
    <xf numFmtId="180" fontId="0" fillId="0" borderId="0" applyAlignment="1" pivotButton="0" quotePrefix="0" xfId="0">
      <alignment horizontal="right"/>
    </xf>
    <xf numFmtId="14" fontId="2" fillId="3" borderId="0" applyAlignment="1" pivotButton="0" quotePrefix="0" xfId="0">
      <alignment horizontal="center"/>
    </xf>
    <xf numFmtId="168" fontId="38" fillId="3" borderId="0" applyAlignment="1" pivotButton="0" quotePrefix="0" xfId="0">
      <alignment horizontal="center"/>
    </xf>
    <xf numFmtId="0" fontId="36" fillId="0" borderId="0" applyAlignment="1" pivotButton="0" quotePrefix="0" xfId="0">
      <alignment horizontal="left"/>
    </xf>
    <xf numFmtId="0" fontId="32" fillId="0" borderId="0" applyAlignment="1" pivotButton="0" quotePrefix="0" xfId="0">
      <alignment horizontal="left"/>
    </xf>
    <xf numFmtId="164" fontId="38" fillId="0" borderId="0" pivotButton="0" quotePrefix="0" xfId="0"/>
    <xf numFmtId="164" fontId="2" fillId="0" borderId="0" pivotButton="0" quotePrefix="0" xfId="0"/>
    <xf numFmtId="164" fontId="27" fillId="0" borderId="0" pivotButton="0" quotePrefix="0" xfId="1"/>
    <xf numFmtId="37" fontId="3" fillId="7" borderId="9" pivotButton="0" quotePrefix="0" xfId="0"/>
    <xf numFmtId="165" fontId="4" fillId="0" borderId="16" applyAlignment="1" pivotButton="0" quotePrefix="0" xfId="0">
      <alignment horizontal="right"/>
    </xf>
    <xf numFmtId="181" fontId="38" fillId="9" borderId="10" applyAlignment="1" pivotButton="0" quotePrefix="0" xfId="0">
      <alignment horizontal="center"/>
    </xf>
    <xf numFmtId="169" fontId="3" fillId="0" borderId="20" applyAlignment="1" pivotButton="0" quotePrefix="0" xfId="0">
      <alignment horizontal="center"/>
    </xf>
    <xf numFmtId="41" fontId="0" fillId="3" borderId="0" pivotButton="0" quotePrefix="0" xfId="0"/>
    <xf numFmtId="9" fontId="3" fillId="0" borderId="0" pivotButton="0" quotePrefix="0" xfId="2"/>
    <xf numFmtId="43" fontId="25" fillId="0" borderId="0" pivotButton="0" quotePrefix="0" xfId="0"/>
    <xf numFmtId="0" fontId="19" fillId="0" borderId="0" applyAlignment="1" pivotButton="0" quotePrefix="0" xfId="7">
      <alignment horizontal="left"/>
    </xf>
    <xf numFmtId="43" fontId="2" fillId="0" borderId="0" pivotButton="0" quotePrefix="0" xfId="0"/>
    <xf numFmtId="9" fontId="2" fillId="0" borderId="0" pivotButton="0" quotePrefix="0" xfId="0"/>
    <xf numFmtId="165" fontId="26" fillId="0" borderId="0" pivotButton="0" quotePrefix="0" xfId="0"/>
    <xf numFmtId="172" fontId="26" fillId="0" borderId="0" pivotButton="0" quotePrefix="0" xfId="2"/>
    <xf numFmtId="43" fontId="0" fillId="3" borderId="0" pivotButton="0" quotePrefix="0" xfId="0"/>
    <xf numFmtId="43" fontId="0" fillId="3" borderId="0" pivotButton="0" quotePrefix="0" xfId="1"/>
    <xf numFmtId="169" fontId="3" fillId="0" borderId="21" applyAlignment="1" pivotButton="0" quotePrefix="0" xfId="0">
      <alignment horizontal="center"/>
    </xf>
    <xf numFmtId="0" fontId="50" fillId="9" borderId="17" pivotButton="0" quotePrefix="0" xfId="0"/>
    <xf numFmtId="0" fontId="0" fillId="3" borderId="19" pivotButton="0" quotePrefix="0" xfId="0"/>
    <xf numFmtId="0" fontId="0" fillId="3" borderId="20" pivotButton="0" quotePrefix="0" xfId="0"/>
    <xf numFmtId="0" fontId="50" fillId="9" borderId="10" pivotButton="0" quotePrefix="0" xfId="0"/>
    <xf numFmtId="0" fontId="0" fillId="9" borderId="18" pivotButton="0" quotePrefix="0" xfId="0"/>
    <xf numFmtId="173" fontId="0" fillId="3" borderId="11" pivotButton="0" quotePrefix="0" xfId="0"/>
    <xf numFmtId="173" fontId="0" fillId="3" borderId="21" pivotButton="0" quotePrefix="0" xfId="0"/>
    <xf numFmtId="0" fontId="0" fillId="3" borderId="17" pivotButton="0" quotePrefix="0" xfId="0"/>
    <xf numFmtId="164" fontId="0" fillId="3" borderId="18" pivotButton="0" quotePrefix="0" xfId="1"/>
    <xf numFmtId="164" fontId="0" fillId="3" borderId="21" pivotButton="0" quotePrefix="0" xfId="1"/>
    <xf numFmtId="0" fontId="50" fillId="0" borderId="0" applyAlignment="1" pivotButton="0" quotePrefix="0" xfId="0">
      <alignment horizontal="center"/>
    </xf>
    <xf numFmtId="181" fontId="38" fillId="0" borderId="0" applyAlignment="1" pivotButton="0" quotePrefix="0" xfId="0">
      <alignment horizontal="center"/>
    </xf>
    <xf numFmtId="169" fontId="3" fillId="0" borderId="0" applyAlignment="1" pivotButton="0" quotePrefix="0" xfId="0">
      <alignment horizontal="center"/>
    </xf>
    <xf numFmtId="165" fontId="2" fillId="0" borderId="10" pivotButton="0" quotePrefix="0" xfId="0"/>
    <xf numFmtId="3" fontId="2" fillId="0" borderId="0" pivotButton="0" quotePrefix="0" xfId="0"/>
    <xf numFmtId="0" fontId="3" fillId="0" borderId="0" applyAlignment="1" pivotButton="0" quotePrefix="0" xfId="0">
      <alignment horizontal="center"/>
    </xf>
    <xf numFmtId="14" fontId="14" fillId="0" borderId="0" pivotButton="0" quotePrefix="0" xfId="0"/>
    <xf numFmtId="168" fontId="9" fillId="0" borderId="15" applyAlignment="1" pivotButton="0" quotePrefix="0" xfId="0">
      <alignment horizontal="right"/>
    </xf>
    <xf numFmtId="166" fontId="0" fillId="0" borderId="0" pivotButton="0" quotePrefix="0" xfId="0"/>
    <xf numFmtId="182" fontId="43" fillId="9" borderId="15" applyAlignment="1" pivotButton="0" quotePrefix="0" xfId="0">
      <alignment horizontal="right"/>
    </xf>
    <xf numFmtId="3" fontId="4" fillId="0" borderId="0" pivotButton="0" quotePrefix="0" xfId="0"/>
    <xf numFmtId="3" fontId="24" fillId="0" borderId="0" pivotButton="0" quotePrefix="0" xfId="0"/>
    <xf numFmtId="174" fontId="40" fillId="0" borderId="0" pivotButton="0" quotePrefix="0" xfId="2"/>
    <xf numFmtId="174" fontId="36" fillId="0" borderId="0" pivotButton="0" quotePrefix="0" xfId="2"/>
    <xf numFmtId="0" fontId="40" fillId="0" borderId="0" pivotButton="0" quotePrefix="0" xfId="0"/>
    <xf numFmtId="174" fontId="37" fillId="0" borderId="0" pivotButton="0" quotePrefix="0" xfId="4"/>
    <xf numFmtId="39" fontId="18" fillId="0" borderId="0" pivotButton="0" quotePrefix="0" xfId="1"/>
    <xf numFmtId="0" fontId="24" fillId="0" borderId="0" applyAlignment="1" pivotButton="0" quotePrefix="0" xfId="0">
      <alignment vertical="center"/>
    </xf>
    <xf numFmtId="0" fontId="26" fillId="0" borderId="0" applyAlignment="1" pivotButton="0" quotePrefix="0" xfId="0">
      <alignment vertical="center"/>
    </xf>
    <xf numFmtId="164" fontId="182" fillId="0" borderId="0" pivotButton="0" quotePrefix="0" xfId="1"/>
    <xf numFmtId="183" fontId="4" fillId="0" borderId="0" pivotButton="0" quotePrefix="0" xfId="0"/>
    <xf numFmtId="183" fontId="9" fillId="0" borderId="0" pivotButton="0" quotePrefix="0" xfId="0"/>
    <xf numFmtId="183" fontId="26" fillId="0" borderId="0" pivotButton="0" quotePrefix="0" xfId="0"/>
    <xf numFmtId="183" fontId="24" fillId="0" borderId="0" pivotButton="0" quotePrefix="0" xfId="0"/>
    <xf numFmtId="164" fontId="183" fillId="0" borderId="0" pivotButton="0" quotePrefix="0" xfId="1"/>
    <xf numFmtId="39" fontId="183" fillId="0" borderId="0" pivotButton="0" quotePrefix="0" xfId="1"/>
    <xf numFmtId="0" fontId="182" fillId="0" borderId="0" pivotButton="0" quotePrefix="0" xfId="0"/>
    <xf numFmtId="0" fontId="183" fillId="3" borderId="0" pivotButton="0" quotePrefix="0" xfId="0"/>
    <xf numFmtId="183" fontId="0" fillId="0" borderId="0" pivotButton="0" quotePrefix="0" xfId="0"/>
    <xf numFmtId="183" fontId="3" fillId="0" borderId="0" pivotButton="0" quotePrefix="0" xfId="0"/>
    <xf numFmtId="0" fontId="0" fillId="96" borderId="0" pivotButton="0" quotePrefix="0" xfId="0"/>
    <xf numFmtId="41" fontId="183" fillId="0" borderId="0" pivotButton="0" quotePrefix="0" xfId="0"/>
    <xf numFmtId="41" fontId="0" fillId="0" borderId="0" pivotButton="0" quotePrefix="0" xfId="0"/>
    <xf numFmtId="0" fontId="23" fillId="0" borderId="0" applyAlignment="1" pivotButton="0" quotePrefix="0" xfId="0">
      <alignment horizontal="left"/>
    </xf>
    <xf numFmtId="41" fontId="3" fillId="0" borderId="0" pivotButton="0" quotePrefix="0" xfId="0"/>
    <xf numFmtId="3" fontId="0" fillId="0" borderId="0" applyAlignment="1" pivotButton="0" quotePrefix="0" xfId="0">
      <alignment horizontal="left" indent="1"/>
    </xf>
    <xf numFmtId="184" fontId="19" fillId="0" borderId="0" pivotButton="0" quotePrefix="0" xfId="0"/>
    <xf numFmtId="14" fontId="0" fillId="0" borderId="0" pivotButton="0" quotePrefix="0" xfId="0"/>
    <xf numFmtId="184" fontId="184" fillId="0" borderId="0" pivotButton="0" quotePrefix="0" xfId="0"/>
    <xf numFmtId="3" fontId="0" fillId="0" borderId="0" applyAlignment="1" pivotButton="0" quotePrefix="0" xfId="0">
      <alignment horizontal="left"/>
    </xf>
    <xf numFmtId="0" fontId="40" fillId="0" borderId="0" applyAlignment="1" pivotButton="0" quotePrefix="0" xfId="7">
      <alignment horizontal="left" vertical="center" indent="1"/>
    </xf>
    <xf numFmtId="179" fontId="40" fillId="0" borderId="0" applyAlignment="1" pivotButton="0" quotePrefix="0" xfId="7">
      <alignment horizontal="left" vertical="center" indent="1"/>
    </xf>
    <xf numFmtId="0" fontId="19" fillId="0" borderId="42" applyAlignment="1" pivotButton="0" quotePrefix="0" xfId="0">
      <alignment horizontal="left" indent="1"/>
    </xf>
    <xf numFmtId="179" fontId="40" fillId="0" borderId="42" applyAlignment="1" pivotButton="0" quotePrefix="0" xfId="7">
      <alignment vertical="center"/>
    </xf>
    <xf numFmtId="185" fontId="0" fillId="0" borderId="0" pivotButton="0" quotePrefix="0" xfId="0"/>
    <xf numFmtId="3" fontId="3" fillId="0" borderId="0" applyAlignment="1" pivotButton="0" quotePrefix="0" xfId="0">
      <alignment horizontal="left"/>
    </xf>
    <xf numFmtId="0" fontId="4" fillId="0" borderId="42" applyAlignment="1" pivotButton="0" quotePrefix="0" xfId="7">
      <alignment horizontal="left" vertical="center" indent="1"/>
    </xf>
    <xf numFmtId="0" fontId="18" fillId="0" borderId="0" pivotButton="0" quotePrefix="0" xfId="0"/>
    <xf numFmtId="3" fontId="18" fillId="0" borderId="0" pivotButton="0" quotePrefix="0" xfId="0"/>
    <xf numFmtId="0" fontId="36" fillId="0" borderId="0" pivotButton="0" quotePrefix="0" xfId="0"/>
    <xf numFmtId="41" fontId="4" fillId="0" borderId="0" pivotButton="0" quotePrefix="0" xfId="0"/>
    <xf numFmtId="183" fontId="2" fillId="0" borderId="0" pivotButton="0" quotePrefix="0" xfId="0"/>
    <xf numFmtId="41" fontId="182" fillId="0" borderId="0" pivotButton="0" quotePrefix="0" xfId="0"/>
    <xf numFmtId="172" fontId="2" fillId="0" borderId="0" pivotButton="0" quotePrefix="0" xfId="0"/>
    <xf numFmtId="183" fontId="2" fillId="8" borderId="0" pivotButton="0" quotePrefix="0" xfId="0"/>
    <xf numFmtId="41" fontId="2" fillId="8" borderId="0" pivotButton="0" quotePrefix="0" xfId="0"/>
    <xf numFmtId="41" fontId="2" fillId="0" borderId="0" pivotButton="0" quotePrefix="0" xfId="0"/>
    <xf numFmtId="39" fontId="4" fillId="0" borderId="0" pivotButton="0" quotePrefix="0" xfId="1"/>
    <xf numFmtId="179" fontId="3" fillId="0" borderId="42" pivotButton="0" quotePrefix="0" xfId="7"/>
    <xf numFmtId="14" fontId="184" fillId="0" borderId="0" pivotButton="0" quotePrefix="0" xfId="0"/>
    <xf numFmtId="14" fontId="40" fillId="0" borderId="0" pivotButton="0" quotePrefix="0" xfId="0"/>
    <xf numFmtId="0" fontId="75" fillId="0" borderId="0" applyAlignment="1" pivotButton="0" quotePrefix="0" xfId="0">
      <alignment horizontal="left" indent="1"/>
    </xf>
    <xf numFmtId="183" fontId="19" fillId="3" borderId="0" pivotButton="0" quotePrefix="0" xfId="2"/>
    <xf numFmtId="183" fontId="19" fillId="3" borderId="0" pivotButton="0" quotePrefix="0" xfId="0"/>
    <xf numFmtId="0" fontId="50" fillId="3" borderId="0" pivotButton="0" quotePrefix="0" xfId="0"/>
    <xf numFmtId="43" fontId="19" fillId="3" borderId="0" pivotButton="0" quotePrefix="0" xfId="0"/>
    <xf numFmtId="41" fontId="3" fillId="3" borderId="10" pivotButton="0" quotePrefix="0" xfId="0"/>
    <xf numFmtId="41" fontId="3" fillId="3" borderId="0" pivotButton="0" quotePrefix="0" xfId="0"/>
    <xf numFmtId="41" fontId="3" fillId="0" borderId="10" pivotButton="0" quotePrefix="0" xfId="0"/>
    <xf numFmtId="41" fontId="3" fillId="0" borderId="16" pivotButton="0" quotePrefix="0" xfId="0"/>
    <xf numFmtId="182" fontId="3" fillId="3" borderId="15" applyAlignment="1" pivotButton="0" quotePrefix="0" xfId="0">
      <alignment horizontal="right"/>
    </xf>
    <xf numFmtId="186" fontId="0" fillId="0" borderId="0" pivotButton="0" quotePrefix="0" xfId="1"/>
    <xf numFmtId="37" fontId="18" fillId="3" borderId="0" pivotButton="0" quotePrefix="0" xfId="0"/>
    <xf numFmtId="39" fontId="4" fillId="0" borderId="0" applyAlignment="1" pivotButton="0" quotePrefix="0" xfId="0">
      <alignment horizontal="right"/>
    </xf>
    <xf numFmtId="172" fontId="0"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 fontId="43" fillId="9" borderId="15" applyAlignment="1" pivotButton="0" quotePrefix="0" xfId="0">
      <alignment horizontal="right"/>
    </xf>
    <xf numFmtId="187" fontId="18" fillId="0" borderId="0" pivotButton="0" quotePrefix="0" xfId="0"/>
    <xf numFmtId="172" fontId="2" fillId="0" borderId="0" pivotButton="0" quotePrefix="0" xfId="2"/>
    <xf numFmtId="0" fontId="12" fillId="0" borderId="0" pivotButton="0" quotePrefix="0" xfId="0"/>
    <xf numFmtId="0" fontId="12" fillId="0" borderId="0" applyAlignment="1" pivotButton="0" quotePrefix="0" xfId="0">
      <alignment horizontal="left"/>
    </xf>
    <xf numFmtId="0" fontId="12" fillId="0" borderId="0" applyAlignment="1" pivotButton="0" quotePrefix="0" xfId="0">
      <alignment horizontal="right"/>
    </xf>
    <xf numFmtId="2" fontId="12" fillId="0" borderId="0" pivotButton="0" quotePrefix="0" xfId="0"/>
    <xf numFmtId="0" fontId="185" fillId="0" borderId="0" applyAlignment="1" pivotButton="0" quotePrefix="0" xfId="0">
      <alignment vertical="top"/>
    </xf>
    <xf numFmtId="0" fontId="12" fillId="0" borderId="0" applyProtection="1" pivotButton="0" quotePrefix="0" xfId="0">
      <protection locked="0" hidden="0"/>
    </xf>
    <xf numFmtId="0" fontId="186" fillId="0" borderId="0" pivotButton="0" quotePrefix="0" xfId="0"/>
    <xf numFmtId="0" fontId="185" fillId="0" borderId="0" applyAlignment="1" pivotButton="0" quotePrefix="0" xfId="0">
      <alignment horizontal="left" vertical="top"/>
    </xf>
    <xf numFmtId="0" fontId="185" fillId="0" borderId="0" applyAlignment="1" pivotButton="0" quotePrefix="0" xfId="0">
      <alignment horizontal="right" vertical="top"/>
    </xf>
    <xf numFmtId="0" fontId="12" fillId="0" borderId="16" pivotButton="0" quotePrefix="0" xfId="0"/>
    <xf numFmtId="0" fontId="187" fillId="0" borderId="0" pivotButton="0" quotePrefix="0" xfId="0"/>
    <xf numFmtId="0" fontId="189" fillId="97" borderId="0" pivotButton="0" quotePrefix="0" xfId="0"/>
    <xf numFmtId="0" fontId="12" fillId="97" borderId="0" pivotButton="0" quotePrefix="0" xfId="0"/>
    <xf numFmtId="0" fontId="189" fillId="97" borderId="0" applyAlignment="1" pivotButton="0" quotePrefix="0" xfId="0">
      <alignment horizontal="left"/>
    </xf>
    <xf numFmtId="0" fontId="189" fillId="97" borderId="0" applyAlignment="1" pivotButton="0" quotePrefix="0" xfId="0">
      <alignment horizontal="right"/>
    </xf>
    <xf numFmtId="0" fontId="190" fillId="97" borderId="0" pivotButton="0" quotePrefix="0" xfId="0"/>
    <xf numFmtId="0" fontId="190" fillId="97" borderId="0" applyAlignment="1" pivotButton="0" quotePrefix="0" xfId="0">
      <alignment horizontal="right"/>
    </xf>
    <xf numFmtId="0" fontId="194" fillId="98" borderId="43" applyAlignment="1" pivotButton="0" quotePrefix="0" xfId="0">
      <alignment horizontal="left"/>
    </xf>
    <xf numFmtId="0" fontId="193" fillId="98" borderId="44" applyAlignment="1" pivotButton="0" quotePrefix="0" xfId="0">
      <alignment horizontal="left"/>
    </xf>
    <xf numFmtId="0" fontId="194" fillId="98" borderId="45" applyAlignment="1" pivotButton="0" quotePrefix="0" xfId="0">
      <alignment horizontal="left"/>
    </xf>
    <xf numFmtId="0" fontId="194" fillId="98" borderId="45" applyAlignment="1" applyProtection="1" pivotButton="0" quotePrefix="0" xfId="0">
      <alignment horizontal="left"/>
      <protection locked="0" hidden="0"/>
    </xf>
    <xf numFmtId="0" fontId="194" fillId="98" borderId="45" applyAlignment="1" pivotButton="0" quotePrefix="0" xfId="0">
      <alignment horizontal="right"/>
    </xf>
    <xf numFmtId="0" fontId="12" fillId="97" borderId="0" applyAlignment="1" pivotButton="0" quotePrefix="0" xfId="0">
      <alignment horizontal="right"/>
    </xf>
    <xf numFmtId="4" fontId="195" fillId="0" borderId="0" applyAlignment="1" pivotButton="0" quotePrefix="0" xfId="0">
      <alignment horizontal="right"/>
    </xf>
    <xf numFmtId="1" fontId="189" fillId="97" borderId="0" pivotButton="0" quotePrefix="0" xfId="0"/>
    <xf numFmtId="2" fontId="189" fillId="97" borderId="0" pivotButton="0" quotePrefix="0" xfId="0"/>
    <xf numFmtId="4" fontId="195" fillId="97" borderId="0" applyAlignment="1" pivotButton="0" quotePrefix="0" xfId="0">
      <alignment horizontal="right"/>
    </xf>
    <xf numFmtId="0" fontId="190" fillId="0" borderId="0" applyProtection="1" pivotButton="0" quotePrefix="0" xfId="0">
      <protection locked="0" hidden="0"/>
    </xf>
    <xf numFmtId="0" fontId="189" fillId="0" borderId="0" applyAlignment="1" applyProtection="1" pivotButton="0" quotePrefix="0" xfId="0">
      <alignment horizontal="left"/>
      <protection locked="0" hidden="0"/>
    </xf>
    <xf numFmtId="0" fontId="189" fillId="0" borderId="0" applyAlignment="1" applyProtection="1" pivotButton="0" quotePrefix="0" xfId="0">
      <alignment horizontal="right"/>
      <protection locked="0" hidden="0"/>
    </xf>
    <xf numFmtId="1" fontId="189" fillId="0" borderId="0" applyProtection="1" pivotButton="0" quotePrefix="0" xfId="0">
      <protection locked="0" hidden="0"/>
    </xf>
    <xf numFmtId="0" fontId="189" fillId="0" borderId="0" applyProtection="1" pivotButton="0" quotePrefix="0" xfId="0">
      <protection locked="0" hidden="0"/>
    </xf>
    <xf numFmtId="2" fontId="189" fillId="0" borderId="0" applyProtection="1" pivotButton="0" quotePrefix="0" xfId="0">
      <protection locked="0" hidden="0"/>
    </xf>
    <xf numFmtId="4" fontId="190" fillId="99" borderId="0" applyAlignment="1" applyProtection="1" pivotButton="0" quotePrefix="0" xfId="0">
      <alignment horizontal="right"/>
      <protection locked="0" hidden="0"/>
    </xf>
    <xf numFmtId="4" fontId="195" fillId="0" borderId="46" applyAlignment="1" pivotButton="0" quotePrefix="0" xfId="0">
      <alignment horizontal="right"/>
    </xf>
    <xf numFmtId="4" fontId="195" fillId="0" borderId="47" applyAlignment="1" pivotButton="0" quotePrefix="0" xfId="0">
      <alignment horizontal="right"/>
    </xf>
    <xf numFmtId="0" fontId="194" fillId="98" borderId="49" applyAlignment="1" pivotButton="0" quotePrefix="0" xfId="0">
      <alignment horizontal="left"/>
    </xf>
    <xf numFmtId="0" fontId="194" fillId="98" borderId="50" applyAlignment="1" pivotButton="0" quotePrefix="0" xfId="0">
      <alignment horizontal="left"/>
    </xf>
    <xf numFmtId="2" fontId="189" fillId="97" borderId="0" applyAlignment="1" pivotButton="0" quotePrefix="0" xfId="0">
      <alignment horizontal="left"/>
    </xf>
    <xf numFmtId="2" fontId="189" fillId="97" borderId="0" applyAlignment="1" pivotButton="0" quotePrefix="0" xfId="0">
      <alignment horizontal="right"/>
    </xf>
    <xf numFmtId="4" fontId="195" fillId="97" borderId="46" applyAlignment="1" pivotButton="0" quotePrefix="0" xfId="0">
      <alignment horizontal="right"/>
    </xf>
    <xf numFmtId="4" fontId="195" fillId="97" borderId="47" applyAlignment="1" pivotButton="0" quotePrefix="0" xfId="0">
      <alignment horizontal="right"/>
    </xf>
    <xf numFmtId="2" fontId="188" fillId="97" borderId="0" pivotButton="0" quotePrefix="0" xfId="0"/>
    <xf numFmtId="2" fontId="188" fillId="0" borderId="0" applyProtection="1" pivotButton="0" quotePrefix="0" xfId="0">
      <protection locked="0" hidden="0"/>
    </xf>
    <xf numFmtId="2" fontId="189" fillId="0" borderId="0" applyAlignment="1" applyProtection="1" pivotButton="0" quotePrefix="0" xfId="0">
      <alignment horizontal="left"/>
      <protection locked="0" hidden="0"/>
    </xf>
    <xf numFmtId="2" fontId="189" fillId="0" borderId="0" applyAlignment="1" applyProtection="1" pivotButton="0" quotePrefix="0" xfId="0">
      <alignment horizontal="right"/>
      <protection locked="0" hidden="0"/>
    </xf>
    <xf numFmtId="4" fontId="190" fillId="99" borderId="46" applyAlignment="1" applyProtection="1" pivotButton="0" quotePrefix="0" xfId="0">
      <alignment horizontal="right"/>
      <protection locked="0" hidden="0"/>
    </xf>
    <xf numFmtId="4" fontId="190" fillId="99" borderId="47" applyAlignment="1" applyProtection="1" pivotButton="0" quotePrefix="0" xfId="0">
      <alignment horizontal="right"/>
      <protection locked="0" hidden="0"/>
    </xf>
    <xf numFmtId="4" fontId="195" fillId="0" borderId="16" applyAlignment="1" pivotButton="0" quotePrefix="0" xfId="0">
      <alignment horizontal="right"/>
    </xf>
    <xf numFmtId="0" fontId="194" fillId="98" borderId="51" applyAlignment="1" pivotButton="0" quotePrefix="0" xfId="0">
      <alignment horizontal="left"/>
    </xf>
    <xf numFmtId="2" fontId="189" fillId="97" borderId="46" pivotButton="0" quotePrefix="0" xfId="0"/>
    <xf numFmtId="2" fontId="189" fillId="97" borderId="47" pivotButton="0" quotePrefix="0" xfId="0"/>
    <xf numFmtId="2" fontId="188" fillId="97" borderId="0" applyAlignment="1" pivotButton="0" quotePrefix="0" xfId="0">
      <alignment horizontal="left"/>
    </xf>
    <xf numFmtId="4" fontId="196" fillId="97" borderId="0" applyAlignment="1" pivotButton="0" quotePrefix="0" xfId="0">
      <alignment horizontal="right"/>
    </xf>
    <xf numFmtId="2" fontId="188" fillId="0" borderId="0" pivotButton="0" quotePrefix="0" xfId="0"/>
    <xf numFmtId="2" fontId="189" fillId="0" borderId="0" applyAlignment="1" pivotButton="0" quotePrefix="0" xfId="0">
      <alignment horizontal="left"/>
    </xf>
    <xf numFmtId="2" fontId="189" fillId="0" borderId="0" applyAlignment="1" pivotButton="0" quotePrefix="0" xfId="0">
      <alignment horizontal="right"/>
    </xf>
    <xf numFmtId="2" fontId="189" fillId="0" borderId="0" pivotButton="0" quotePrefix="0" xfId="0"/>
    <xf numFmtId="4" fontId="195" fillId="100" borderId="0" applyAlignment="1" pivotButton="0" quotePrefix="0" xfId="0">
      <alignment horizontal="right"/>
    </xf>
    <xf numFmtId="4" fontId="190" fillId="97" borderId="0" applyAlignment="1" pivotButton="0" quotePrefix="0" xfId="0">
      <alignment horizontal="right"/>
    </xf>
    <xf numFmtId="0" fontId="189" fillId="100" borderId="0" applyAlignment="1" applyProtection="1" pivotButton="0" quotePrefix="0" xfId="0">
      <alignment horizontal="left"/>
      <protection locked="0" hidden="0"/>
    </xf>
    <xf numFmtId="0" fontId="189" fillId="100" borderId="0" applyAlignment="1" applyProtection="1" pivotButton="0" quotePrefix="0" xfId="0">
      <alignment horizontal="right"/>
      <protection locked="0" hidden="0"/>
    </xf>
    <xf numFmtId="0" fontId="189" fillId="100" borderId="0" applyProtection="1" pivotButton="0" quotePrefix="0" xfId="0">
      <protection locked="0" hidden="0"/>
    </xf>
    <xf numFmtId="4" fontId="190" fillId="100" borderId="0" applyAlignment="1" pivotButton="0" quotePrefix="0" xfId="0">
      <alignment horizontal="right"/>
    </xf>
    <xf numFmtId="3" fontId="189" fillId="100" borderId="0" applyProtection="1" pivotButton="0" quotePrefix="0" xfId="0">
      <protection locked="0" hidden="0"/>
    </xf>
    <xf numFmtId="3" fontId="189" fillId="97" borderId="0" pivotButton="0" quotePrefix="0" xfId="0"/>
    <xf numFmtId="10" fontId="190" fillId="97" borderId="0" applyAlignment="1" pivotButton="0" quotePrefix="0" xfId="0">
      <alignment horizontal="right"/>
    </xf>
    <xf numFmtId="10" fontId="190" fillId="100" borderId="0" applyAlignment="1" pivotButton="0" quotePrefix="0" xfId="0">
      <alignment horizontal="right"/>
    </xf>
    <xf numFmtId="188" fontId="190" fillId="97" borderId="0" applyAlignment="1" pivotButton="0" quotePrefix="0" xfId="0">
      <alignment horizontal="right"/>
    </xf>
    <xf numFmtId="17" fontId="190" fillId="100" borderId="0" applyAlignment="1" pivotButton="0" quotePrefix="0" xfId="0">
      <alignment horizontal="right"/>
    </xf>
    <xf numFmtId="0" fontId="197" fillId="98" borderId="45" applyAlignment="1" pivotButton="0" quotePrefix="0" xfId="0">
      <alignment horizontal="left"/>
    </xf>
    <xf numFmtId="10" fontId="190" fillId="99" borderId="0" applyAlignment="1" applyProtection="1" pivotButton="0" quotePrefix="0" xfId="0">
      <alignment horizontal="right"/>
      <protection locked="0" hidden="0"/>
    </xf>
    <xf numFmtId="188" fontId="190" fillId="99" borderId="48" applyAlignment="1" applyProtection="1" pivotButton="0" quotePrefix="0" xfId="0">
      <alignment horizontal="right"/>
      <protection locked="0" hidden="0"/>
    </xf>
    <xf numFmtId="17" fontId="190" fillId="99" borderId="46" applyAlignment="1" applyProtection="1" pivotButton="0" quotePrefix="0" xfId="0">
      <alignment horizontal="right"/>
      <protection locked="0" hidden="0"/>
    </xf>
    <xf numFmtId="10" fontId="190" fillId="99" borderId="46" applyAlignment="1" applyProtection="1" pivotButton="0" quotePrefix="0" xfId="0">
      <alignment horizontal="right"/>
      <protection locked="0" hidden="0"/>
    </xf>
    <xf numFmtId="0" fontId="189" fillId="0" borderId="0" pivotButton="0" quotePrefix="0" xfId="0"/>
    <xf numFmtId="0" fontId="192" fillId="100" borderId="0" pivotButton="0" quotePrefix="0" xfId="0"/>
    <xf numFmtId="0" fontId="191" fillId="100" borderId="0" pivotButton="0" quotePrefix="0" xfId="0"/>
    <xf numFmtId="0" fontId="198" fillId="0" borderId="0" pivotButton="0" quotePrefix="0" xfId="0"/>
    <xf numFmtId="49" fontId="198" fillId="0" borderId="0" pivotButton="0" quotePrefix="0" xfId="0"/>
    <xf numFmtId="0" fontId="199" fillId="0" borderId="0" pivotButton="0" quotePrefix="0" xfId="0"/>
    <xf numFmtId="3" fontId="190" fillId="97" borderId="0" applyAlignment="1" pivotButton="0" quotePrefix="0" xfId="0">
      <alignment horizontal="right"/>
    </xf>
    <xf numFmtId="0" fontId="200" fillId="0" borderId="0" applyAlignment="1" applyProtection="1" pivotButton="0" quotePrefix="0" xfId="0">
      <alignment horizontal="right"/>
      <protection locked="0" hidden="0"/>
    </xf>
    <xf numFmtId="2" fontId="200" fillId="0" borderId="0" applyAlignment="1" applyProtection="1" pivotButton="0" quotePrefix="0" xfId="0">
      <alignment horizontal="right"/>
      <protection locked="0" hidden="0"/>
    </xf>
    <xf numFmtId="2" fontId="201" fillId="0" borderId="0" applyAlignment="1" applyProtection="1" pivotButton="0" quotePrefix="0" xfId="0">
      <alignment horizontal="right"/>
      <protection locked="0" hidden="0"/>
    </xf>
    <xf numFmtId="10" fontId="195" fillId="97" borderId="46" applyAlignment="1" pivotButton="0" quotePrefix="0" xfId="0">
      <alignment horizontal="right"/>
    </xf>
    <xf numFmtId="10" fontId="195" fillId="97" borderId="47" applyAlignment="1" pivotButton="0" quotePrefix="0" xfId="0">
      <alignment horizontal="right"/>
    </xf>
    <xf numFmtId="10" fontId="195" fillId="97" borderId="0" applyAlignment="1" pivotButton="0" quotePrefix="0" xfId="0">
      <alignment horizontal="right"/>
    </xf>
    <xf numFmtId="10" fontId="190" fillId="99" borderId="47" applyAlignment="1" applyProtection="1" pivotButton="0" quotePrefix="0" xfId="0">
      <alignment horizontal="right"/>
      <protection locked="0" hidden="0"/>
    </xf>
    <xf numFmtId="2" fontId="200" fillId="0" borderId="0" applyAlignment="1" pivotButton="0" quotePrefix="0" xfId="0">
      <alignment horizontal="right"/>
    </xf>
    <xf numFmtId="2" fontId="201" fillId="0" borderId="0" applyAlignment="1" pivotButton="0" quotePrefix="0" xfId="0">
      <alignment horizontal="right"/>
    </xf>
    <xf numFmtId="10" fontId="196" fillId="97" borderId="0" applyAlignment="1" pivotButton="0" quotePrefix="0" xfId="0">
      <alignment horizontal="right"/>
    </xf>
    <xf numFmtId="10" fontId="195" fillId="100" borderId="0" applyAlignment="1" pivotButton="0" quotePrefix="0" xfId="0">
      <alignment horizontal="right"/>
    </xf>
    <xf numFmtId="164" fontId="29" fillId="8" borderId="0" pivotButton="0" quotePrefix="0" xfId="1"/>
    <xf numFmtId="0" fontId="0" fillId="8" borderId="0" pivotButton="0" quotePrefix="0" xfId="0"/>
    <xf numFmtId="182" fontId="3" fillId="101" borderId="15" applyAlignment="1" pivotButton="0" quotePrefix="0" xfId="0">
      <alignment horizontal="right"/>
    </xf>
    <xf numFmtId="37" fontId="0" fillId="101" borderId="0" pivotButton="0" quotePrefix="0" xfId="0"/>
    <xf numFmtId="39" fontId="0" fillId="101" borderId="0" pivotButton="0" quotePrefix="0" xfId="0"/>
    <xf numFmtId="0" fontId="17" fillId="102" borderId="41" pivotButton="0" quotePrefix="0" xfId="4"/>
    <xf numFmtId="0" fontId="0" fillId="102" borderId="0" pivotButton="0" quotePrefix="0" xfId="0"/>
    <xf numFmtId="43" fontId="29" fillId="0" borderId="0" pivotButton="0" quotePrefix="0" xfId="1"/>
    <xf numFmtId="41" fontId="183" fillId="56" borderId="0" pivotButton="0" quotePrefix="0" xfId="0"/>
    <xf numFmtId="10" fontId="0" fillId="0" borderId="0" pivotButton="0" quotePrefix="0" xfId="0"/>
    <xf numFmtId="189" fontId="4" fillId="0" borderId="0" pivotButton="0" quotePrefix="0" xfId="0"/>
    <xf numFmtId="39" fontId="18" fillId="0" borderId="0" pivotButton="0" quotePrefix="0" xfId="1"/>
    <xf numFmtId="164" fontId="182" fillId="0" borderId="0" pivotButton="0" quotePrefix="0" xfId="1"/>
    <xf numFmtId="164" fontId="27" fillId="0" borderId="0" pivotButton="0" quotePrefix="0" xfId="1"/>
    <xf numFmtId="41" fontId="0" fillId="56" borderId="0" pivotButton="0" quotePrefix="0" xfId="0"/>
    <xf numFmtId="37" fontId="18" fillId="8" borderId="0" pivotButton="0" quotePrefix="0" xfId="0"/>
    <xf numFmtId="175" fontId="0" fillId="3" borderId="16" pivotButton="0" quotePrefix="0" xfId="0"/>
    <xf numFmtId="41" fontId="3" fillId="3" borderId="16" pivotButton="0" quotePrefix="0" xfId="0"/>
    <xf numFmtId="9" fontId="3" fillId="3" borderId="0" pivotButton="0" quotePrefix="0" xfId="2"/>
    <xf numFmtId="0" fontId="187" fillId="0" borderId="0" pivotButton="0" quotePrefix="0" xfId="2194"/>
    <xf numFmtId="0" fontId="12" fillId="0" borderId="0" pivotButton="0" quotePrefix="0" xfId="2194"/>
    <xf numFmtId="4" fontId="12" fillId="0" borderId="0" pivotButton="0" quotePrefix="0" xfId="2194"/>
    <xf numFmtId="188" fontId="12" fillId="0" borderId="0" pivotButton="0" quotePrefix="0" xfId="2194"/>
    <xf numFmtId="0" fontId="151" fillId="0" borderId="0" pivotButton="0" quotePrefix="0" xfId="2195"/>
    <xf numFmtId="0" fontId="186" fillId="0" borderId="0" pivotButton="0" quotePrefix="0" xfId="2194"/>
    <xf numFmtId="0" fontId="185" fillId="0" borderId="0" applyAlignment="1" pivotButton="0" quotePrefix="0" xfId="2194">
      <alignment horizontal="left" vertical="top"/>
    </xf>
    <xf numFmtId="0" fontId="216" fillId="100" borderId="0" pivotButton="0" quotePrefix="0" xfId="2194"/>
    <xf numFmtId="0" fontId="217" fillId="100" borderId="0" pivotButton="0" quotePrefix="0" xfId="2196"/>
    <xf numFmtId="0" fontId="218" fillId="104" borderId="44" applyAlignment="1" pivotButton="0" quotePrefix="0" xfId="2194">
      <alignment horizontal="left"/>
    </xf>
    <xf numFmtId="0" fontId="219" fillId="104" borderId="45" applyAlignment="1" pivotButton="0" quotePrefix="0" xfId="2194">
      <alignment horizontal="left"/>
    </xf>
    <xf numFmtId="0" fontId="220" fillId="104" borderId="45" applyAlignment="1" pivotButton="0" quotePrefix="0" xfId="2194">
      <alignment horizontal="left"/>
    </xf>
    <xf numFmtId="0" fontId="194" fillId="0" borderId="45" applyAlignment="1" pivotButton="0" quotePrefix="0" xfId="2194">
      <alignment horizontal="right"/>
    </xf>
    <xf numFmtId="0" fontId="221" fillId="105" borderId="45" applyAlignment="1" pivotButton="0" quotePrefix="0" xfId="2194">
      <alignment horizontal="left"/>
    </xf>
    <xf numFmtId="0" fontId="194" fillId="105" borderId="45" applyAlignment="1" pivotButton="0" quotePrefix="0" xfId="2194">
      <alignment horizontal="left"/>
    </xf>
    <xf numFmtId="0" fontId="222" fillId="97" borderId="0" pivotButton="0" quotePrefix="0" xfId="2194"/>
    <xf numFmtId="0" fontId="223" fillId="97" borderId="0" applyAlignment="1" pivotButton="0" quotePrefix="0" xfId="2194">
      <alignment horizontal="left"/>
    </xf>
    <xf numFmtId="4" fontId="224" fillId="99" borderId="46" applyAlignment="1" pivotButton="0" quotePrefix="0" xfId="2194">
      <alignment horizontal="right"/>
    </xf>
    <xf numFmtId="0" fontId="12" fillId="0" borderId="0" applyAlignment="1" pivotButton="0" quotePrefix="0" xfId="2194">
      <alignment horizontal="right"/>
    </xf>
    <xf numFmtId="0" fontId="225" fillId="105" borderId="0" pivotButton="0" quotePrefix="0" xfId="2194"/>
    <xf numFmtId="0" fontId="227" fillId="105" borderId="0" pivotButton="0" quotePrefix="0" xfId="2194"/>
    <xf numFmtId="0" fontId="228" fillId="105" borderId="0" pivotButton="0" quotePrefix="0" xfId="2194"/>
    <xf numFmtId="49" fontId="229" fillId="105" borderId="0" pivotButton="0" quotePrefix="0" xfId="2194"/>
    <xf numFmtId="0" fontId="151" fillId="105" borderId="0" pivotButton="0" quotePrefix="0" xfId="2195"/>
    <xf numFmtId="188" fontId="230" fillId="97" borderId="146" applyAlignment="1" pivotButton="0" quotePrefix="0" xfId="2194">
      <alignment horizontal="right"/>
    </xf>
    <xf numFmtId="0" fontId="225" fillId="105" borderId="0" applyAlignment="1" pivotButton="0" quotePrefix="0" xfId="2194">
      <alignment horizontal="left"/>
    </xf>
    <xf numFmtId="0" fontId="12" fillId="105" borderId="0" pivotButton="0" quotePrefix="0" xfId="2194"/>
    <xf numFmtId="0" fontId="220" fillId="104" borderId="43" applyAlignment="1" pivotButton="0" quotePrefix="0" xfId="2194">
      <alignment horizontal="left"/>
    </xf>
    <xf numFmtId="0" fontId="233" fillId="104" borderId="45" applyAlignment="1" pivotButton="0" quotePrefix="0" xfId="2194">
      <alignment horizontal="left"/>
    </xf>
    <xf numFmtId="0" fontId="222" fillId="97" borderId="0" applyAlignment="1" pivotButton="0" quotePrefix="0" xfId="2194">
      <alignment horizontal="left"/>
    </xf>
    <xf numFmtId="4" fontId="230" fillId="97" borderId="146" applyAlignment="1" pivotButton="0" quotePrefix="0" xfId="2194">
      <alignment horizontal="right"/>
    </xf>
    <xf numFmtId="14" fontId="224" fillId="99" borderId="46" applyAlignment="1" pivotButton="0" quotePrefix="0" xfId="2194">
      <alignment horizontal="right"/>
    </xf>
    <xf numFmtId="4" fontId="234" fillId="97" borderId="0" applyAlignment="1" pivotButton="0" quotePrefix="0" xfId="2194">
      <alignment horizontal="right"/>
    </xf>
    <xf numFmtId="188" fontId="224" fillId="97" borderId="0" applyAlignment="1" pivotButton="0" quotePrefix="0" xfId="2194">
      <alignment horizontal="right"/>
    </xf>
    <xf numFmtId="4" fontId="224" fillId="97" borderId="0" applyAlignment="1" pivotButton="0" quotePrefix="0" xfId="2194">
      <alignment horizontal="right"/>
    </xf>
    <xf numFmtId="10" fontId="224" fillId="99" borderId="46" applyAlignment="1" pivotButton="0" quotePrefix="0" xfId="2194">
      <alignment horizontal="right"/>
    </xf>
    <xf numFmtId="10" fontId="224" fillId="97" borderId="0" applyAlignment="1" pivotButton="0" quotePrefix="0" xfId="2194">
      <alignment horizontal="right"/>
    </xf>
    <xf numFmtId="0" fontId="194" fillId="104" borderId="45" applyAlignment="1" pivotButton="0" quotePrefix="0" xfId="2194">
      <alignment horizontal="right"/>
    </xf>
    <xf numFmtId="0" fontId="194" fillId="104" borderId="45" applyAlignment="1" pivotButton="0" quotePrefix="0" xfId="2194">
      <alignment horizontal="left"/>
    </xf>
    <xf numFmtId="0" fontId="224" fillId="97" borderId="0" pivotButton="0" quotePrefix="0" xfId="2194"/>
    <xf numFmtId="4" fontId="230" fillId="97" borderId="43" applyAlignment="1" pivotButton="0" quotePrefix="0" xfId="2194">
      <alignment horizontal="right"/>
    </xf>
    <xf numFmtId="0" fontId="235" fillId="0" borderId="0" applyAlignment="1" pivotButton="0" quotePrefix="0" xfId="2194">
      <alignment horizontal="right"/>
    </xf>
    <xf numFmtId="4" fontId="236" fillId="99" borderId="0" applyAlignment="1" pivotButton="0" quotePrefix="0" xfId="2194">
      <alignment horizontal="right"/>
    </xf>
    <xf numFmtId="4" fontId="224" fillId="99" borderId="0" applyAlignment="1" pivotButton="0" quotePrefix="0" xfId="2194">
      <alignment horizontal="right"/>
    </xf>
    <xf numFmtId="0" fontId="237" fillId="0" borderId="0" applyAlignment="1" pivotButton="0" quotePrefix="0" xfId="2194">
      <alignment horizontal="right"/>
    </xf>
    <xf numFmtId="4" fontId="238" fillId="99" borderId="0" applyAlignment="1" pivotButton="0" quotePrefix="0" xfId="2194">
      <alignment horizontal="right"/>
    </xf>
    <xf numFmtId="4" fontId="239" fillId="99" borderId="0" applyAlignment="1" pivotButton="0" quotePrefix="0" xfId="2194">
      <alignment horizontal="right"/>
    </xf>
    <xf numFmtId="4" fontId="230" fillId="97" borderId="0" applyAlignment="1" pivotButton="0" quotePrefix="0" xfId="2194">
      <alignment horizontal="right"/>
    </xf>
    <xf numFmtId="0" fontId="151" fillId="0" borderId="0" pivotButton="0" quotePrefix="1" xfId="2195"/>
    <xf numFmtId="4" fontId="190" fillId="99" borderId="0" applyAlignment="1" applyProtection="1" pivotButton="0" quotePrefix="0" xfId="2195">
      <alignment horizontal="right"/>
      <protection locked="0" hidden="0"/>
    </xf>
    <xf numFmtId="4" fontId="240" fillId="97" borderId="146" applyAlignment="1" pivotButton="0" quotePrefix="1" xfId="2194">
      <alignment horizontal="right"/>
    </xf>
    <xf numFmtId="1" fontId="224" fillId="99" borderId="0" applyAlignment="1" pivotButton="0" quotePrefix="0" xfId="2194">
      <alignment horizontal="right"/>
    </xf>
    <xf numFmtId="4" fontId="240" fillId="97" borderId="146" applyAlignment="1" pivotButton="0" quotePrefix="0" xfId="2194">
      <alignment horizontal="right"/>
    </xf>
    <xf numFmtId="2" fontId="241" fillId="97" borderId="0" applyAlignment="1" pivotButton="0" quotePrefix="0" xfId="2194">
      <alignment horizontal="left"/>
    </xf>
    <xf numFmtId="0" fontId="242" fillId="97" borderId="0" applyAlignment="1" pivotButton="0" quotePrefix="0" xfId="2194">
      <alignment horizontal="left"/>
    </xf>
    <xf numFmtId="4" fontId="243" fillId="97" borderId="148" applyAlignment="1" pivotButton="0" quotePrefix="0" xfId="2194">
      <alignment horizontal="right"/>
    </xf>
    <xf numFmtId="4" fontId="243" fillId="97" borderId="147" applyAlignment="1" pivotButton="0" quotePrefix="0" xfId="2194">
      <alignment horizontal="right"/>
    </xf>
    <xf numFmtId="2" fontId="12" fillId="0" borderId="0" pivotButton="0" quotePrefix="0" xfId="2194"/>
    <xf numFmtId="2" fontId="244" fillId="0" borderId="0" applyAlignment="1" pivotButton="0" quotePrefix="0" xfId="2194">
      <alignment horizontal="right"/>
    </xf>
    <xf numFmtId="4" fontId="224" fillId="99" borderId="47" applyAlignment="1" pivotButton="0" quotePrefix="0" xfId="2194">
      <alignment horizontal="right"/>
    </xf>
    <xf numFmtId="0" fontId="245" fillId="0" borderId="0" applyAlignment="1" pivotButton="0" quotePrefix="0" xfId="2194">
      <alignment horizontal="right"/>
    </xf>
    <xf numFmtId="0" fontId="246" fillId="99" borderId="0" applyAlignment="1" pivotButton="0" quotePrefix="0" xfId="2195">
      <alignment horizontal="right"/>
    </xf>
    <xf numFmtId="0" fontId="246" fillId="99" borderId="46" applyAlignment="1" pivotButton="0" quotePrefix="0" xfId="2195">
      <alignment horizontal="right"/>
    </xf>
    <xf numFmtId="4" fontId="243" fillId="97" borderId="146" applyAlignment="1" pivotButton="0" quotePrefix="0" xfId="2194">
      <alignment horizontal="right"/>
    </xf>
    <xf numFmtId="4" fontId="243" fillId="97" borderId="47" applyAlignment="1" pivotButton="0" quotePrefix="0" xfId="2194">
      <alignment horizontal="right"/>
    </xf>
    <xf numFmtId="0" fontId="220" fillId="104" borderId="149" applyAlignment="1" pivotButton="0" quotePrefix="0" xfId="2194">
      <alignment horizontal="left"/>
    </xf>
    <xf numFmtId="0" fontId="218" fillId="104" borderId="150" applyAlignment="1" pivotButton="0" quotePrefix="0" xfId="2194">
      <alignment horizontal="left"/>
    </xf>
    <xf numFmtId="0" fontId="218" fillId="104" borderId="151" applyAlignment="1" pivotButton="0" quotePrefix="0" xfId="2194">
      <alignment horizontal="left"/>
    </xf>
    <xf numFmtId="0" fontId="247" fillId="0" borderId="0" pivotButton="0" quotePrefix="0" xfId="2195"/>
    <xf numFmtId="0" fontId="220" fillId="104" borderId="147" applyAlignment="1" pivotButton="0" quotePrefix="0" xfId="2194">
      <alignment horizontal="right"/>
    </xf>
    <xf numFmtId="0" fontId="220" fillId="104" borderId="43"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43" fontId="183" fillId="0" borderId="0" applyAlignment="1" pivotButton="0" quotePrefix="0" xfId="1">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90" fontId="0" fillId="0" borderId="0" pivotButton="0" quotePrefix="0" xfId="0"/>
    <xf numFmtId="176" fontId="18" fillId="0" borderId="0" pivotButton="0" quotePrefix="0" xfId="0"/>
    <xf numFmtId="0" fontId="0" fillId="8" borderId="0" applyAlignment="1" pivotButton="0" quotePrefix="0" xfId="0">
      <alignment horizontal="left" indent="1"/>
    </xf>
    <xf numFmtId="164" fontId="26" fillId="8" borderId="0" pivotButton="0" quotePrefix="0" xfId="0"/>
    <xf numFmtId="183" fontId="4" fillId="8" borderId="0" pivotButton="0" quotePrefix="0" xfId="0"/>
    <xf numFmtId="39" fontId="4" fillId="8" borderId="0" pivotButton="0" quotePrefix="0" xfId="1"/>
    <xf numFmtId="0" fontId="248" fillId="0" borderId="0" applyAlignment="1" pivotButton="0" quotePrefix="0" xfId="2194">
      <alignment horizontal="left"/>
    </xf>
    <xf numFmtId="0" fontId="151" fillId="0" borderId="0" pivotButton="0" quotePrefix="0" xfId="2197"/>
    <xf numFmtId="0" fontId="1" fillId="0" borderId="0" pivotButton="0" quotePrefix="0" xfId="2194"/>
    <xf numFmtId="0" fontId="218" fillId="104" borderId="0" applyAlignment="1" pivotButton="0" quotePrefix="0" xfId="2194">
      <alignment horizontal="left"/>
    </xf>
    <xf numFmtId="0" fontId="220" fillId="104" borderId="152" applyAlignment="1" pivotButton="0" quotePrefix="0" xfId="2194">
      <alignment horizontal="left"/>
    </xf>
    <xf numFmtId="0" fontId="219" fillId="104" borderId="0" applyAlignment="1" pivotButton="0" quotePrefix="0" xfId="2194">
      <alignment horizontal="left"/>
    </xf>
    <xf numFmtId="4" fontId="230" fillId="97" borderId="153" applyAlignment="1" pivotButton="0" quotePrefix="0" xfId="2194">
      <alignment horizontal="right"/>
    </xf>
    <xf numFmtId="4" fontId="224" fillId="99" borderId="152" applyAlignment="1" pivotButton="0" quotePrefix="0" xfId="2194">
      <alignment horizontal="right"/>
    </xf>
    <xf numFmtId="188" fontId="230" fillId="97" borderId="153" applyAlignment="1" pivotButton="0" quotePrefix="0" xfId="2194">
      <alignment horizontal="right"/>
    </xf>
    <xf numFmtId="0" fontId="220" fillId="104" borderId="0" applyAlignment="1" pivotButton="0" quotePrefix="0" xfId="2194">
      <alignment horizontal="left"/>
    </xf>
    <xf numFmtId="0" fontId="249" fillId="104" borderId="0" applyAlignment="1" pivotButton="0" quotePrefix="0" xfId="2194">
      <alignment horizontal="left"/>
    </xf>
    <xf numFmtId="0" fontId="241" fillId="97" borderId="0" applyAlignment="1" pivotButton="0" quotePrefix="0" xfId="2194">
      <alignment horizontal="left"/>
    </xf>
    <xf numFmtId="4" fontId="224" fillId="0" borderId="0" applyAlignment="1" pivotButton="0" quotePrefix="0" xfId="2194">
      <alignment horizontal="right"/>
    </xf>
    <xf numFmtId="4" fontId="234" fillId="97" borderId="152" applyAlignment="1" pivotButton="0" quotePrefix="0" xfId="2194">
      <alignment horizontal="right"/>
    </xf>
    <xf numFmtId="0" fontId="238" fillId="97" borderId="0" pivotButton="0" quotePrefix="0" xfId="2194"/>
    <xf numFmtId="0" fontId="250" fillId="0" borderId="0" applyAlignment="1" pivotButton="0" quotePrefix="0" xfId="2194">
      <alignment horizontal="left"/>
    </xf>
    <xf numFmtId="0" fontId="251" fillId="0" borderId="0" pivotButton="0" quotePrefix="0" xfId="2197"/>
    <xf numFmtId="0" fontId="66" fillId="0" borderId="0" applyAlignment="1" pivotButton="0" quotePrefix="0" xfId="2197">
      <alignment horizontal="center"/>
    </xf>
    <xf numFmtId="0" fontId="252" fillId="106" borderId="0" pivotButton="0" quotePrefix="0" xfId="2197"/>
    <xf numFmtId="0" fontId="253" fillId="107" borderId="0" applyAlignment="1" pivotButton="0" quotePrefix="0" xfId="2194">
      <alignment horizontal="left"/>
    </xf>
    <xf numFmtId="4" fontId="243" fillId="97" borderId="0" applyAlignment="1" pivotButton="0" quotePrefix="0" xfId="2194">
      <alignment horizontal="right"/>
    </xf>
    <xf numFmtId="0" fontId="222" fillId="0" borderId="0" applyAlignment="1" pivotButton="0" quotePrefix="0" xfId="2194">
      <alignment horizontal="left"/>
    </xf>
    <xf numFmtId="0" fontId="253" fillId="0" borderId="0" applyAlignment="1" pivotButton="0" quotePrefix="0" xfId="2194">
      <alignment horizontal="left"/>
    </xf>
    <xf numFmtId="2" fontId="189" fillId="0" borderId="0" applyAlignment="1" pivotButton="0" quotePrefix="0" xfId="2194">
      <alignment horizontal="right"/>
    </xf>
    <xf numFmtId="170" fontId="189" fillId="0" borderId="0" applyAlignment="1" pivotButton="0" quotePrefix="0" xfId="2197">
      <alignment horizontal="right"/>
    </xf>
    <xf numFmtId="0" fontId="254" fillId="97" borderId="0" applyAlignment="1" pivotButton="0" quotePrefix="0" xfId="2194">
      <alignment horizontal="right" indent="1"/>
    </xf>
    <xf numFmtId="0" fontId="255" fillId="97" borderId="0" applyAlignment="1" pivotButton="0" quotePrefix="0" xfId="2194">
      <alignment horizontal="right" indent="1"/>
    </xf>
    <xf numFmtId="0" fontId="255" fillId="97" borderId="0" pivotButton="0" quotePrefix="0" xfId="2194"/>
    <xf numFmtId="0" fontId="252" fillId="106" borderId="154" pivotButton="0" quotePrefix="0" xfId="2197"/>
    <xf numFmtId="0" fontId="222" fillId="97" borderId="154" applyAlignment="1" pivotButton="0" quotePrefix="0" xfId="2194">
      <alignment horizontal="left"/>
    </xf>
    <xf numFmtId="0" fontId="253" fillId="107" borderId="154" applyAlignment="1" pivotButton="0" quotePrefix="0" xfId="2194">
      <alignment horizontal="left"/>
    </xf>
    <xf numFmtId="4" fontId="243" fillId="97" borderId="154" applyAlignment="1" pivotButton="0" quotePrefix="0" xfId="2194">
      <alignment horizontal="right"/>
    </xf>
    <xf numFmtId="0" fontId="189" fillId="0" borderId="0" applyAlignment="1" pivotButton="0" quotePrefix="0" xfId="2197">
      <alignment horizontal="right"/>
    </xf>
    <xf numFmtId="0" fontId="252" fillId="108" borderId="154" pivotButton="0" quotePrefix="0" xfId="2197"/>
    <xf numFmtId="0" fontId="222" fillId="0" borderId="154" applyAlignment="1" pivotButton="0" quotePrefix="0" xfId="2194">
      <alignment horizontal="left"/>
    </xf>
    <xf numFmtId="0" fontId="250" fillId="0" borderId="154" applyAlignment="1" pivotButton="0" quotePrefix="0" xfId="2194">
      <alignment horizontal="left"/>
    </xf>
    <xf numFmtId="0" fontId="253" fillId="0" borderId="154" applyAlignment="1" pivotButton="0" quotePrefix="0" xfId="2194">
      <alignment horizontal="left"/>
    </xf>
    <xf numFmtId="0" fontId="189" fillId="0" borderId="154" applyAlignment="1" pivotButton="0" quotePrefix="1" xfId="2197">
      <alignment horizontal="right"/>
    </xf>
    <xf numFmtId="0" fontId="252" fillId="108" borderId="0" pivotButton="0" quotePrefix="0" xfId="2197"/>
    <xf numFmtId="0" fontId="255" fillId="97" borderId="0" applyAlignment="1" pivotButton="0" quotePrefix="0" xfId="2194">
      <alignment horizontal="left"/>
    </xf>
    <xf numFmtId="0" fontId="256" fillId="0" borderId="0" pivotButton="0" quotePrefix="0" xfId="2194"/>
    <xf numFmtId="0" fontId="257" fillId="108" borderId="0" pivotButton="0" quotePrefix="0" xfId="2197"/>
    <xf numFmtId="0" fontId="258" fillId="108" borderId="0" pivotButton="0" quotePrefix="0" xfId="2197"/>
    <xf numFmtId="0" fontId="259" fillId="109" borderId="154" pivotButton="0" quotePrefix="0" xfId="2197"/>
    <xf numFmtId="0" fontId="189" fillId="0" borderId="154" applyAlignment="1" pivotButton="0" quotePrefix="0" xfId="2197">
      <alignment horizontal="right"/>
    </xf>
    <xf numFmtId="0" fontId="259" fillId="109" borderId="0" pivotButton="0" quotePrefix="0" xfId="2197"/>
    <xf numFmtId="0" fontId="259" fillId="110" borderId="154" pivotButton="0" quotePrefix="0" xfId="2197"/>
    <xf numFmtId="0" fontId="151" fillId="110" borderId="0" pivotButton="0" quotePrefix="0" xfId="2194"/>
    <xf numFmtId="0" fontId="259" fillId="111" borderId="154" pivotButton="0" quotePrefix="0" xfId="2197"/>
    <xf numFmtId="0" fontId="259" fillId="111" borderId="0" pivotButton="0" quotePrefix="0" xfId="2197"/>
    <xf numFmtId="0" fontId="259" fillId="112" borderId="154" pivotButton="0" quotePrefix="0" xfId="2194"/>
    <xf numFmtId="0" fontId="151" fillId="112" borderId="0" pivotButton="0" quotePrefix="0" xfId="2194"/>
    <xf numFmtId="0" fontId="259" fillId="113" borderId="154" pivotButton="0" quotePrefix="0" xfId="2194"/>
    <xf numFmtId="0" fontId="151" fillId="113" borderId="0" pivotButton="0" quotePrefix="0" xfId="2194"/>
    <xf numFmtId="0" fontId="254" fillId="97" borderId="155" applyAlignment="1" pivotButton="0" quotePrefix="0" xfId="2194">
      <alignment horizontal="right" indent="1"/>
    </xf>
    <xf numFmtId="0" fontId="255" fillId="97" borderId="155" applyAlignment="1" pivotButton="0" quotePrefix="0" xfId="2194">
      <alignment horizontal="right" indent="1"/>
    </xf>
    <xf numFmtId="0" fontId="255" fillId="97" borderId="155" applyAlignment="1" pivotButton="0" quotePrefix="0" xfId="2194">
      <alignment horizontal="left"/>
    </xf>
    <xf numFmtId="4" fontId="234" fillId="97" borderId="155" applyAlignment="1" pivotButton="0" quotePrefix="0" xfId="2194">
      <alignment horizontal="right"/>
    </xf>
    <xf numFmtId="0" fontId="259" fillId="114" borderId="154" pivotButton="0" quotePrefix="0" xfId="2194"/>
    <xf numFmtId="0" fontId="151" fillId="114" borderId="0" pivotButton="0" quotePrefix="0" xfId="2194"/>
    <xf numFmtId="0" fontId="259" fillId="110" borderId="0" pivotButton="0" quotePrefix="0" xfId="2194"/>
    <xf numFmtId="0" fontId="12" fillId="0" borderId="0" pivotButton="0" quotePrefix="0" xfId="2197"/>
    <xf numFmtId="4" fontId="260" fillId="97" borderId="0" applyAlignment="1" pivotButton="0" quotePrefix="0" xfId="2194">
      <alignment horizontal="right"/>
    </xf>
    <xf numFmtId="4" fontId="189" fillId="0" borderId="0" applyAlignment="1" pivotButton="0" quotePrefix="0" xfId="2194">
      <alignment horizontal="right"/>
    </xf>
    <xf numFmtId="180" fontId="189" fillId="0" borderId="0" applyAlignment="1" pivotButton="0" quotePrefix="0" xfId="2197">
      <alignment horizontal="right"/>
    </xf>
    <xf numFmtId="172" fontId="12" fillId="0" borderId="0" pivotButton="0" quotePrefix="0" xfId="2197"/>
    <xf numFmtId="172" fontId="189" fillId="0" borderId="0" applyAlignment="1" pivotButton="0" quotePrefix="0" xfId="2197">
      <alignment horizontal="right"/>
    </xf>
    <xf numFmtId="41" fontId="189" fillId="0" borderId="0" applyAlignment="1" pivotButton="0" quotePrefix="0" xfId="2197">
      <alignment horizontal="right"/>
    </xf>
    <xf numFmtId="43" fontId="189" fillId="0" borderId="0" applyAlignment="1" pivotButton="0" quotePrefix="0" xfId="2197">
      <alignment horizontal="right"/>
    </xf>
    <xf numFmtId="180" fontId="234" fillId="97" borderId="0" applyAlignment="1" pivotButton="0" quotePrefix="0" xfId="2194">
      <alignment horizontal="right"/>
    </xf>
    <xf numFmtId="2" fontId="189" fillId="0" borderId="0" applyAlignment="1" pivotButton="0" quotePrefix="0" xfId="2197">
      <alignment horizontal="right"/>
    </xf>
    <xf numFmtId="1" fontId="189" fillId="0" borderId="154" applyAlignment="1" pivotButton="0" quotePrefix="1" xfId="2197">
      <alignment horizontal="right"/>
    </xf>
    <xf numFmtId="1" fontId="151" fillId="0" borderId="0" pivotButton="0" quotePrefix="0" xfId="2197"/>
    <xf numFmtId="180" fontId="151" fillId="0" borderId="0" pivotButton="0" quotePrefix="0" xfId="2197"/>
    <xf numFmtId="164" fontId="151" fillId="0" borderId="0" pivotButton="0" quotePrefix="0" xfId="1"/>
    <xf numFmtId="9" fontId="189" fillId="0" borderId="0" applyAlignment="1" pivotButton="0" quotePrefix="0" xfId="2">
      <alignment horizontal="right"/>
    </xf>
    <xf numFmtId="1" fontId="189" fillId="0" borderId="0" applyAlignment="1" pivotButton="0" quotePrefix="0" xfId="2197">
      <alignment horizontal="right"/>
    </xf>
    <xf numFmtId="164" fontId="18" fillId="0" borderId="0" applyAlignment="1" pivotButton="0" quotePrefix="0" xfId="1">
      <alignment horizontal="center" vertical="center"/>
    </xf>
    <xf numFmtId="164" fontId="18" fillId="8" borderId="0" applyAlignment="1" pivotButton="0" quotePrefix="0" xfId="1">
      <alignment horizontal="center" vertical="center"/>
    </xf>
    <xf numFmtId="0" fontId="14" fillId="8" borderId="0" pivotButton="0" quotePrefix="0" xfId="0"/>
    <xf numFmtId="0" fontId="14" fillId="8" borderId="0" applyAlignment="1" pivotButton="0" quotePrefix="0" xfId="0">
      <alignment horizontal="right"/>
    </xf>
    <xf numFmtId="0" fontId="3" fillId="8" borderId="0" applyAlignment="1" pivotButton="0" quotePrefix="0" xfId="0">
      <alignment horizontal="right"/>
    </xf>
    <xf numFmtId="39" fontId="0" fillId="8" borderId="0" pivotButton="0" quotePrefix="0" xfId="0"/>
    <xf numFmtId="168" fontId="43" fillId="9" borderId="15" applyAlignment="1" pivotButton="0" quotePrefix="0" xfId="0">
      <alignment horizontal="right"/>
    </xf>
    <xf numFmtId="182" fontId="43" fillId="9" borderId="15" applyAlignment="1" pivotButton="0" quotePrefix="0" xfId="0">
      <alignment horizontal="right"/>
    </xf>
    <xf numFmtId="187" fontId="183" fillId="0" borderId="0" applyAlignment="1" pivotButton="0" quotePrefix="0" xfId="0">
      <alignment horizontal="right"/>
    </xf>
    <xf numFmtId="186" fontId="0" fillId="0" borderId="0" applyAlignment="1" pivotButton="0" quotePrefix="0" xfId="0">
      <alignment horizontal="right"/>
    </xf>
    <xf numFmtId="186" fontId="0" fillId="0" borderId="0" applyAlignment="1" pivotButton="0" quotePrefix="0" xfId="1">
      <alignment horizontal="right"/>
    </xf>
    <xf numFmtId="186" fontId="0" fillId="0" borderId="0" pivotButton="0" quotePrefix="0" xfId="1"/>
    <xf numFmtId="165" fontId="4" fillId="0" borderId="0" applyAlignment="1" pivotButton="0" quotePrefix="0" xfId="0">
      <alignment horizontal="right"/>
    </xf>
    <xf numFmtId="175" fontId="4" fillId="0" borderId="0" pivotButton="0" quotePrefix="0" xfId="0"/>
    <xf numFmtId="180" fontId="0" fillId="0" borderId="0" applyAlignment="1" pivotButton="0" quotePrefix="0" xfId="0">
      <alignment horizontal="right"/>
    </xf>
    <xf numFmtId="165" fontId="2" fillId="0" borderId="10" pivotButton="0" quotePrefix="0" xfId="0"/>
    <xf numFmtId="165" fontId="2" fillId="0" borderId="0" pivotButton="0" quotePrefix="0" xfId="0"/>
    <xf numFmtId="165" fontId="4" fillId="0" borderId="10" pivotButton="0" quotePrefix="0" xfId="0"/>
    <xf numFmtId="165" fontId="4" fillId="0" borderId="16" pivotButton="0" quotePrefix="0" xfId="0"/>
    <xf numFmtId="165" fontId="4" fillId="0" borderId="0" pivotButton="0" quotePrefix="0" xfId="0"/>
    <xf numFmtId="165" fontId="4" fillId="0" borderId="16" applyAlignment="1" pivotButton="0" quotePrefix="0" xfId="0">
      <alignment horizontal="right"/>
    </xf>
    <xf numFmtId="165" fontId="37" fillId="0" borderId="0" pivotButton="0" quotePrefix="0" xfId="4"/>
    <xf numFmtId="187" fontId="18" fillId="0" borderId="0" pivotButton="0" quotePrefix="0" xfId="0"/>
    <xf numFmtId="165" fontId="0" fillId="3" borderId="0" pivotButton="0" quotePrefix="0" xfId="0"/>
    <xf numFmtId="174" fontId="37" fillId="0" borderId="0" pivotButton="0" quotePrefix="0" xfId="4"/>
    <xf numFmtId="165" fontId="4" fillId="0" borderId="0" pivotButton="0" quotePrefix="0" xfId="4"/>
    <xf numFmtId="168" fontId="38" fillId="3" borderId="0" applyAlignment="1" pivotButton="0" quotePrefix="0" xfId="0">
      <alignment horizontal="center"/>
    </xf>
    <xf numFmtId="173" fontId="0" fillId="3" borderId="11" pivotButton="0" quotePrefix="0" xfId="0"/>
    <xf numFmtId="176" fontId="18" fillId="0" borderId="0" pivotButton="0" quotePrefix="0" xfId="0"/>
    <xf numFmtId="173" fontId="0" fillId="3" borderId="21" pivotButton="0" quotePrefix="0" xfId="0"/>
    <xf numFmtId="181" fontId="38" fillId="9" borderId="10" applyAlignment="1" pivotButton="0" quotePrefix="0" xfId="0">
      <alignment horizontal="center"/>
    </xf>
    <xf numFmtId="189" fontId="4" fillId="0" borderId="0" pivotButton="0" quotePrefix="0" xfId="0"/>
    <xf numFmtId="167" fontId="2" fillId="0" borderId="0" pivotButton="0" quotePrefix="0" xfId="0"/>
    <xf numFmtId="168" fontId="9" fillId="3" borderId="15" applyAlignment="1" pivotButton="0" quotePrefix="0" xfId="0">
      <alignment horizontal="right"/>
    </xf>
    <xf numFmtId="168" fontId="9" fillId="0" borderId="15" applyAlignment="1" pivotButton="0" quotePrefix="0" xfId="0">
      <alignment horizontal="right"/>
    </xf>
    <xf numFmtId="182" fontId="3" fillId="101" borderId="15" applyAlignment="1" pivotButton="0" quotePrefix="0" xfId="0">
      <alignment horizontal="right"/>
    </xf>
    <xf numFmtId="182" fontId="3" fillId="3" borderId="15" applyAlignment="1" pivotButton="0" quotePrefix="0" xfId="0">
      <alignment horizontal="right"/>
    </xf>
    <xf numFmtId="166" fontId="50" fillId="3" borderId="0" pivotButton="0" quotePrefix="0" xfId="0"/>
    <xf numFmtId="166" fontId="0" fillId="0" borderId="0" pivotButton="0" quotePrefix="0" xfId="0"/>
    <xf numFmtId="175" fontId="0" fillId="3" borderId="0" pivotButton="0" quotePrefix="0" xfId="0"/>
    <xf numFmtId="166" fontId="0" fillId="3" borderId="0" pivotButton="0" quotePrefix="0" xfId="0"/>
    <xf numFmtId="181" fontId="38" fillId="0" borderId="0" applyAlignment="1" pivotButton="0" quotePrefix="0" xfId="0">
      <alignment horizontal="center"/>
    </xf>
    <xf numFmtId="165" fontId="0" fillId="0" borderId="0" pivotButton="0" quotePrefix="0" xfId="1"/>
    <xf numFmtId="165" fontId="3" fillId="0" borderId="0" pivotButton="0" quotePrefix="0" xfId="0"/>
    <xf numFmtId="165" fontId="24" fillId="0" borderId="0" pivotButton="0" quotePrefix="0" xfId="2"/>
    <xf numFmtId="165" fontId="24" fillId="0" borderId="0" pivotButton="0" quotePrefix="0" xfId="0"/>
    <xf numFmtId="173" fontId="24" fillId="0" borderId="0" pivotButton="0" quotePrefix="0" xfId="1"/>
    <xf numFmtId="174" fontId="18" fillId="0" borderId="0" pivotButton="0" quotePrefix="0" xfId="2"/>
    <xf numFmtId="165" fontId="26" fillId="3" borderId="0" pivotButton="0" quotePrefix="0" xfId="2"/>
    <xf numFmtId="165" fontId="26" fillId="0" borderId="0" pivotButton="0" quotePrefix="0" xfId="2"/>
    <xf numFmtId="166" fontId="40" fillId="0" borderId="0" pivotButton="0" quotePrefix="0" xfId="0"/>
    <xf numFmtId="166" fontId="36" fillId="0" borderId="12" pivotButton="0" quotePrefix="0" xfId="0"/>
    <xf numFmtId="165" fontId="0" fillId="0" borderId="0" pivotButton="0" quotePrefix="0" xfId="0"/>
    <xf numFmtId="171" fontId="4" fillId="0" borderId="0" pivotButton="0" quotePrefix="0" xfId="1"/>
    <xf numFmtId="170" fontId="19" fillId="0" borderId="0" pivotButton="0" quotePrefix="0" xfId="0"/>
    <xf numFmtId="170" fontId="42" fillId="0" borderId="0" pivotButton="0" quotePrefix="0" xfId="0"/>
    <xf numFmtId="165" fontId="0" fillId="3" borderId="0" applyAlignment="1" pivotButton="0" quotePrefix="0" xfId="0">
      <alignment horizontal="right"/>
    </xf>
    <xf numFmtId="165" fontId="0" fillId="0" borderId="0" applyAlignment="1" pivotButton="0" quotePrefix="0" xfId="0">
      <alignment horizontal="right"/>
    </xf>
    <xf numFmtId="165" fontId="0" fillId="3" borderId="16" pivotButton="0" quotePrefix="0" xfId="0"/>
    <xf numFmtId="175" fontId="0" fillId="3" borderId="16" pivotButton="0" quotePrefix="0" xfId="0"/>
    <xf numFmtId="180" fontId="4" fillId="0" borderId="0" pivotButton="0" quotePrefix="0" xfId="1"/>
    <xf numFmtId="173" fontId="4" fillId="0" borderId="0" pivotButton="0" quotePrefix="0" xfId="1"/>
    <xf numFmtId="172" fontId="19" fillId="3" borderId="0" pivotButton="0" quotePrefix="0" xfId="2"/>
    <xf numFmtId="174" fontId="40" fillId="0" borderId="0" pivotButton="0" quotePrefix="0" xfId="2"/>
    <xf numFmtId="174" fontId="36" fillId="0" borderId="0" pivotButton="0" quotePrefix="0" xfId="2"/>
    <xf numFmtId="183" fontId="19" fillId="3" borderId="0" pivotButton="0" quotePrefix="0" xfId="2"/>
    <xf numFmtId="183" fontId="19" fillId="3" borderId="0" pivotButton="0" quotePrefix="0" xfId="0"/>
    <xf numFmtId="172" fontId="0" fillId="0" borderId="0" pivotButton="0" quotePrefix="0" xfId="0"/>
    <xf numFmtId="190" fontId="0" fillId="0" borderId="0" pivotButton="0" quotePrefix="0" xfId="0"/>
    <xf numFmtId="174" fontId="0" fillId="0" borderId="0" pivotButton="0" quotePrefix="0" xfId="0"/>
    <xf numFmtId="183" fontId="0" fillId="0" borderId="0" pivotButton="0" quotePrefix="0" xfId="0"/>
    <xf numFmtId="183" fontId="2" fillId="0" borderId="0" pivotButton="0" quotePrefix="0" xfId="0"/>
    <xf numFmtId="183" fontId="3" fillId="0" borderId="0" pivotButton="0" quotePrefix="0" xfId="0"/>
    <xf numFmtId="172" fontId="3" fillId="0" borderId="0" pivotButton="0" quotePrefix="0" xfId="0"/>
    <xf numFmtId="172" fontId="0" fillId="3" borderId="0" pivotButton="0" quotePrefix="0" xfId="0"/>
    <xf numFmtId="172" fontId="3" fillId="3" borderId="0" pivotButton="0" quotePrefix="0" xfId="0"/>
    <xf numFmtId="172" fontId="0" fillId="0" borderId="0" pivotButton="0" quotePrefix="0" xfId="2"/>
    <xf numFmtId="183" fontId="2" fillId="8" borderId="0" pivotButton="0" quotePrefix="0" xfId="0"/>
    <xf numFmtId="174" fontId="24" fillId="0" borderId="0" pivotButton="0" quotePrefix="0" xfId="0"/>
    <xf numFmtId="165" fontId="33" fillId="0" borderId="0" pivotButton="0" quotePrefix="0" xfId="0"/>
    <xf numFmtId="175" fontId="0" fillId="0" borderId="0" pivotButton="0" quotePrefix="0" xfId="0"/>
    <xf numFmtId="172" fontId="2" fillId="0" borderId="0" pivotButton="0" quotePrefix="0" xfId="2"/>
    <xf numFmtId="179" fontId="40" fillId="0" borderId="0" applyAlignment="1" pivotButton="0" quotePrefix="0" xfId="7">
      <alignment horizontal="left" vertical="center" indent="1"/>
    </xf>
    <xf numFmtId="179" fontId="40" fillId="0" borderId="42" applyAlignment="1" pivotButton="0" quotePrefix="0" xfId="7">
      <alignment vertical="center"/>
    </xf>
    <xf numFmtId="179" fontId="9" fillId="0" borderId="0" pivotButton="0" quotePrefix="0" xfId="7"/>
    <xf numFmtId="179" fontId="3" fillId="0" borderId="0" pivotButton="0" quotePrefix="0" xfId="7"/>
    <xf numFmtId="179" fontId="4" fillId="0" borderId="0" applyAlignment="1" pivotButton="0" quotePrefix="0" xfId="7">
      <alignment vertical="center"/>
    </xf>
    <xf numFmtId="179" fontId="3" fillId="0" borderId="42" pivotButton="0" quotePrefix="0" xfId="7"/>
    <xf numFmtId="175" fontId="3" fillId="0" borderId="0" pivotButton="0" quotePrefix="0" xfId="0"/>
    <xf numFmtId="175" fontId="24" fillId="0" borderId="0" pivotButton="0" quotePrefix="0" xfId="0"/>
    <xf numFmtId="185" fontId="0" fillId="0" borderId="0" pivotButton="0" quotePrefix="0" xfId="0"/>
    <xf numFmtId="165" fontId="25" fillId="0" borderId="0" pivotButton="0" quotePrefix="0" xfId="0"/>
    <xf numFmtId="165" fontId="26" fillId="0" borderId="0" pivotButton="0" quotePrefix="0" xfId="0"/>
    <xf numFmtId="172" fontId="26" fillId="0" borderId="0" pivotButton="0" quotePrefix="0" xfId="2"/>
    <xf numFmtId="179" fontId="0" fillId="0" borderId="0" applyAlignment="1" pivotButton="0" quotePrefix="0" xfId="7">
      <alignment horizontal="left"/>
    </xf>
    <xf numFmtId="172" fontId="2" fillId="0" borderId="0" pivotButton="0" quotePrefix="0" xfId="0"/>
    <xf numFmtId="184" fontId="184" fillId="0" borderId="0" pivotButton="0" quotePrefix="0" xfId="0"/>
    <xf numFmtId="184" fontId="19" fillId="0" borderId="0" pivotButton="0" quotePrefix="0" xfId="0"/>
    <xf numFmtId="166" fontId="36" fillId="0" borderId="0" pivotButton="0" quotePrefix="0" xfId="0"/>
    <xf numFmtId="183" fontId="4" fillId="0" borderId="0" pivotButton="0" quotePrefix="0" xfId="0"/>
    <xf numFmtId="183" fontId="4" fillId="8" borderId="0" pivotButton="0" quotePrefix="0" xfId="0"/>
    <xf numFmtId="183" fontId="9" fillId="0" borderId="0" pivotButton="0" quotePrefix="0" xfId="0"/>
    <xf numFmtId="183" fontId="24" fillId="0" borderId="0" pivotButton="0" quotePrefix="0" xfId="0"/>
    <xf numFmtId="183" fontId="26" fillId="0" borderId="0" pivotButton="0" quotePrefix="0" xfId="0"/>
    <xf numFmtId="188" fontId="190" fillId="97" borderId="0" applyAlignment="1" pivotButton="0" quotePrefix="0" xfId="0">
      <alignment horizontal="right"/>
    </xf>
    <xf numFmtId="188" fontId="190" fillId="99" borderId="48" applyAlignment="1" applyProtection="1" pivotButton="0" quotePrefix="0" xfId="0">
      <alignment horizontal="right"/>
      <protection locked="0" hidden="0"/>
    </xf>
    <xf numFmtId="188" fontId="230" fillId="97" borderId="153" applyAlignment="1" pivotButton="0" quotePrefix="0" xfId="2194">
      <alignment horizontal="right"/>
    </xf>
    <xf numFmtId="170" fontId="189" fillId="0" borderId="0" applyAlignment="1" pivotButton="0" quotePrefix="0" xfId="2197">
      <alignment horizontal="right"/>
    </xf>
    <xf numFmtId="180" fontId="234" fillId="97" borderId="0" applyAlignment="1" pivotButton="0" quotePrefix="0" xfId="2194">
      <alignment horizontal="right"/>
    </xf>
    <xf numFmtId="180" fontId="189" fillId="0" borderId="0" applyAlignment="1" pivotButton="0" quotePrefix="0" xfId="2197">
      <alignment horizontal="right"/>
    </xf>
    <xf numFmtId="180" fontId="151" fillId="0" borderId="0" pivotButton="0" quotePrefix="0" xfId="2197"/>
    <xf numFmtId="172" fontId="189" fillId="0" borderId="0" applyAlignment="1" pivotButton="0" quotePrefix="0" xfId="2197">
      <alignment horizontal="right"/>
    </xf>
    <xf numFmtId="172" fontId="12" fillId="0" borderId="0" pivotButton="0" quotePrefix="0" xfId="2197"/>
    <xf numFmtId="188" fontId="12" fillId="0" borderId="0" pivotButton="0" quotePrefix="0" xfId="2194"/>
    <xf numFmtId="188" fontId="230" fillId="97" borderId="146" applyAlignment="1" pivotButton="0" quotePrefix="0" xfId="2194">
      <alignment horizontal="right"/>
    </xf>
    <xf numFmtId="188" fontId="224" fillId="97" borderId="0" applyAlignment="1" pivotButton="0" quotePrefix="0" xfId="2194">
      <alignment horizontal="right"/>
    </xf>
    <xf numFmtId="180" fontId="190" fillId="99" borderId="47" applyAlignment="1" pivotButton="0" quotePrefix="0" xfId="2195">
      <alignment horizontal="right"/>
    </xf>
    <xf numFmtId="172" fontId="190" fillId="99" borderId="47" applyAlignment="1" pivotButton="0" quotePrefix="0" xfId="2">
      <alignment horizontal="right"/>
    </xf>
    <xf numFmtId="174" fontId="4" fillId="0" borderId="0" pivotButton="0" quotePrefix="0" xfId="0"/>
    <xf numFmtId="174" fontId="18" fillId="0" borderId="0" pivotButton="0" quotePrefix="0" xfId="1"/>
    <xf numFmtId="165" fontId="18" fillId="0" borderId="0" pivotButton="0" quotePrefix="0" xfId="1"/>
    <xf numFmtId="172" fontId="18" fillId="0" borderId="0" pivotButton="0" quotePrefix="0" xfId="2"/>
    <xf numFmtId="172" fontId="29" fillId="0" borderId="0" pivotButton="0" quotePrefix="0" xfId="2"/>
    <xf numFmtId="165" fontId="4" fillId="3" borderId="0" pivotButton="0" quotePrefix="0" xfId="0"/>
    <xf numFmtId="171" fontId="18" fillId="0" borderId="0" pivotButton="0" quotePrefix="0" xfId="1"/>
    <xf numFmtId="165" fontId="48" fillId="12" borderId="0" pivotButton="0" quotePrefix="0" xfId="7"/>
    <xf numFmtId="165" fontId="13" fillId="11" borderId="0" pivotButton="0" quotePrefix="0" xfId="7"/>
    <xf numFmtId="176" fontId="13" fillId="10" borderId="0" pivotButton="0" quotePrefix="0" xfId="7"/>
    <xf numFmtId="176" fontId="13" fillId="3" borderId="0" applyAlignment="1" pivotButton="0" quotePrefix="1" xfId="7">
      <alignment horizontal="right"/>
    </xf>
    <xf numFmtId="176" fontId="13" fillId="3" borderId="0" applyAlignment="1" pivotButton="0" quotePrefix="0" xfId="7">
      <alignment horizontal="right"/>
    </xf>
    <xf numFmtId="175" fontId="13" fillId="3" borderId="0" pivotButton="0" quotePrefix="0" xfId="7"/>
    <xf numFmtId="165" fontId="13" fillId="3" borderId="0" pivotButton="0" quotePrefix="0" xfId="7"/>
    <xf numFmtId="166" fontId="13" fillId="3" borderId="0" pivotButton="0" quotePrefix="0" xfId="7"/>
    <xf numFmtId="166" fontId="13" fillId="0" borderId="0" pivotButton="0" quotePrefix="0" xfId="7"/>
    <xf numFmtId="166" fontId="13" fillId="7" borderId="0" pivotButton="0" quotePrefix="0" xfId="7"/>
    <xf numFmtId="174" fontId="68" fillId="3" borderId="24" pivotButton="0" quotePrefix="0" xfId="7"/>
    <xf numFmtId="174" fontId="68" fillId="3" borderId="23" pivotButton="0" quotePrefix="0" xfId="7"/>
    <xf numFmtId="175" fontId="0" fillId="0" borderId="14" pivotButton="0" quotePrefix="0" xfId="0"/>
    <xf numFmtId="175" fontId="0" fillId="0" borderId="19" pivotButton="0" quotePrefix="0" xfId="0"/>
    <xf numFmtId="165" fontId="0" fillId="0" borderId="11" pivotButton="0" quotePrefix="0" xfId="0"/>
    <xf numFmtId="165" fontId="0" fillId="0" borderId="17" pivotButton="0" quotePrefix="0" xfId="0"/>
    <xf numFmtId="165" fontId="0" fillId="0" borderId="10" pivotButton="0" quotePrefix="0" xfId="0"/>
    <xf numFmtId="177" fontId="0" fillId="0" borderId="18" pivotButton="0" quotePrefix="0" xfId="0"/>
    <xf numFmtId="177" fontId="0" fillId="0" borderId="10" pivotButton="0" quotePrefix="0" xfId="0"/>
    <xf numFmtId="165" fontId="0" fillId="0" borderId="20" pivotButton="0" quotePrefix="0" xfId="0"/>
    <xf numFmtId="165" fontId="0" fillId="0" borderId="16" pivotButton="0" quotePrefix="0" xfId="0"/>
    <xf numFmtId="177" fontId="0" fillId="0" borderId="21" pivotButton="0" quotePrefix="0" xfId="0"/>
    <xf numFmtId="177" fontId="0" fillId="0" borderId="16" pivotButton="0" quotePrefix="0" xfId="0"/>
    <xf numFmtId="178" fontId="0" fillId="0" borderId="22" pivotButton="0" quotePrefix="0" xfId="0"/>
    <xf numFmtId="178" fontId="0" fillId="0" borderId="20" pivotButton="0" quotePrefix="0" xfId="0"/>
    <xf numFmtId="178" fontId="0" fillId="0" borderId="16" pivotButton="0" quotePrefix="0" xfId="0"/>
    <xf numFmtId="175" fontId="0" fillId="3" borderId="13" pivotButton="0" quotePrefix="0" xfId="0"/>
    <xf numFmtId="174" fontId="0" fillId="3" borderId="17" pivotButton="0" quotePrefix="0" xfId="0"/>
    <xf numFmtId="174" fontId="0" fillId="3" borderId="10" pivotButton="0" quotePrefix="0" xfId="0"/>
    <xf numFmtId="177" fontId="0" fillId="3" borderId="18" pivotButton="0" quotePrefix="0" xfId="0"/>
    <xf numFmtId="177" fontId="0" fillId="3" borderId="10" pivotButton="0" quotePrefix="0" xfId="0"/>
    <xf numFmtId="175" fontId="0" fillId="3" borderId="14" pivotButton="0" quotePrefix="0" xfId="0"/>
    <xf numFmtId="174" fontId="0" fillId="3" borderId="19" pivotButton="0" quotePrefix="0" xfId="0"/>
    <xf numFmtId="174" fontId="0" fillId="3" borderId="0" pivotButton="0" quotePrefix="0" xfId="0"/>
    <xf numFmtId="177" fontId="0" fillId="3" borderId="11" pivotButton="0" quotePrefix="0" xfId="0"/>
    <xf numFmtId="177" fontId="0" fillId="3" borderId="0" pivotButton="0" quotePrefix="0" xfId="0"/>
    <xf numFmtId="174" fontId="0" fillId="3" borderId="20" pivotButton="0" quotePrefix="0" xfId="0"/>
    <xf numFmtId="174" fontId="0" fillId="3" borderId="16" pivotButton="0" quotePrefix="0" xfId="0"/>
    <xf numFmtId="177" fontId="0" fillId="3" borderId="21" pivotButton="0" quotePrefix="0" xfId="0"/>
    <xf numFmtId="177" fontId="0" fillId="3" borderId="16" pivotButton="0" quotePrefix="0" xfId="0"/>
    <xf numFmtId="165" fontId="0" fillId="3" borderId="16" applyAlignment="1" pivotButton="0" quotePrefix="0" xfId="0">
      <alignment horizontal="right"/>
    </xf>
    <xf numFmtId="165" fontId="0" fillId="3" borderId="21" applyAlignment="1" pivotButton="0" quotePrefix="0" xfId="0">
      <alignment horizontal="right"/>
    </xf>
    <xf numFmtId="165" fontId="50" fillId="3" borderId="21" applyAlignment="1" pivotButton="0" quotePrefix="0" xfId="0">
      <alignment horizontal="right"/>
    </xf>
    <xf numFmtId="165" fontId="50" fillId="3" borderId="16" applyAlignment="1" pivotButton="0" quotePrefix="0" xfId="0">
      <alignment horizontal="right"/>
    </xf>
    <xf numFmtId="165" fontId="0" fillId="3" borderId="19" pivotButton="0" quotePrefix="0" xfId="0"/>
    <xf numFmtId="165" fontId="0" fillId="3" borderId="11" pivotButton="0" quotePrefix="0" xfId="0"/>
    <xf numFmtId="165" fontId="0" fillId="3" borderId="20" pivotButton="0" quotePrefix="0" xfId="0"/>
    <xf numFmtId="165" fontId="0" fillId="3" borderId="21" pivotButton="0" quotePrefix="0" xfId="0"/>
  </cellXfs>
  <cellStyles count="2198">
    <cellStyle name="Normal" xfId="0" builtinId="0"/>
    <cellStyle name="Comma" xfId="1" builtinId="3"/>
    <cellStyle name="Percent" xfId="2" builtinId="5"/>
    <cellStyle name="Normal 2" xfId="3"/>
    <cellStyle name="******************************************" xfId="4"/>
    <cellStyle name="Euro" xfId="5"/>
    <cellStyle name="Normal 2 2" xfId="6"/>
    <cellStyle name="Normal 3" xfId="7"/>
    <cellStyle name="ChartingText" xfId="8"/>
    <cellStyle name="CHPAboveAverage" xfId="9"/>
    <cellStyle name="CHPBelowAverage" xfId="10"/>
    <cellStyle name="CHPBottom" xfId="11"/>
    <cellStyle name="CHPTop" xfId="12"/>
    <cellStyle name="ColumnHeaderNormal" xfId="13"/>
    <cellStyle name="Invisible" xfId="14"/>
    <cellStyle name="NewColumnHeaderNormal" xfId="15"/>
    <cellStyle name="NewSectionHeaderNormal" xfId="16"/>
    <cellStyle name="NewTitleNormal" xfId="17"/>
    <cellStyle name="SectionHeaderNormal" xfId="18"/>
    <cellStyle name="SubScript" xfId="19"/>
    <cellStyle name="SuperScript" xfId="20"/>
    <cellStyle name="TextBold" xfId="21"/>
    <cellStyle name="TextItalic" xfId="22"/>
    <cellStyle name="TextNormal" xfId="23"/>
    <cellStyle name="TitleNormal" xfId="24"/>
    <cellStyle name="Total 2" xfId="25"/>
    <cellStyle name="Comma 2" xfId="26"/>
    <cellStyle name="Normal 10" xfId="27"/>
    <cellStyle name="Normal 12" xfId="28"/>
    <cellStyle name="Normal 2 2 2" xfId="29"/>
    <cellStyle name="Normal 3 2" xfId="30"/>
    <cellStyle name="Normal 3 3" xfId="31"/>
    <cellStyle name="Normal 4" xfId="32"/>
    <cellStyle name="Percent 2" xfId="33"/>
    <cellStyle name="Percent 3" xfId="34"/>
    <cellStyle name="Normal 5" xfId="35"/>
    <cellStyle name="Comma 3" xfId="36"/>
    <cellStyle name="_(2) SRC" xfId="37"/>
    <cellStyle name="_031014 DSL Economics 1B" xfId="38"/>
    <cellStyle name="_031014 DSL Economics-1C" xfId="39"/>
    <cellStyle name="_03xxxx DSL Economics" xfId="40"/>
    <cellStyle name="_040223 Rev v Ev_Long View" xfId="41"/>
    <cellStyle name="_0510xx 3Q05 Wireless Focus" xfId="42"/>
    <cellStyle name="_051114 Valuation Update" xfId="43"/>
    <cellStyle name="_05xxxx Valuation Update" xfId="44"/>
    <cellStyle name="_2Q09 Earnings Review.Mike" xfId="45"/>
    <cellStyle name="_3G phones2" xfId="46"/>
    <cellStyle name="_3Q09 Earnings Review.Mikev.2" xfId="47"/>
    <cellStyle name="_3Q09 Earnings Review.Mikev.3" xfId="48"/>
    <cellStyle name="_Book5" xfId="49"/>
    <cellStyle name="_Consensus" xfId="50"/>
    <cellStyle name="_Copy of Reserve Release 2.19.10vMiklos" xfId="51"/>
    <cellStyle name="_DSLwhitebook Exhibits" xfId="52"/>
    <cellStyle name="_FOMA-Data Services in Japan" xfId="53"/>
    <cellStyle name="_FY1Q03 Wireless Infrastructure 5-20-2003" xfId="54"/>
    <cellStyle name="_Internet Connect Comparison" xfId="55"/>
    <cellStyle name="_NPE 3" xfId="56"/>
    <cellStyle name="•\Ž¦Ï‚Ý‚ÌƒnƒCƒp[ƒŠƒ“ƒN" xfId="57"/>
    <cellStyle name="•W_GEPO1 (2)" xfId="58"/>
    <cellStyle name="•W16" xfId="59"/>
    <cellStyle name="¹éºÐÀ²_±âÅ¸" xfId="60"/>
    <cellStyle name="ÅëÈ­ [0]_±âÅ¸" xfId="61"/>
    <cellStyle name="ÅëÈ­_±âÅ¸" xfId="62"/>
    <cellStyle name="AFE" xfId="63"/>
    <cellStyle name="annee semestre" xfId="64"/>
    <cellStyle name="ÄÞ¸¶ [0]_±âÅ¸" xfId="65"/>
    <cellStyle name="ÄÞ¸¶_±âÅ¸" xfId="66"/>
    <cellStyle name="bch" xfId="67"/>
    <cellStyle name="bci" xfId="68"/>
    <cellStyle name="BLACK" xfId="69"/>
    <cellStyle name="BlackTitle" xfId="70"/>
    <cellStyle name="Body" xfId="71"/>
    <cellStyle name="bvshr$" xfId="72"/>
    <cellStyle name="C?mma [0]" xfId="73"/>
    <cellStyle name="Ç¥ÁØ_¿ù°£¿ä¾àº¸°í" xfId="74"/>
    <cellStyle name="C௯mma [0]" xfId="75"/>
    <cellStyle name="Calc Currency (0)" xfId="76"/>
    <cellStyle name="CategoryBodyBorders" xfId="77"/>
    <cellStyle name="CategoryBodyText" xfId="78"/>
    <cellStyle name="cell" xfId="79"/>
    <cellStyle name="CENTER HEAD" xfId="80"/>
    <cellStyle name="CENTER HEAD 8" xfId="81"/>
    <cellStyle name="CENTER HEAD 9" xfId="82"/>
    <cellStyle name="CENTER LABEL" xfId="83"/>
    <cellStyle name="Centered Heading" xfId="84"/>
    <cellStyle name="CFnozeros" xfId="85"/>
    <cellStyle name="CFtotal$" xfId="86"/>
    <cellStyle name="ch" xfId="87"/>
    <cellStyle name="Client" xfId="88"/>
    <cellStyle name="ColHeading" xfId="89"/>
    <cellStyle name="Column Head" xfId="90"/>
    <cellStyle name="COLUMN HEAD 9" xfId="91"/>
    <cellStyle name="Column Head_Copy of Deposit Regression Data v2" xfId="92"/>
    <cellStyle name="Comma  - Style1" xfId="93"/>
    <cellStyle name="Comma  - Style2" xfId="94"/>
    <cellStyle name="Comma  - Style3" xfId="95"/>
    <cellStyle name="Comma  - Style4" xfId="96"/>
    <cellStyle name="Comma  - Style5" xfId="97"/>
    <cellStyle name="Comma  - Style6" xfId="98"/>
    <cellStyle name="Comma  - Style7" xfId="99"/>
    <cellStyle name="Comma  - Style8" xfId="100"/>
    <cellStyle name="Comma [1]" xfId="101"/>
    <cellStyle name="Comma [2]" xfId="102"/>
    <cellStyle name="Comma 4" xfId="103"/>
    <cellStyle name="COMMA, 0" xfId="104"/>
    <cellStyle name="Comma0" xfId="105"/>
    <cellStyle name="Comma0 - Style1" xfId="106"/>
    <cellStyle name="Comma0_Level I-III Asset Data - BROKERS" xfId="107"/>
    <cellStyle name="Company" xfId="108"/>
    <cellStyle name="Company Name" xfId="109"/>
    <cellStyle name="Copied" xfId="110"/>
    <cellStyle name="CurRatio" xfId="111"/>
    <cellStyle name="Curren - Style2" xfId="112"/>
    <cellStyle name="Currency (1)" xfId="113"/>
    <cellStyle name="Currency [1]" xfId="114"/>
    <cellStyle name="Currency [2]" xfId="115"/>
    <cellStyle name="Currency 2" xfId="116"/>
    <cellStyle name="Currency 3" xfId="117"/>
    <cellStyle name="Currency0" xfId="118"/>
    <cellStyle name="custeq" xfId="119"/>
    <cellStyle name="Data Series Heading" xfId="120"/>
    <cellStyle name="Date" xfId="121"/>
    <cellStyle name="DEC 7PT 1" xfId="122"/>
    <cellStyle name="DEC 7PT 2" xfId="123"/>
    <cellStyle name="DEC 7PT 4" xfId="124"/>
    <cellStyle name="DEC 7PT 4A" xfId="125"/>
    <cellStyle name="DEC 9PT 1" xfId="126"/>
    <cellStyle name="DEC 9PT 3" xfId="127"/>
    <cellStyle name="DEC 9PT 5" xfId="128"/>
    <cellStyle name="dividend$" xfId="129"/>
    <cellStyle name="dividends" xfId="130"/>
    <cellStyle name="données" xfId="131"/>
    <cellStyle name="donnéesbord" xfId="132"/>
    <cellStyle name="elizabeth" xfId="133"/>
    <cellStyle name="Entered" xfId="134"/>
    <cellStyle name="Entries" xfId="135"/>
    <cellStyle name="eps$" xfId="136"/>
    <cellStyle name="ER$AS" xfId="137"/>
    <cellStyle name="ER$IS" xfId="138"/>
    <cellStyle name="ER$IS (2)" xfId="139"/>
    <cellStyle name="ER$IS_IS1999" xfId="140"/>
    <cellStyle name="ERCOM" xfId="141"/>
    <cellStyle name="erdivid" xfId="142"/>
    <cellStyle name="ereps$" xfId="143"/>
    <cellStyle name="ERIS" xfId="144"/>
    <cellStyle name="ERnozeros" xfId="145"/>
    <cellStyle name="ERtotal$" xfId="146"/>
    <cellStyle name="Estimate" xfId="147"/>
    <cellStyle name="EXHIBIT #" xfId="148"/>
    <cellStyle name="FactSet Ticker" xfId="149"/>
    <cellStyle name="Fixed" xfId="150"/>
    <cellStyle name="ƒnƒCƒp[ƒŠƒ“ƒN" xfId="151"/>
    <cellStyle name="FOOTNOTE" xfId="152"/>
    <cellStyle name="general" xfId="153"/>
    <cellStyle name="Grey" xfId="154"/>
    <cellStyle name="Head1" xfId="155"/>
    <cellStyle name="Header1" xfId="156"/>
    <cellStyle name="Header2" xfId="157"/>
    <cellStyle name="Heading" xfId="158"/>
    <cellStyle name="Heading No Underline" xfId="159"/>
    <cellStyle name="Heading With Underline" xfId="160"/>
    <cellStyle name="HeadlineStyle" xfId="161"/>
    <cellStyle name="HeadlineStyleJustified" xfId="162"/>
    <cellStyle name="Hyperlink 2" xfId="163"/>
    <cellStyle name="Input [yellow]" xfId="164"/>
    <cellStyle name="Integer" xfId="165"/>
    <cellStyle name="Item" xfId="166"/>
    <cellStyle name="ItemTypeClass_CUS Template" xfId="167"/>
    <cellStyle name="KP_Normal" xfId="168"/>
    <cellStyle name="LEFT 7" xfId="169"/>
    <cellStyle name="LEFT 7 SPACE2" xfId="170"/>
    <cellStyle name="LEFT 7 SPACEA" xfId="171"/>
    <cellStyle name="left 7 spacer" xfId="172"/>
    <cellStyle name="LEFT 7A" xfId="173"/>
    <cellStyle name="LEFT 9" xfId="174"/>
    <cellStyle name="LEFT 9 SPACER" xfId="175"/>
    <cellStyle name="memo" xfId="176"/>
    <cellStyle name="memo2" xfId="177"/>
    <cellStyle name="memo-r" xfId="178"/>
    <cellStyle name="Multiple" xfId="179"/>
    <cellStyle name="Needs update" xfId="180"/>
    <cellStyle name="no dec" xfId="181"/>
    <cellStyle name="Normal - Style1" xfId="182"/>
    <cellStyle name="Normal 11" xfId="183"/>
    <cellStyle name="Normal2" xfId="184"/>
    <cellStyle name="notes" xfId="185"/>
    <cellStyle name="nozeros" xfId="186"/>
    <cellStyle name="nozeros(1)" xfId="187"/>
    <cellStyle name="nozeros(2)" xfId="188"/>
    <cellStyle name="Number" xfId="189"/>
    <cellStyle name="ok" xfId="190"/>
    <cellStyle name="Percent (0)" xfId="191"/>
    <cellStyle name="Percent (1)" xfId="192"/>
    <cellStyle name="Percent [0]" xfId="193"/>
    <cellStyle name="Percent [1]" xfId="194"/>
    <cellStyle name="Percent [2]" xfId="195"/>
    <cellStyle name="Percent 0" xfId="196"/>
    <cellStyle name="Percent 0.00" xfId="197"/>
    <cellStyle name="PercentChange" xfId="198"/>
    <cellStyle name="PSChar" xfId="199"/>
    <cellStyle name="PSDate" xfId="200"/>
    <cellStyle name="PSDec" xfId="201"/>
    <cellStyle name="PSHeading" xfId="202"/>
    <cellStyle name="PSInt" xfId="203"/>
    <cellStyle name="PSSpacer" xfId="204"/>
    <cellStyle name="RatioX" xfId="205"/>
    <cellStyle name="Ref Numbers" xfId="206"/>
    <cellStyle name="ReportFieldNames" xfId="207"/>
    <cellStyle name="results" xfId="208"/>
    <cellStyle name="RevList" xfId="209"/>
    <cellStyle name="rh" xfId="210"/>
    <cellStyle name="RobModel" xfId="211"/>
    <cellStyle name="ScotchRule" xfId="212"/>
    <cellStyle name="SecBody2" xfId="213"/>
    <cellStyle name="SecHead2" xfId="214"/>
    <cellStyle name="SectionHeading" xfId="215"/>
    <cellStyle name="SelectFormat" xfId="216"/>
    <cellStyle name="semestre" xfId="217"/>
    <cellStyle name="shaded" xfId="218"/>
    <cellStyle name="shaded - Style3" xfId="219"/>
    <cellStyle name="SHEET2!Normal" xfId="220"/>
    <cellStyle name="Source Line" xfId="221"/>
    <cellStyle name="srh" xfId="222"/>
    <cellStyle name="Standaard_TELECOM" xfId="223"/>
    <cellStyle name="Standard_Financial StatementsTA_1Q_03" xfId="224"/>
    <cellStyle name="Stock Price" xfId="225"/>
    <cellStyle name="Style 1" xfId="226"/>
    <cellStyle name="Style 21" xfId="227"/>
    <cellStyle name="Style 22" xfId="228"/>
    <cellStyle name="Style 23" xfId="229"/>
    <cellStyle name="Style 24" xfId="230"/>
    <cellStyle name="Style 25" xfId="231"/>
    <cellStyle name="Style 26" xfId="232"/>
    <cellStyle name="Style 27" xfId="233"/>
    <cellStyle name="Style 28" xfId="234"/>
    <cellStyle name="Style 29" xfId="235"/>
    <cellStyle name="Style 30" xfId="236"/>
    <cellStyle name="Style 31" xfId="237"/>
    <cellStyle name="Style 32" xfId="238"/>
    <cellStyle name="Style 33" xfId="239"/>
    <cellStyle name="Style 34" xfId="240"/>
    <cellStyle name="Style 35" xfId="241"/>
    <cellStyle name="Style 36" xfId="242"/>
    <cellStyle name="Style 37" xfId="243"/>
    <cellStyle name="Style 39" xfId="244"/>
    <cellStyle name="SubHead" xfId="245"/>
    <cellStyle name="SubHead1" xfId="246"/>
    <cellStyle name="Subtitle" xfId="247"/>
    <cellStyle name="Subtotal" xfId="248"/>
    <cellStyle name="Subtotals1" xfId="249"/>
    <cellStyle name="TAB FTNOTE 9" xfId="250"/>
    <cellStyle name="TAB FTNOTE9A" xfId="251"/>
    <cellStyle name="TAB FTNOTE9B" xfId="252"/>
    <cellStyle name="TAB FTNT 9 SP" xfId="253"/>
    <cellStyle name="TABLE FTNOTE" xfId="254"/>
    <cellStyle name="Table Head" xfId="255"/>
    <cellStyle name="Table Heading" xfId="256"/>
    <cellStyle name="Table Source" xfId="257"/>
    <cellStyle name="TABLE SOURCEA" xfId="258"/>
    <cellStyle name="TABLE SOURCEB" xfId="259"/>
    <cellStyle name="Table Text" xfId="260"/>
    <cellStyle name="Table Text 1" xfId="261"/>
    <cellStyle name="TABLE TEXT 2" xfId="262"/>
    <cellStyle name="TABLE TEXT 8" xfId="263"/>
    <cellStyle name="Table Text_Copy of Deposit Regression Data v2" xfId="264"/>
    <cellStyle name="Table Title" xfId="265"/>
    <cellStyle name="TableBody" xfId="266"/>
    <cellStyle name="TableBodyR" xfId="267"/>
    <cellStyle name="TableColHeads" xfId="268"/>
    <cellStyle name="TableTitleFormat" xfId="269"/>
    <cellStyle name="tête chapitre" xfId="270"/>
    <cellStyle name="TEXT #.#%" xfId="271"/>
    <cellStyle name="Times New Roman" xfId="272"/>
    <cellStyle name="Title Line" xfId="273"/>
    <cellStyle name="Titles" xfId="274"/>
    <cellStyle name="titre" xfId="275"/>
    <cellStyle name="Top Row" xfId="276"/>
    <cellStyle name="Total Row" xfId="277"/>
    <cellStyle name="total$" xfId="278"/>
    <cellStyle name="一般_chinese" xfId="279"/>
    <cellStyle name="標準_7203EM120" xfId="280"/>
    <cellStyle name="ChartingText 2" xfId="281"/>
    <cellStyle name="ChartingText 3" xfId="282"/>
    <cellStyle name="CHPAboveAverage 2" xfId="283"/>
    <cellStyle name="CHPAboveAverage 3" xfId="284"/>
    <cellStyle name=" 1" xfId="285"/>
    <cellStyle name="%" xfId="286"/>
    <cellStyle name="% 2" xfId="287"/>
    <cellStyle name="%_STB10_E_Europe" xfId="288"/>
    <cellStyle name="%_STB10_W_Europe" xfId="289"/>
    <cellStyle name="%_STB10_W_Europe 2" xfId="290"/>
    <cellStyle name="?" xfId="291"/>
    <cellStyle name="_Europe" xfId="292"/>
    <cellStyle name="_Europe 2" xfId="293"/>
    <cellStyle name="_Machinery Production Yearbook - Europe - customer copy - 2009 - $" xfId="294"/>
    <cellStyle name="_SeriesDataForecast" xfId="295"/>
    <cellStyle name="W_Jun98" xfId="296"/>
    <cellStyle name="20% - Accent1 2" xfId="297"/>
    <cellStyle name="20% - Accent1 2 2" xfId="298"/>
    <cellStyle name="20% - Accent1 2 2 2" xfId="299"/>
    <cellStyle name="20% - Accent1 2 2 3" xfId="300"/>
    <cellStyle name="20% - Accent1 2 2 4" xfId="301"/>
    <cellStyle name="20% - Accent1 2 2 5" xfId="302"/>
    <cellStyle name="20% - Accent1 2 3" xfId="303"/>
    <cellStyle name="20% - Accent1 2 3 2" xfId="304"/>
    <cellStyle name="20% - Accent1 2 3 3" xfId="305"/>
    <cellStyle name="20% - Accent1 2 3 4" xfId="306"/>
    <cellStyle name="20% - Accent1 2 3 5" xfId="307"/>
    <cellStyle name="20% - Accent1 2 4" xfId="308"/>
    <cellStyle name="20% - Accent1 2 5" xfId="309"/>
    <cellStyle name="20% - Accent1 2 6" xfId="310"/>
    <cellStyle name="20% - Accent1 2 7" xfId="311"/>
    <cellStyle name="20% - Accent1 2 8" xfId="312"/>
    <cellStyle name="20% - Accent1 2 9" xfId="313"/>
    <cellStyle name="20% - Accent1 3" xfId="314"/>
    <cellStyle name="20% - Accent1 3 2" xfId="315"/>
    <cellStyle name="20% - Accent1 3 2 2" xfId="316"/>
    <cellStyle name="20% - Accent1 3 2 3" xfId="317"/>
    <cellStyle name="20% - Accent1 3 3" xfId="318"/>
    <cellStyle name="20% - Accent1 3 4" xfId="319"/>
    <cellStyle name="20% - Accent1 3 5" xfId="320"/>
    <cellStyle name="20% - Accent1 3 6" xfId="321"/>
    <cellStyle name="20% - Accent1 3 7" xfId="322"/>
    <cellStyle name="20% - Accent1 4" xfId="323"/>
    <cellStyle name="20% - Accent1 4 2" xfId="324"/>
    <cellStyle name="20% - Accent1 4 2 2" xfId="325"/>
    <cellStyle name="20% - Accent1 4 2 2 2" xfId="326"/>
    <cellStyle name="20% - Accent1 4 2 3" xfId="327"/>
    <cellStyle name="20% - Accent1 4 2 4" xfId="328"/>
    <cellStyle name="20% - Accent1 4 3" xfId="329"/>
    <cellStyle name="20% - Accent1 4 3 2" xfId="330"/>
    <cellStyle name="20% - Accent1 4 4" xfId="331"/>
    <cellStyle name="20% - Accent1 4 5" xfId="332"/>
    <cellStyle name="20% - Accent1 4 6" xfId="333"/>
    <cellStyle name="20% - Accent1 5" xfId="334"/>
    <cellStyle name="20% - Accent1 5 2" xfId="335"/>
    <cellStyle name="20% - Accent1 5 2 2" xfId="336"/>
    <cellStyle name="20% - Accent1 5 2 2 2" xfId="337"/>
    <cellStyle name="20% - Accent1 5 2 3" xfId="338"/>
    <cellStyle name="20% - Accent1 5 2 4" xfId="339"/>
    <cellStyle name="20% - Accent1 5 3" xfId="340"/>
    <cellStyle name="20% - Accent1 5 3 2" xfId="341"/>
    <cellStyle name="20% - Accent1 5 4" xfId="342"/>
    <cellStyle name="20% - Accent1 5 5" xfId="343"/>
    <cellStyle name="20% - Accent1 6" xfId="344"/>
    <cellStyle name="20% - Accent1 6 2" xfId="345"/>
    <cellStyle name="20% - Accent1 6 2 2" xfId="346"/>
    <cellStyle name="20% - Accent1 6 2 2 2" xfId="347"/>
    <cellStyle name="20% - Accent1 6 2 3" xfId="348"/>
    <cellStyle name="20% - Accent1 6 3" xfId="349"/>
    <cellStyle name="20% - Accent1 6 3 2" xfId="350"/>
    <cellStyle name="20% - Accent1 6 4" xfId="351"/>
    <cellStyle name="20% - Accent1 7" xfId="352"/>
    <cellStyle name="20% - Accent1 7 2" xfId="353"/>
    <cellStyle name="20% - Accent1 7 3" xfId="354"/>
    <cellStyle name="20% - Accent1 8" xfId="355"/>
    <cellStyle name="20% - Accent1 8 2" xfId="356"/>
    <cellStyle name="20% - Accent1 9" xfId="357"/>
    <cellStyle name="20% - Accent2 2" xfId="358"/>
    <cellStyle name="20% - Accent2 2 2" xfId="359"/>
    <cellStyle name="20% - Accent2 2 2 2" xfId="360"/>
    <cellStyle name="20% - Accent2 2 2 3" xfId="361"/>
    <cellStyle name="20% - Accent2 2 2 4" xfId="362"/>
    <cellStyle name="20% - Accent2 2 2 5" xfId="363"/>
    <cellStyle name="20% - Accent2 2 3" xfId="364"/>
    <cellStyle name="20% - Accent2 2 3 2" xfId="365"/>
    <cellStyle name="20% - Accent2 2 3 3" xfId="366"/>
    <cellStyle name="20% - Accent2 2 3 4" xfId="367"/>
    <cellStyle name="20% - Accent2 2 3 5" xfId="368"/>
    <cellStyle name="20% - Accent2 2 4" xfId="369"/>
    <cellStyle name="20% - Accent2 2 5" xfId="370"/>
    <cellStyle name="20% - Accent2 2 6" xfId="371"/>
    <cellStyle name="20% - Accent2 2 7" xfId="372"/>
    <cellStyle name="20% - Accent2 2 8" xfId="373"/>
    <cellStyle name="20% - Accent2 2 9" xfId="374"/>
    <cellStyle name="20% - Accent2 3" xfId="375"/>
    <cellStyle name="20% - Accent2 3 2" xfId="376"/>
    <cellStyle name="20% - Accent2 3 2 2" xfId="377"/>
    <cellStyle name="20% - Accent2 3 2 3" xfId="378"/>
    <cellStyle name="20% - Accent2 3 3" xfId="379"/>
    <cellStyle name="20% - Accent2 3 4" xfId="380"/>
    <cellStyle name="20% - Accent2 3 5" xfId="381"/>
    <cellStyle name="20% - Accent2 3 6" xfId="382"/>
    <cellStyle name="20% - Accent2 3 7" xfId="383"/>
    <cellStyle name="20% - Accent2 4" xfId="384"/>
    <cellStyle name="20% - Accent2 4 2" xfId="385"/>
    <cellStyle name="20% - Accent2 4 2 2" xfId="386"/>
    <cellStyle name="20% - Accent2 4 2 2 2" xfId="387"/>
    <cellStyle name="20% - Accent2 4 2 3" xfId="388"/>
    <cellStyle name="20% - Accent2 4 2 4" xfId="389"/>
    <cellStyle name="20% - Accent2 4 3" xfId="390"/>
    <cellStyle name="20% - Accent2 4 3 2" xfId="391"/>
    <cellStyle name="20% - Accent2 4 4" xfId="392"/>
    <cellStyle name="20% - Accent2 4 5" xfId="393"/>
    <cellStyle name="20% - Accent2 4 6" xfId="394"/>
    <cellStyle name="20% - Accent2 5" xfId="395"/>
    <cellStyle name="20% - Accent2 5 2" xfId="396"/>
    <cellStyle name="20% - Accent2 5 2 2" xfId="397"/>
    <cellStyle name="20% - Accent2 5 2 2 2" xfId="398"/>
    <cellStyle name="20% - Accent2 5 2 3" xfId="399"/>
    <cellStyle name="20% - Accent2 5 2 4" xfId="400"/>
    <cellStyle name="20% - Accent2 5 3" xfId="401"/>
    <cellStyle name="20% - Accent2 5 3 2" xfId="402"/>
    <cellStyle name="20% - Accent2 5 4" xfId="403"/>
    <cellStyle name="20% - Accent2 5 5" xfId="404"/>
    <cellStyle name="20% - Accent2 6" xfId="405"/>
    <cellStyle name="20% - Accent2 6 2" xfId="406"/>
    <cellStyle name="20% - Accent2 6 2 2" xfId="407"/>
    <cellStyle name="20% - Accent2 6 2 2 2" xfId="408"/>
    <cellStyle name="20% - Accent2 6 2 3" xfId="409"/>
    <cellStyle name="20% - Accent2 6 3" xfId="410"/>
    <cellStyle name="20% - Accent2 6 3 2" xfId="411"/>
    <cellStyle name="20% - Accent2 6 4" xfId="412"/>
    <cellStyle name="20% - Accent2 7" xfId="413"/>
    <cellStyle name="20% - Accent2 7 2" xfId="414"/>
    <cellStyle name="20% - Accent2 7 3" xfId="415"/>
    <cellStyle name="20% - Accent2 8" xfId="416"/>
    <cellStyle name="20% - Accent2 8 2" xfId="417"/>
    <cellStyle name="20% - Accent2 9" xfId="418"/>
    <cellStyle name="20% - Accent3 2" xfId="419"/>
    <cellStyle name="20% - Accent3 2 10" xfId="420"/>
    <cellStyle name="20% - Accent3 2 11" xfId="421"/>
    <cellStyle name="20% - Accent3 2 2" xfId="422"/>
    <cellStyle name="20% - Accent3 2 2 2" xfId="423"/>
    <cellStyle name="20% - Accent3 2 2 3" xfId="424"/>
    <cellStyle name="20% - Accent3 2 2 4" xfId="425"/>
    <cellStyle name="20% - Accent3 2 2 5" xfId="426"/>
    <cellStyle name="20% - Accent3 2 3" xfId="427"/>
    <cellStyle name="20% - Accent3 2 3 2" xfId="428"/>
    <cellStyle name="20% - Accent3 2 3 3" xfId="429"/>
    <cellStyle name="20% - Accent3 2 3 4" xfId="430"/>
    <cellStyle name="20% - Accent3 2 3 5" xfId="431"/>
    <cellStyle name="20% - Accent3 2 3 6" xfId="432"/>
    <cellStyle name="20% - Accent3 2 4" xfId="433"/>
    <cellStyle name="20% - Accent3 2 4 2" xfId="434"/>
    <cellStyle name="20% - Accent3 2 4 3" xfId="435"/>
    <cellStyle name="20% - Accent3 2 4 4" xfId="436"/>
    <cellStyle name="20% - Accent3 2 5" xfId="437"/>
    <cellStyle name="20% - Accent3 2 6" xfId="438"/>
    <cellStyle name="20% - Accent3 2 7" xfId="439"/>
    <cellStyle name="20% - Accent3 2 8" xfId="440"/>
    <cellStyle name="20% - Accent3 2 9" xfId="441"/>
    <cellStyle name="20% - Accent3 3" xfId="442"/>
    <cellStyle name="20% - Accent3 3 2" xfId="443"/>
    <cellStyle name="20% - Accent3 3 2 2" xfId="444"/>
    <cellStyle name="20% - Accent3 3 2 3" xfId="445"/>
    <cellStyle name="20% - Accent3 3 2 4" xfId="446"/>
    <cellStyle name="20% - Accent3 3 2 5" xfId="447"/>
    <cellStyle name="20% - Accent3 3 2 6" xfId="448"/>
    <cellStyle name="20% - Accent3 3 3" xfId="449"/>
    <cellStyle name="20% - Accent3 3 3 2" xfId="450"/>
    <cellStyle name="20% - Accent3 3 3 3" xfId="451"/>
    <cellStyle name="20% - Accent3 3 3 4" xfId="452"/>
    <cellStyle name="20% - Accent3 3 4" xfId="453"/>
    <cellStyle name="20% - Accent3 3 5" xfId="454"/>
    <cellStyle name="20% - Accent3 3 6" xfId="455"/>
    <cellStyle name="20% - Accent3 3 7" xfId="456"/>
    <cellStyle name="20% - Accent3 3 8" xfId="457"/>
    <cellStyle name="20% - Accent3 4" xfId="458"/>
    <cellStyle name="20% - Accent3 4 2" xfId="459"/>
    <cellStyle name="20% - Accent3 4 2 2" xfId="460"/>
    <cellStyle name="20% - Accent3 4 2 2 2" xfId="461"/>
    <cellStyle name="20% - Accent3 4 2 3" xfId="462"/>
    <cellStyle name="20% - Accent3 4 2 4" xfId="463"/>
    <cellStyle name="20% - Accent3 4 3" xfId="464"/>
    <cellStyle name="20% - Accent3 4 3 2" xfId="465"/>
    <cellStyle name="20% - Accent3 4 4" xfId="466"/>
    <cellStyle name="20% - Accent3 4 5" xfId="467"/>
    <cellStyle name="20% - Accent3 4 6" xfId="468"/>
    <cellStyle name="20% - Accent3 5" xfId="469"/>
    <cellStyle name="20% - Accent3 5 2" xfId="470"/>
    <cellStyle name="20% - Accent3 5 2 2" xfId="471"/>
    <cellStyle name="20% - Accent3 5 2 2 2" xfId="472"/>
    <cellStyle name="20% - Accent3 5 2 3" xfId="473"/>
    <cellStyle name="20% - Accent3 5 2 4" xfId="474"/>
    <cellStyle name="20% - Accent3 5 3" xfId="475"/>
    <cellStyle name="20% - Accent3 5 3 2" xfId="476"/>
    <cellStyle name="20% - Accent3 5 4" xfId="477"/>
    <cellStyle name="20% - Accent3 5 5" xfId="478"/>
    <cellStyle name="20% - Accent3 5 6" xfId="479"/>
    <cellStyle name="20% - Accent3 6" xfId="480"/>
    <cellStyle name="20% - Accent3 6 2" xfId="481"/>
    <cellStyle name="20% - Accent3 6 2 2" xfId="482"/>
    <cellStyle name="20% - Accent3 6 2 2 2" xfId="483"/>
    <cellStyle name="20% - Accent3 6 2 3" xfId="484"/>
    <cellStyle name="20% - Accent3 6 3" xfId="485"/>
    <cellStyle name="20% - Accent3 6 3 2" xfId="486"/>
    <cellStyle name="20% - Accent3 6 4" xfId="487"/>
    <cellStyle name="20% - Accent3 7" xfId="488"/>
    <cellStyle name="20% - Accent3 7 2" xfId="489"/>
    <cellStyle name="20% - Accent3 7 3" xfId="490"/>
    <cellStyle name="20% - Accent3 8" xfId="491"/>
    <cellStyle name="20% - Accent3 8 2" xfId="492"/>
    <cellStyle name="20% - Accent3 9" xfId="493"/>
    <cellStyle name="20% - Accent4 2" xfId="494"/>
    <cellStyle name="20% - Accent4 2 2" xfId="495"/>
    <cellStyle name="20% - Accent4 2 2 2" xfId="496"/>
    <cellStyle name="20% - Accent4 2 2 3" xfId="497"/>
    <cellStyle name="20% - Accent4 2 2 4" xfId="498"/>
    <cellStyle name="20% - Accent4 2 2 5" xfId="499"/>
    <cellStyle name="20% - Accent4 2 3" xfId="500"/>
    <cellStyle name="20% - Accent4 2 3 2" xfId="501"/>
    <cellStyle name="20% - Accent4 2 3 3" xfId="502"/>
    <cellStyle name="20% - Accent4 2 3 4" xfId="503"/>
    <cellStyle name="20% - Accent4 2 3 5" xfId="504"/>
    <cellStyle name="20% - Accent4 2 4" xfId="505"/>
    <cellStyle name="20% - Accent4 2 5" xfId="506"/>
    <cellStyle name="20% - Accent4 2 6" xfId="507"/>
    <cellStyle name="20% - Accent4 2 7" xfId="508"/>
    <cellStyle name="20% - Accent4 2 8" xfId="509"/>
    <cellStyle name="20% - Accent4 2 9" xfId="510"/>
    <cellStyle name="20% - Accent4 3" xfId="511"/>
    <cellStyle name="20% - Accent4 3 2" xfId="512"/>
    <cellStyle name="20% - Accent4 3 2 2" xfId="513"/>
    <cellStyle name="20% - Accent4 3 2 3" xfId="514"/>
    <cellStyle name="20% - Accent4 3 3" xfId="515"/>
    <cellStyle name="20% - Accent4 3 4" xfId="516"/>
    <cellStyle name="20% - Accent4 3 5" xfId="517"/>
    <cellStyle name="20% - Accent4 3 6" xfId="518"/>
    <cellStyle name="20% - Accent4 3 7" xfId="519"/>
    <cellStyle name="20% - Accent4 4" xfId="520"/>
    <cellStyle name="20% - Accent4 4 2" xfId="521"/>
    <cellStyle name="20% - Accent4 4 2 2" xfId="522"/>
    <cellStyle name="20% - Accent4 4 2 2 2" xfId="523"/>
    <cellStyle name="20% - Accent4 4 2 3" xfId="524"/>
    <cellStyle name="20% - Accent4 4 2 4" xfId="525"/>
    <cellStyle name="20% - Accent4 4 3" xfId="526"/>
    <cellStyle name="20% - Accent4 4 3 2" xfId="527"/>
    <cellStyle name="20% - Accent4 4 4" xfId="528"/>
    <cellStyle name="20% - Accent4 4 5" xfId="529"/>
    <cellStyle name="20% - Accent4 4 6" xfId="530"/>
    <cellStyle name="20% - Accent4 5" xfId="531"/>
    <cellStyle name="20% - Accent4 5 2" xfId="532"/>
    <cellStyle name="20% - Accent4 5 2 2" xfId="533"/>
    <cellStyle name="20% - Accent4 5 2 2 2" xfId="534"/>
    <cellStyle name="20% - Accent4 5 2 3" xfId="535"/>
    <cellStyle name="20% - Accent4 5 2 4" xfId="536"/>
    <cellStyle name="20% - Accent4 5 3" xfId="537"/>
    <cellStyle name="20% - Accent4 5 3 2" xfId="538"/>
    <cellStyle name="20% - Accent4 5 4" xfId="539"/>
    <cellStyle name="20% - Accent4 5 5" xfId="540"/>
    <cellStyle name="20% - Accent4 6" xfId="541"/>
    <cellStyle name="20% - Accent4 6 2" xfId="542"/>
    <cellStyle name="20% - Accent4 6 2 2" xfId="543"/>
    <cellStyle name="20% - Accent4 6 2 2 2" xfId="544"/>
    <cellStyle name="20% - Accent4 6 2 3" xfId="545"/>
    <cellStyle name="20% - Accent4 6 3" xfId="546"/>
    <cellStyle name="20% - Accent4 6 3 2" xfId="547"/>
    <cellStyle name="20% - Accent4 6 4" xfId="548"/>
    <cellStyle name="20% - Accent4 7" xfId="549"/>
    <cellStyle name="20% - Accent4 7 2" xfId="550"/>
    <cellStyle name="20% - Accent4 7 3" xfId="551"/>
    <cellStyle name="20% - Accent4 8" xfId="552"/>
    <cellStyle name="20% - Accent4 8 2" xfId="553"/>
    <cellStyle name="20% - Accent4 9" xfId="554"/>
    <cellStyle name="20% - Accent5 2" xfId="555"/>
    <cellStyle name="20% - Accent5 2 2" xfId="556"/>
    <cellStyle name="20% - Accent5 2 2 2" xfId="557"/>
    <cellStyle name="20% - Accent5 2 2 3" xfId="558"/>
    <cellStyle name="20% - Accent5 2 2 4" xfId="559"/>
    <cellStyle name="20% - Accent5 2 2 5" xfId="560"/>
    <cellStyle name="20% - Accent5 2 3" xfId="561"/>
    <cellStyle name="20% - Accent5 2 3 2" xfId="562"/>
    <cellStyle name="20% - Accent5 2 3 3" xfId="563"/>
    <cellStyle name="20% - Accent5 2 3 4" xfId="564"/>
    <cellStyle name="20% - Accent5 2 3 5" xfId="565"/>
    <cellStyle name="20% - Accent5 2 4" xfId="566"/>
    <cellStyle name="20% - Accent5 2 5" xfId="567"/>
    <cellStyle name="20% - Accent5 2 6" xfId="568"/>
    <cellStyle name="20% - Accent5 2 7" xfId="569"/>
    <cellStyle name="20% - Accent5 2 8" xfId="570"/>
    <cellStyle name="20% - Accent5 2 9" xfId="571"/>
    <cellStyle name="20% - Accent5 3" xfId="572"/>
    <cellStyle name="20% - Accent5 3 2" xfId="573"/>
    <cellStyle name="20% - Accent5 3 2 2" xfId="574"/>
    <cellStyle name="20% - Accent5 3 2 3" xfId="575"/>
    <cellStyle name="20% - Accent5 3 3" xfId="576"/>
    <cellStyle name="20% - Accent5 3 4" xfId="577"/>
    <cellStyle name="20% - Accent5 3 5" xfId="578"/>
    <cellStyle name="20% - Accent5 3 6" xfId="579"/>
    <cellStyle name="20% - Accent5 3 7" xfId="580"/>
    <cellStyle name="20% - Accent5 4" xfId="581"/>
    <cellStyle name="20% - Accent5 4 2" xfId="582"/>
    <cellStyle name="20% - Accent5 4 2 2" xfId="583"/>
    <cellStyle name="20% - Accent5 4 2 2 2" xfId="584"/>
    <cellStyle name="20% - Accent5 4 2 3" xfId="585"/>
    <cellStyle name="20% - Accent5 4 2 4" xfId="586"/>
    <cellStyle name="20% - Accent5 4 3" xfId="587"/>
    <cellStyle name="20% - Accent5 4 3 2" xfId="588"/>
    <cellStyle name="20% - Accent5 4 4" xfId="589"/>
    <cellStyle name="20% - Accent5 4 5" xfId="590"/>
    <cellStyle name="20% - Accent5 4 6" xfId="591"/>
    <cellStyle name="20% - Accent5 5" xfId="592"/>
    <cellStyle name="20% - Accent5 5 2" xfId="593"/>
    <cellStyle name="20% - Accent5 5 2 2" xfId="594"/>
    <cellStyle name="20% - Accent5 5 2 2 2" xfId="595"/>
    <cellStyle name="20% - Accent5 5 2 3" xfId="596"/>
    <cellStyle name="20% - Accent5 5 2 4" xfId="597"/>
    <cellStyle name="20% - Accent5 5 3" xfId="598"/>
    <cellStyle name="20% - Accent5 5 3 2" xfId="599"/>
    <cellStyle name="20% - Accent5 5 4" xfId="600"/>
    <cellStyle name="20% - Accent5 5 5" xfId="601"/>
    <cellStyle name="20% - Accent5 6" xfId="602"/>
    <cellStyle name="20% - Accent5 6 2" xfId="603"/>
    <cellStyle name="20% - Accent5 6 2 2" xfId="604"/>
    <cellStyle name="20% - Accent5 6 2 2 2" xfId="605"/>
    <cellStyle name="20% - Accent5 6 2 3" xfId="606"/>
    <cellStyle name="20% - Accent5 6 3" xfId="607"/>
    <cellStyle name="20% - Accent5 6 3 2" xfId="608"/>
    <cellStyle name="20% - Accent5 6 4" xfId="609"/>
    <cellStyle name="20% - Accent5 7" xfId="610"/>
    <cellStyle name="20% - Accent5 7 2" xfId="611"/>
    <cellStyle name="20% - Accent5 7 3" xfId="612"/>
    <cellStyle name="20% - Accent5 8" xfId="613"/>
    <cellStyle name="20% - Accent5 8 2" xfId="614"/>
    <cellStyle name="20% - Accent5 9" xfId="615"/>
    <cellStyle name="20% - Accent6 2" xfId="616"/>
    <cellStyle name="20% - Accent6 2 2" xfId="617"/>
    <cellStyle name="20% - Accent6 2 2 2" xfId="618"/>
    <cellStyle name="20% - Accent6 2 2 3" xfId="619"/>
    <cellStyle name="20% - Accent6 2 2 4" xfId="620"/>
    <cellStyle name="20% - Accent6 2 2 5" xfId="621"/>
    <cellStyle name="20% - Accent6 2 3" xfId="622"/>
    <cellStyle name="20% - Accent6 2 3 2" xfId="623"/>
    <cellStyle name="20% - Accent6 2 3 3" xfId="624"/>
    <cellStyle name="20% - Accent6 2 3 4" xfId="625"/>
    <cellStyle name="20% - Accent6 2 3 5" xfId="626"/>
    <cellStyle name="20% - Accent6 2 4" xfId="627"/>
    <cellStyle name="20% - Accent6 2 5" xfId="628"/>
    <cellStyle name="20% - Accent6 2 6" xfId="629"/>
    <cellStyle name="20% - Accent6 2 7" xfId="630"/>
    <cellStyle name="20% - Accent6 2 8" xfId="631"/>
    <cellStyle name="20% - Accent6 2 9" xfId="632"/>
    <cellStyle name="20% - Accent6 3" xfId="633"/>
    <cellStyle name="20% - Accent6 3 2" xfId="634"/>
    <cellStyle name="20% - Accent6 3 2 2" xfId="635"/>
    <cellStyle name="20% - Accent6 3 2 3" xfId="636"/>
    <cellStyle name="20% - Accent6 3 3" xfId="637"/>
    <cellStyle name="20% - Accent6 3 4" xfId="638"/>
    <cellStyle name="20% - Accent6 3 5" xfId="639"/>
    <cellStyle name="20% - Accent6 3 6" xfId="640"/>
    <cellStyle name="20% - Accent6 3 7" xfId="641"/>
    <cellStyle name="20% - Accent6 4" xfId="642"/>
    <cellStyle name="20% - Accent6 4 2" xfId="643"/>
    <cellStyle name="20% - Accent6 4 2 2" xfId="644"/>
    <cellStyle name="20% - Accent6 4 2 2 2" xfId="645"/>
    <cellStyle name="20% - Accent6 4 2 3" xfId="646"/>
    <cellStyle name="20% - Accent6 4 2 4" xfId="647"/>
    <cellStyle name="20% - Accent6 4 3" xfId="648"/>
    <cellStyle name="20% - Accent6 4 3 2" xfId="649"/>
    <cellStyle name="20% - Accent6 4 4" xfId="650"/>
    <cellStyle name="20% - Accent6 4 5" xfId="651"/>
    <cellStyle name="20% - Accent6 4 6" xfId="652"/>
    <cellStyle name="20% - Accent6 5" xfId="653"/>
    <cellStyle name="20% - Accent6 5 2" xfId="654"/>
    <cellStyle name="20% - Accent6 5 2 2" xfId="655"/>
    <cellStyle name="20% - Accent6 5 2 2 2" xfId="656"/>
    <cellStyle name="20% - Accent6 5 2 3" xfId="657"/>
    <cellStyle name="20% - Accent6 5 2 4" xfId="658"/>
    <cellStyle name="20% - Accent6 5 3" xfId="659"/>
    <cellStyle name="20% - Accent6 5 3 2" xfId="660"/>
    <cellStyle name="20% - Accent6 5 4" xfId="661"/>
    <cellStyle name="20% - Accent6 5 5" xfId="662"/>
    <cellStyle name="20% - Accent6 6" xfId="663"/>
    <cellStyle name="20% - Accent6 6 2" xfId="664"/>
    <cellStyle name="20% - Accent6 6 2 2" xfId="665"/>
    <cellStyle name="20% - Accent6 6 2 2 2" xfId="666"/>
    <cellStyle name="20% - Accent6 6 2 3" xfId="667"/>
    <cellStyle name="20% - Accent6 6 3" xfId="668"/>
    <cellStyle name="20% - Accent6 6 3 2" xfId="669"/>
    <cellStyle name="20% - Accent6 6 4" xfId="670"/>
    <cellStyle name="20% - Accent6 7" xfId="671"/>
    <cellStyle name="20% - Accent6 7 2" xfId="672"/>
    <cellStyle name="20% - Accent6 7 3" xfId="673"/>
    <cellStyle name="20% - Accent6 8" xfId="674"/>
    <cellStyle name="20% - Accent6 8 2" xfId="675"/>
    <cellStyle name="20% - Accent6 9" xfId="676"/>
    <cellStyle name="20% - アクセント 1" xfId="677"/>
    <cellStyle name="20% - アクセント 1 2" xfId="678"/>
    <cellStyle name="20% - アクセント 1 2 2" xfId="679"/>
    <cellStyle name="20% - アクセント 1 3" xfId="680"/>
    <cellStyle name="20% - アクセント 1 4" xfId="681"/>
    <cellStyle name="20% - アクセント 1 5" xfId="682"/>
    <cellStyle name="20% - アクセント 1 6" xfId="683"/>
    <cellStyle name="20% - アクセント 2" xfId="684"/>
    <cellStyle name="20% - アクセント 2 2" xfId="685"/>
    <cellStyle name="20% - アクセント 2 2 2" xfId="686"/>
    <cellStyle name="20% - アクセント 2 3" xfId="687"/>
    <cellStyle name="20% - アクセント 2 4" xfId="688"/>
    <cellStyle name="20% - アクセント 2 5" xfId="689"/>
    <cellStyle name="20% - アクセント 2 6" xfId="690"/>
    <cellStyle name="20% - アクセント 3" xfId="691"/>
    <cellStyle name="20% - アクセント 3 2" xfId="692"/>
    <cellStyle name="20% - アクセント 3 2 2" xfId="693"/>
    <cellStyle name="20% - アクセント 3 3" xfId="694"/>
    <cellStyle name="20% - アクセント 3 4" xfId="695"/>
    <cellStyle name="20% - アクセント 3 5" xfId="696"/>
    <cellStyle name="20% - アクセント 3 6" xfId="697"/>
    <cellStyle name="20% - アクセント 4" xfId="698"/>
    <cellStyle name="20% - アクセント 4 2" xfId="699"/>
    <cellStyle name="20% - アクセント 4 2 2" xfId="700"/>
    <cellStyle name="20% - アクセント 4 3" xfId="701"/>
    <cellStyle name="20% - アクセント 4 4" xfId="702"/>
    <cellStyle name="20% - アクセント 4 5" xfId="703"/>
    <cellStyle name="20% - アクセント 4 6" xfId="704"/>
    <cellStyle name="20% - アクセント 5" xfId="705"/>
    <cellStyle name="20% - アクセント 5 2" xfId="706"/>
    <cellStyle name="20% - アクセント 5 2 2" xfId="707"/>
    <cellStyle name="20% - アクセント 5 3" xfId="708"/>
    <cellStyle name="20% - アクセント 5 4" xfId="709"/>
    <cellStyle name="20% - アクセント 5 5" xfId="710"/>
    <cellStyle name="20% - アクセント 5 6" xfId="711"/>
    <cellStyle name="20% - アクセント 6" xfId="712"/>
    <cellStyle name="20% - アクセント 6 2" xfId="713"/>
    <cellStyle name="20% - アクセント 6 2 2" xfId="714"/>
    <cellStyle name="20% - アクセント 6 3" xfId="715"/>
    <cellStyle name="20% - アクセント 6 4" xfId="716"/>
    <cellStyle name="20% - アクセント 6 5" xfId="717"/>
    <cellStyle name="20% - アクセント 6 6" xfId="718"/>
    <cellStyle name="20% - 강조색1" xfId="719"/>
    <cellStyle name="20% - 강조색1 2" xfId="720"/>
    <cellStyle name="20% - 강조색2" xfId="721"/>
    <cellStyle name="20% - 강조색2 2" xfId="722"/>
    <cellStyle name="20% - 강조색3" xfId="723"/>
    <cellStyle name="20% - 강조색3 2" xfId="724"/>
    <cellStyle name="20% - 강조색4" xfId="725"/>
    <cellStyle name="20% - 강조색4 2" xfId="726"/>
    <cellStyle name="20% - 강조색5" xfId="727"/>
    <cellStyle name="20% - 강조색5 2" xfId="728"/>
    <cellStyle name="20% - 강조색6" xfId="729"/>
    <cellStyle name="20% - 강조색6 2" xfId="730"/>
    <cellStyle name="40% - Accent1 2" xfId="731"/>
    <cellStyle name="40% - Accent1 2 2" xfId="732"/>
    <cellStyle name="40% - Accent1 2 2 2" xfId="733"/>
    <cellStyle name="40% - Accent1 2 2 3" xfId="734"/>
    <cellStyle name="40% - Accent1 2 2 4" xfId="735"/>
    <cellStyle name="40% - Accent1 2 2 5" xfId="736"/>
    <cellStyle name="40% - Accent1 2 3" xfId="737"/>
    <cellStyle name="40% - Accent1 2 3 2" xfId="738"/>
    <cellStyle name="40% - Accent1 2 3 3" xfId="739"/>
    <cellStyle name="40% - Accent1 2 3 4" xfId="740"/>
    <cellStyle name="40% - Accent1 2 3 5" xfId="741"/>
    <cellStyle name="40% - Accent1 2 4" xfId="742"/>
    <cellStyle name="40% - Accent1 2 5" xfId="743"/>
    <cellStyle name="40% - Accent1 2 6" xfId="744"/>
    <cellStyle name="40% - Accent1 2 7" xfId="745"/>
    <cellStyle name="40% - Accent1 2 8" xfId="746"/>
    <cellStyle name="40% - Accent1 2 9" xfId="747"/>
    <cellStyle name="40% - Accent1 3" xfId="748"/>
    <cellStyle name="40% - Accent1 3 2" xfId="749"/>
    <cellStyle name="40% - Accent1 3 2 2" xfId="750"/>
    <cellStyle name="40% - Accent1 3 2 3" xfId="751"/>
    <cellStyle name="40% - Accent1 3 3" xfId="752"/>
    <cellStyle name="40% - Accent1 3 4" xfId="753"/>
    <cellStyle name="40% - Accent1 3 5" xfId="754"/>
    <cellStyle name="40% - Accent1 3 6" xfId="755"/>
    <cellStyle name="40% - Accent1 3 7" xfId="756"/>
    <cellStyle name="40% - Accent1 4" xfId="757"/>
    <cellStyle name="40% - Accent1 4 2" xfId="758"/>
    <cellStyle name="40% - Accent1 4 2 2" xfId="759"/>
    <cellStyle name="40% - Accent1 4 2 2 2" xfId="760"/>
    <cellStyle name="40% - Accent1 4 2 3" xfId="761"/>
    <cellStyle name="40% - Accent1 4 2 4" xfId="762"/>
    <cellStyle name="40% - Accent1 4 3" xfId="763"/>
    <cellStyle name="40% - Accent1 4 3 2" xfId="764"/>
    <cellStyle name="40% - Accent1 4 4" xfId="765"/>
    <cellStyle name="40% - Accent1 4 5" xfId="766"/>
    <cellStyle name="40% - Accent1 4 6" xfId="767"/>
    <cellStyle name="40% - Accent1 5" xfId="768"/>
    <cellStyle name="40% - Accent1 5 2" xfId="769"/>
    <cellStyle name="40% - Accent1 5 2 2" xfId="770"/>
    <cellStyle name="40% - Accent1 5 2 2 2" xfId="771"/>
    <cellStyle name="40% - Accent1 5 2 3" xfId="772"/>
    <cellStyle name="40% - Accent1 5 2 4" xfId="773"/>
    <cellStyle name="40% - Accent1 5 3" xfId="774"/>
    <cellStyle name="40% - Accent1 5 3 2" xfId="775"/>
    <cellStyle name="40% - Accent1 5 4" xfId="776"/>
    <cellStyle name="40% - Accent1 5 5" xfId="777"/>
    <cellStyle name="40% - Accent1 6" xfId="778"/>
    <cellStyle name="40% - Accent1 6 2" xfId="779"/>
    <cellStyle name="40% - Accent1 6 2 2" xfId="780"/>
    <cellStyle name="40% - Accent1 6 2 2 2" xfId="781"/>
    <cellStyle name="40% - Accent1 6 2 3" xfId="782"/>
    <cellStyle name="40% - Accent1 6 3" xfId="783"/>
    <cellStyle name="40% - Accent1 6 3 2" xfId="784"/>
    <cellStyle name="40% - Accent1 6 4" xfId="785"/>
    <cellStyle name="40% - Accent1 7" xfId="786"/>
    <cellStyle name="40% - Accent1 7 2" xfId="787"/>
    <cellStyle name="40% - Accent1 7 3" xfId="788"/>
    <cellStyle name="40% - Accent1 8" xfId="789"/>
    <cellStyle name="40% - Accent1 8 2" xfId="790"/>
    <cellStyle name="40% - Accent1 9" xfId="791"/>
    <cellStyle name="40% - Accent2 2" xfId="792"/>
    <cellStyle name="40% - Accent2 2 2" xfId="793"/>
    <cellStyle name="40% - Accent2 2 2 2" xfId="794"/>
    <cellStyle name="40% - Accent2 2 2 3" xfId="795"/>
    <cellStyle name="40% - Accent2 2 2 4" xfId="796"/>
    <cellStyle name="40% - Accent2 2 2 5" xfId="797"/>
    <cellStyle name="40% - Accent2 2 3" xfId="798"/>
    <cellStyle name="40% - Accent2 2 3 2" xfId="799"/>
    <cellStyle name="40% - Accent2 2 3 3" xfId="800"/>
    <cellStyle name="40% - Accent2 2 3 4" xfId="801"/>
    <cellStyle name="40% - Accent2 2 3 5" xfId="802"/>
    <cellStyle name="40% - Accent2 2 4" xfId="803"/>
    <cellStyle name="40% - Accent2 2 5" xfId="804"/>
    <cellStyle name="40% - Accent2 2 6" xfId="805"/>
    <cellStyle name="40% - Accent2 2 7" xfId="806"/>
    <cellStyle name="40% - Accent2 2 8" xfId="807"/>
    <cellStyle name="40% - Accent2 2 9" xfId="808"/>
    <cellStyle name="40% - Accent2 3" xfId="809"/>
    <cellStyle name="40% - Accent2 3 2" xfId="810"/>
    <cellStyle name="40% - Accent2 3 2 2" xfId="811"/>
    <cellStyle name="40% - Accent2 3 2 3" xfId="812"/>
    <cellStyle name="40% - Accent2 3 3" xfId="813"/>
    <cellStyle name="40% - Accent2 3 4" xfId="814"/>
    <cellStyle name="40% - Accent2 3 5" xfId="815"/>
    <cellStyle name="40% - Accent2 3 6" xfId="816"/>
    <cellStyle name="40% - Accent2 3 7" xfId="817"/>
    <cellStyle name="40% - Accent2 4" xfId="818"/>
    <cellStyle name="40% - Accent2 4 2" xfId="819"/>
    <cellStyle name="40% - Accent2 4 2 2" xfId="820"/>
    <cellStyle name="40% - Accent2 4 2 2 2" xfId="821"/>
    <cellStyle name="40% - Accent2 4 2 3" xfId="822"/>
    <cellStyle name="40% - Accent2 4 2 4" xfId="823"/>
    <cellStyle name="40% - Accent2 4 3" xfId="824"/>
    <cellStyle name="40% - Accent2 4 3 2" xfId="825"/>
    <cellStyle name="40% - Accent2 4 4" xfId="826"/>
    <cellStyle name="40% - Accent2 4 5" xfId="827"/>
    <cellStyle name="40% - Accent2 4 6" xfId="828"/>
    <cellStyle name="40% - Accent2 5" xfId="829"/>
    <cellStyle name="40% - Accent2 5 2" xfId="830"/>
    <cellStyle name="40% - Accent2 5 2 2" xfId="831"/>
    <cellStyle name="40% - Accent2 5 2 2 2" xfId="832"/>
    <cellStyle name="40% - Accent2 5 2 3" xfId="833"/>
    <cellStyle name="40% - Accent2 5 2 4" xfId="834"/>
    <cellStyle name="40% - Accent2 5 3" xfId="835"/>
    <cellStyle name="40% - Accent2 5 3 2" xfId="836"/>
    <cellStyle name="40% - Accent2 5 4" xfId="837"/>
    <cellStyle name="40% - Accent2 5 5" xfId="838"/>
    <cellStyle name="40% - Accent2 6" xfId="839"/>
    <cellStyle name="40% - Accent2 6 2" xfId="840"/>
    <cellStyle name="40% - Accent2 6 2 2" xfId="841"/>
    <cellStyle name="40% - Accent2 6 2 2 2" xfId="842"/>
    <cellStyle name="40% - Accent2 6 2 3" xfId="843"/>
    <cellStyle name="40% - Accent2 6 3" xfId="844"/>
    <cellStyle name="40% - Accent2 6 3 2" xfId="845"/>
    <cellStyle name="40% - Accent2 6 4" xfId="846"/>
    <cellStyle name="40% - Accent2 7" xfId="847"/>
    <cellStyle name="40% - Accent2 7 2" xfId="848"/>
    <cellStyle name="40% - Accent2 7 3" xfId="849"/>
    <cellStyle name="40% - Accent2 8" xfId="850"/>
    <cellStyle name="40% - Accent2 8 2" xfId="851"/>
    <cellStyle name="40% - Accent2 9" xfId="852"/>
    <cellStyle name="40% - Accent3 2" xfId="853"/>
    <cellStyle name="40% - Accent3 2 2" xfId="854"/>
    <cellStyle name="40% - Accent3 2 2 2" xfId="855"/>
    <cellStyle name="40% - Accent3 2 2 3" xfId="856"/>
    <cellStyle name="40% - Accent3 2 2 4" xfId="857"/>
    <cellStyle name="40% - Accent3 2 2 5" xfId="858"/>
    <cellStyle name="40% - Accent3 2 3" xfId="859"/>
    <cellStyle name="40% - Accent3 2 3 2" xfId="860"/>
    <cellStyle name="40% - Accent3 2 3 3" xfId="861"/>
    <cellStyle name="40% - Accent3 2 3 4" xfId="862"/>
    <cellStyle name="40% - Accent3 2 3 5" xfId="863"/>
    <cellStyle name="40% - Accent3 2 4" xfId="864"/>
    <cellStyle name="40% - Accent3 2 5" xfId="865"/>
    <cellStyle name="40% - Accent3 2 6" xfId="866"/>
    <cellStyle name="40% - Accent3 2 7" xfId="867"/>
    <cellStyle name="40% - Accent3 2 8" xfId="868"/>
    <cellStyle name="40% - Accent3 2 9" xfId="869"/>
    <cellStyle name="40% - Accent3 3" xfId="870"/>
    <cellStyle name="40% - Accent3 3 2" xfId="871"/>
    <cellStyle name="40% - Accent3 3 2 2" xfId="872"/>
    <cellStyle name="40% - Accent3 3 2 3" xfId="873"/>
    <cellStyle name="40% - Accent3 3 3" xfId="874"/>
    <cellStyle name="40% - Accent3 3 4" xfId="875"/>
    <cellStyle name="40% - Accent3 3 5" xfId="876"/>
    <cellStyle name="40% - Accent3 3 6" xfId="877"/>
    <cellStyle name="40% - Accent3 3 7" xfId="878"/>
    <cellStyle name="40% - Accent3 4" xfId="879"/>
    <cellStyle name="40% - Accent3 4 2" xfId="880"/>
    <cellStyle name="40% - Accent3 4 2 2" xfId="881"/>
    <cellStyle name="40% - Accent3 4 2 2 2" xfId="882"/>
    <cellStyle name="40% - Accent3 4 2 3" xfId="883"/>
    <cellStyle name="40% - Accent3 4 2 4" xfId="884"/>
    <cellStyle name="40% - Accent3 4 3" xfId="885"/>
    <cellStyle name="40% - Accent3 4 3 2" xfId="886"/>
    <cellStyle name="40% - Accent3 4 4" xfId="887"/>
    <cellStyle name="40% - Accent3 4 5" xfId="888"/>
    <cellStyle name="40% - Accent3 4 6" xfId="889"/>
    <cellStyle name="40% - Accent3 5" xfId="890"/>
    <cellStyle name="40% - Accent3 5 2" xfId="891"/>
    <cellStyle name="40% - Accent3 5 2 2" xfId="892"/>
    <cellStyle name="40% - Accent3 5 2 2 2" xfId="893"/>
    <cellStyle name="40% - Accent3 5 2 3" xfId="894"/>
    <cellStyle name="40% - Accent3 5 2 4" xfId="895"/>
    <cellStyle name="40% - Accent3 5 3" xfId="896"/>
    <cellStyle name="40% - Accent3 5 3 2" xfId="897"/>
    <cellStyle name="40% - Accent3 5 4" xfId="898"/>
    <cellStyle name="40% - Accent3 5 5" xfId="899"/>
    <cellStyle name="40% - Accent3 6" xfId="900"/>
    <cellStyle name="40% - Accent3 6 2" xfId="901"/>
    <cellStyle name="40% - Accent3 6 2 2" xfId="902"/>
    <cellStyle name="40% - Accent3 6 2 2 2" xfId="903"/>
    <cellStyle name="40% - Accent3 6 2 3" xfId="904"/>
    <cellStyle name="40% - Accent3 6 3" xfId="905"/>
    <cellStyle name="40% - Accent3 6 3 2" xfId="906"/>
    <cellStyle name="40% - Accent3 6 4" xfId="907"/>
    <cellStyle name="40% - Accent3 7" xfId="908"/>
    <cellStyle name="40% - Accent3 7 2" xfId="909"/>
    <cellStyle name="40% - Accent3 7 3" xfId="910"/>
    <cellStyle name="40% - Accent3 8" xfId="911"/>
    <cellStyle name="40% - Accent3 8 2" xfId="912"/>
    <cellStyle name="40% - Accent3 9" xfId="913"/>
    <cellStyle name="40% - Accent4 2" xfId="914"/>
    <cellStyle name="40% - Accent4 2 2" xfId="915"/>
    <cellStyle name="40% - Accent4 2 2 2" xfId="916"/>
    <cellStyle name="40% - Accent4 2 2 3" xfId="917"/>
    <cellStyle name="40% - Accent4 2 2 4" xfId="918"/>
    <cellStyle name="40% - Accent4 2 2 5" xfId="919"/>
    <cellStyle name="40% - Accent4 2 3" xfId="920"/>
    <cellStyle name="40% - Accent4 2 3 2" xfId="921"/>
    <cellStyle name="40% - Accent4 2 3 3" xfId="922"/>
    <cellStyle name="40% - Accent4 2 3 4" xfId="923"/>
    <cellStyle name="40% - Accent4 2 3 5" xfId="924"/>
    <cellStyle name="40% - Accent4 2 4" xfId="925"/>
    <cellStyle name="40% - Accent4 2 5" xfId="926"/>
    <cellStyle name="40% - Accent4 2 6" xfId="927"/>
    <cellStyle name="40% - Accent4 2 7" xfId="928"/>
    <cellStyle name="40% - Accent4 2 8" xfId="929"/>
    <cellStyle name="40% - Accent4 2 9" xfId="930"/>
    <cellStyle name="40% - Accent4 3" xfId="931"/>
    <cellStyle name="40% - Accent4 3 2" xfId="932"/>
    <cellStyle name="40% - Accent4 3 2 2" xfId="933"/>
    <cellStyle name="40% - Accent4 3 2 3" xfId="934"/>
    <cellStyle name="40% - Accent4 3 3" xfId="935"/>
    <cellStyle name="40% - Accent4 3 4" xfId="936"/>
    <cellStyle name="40% - Accent4 3 5" xfId="937"/>
    <cellStyle name="40% - Accent4 3 6" xfId="938"/>
    <cellStyle name="40% - Accent4 3 7" xfId="939"/>
    <cellStyle name="40% - Accent4 4" xfId="940"/>
    <cellStyle name="40% - Accent4 4 2" xfId="941"/>
    <cellStyle name="40% - Accent4 4 2 2" xfId="942"/>
    <cellStyle name="40% - Accent4 4 2 2 2" xfId="943"/>
    <cellStyle name="40% - Accent4 4 2 3" xfId="944"/>
    <cellStyle name="40% - Accent4 4 2 4" xfId="945"/>
    <cellStyle name="40% - Accent4 4 3" xfId="946"/>
    <cellStyle name="40% - Accent4 4 3 2" xfId="947"/>
    <cellStyle name="40% - Accent4 4 4" xfId="948"/>
    <cellStyle name="40% - Accent4 4 5" xfId="949"/>
    <cellStyle name="40% - Accent4 4 6" xfId="950"/>
    <cellStyle name="40% - Accent4 5" xfId="951"/>
    <cellStyle name="40% - Accent4 5 2" xfId="952"/>
    <cellStyle name="40% - Accent4 5 2 2" xfId="953"/>
    <cellStyle name="40% - Accent4 5 2 2 2" xfId="954"/>
    <cellStyle name="40% - Accent4 5 2 3" xfId="955"/>
    <cellStyle name="40% - Accent4 5 2 4" xfId="956"/>
    <cellStyle name="40% - Accent4 5 3" xfId="957"/>
    <cellStyle name="40% - Accent4 5 3 2" xfId="958"/>
    <cellStyle name="40% - Accent4 5 4" xfId="959"/>
    <cellStyle name="40% - Accent4 5 5" xfId="960"/>
    <cellStyle name="40% - Accent4 6" xfId="961"/>
    <cellStyle name="40% - Accent4 6 2" xfId="962"/>
    <cellStyle name="40% - Accent4 6 2 2" xfId="963"/>
    <cellStyle name="40% - Accent4 6 2 2 2" xfId="964"/>
    <cellStyle name="40% - Accent4 6 2 3" xfId="965"/>
    <cellStyle name="40% - Accent4 6 3" xfId="966"/>
    <cellStyle name="40% - Accent4 6 3 2" xfId="967"/>
    <cellStyle name="40% - Accent4 6 4" xfId="968"/>
    <cellStyle name="40% - Accent4 7" xfId="969"/>
    <cellStyle name="40% - Accent4 7 2" xfId="970"/>
    <cellStyle name="40% - Accent4 7 3" xfId="971"/>
    <cellStyle name="40% - Accent4 8" xfId="972"/>
    <cellStyle name="40% - Accent4 8 2" xfId="973"/>
    <cellStyle name="40% - Accent4 9" xfId="974"/>
    <cellStyle name="40% - Accent5 2" xfId="975"/>
    <cellStyle name="40% - Accent5 2 2" xfId="976"/>
    <cellStyle name="40% - Accent5 2 2 2" xfId="977"/>
    <cellStyle name="40% - Accent5 2 2 3" xfId="978"/>
    <cellStyle name="40% - Accent5 2 2 4" xfId="979"/>
    <cellStyle name="40% - Accent5 2 2 5" xfId="980"/>
    <cellStyle name="40% - Accent5 2 3" xfId="981"/>
    <cellStyle name="40% - Accent5 2 3 2" xfId="982"/>
    <cellStyle name="40% - Accent5 2 3 3" xfId="983"/>
    <cellStyle name="40% - Accent5 2 3 4" xfId="984"/>
    <cellStyle name="40% - Accent5 2 3 5" xfId="985"/>
    <cellStyle name="40% - Accent5 2 4" xfId="986"/>
    <cellStyle name="40% - Accent5 2 5" xfId="987"/>
    <cellStyle name="40% - Accent5 2 6" xfId="988"/>
    <cellStyle name="40% - Accent5 2 7" xfId="989"/>
    <cellStyle name="40% - Accent5 2 8" xfId="990"/>
    <cellStyle name="40% - Accent5 2 9" xfId="991"/>
    <cellStyle name="40% - Accent5 3" xfId="992"/>
    <cellStyle name="40% - Accent5 3 2" xfId="993"/>
    <cellStyle name="40% - Accent5 3 2 2" xfId="994"/>
    <cellStyle name="40% - Accent5 3 2 3" xfId="995"/>
    <cellStyle name="40% - Accent5 3 3" xfId="996"/>
    <cellStyle name="40% - Accent5 3 4" xfId="997"/>
    <cellStyle name="40% - Accent5 3 5" xfId="998"/>
    <cellStyle name="40% - Accent5 3 6" xfId="999"/>
    <cellStyle name="40% - Accent5 3 7" xfId="1000"/>
    <cellStyle name="40% - Accent5 4" xfId="1001"/>
    <cellStyle name="40% - Accent5 4 2" xfId="1002"/>
    <cellStyle name="40% - Accent5 4 2 2" xfId="1003"/>
    <cellStyle name="40% - Accent5 4 2 2 2" xfId="1004"/>
    <cellStyle name="40% - Accent5 4 2 3" xfId="1005"/>
    <cellStyle name="40% - Accent5 4 2 4" xfId="1006"/>
    <cellStyle name="40% - Accent5 4 3" xfId="1007"/>
    <cellStyle name="40% - Accent5 4 3 2" xfId="1008"/>
    <cellStyle name="40% - Accent5 4 4" xfId="1009"/>
    <cellStyle name="40% - Accent5 4 5" xfId="1010"/>
    <cellStyle name="40% - Accent5 4 6" xfId="1011"/>
    <cellStyle name="40% - Accent5 5" xfId="1012"/>
    <cellStyle name="40% - Accent5 5 2" xfId="1013"/>
    <cellStyle name="40% - Accent5 5 2 2" xfId="1014"/>
    <cellStyle name="40% - Accent5 5 2 2 2" xfId="1015"/>
    <cellStyle name="40% - Accent5 5 2 3" xfId="1016"/>
    <cellStyle name="40% - Accent5 5 2 4" xfId="1017"/>
    <cellStyle name="40% - Accent5 5 3" xfId="1018"/>
    <cellStyle name="40% - Accent5 5 3 2" xfId="1019"/>
    <cellStyle name="40% - Accent5 5 4" xfId="1020"/>
    <cellStyle name="40% - Accent5 5 5" xfId="1021"/>
    <cellStyle name="40% - Accent5 6" xfId="1022"/>
    <cellStyle name="40% - Accent5 6 2" xfId="1023"/>
    <cellStyle name="40% - Accent5 6 2 2" xfId="1024"/>
    <cellStyle name="40% - Accent5 6 2 2 2" xfId="1025"/>
    <cellStyle name="40% - Accent5 6 2 3" xfId="1026"/>
    <cellStyle name="40% - Accent5 6 3" xfId="1027"/>
    <cellStyle name="40% - Accent5 6 3 2" xfId="1028"/>
    <cellStyle name="40% - Accent5 6 4" xfId="1029"/>
    <cellStyle name="40% - Accent5 7" xfId="1030"/>
    <cellStyle name="40% - Accent5 7 2" xfId="1031"/>
    <cellStyle name="40% - Accent5 7 3" xfId="1032"/>
    <cellStyle name="40% - Accent5 8" xfId="1033"/>
    <cellStyle name="40% - Accent5 8 2" xfId="1034"/>
    <cellStyle name="40% - Accent5 9" xfId="1035"/>
    <cellStyle name="40% - Accent6 2" xfId="1036"/>
    <cellStyle name="40% - Accent6 2 2" xfId="1037"/>
    <cellStyle name="40% - Accent6 2 2 2" xfId="1038"/>
    <cellStyle name="40% - Accent6 2 2 3" xfId="1039"/>
    <cellStyle name="40% - Accent6 2 2 4" xfId="1040"/>
    <cellStyle name="40% - Accent6 2 2 5" xfId="1041"/>
    <cellStyle name="40% - Accent6 2 3" xfId="1042"/>
    <cellStyle name="40% - Accent6 2 3 2" xfId="1043"/>
    <cellStyle name="40% - Accent6 2 3 3" xfId="1044"/>
    <cellStyle name="40% - Accent6 2 3 4" xfId="1045"/>
    <cellStyle name="40% - Accent6 2 3 5" xfId="1046"/>
    <cellStyle name="40% - Accent6 2 4" xfId="1047"/>
    <cellStyle name="40% - Accent6 2 5" xfId="1048"/>
    <cellStyle name="40% - Accent6 2 6" xfId="1049"/>
    <cellStyle name="40% - Accent6 2 7" xfId="1050"/>
    <cellStyle name="40% - Accent6 2 8" xfId="1051"/>
    <cellStyle name="40% - Accent6 2 9" xfId="1052"/>
    <cellStyle name="40% - Accent6 3" xfId="1053"/>
    <cellStyle name="40% - Accent6 3 2" xfId="1054"/>
    <cellStyle name="40% - Accent6 3 2 2" xfId="1055"/>
    <cellStyle name="40% - Accent6 3 2 3" xfId="1056"/>
    <cellStyle name="40% - Accent6 3 3" xfId="1057"/>
    <cellStyle name="40% - Accent6 3 4" xfId="1058"/>
    <cellStyle name="40% - Accent6 3 5" xfId="1059"/>
    <cellStyle name="40% - Accent6 3 6" xfId="1060"/>
    <cellStyle name="40% - Accent6 3 7" xfId="1061"/>
    <cellStyle name="40% - Accent6 4" xfId="1062"/>
    <cellStyle name="40% - Accent6 4 2" xfId="1063"/>
    <cellStyle name="40% - Accent6 4 2 2" xfId="1064"/>
    <cellStyle name="40% - Accent6 4 2 2 2" xfId="1065"/>
    <cellStyle name="40% - Accent6 4 2 3" xfId="1066"/>
    <cellStyle name="40% - Accent6 4 2 4" xfId="1067"/>
    <cellStyle name="40% - Accent6 4 3" xfId="1068"/>
    <cellStyle name="40% - Accent6 4 3 2" xfId="1069"/>
    <cellStyle name="40% - Accent6 4 4" xfId="1070"/>
    <cellStyle name="40% - Accent6 4 5" xfId="1071"/>
    <cellStyle name="40% - Accent6 4 6" xfId="1072"/>
    <cellStyle name="40% - Accent6 5" xfId="1073"/>
    <cellStyle name="40% - Accent6 5 2" xfId="1074"/>
    <cellStyle name="40% - Accent6 5 2 2" xfId="1075"/>
    <cellStyle name="40% - Accent6 5 2 2 2" xfId="1076"/>
    <cellStyle name="40% - Accent6 5 2 3" xfId="1077"/>
    <cellStyle name="40% - Accent6 5 2 4" xfId="1078"/>
    <cellStyle name="40% - Accent6 5 3" xfId="1079"/>
    <cellStyle name="40% - Accent6 5 3 2" xfId="1080"/>
    <cellStyle name="40% - Accent6 5 4" xfId="1081"/>
    <cellStyle name="40% - Accent6 5 5" xfId="1082"/>
    <cellStyle name="40% - Accent6 6" xfId="1083"/>
    <cellStyle name="40% - Accent6 6 2" xfId="1084"/>
    <cellStyle name="40% - Accent6 6 2 2" xfId="1085"/>
    <cellStyle name="40% - Accent6 6 2 2 2" xfId="1086"/>
    <cellStyle name="40% - Accent6 6 2 3" xfId="1087"/>
    <cellStyle name="40% - Accent6 6 3" xfId="1088"/>
    <cellStyle name="40% - Accent6 6 3 2" xfId="1089"/>
    <cellStyle name="40% - Accent6 6 4" xfId="1090"/>
    <cellStyle name="40% - Accent6 7" xfId="1091"/>
    <cellStyle name="40% - Accent6 7 2" xfId="1092"/>
    <cellStyle name="40% - Accent6 7 3" xfId="1093"/>
    <cellStyle name="40% - Accent6 8" xfId="1094"/>
    <cellStyle name="40% - Accent6 8 2" xfId="1095"/>
    <cellStyle name="40% - Accent6 9" xfId="1096"/>
    <cellStyle name="40% - アクセント 1" xfId="1097"/>
    <cellStyle name="40% - アクセント 1 2" xfId="1098"/>
    <cellStyle name="40% - アクセント 1 2 2" xfId="1099"/>
    <cellStyle name="40% - アクセント 1 3" xfId="1100"/>
    <cellStyle name="40% - アクセント 1 4" xfId="1101"/>
    <cellStyle name="40% - アクセント 1 5" xfId="1102"/>
    <cellStyle name="40% - アクセント 1 6" xfId="1103"/>
    <cellStyle name="40% - アクセント 2" xfId="1104"/>
    <cellStyle name="40% - アクセント 2 2" xfId="1105"/>
    <cellStyle name="40% - アクセント 2 2 2" xfId="1106"/>
    <cellStyle name="40% - アクセント 2 3" xfId="1107"/>
    <cellStyle name="40% - アクセント 2 4" xfId="1108"/>
    <cellStyle name="40% - アクセント 2 5" xfId="1109"/>
    <cellStyle name="40% - アクセント 2 6" xfId="1110"/>
    <cellStyle name="40% - アクセント 3" xfId="1111"/>
    <cellStyle name="40% - アクセント 3 2" xfId="1112"/>
    <cellStyle name="40% - アクセント 3 2 2" xfId="1113"/>
    <cellStyle name="40% - アクセント 3 3" xfId="1114"/>
    <cellStyle name="40% - アクセント 3 4" xfId="1115"/>
    <cellStyle name="40% - アクセント 3 5" xfId="1116"/>
    <cellStyle name="40% - アクセント 3 6" xfId="1117"/>
    <cellStyle name="40% - アクセント 4" xfId="1118"/>
    <cellStyle name="40% - アクセント 4 2" xfId="1119"/>
    <cellStyle name="40% - アクセント 4 2 2" xfId="1120"/>
    <cellStyle name="40% - アクセント 4 3" xfId="1121"/>
    <cellStyle name="40% - アクセント 4 4" xfId="1122"/>
    <cellStyle name="40% - アクセント 4 5" xfId="1123"/>
    <cellStyle name="40% - アクセント 4 6" xfId="1124"/>
    <cellStyle name="40% - アクセント 5" xfId="1125"/>
    <cellStyle name="40% - アクセント 5 2" xfId="1126"/>
    <cellStyle name="40% - アクセント 5 2 2" xfId="1127"/>
    <cellStyle name="40% - アクセント 5 3" xfId="1128"/>
    <cellStyle name="40% - アクセント 5 4" xfId="1129"/>
    <cellStyle name="40% - アクセント 5 5" xfId="1130"/>
    <cellStyle name="40% - アクセント 5 6" xfId="1131"/>
    <cellStyle name="40% - アクセント 6" xfId="1132"/>
    <cellStyle name="40% - アクセント 6 2" xfId="1133"/>
    <cellStyle name="40% - アクセント 6 2 2" xfId="1134"/>
    <cellStyle name="40% - アクセント 6 3" xfId="1135"/>
    <cellStyle name="40% - アクセント 6 4" xfId="1136"/>
    <cellStyle name="40% - アクセント 6 5" xfId="1137"/>
    <cellStyle name="40% - アクセント 6 6" xfId="1138"/>
    <cellStyle name="40% - 강조색1" xfId="1139"/>
    <cellStyle name="40% - 강조색1 2" xfId="1140"/>
    <cellStyle name="40% - 강조색2" xfId="1141"/>
    <cellStyle name="40% - 강조색2 2" xfId="1142"/>
    <cellStyle name="40% - 강조색3" xfId="1143"/>
    <cellStyle name="40% - 강조색3 2" xfId="1144"/>
    <cellStyle name="40% - 강조색4" xfId="1145"/>
    <cellStyle name="40% - 강조색4 2" xfId="1146"/>
    <cellStyle name="40% - 강조색5" xfId="1147"/>
    <cellStyle name="40% - 강조색5 2" xfId="1148"/>
    <cellStyle name="40% - 강조색6" xfId="1149"/>
    <cellStyle name="40% - 강조색6 2" xfId="1150"/>
    <cellStyle name="60% - Accent1 2" xfId="1151"/>
    <cellStyle name="60% - Accent1 2 2" xfId="1152"/>
    <cellStyle name="60% - Accent1 2 2 2" xfId="1153"/>
    <cellStyle name="60% - Accent1 2 2 3" xfId="1154"/>
    <cellStyle name="60% - Accent1 2 2 4" xfId="1155"/>
    <cellStyle name="60% - Accent1 2 2 5" xfId="1156"/>
    <cellStyle name="60% - Accent1 2 3" xfId="1157"/>
    <cellStyle name="60% - Accent1 2 3 2" xfId="1158"/>
    <cellStyle name="60% - Accent1 2 4" xfId="1159"/>
    <cellStyle name="60% - Accent1 2 5" xfId="1160"/>
    <cellStyle name="60% - Accent1 2 6" xfId="1161"/>
    <cellStyle name="60% - Accent1 2 7" xfId="1162"/>
    <cellStyle name="60% - Accent1 2 8" xfId="1163"/>
    <cellStyle name="60% - Accent1 3" xfId="1164"/>
    <cellStyle name="60% - Accent1 3 2" xfId="1165"/>
    <cellStyle name="60% - Accent1 3 3" xfId="1166"/>
    <cellStyle name="60% - Accent1 3 4" xfId="1167"/>
    <cellStyle name="60% - Accent1 3 5" xfId="1168"/>
    <cellStyle name="60% - Accent1 4" xfId="1169"/>
    <cellStyle name="60% - Accent1 4 2" xfId="1170"/>
    <cellStyle name="60% - Accent1 5" xfId="1171"/>
    <cellStyle name="60% - Accent1 6" xfId="1172"/>
    <cellStyle name="60% - Accent1 7" xfId="1173"/>
    <cellStyle name="60% - Accent2 2" xfId="1174"/>
    <cellStyle name="60% - Accent2 2 2" xfId="1175"/>
    <cellStyle name="60% - Accent2 2 2 2" xfId="1176"/>
    <cellStyle name="60% - Accent2 2 2 3" xfId="1177"/>
    <cellStyle name="60% - Accent2 2 2 4" xfId="1178"/>
    <cellStyle name="60% - Accent2 2 2 5" xfId="1179"/>
    <cellStyle name="60% - Accent2 2 3" xfId="1180"/>
    <cellStyle name="60% - Accent2 2 3 2" xfId="1181"/>
    <cellStyle name="60% - Accent2 2 4" xfId="1182"/>
    <cellStyle name="60% - Accent2 2 5" xfId="1183"/>
    <cellStyle name="60% - Accent2 2 6" xfId="1184"/>
    <cellStyle name="60% - Accent2 2 7" xfId="1185"/>
    <cellStyle name="60% - Accent2 2 8" xfId="1186"/>
    <cellStyle name="60% - Accent2 3" xfId="1187"/>
    <cellStyle name="60% - Accent2 3 2" xfId="1188"/>
    <cellStyle name="60% - Accent2 3 3" xfId="1189"/>
    <cellStyle name="60% - Accent2 3 4" xfId="1190"/>
    <cellStyle name="60% - Accent2 3 5" xfId="1191"/>
    <cellStyle name="60% - Accent2 4" xfId="1192"/>
    <cellStyle name="60% - Accent2 4 2" xfId="1193"/>
    <cellStyle name="60% - Accent2 5" xfId="1194"/>
    <cellStyle name="60% - Accent2 6" xfId="1195"/>
    <cellStyle name="60% - Accent2 7" xfId="1196"/>
    <cellStyle name="60% - Accent3 2" xfId="1197"/>
    <cellStyle name="60% - Accent3 2 2" xfId="1198"/>
    <cellStyle name="60% - Accent3 2 2 2" xfId="1199"/>
    <cellStyle name="60% - Accent3 2 2 3" xfId="1200"/>
    <cellStyle name="60% - Accent3 2 2 4" xfId="1201"/>
    <cellStyle name="60% - Accent3 2 2 5" xfId="1202"/>
    <cellStyle name="60% - Accent3 2 3" xfId="1203"/>
    <cellStyle name="60% - Accent3 2 3 2" xfId="1204"/>
    <cellStyle name="60% - Accent3 2 4" xfId="1205"/>
    <cellStyle name="60% - Accent3 2 5" xfId="1206"/>
    <cellStyle name="60% - Accent3 2 6" xfId="1207"/>
    <cellStyle name="60% - Accent3 2 7" xfId="1208"/>
    <cellStyle name="60% - Accent3 2 8" xfId="1209"/>
    <cellStyle name="60% - Accent3 3" xfId="1210"/>
    <cellStyle name="60% - Accent3 3 2" xfId="1211"/>
    <cellStyle name="60% - Accent3 3 3" xfId="1212"/>
    <cellStyle name="60% - Accent3 3 4" xfId="1213"/>
    <cellStyle name="60% - Accent3 3 5" xfId="1214"/>
    <cellStyle name="60% - Accent3 4" xfId="1215"/>
    <cellStyle name="60% - Accent3 4 2" xfId="1216"/>
    <cellStyle name="60% - Accent3 5" xfId="1217"/>
    <cellStyle name="60% - Accent3 6" xfId="1218"/>
    <cellStyle name="60% - Accent3 7" xfId="1219"/>
    <cellStyle name="60% - Accent4 2" xfId="1220"/>
    <cellStyle name="60% - Accent4 2 2" xfId="1221"/>
    <cellStyle name="60% - Accent4 2 2 2" xfId="1222"/>
    <cellStyle name="60% - Accent4 2 2 3" xfId="1223"/>
    <cellStyle name="60% - Accent4 2 2 4" xfId="1224"/>
    <cellStyle name="60% - Accent4 2 2 5" xfId="1225"/>
    <cellStyle name="60% - Accent4 2 3" xfId="1226"/>
    <cellStyle name="60% - Accent4 2 3 2" xfId="1227"/>
    <cellStyle name="60% - Accent4 2 4" xfId="1228"/>
    <cellStyle name="60% - Accent4 2 5" xfId="1229"/>
    <cellStyle name="60% - Accent4 2 6" xfId="1230"/>
    <cellStyle name="60% - Accent4 2 7" xfId="1231"/>
    <cellStyle name="60% - Accent4 2 8" xfId="1232"/>
    <cellStyle name="60% - Accent4 3" xfId="1233"/>
    <cellStyle name="60% - Accent4 3 2" xfId="1234"/>
    <cellStyle name="60% - Accent4 3 3" xfId="1235"/>
    <cellStyle name="60% - Accent4 3 4" xfId="1236"/>
    <cellStyle name="60% - Accent4 3 5" xfId="1237"/>
    <cellStyle name="60% - Accent4 4" xfId="1238"/>
    <cellStyle name="60% - Accent4 4 2" xfId="1239"/>
    <cellStyle name="60% - Accent4 5" xfId="1240"/>
    <cellStyle name="60% - Accent4 6" xfId="1241"/>
    <cellStyle name="60% - Accent4 7" xfId="1242"/>
    <cellStyle name="60% - Accent5 2" xfId="1243"/>
    <cellStyle name="60% - Accent5 2 2" xfId="1244"/>
    <cellStyle name="60% - Accent5 2 2 2" xfId="1245"/>
    <cellStyle name="60% - Accent5 2 2 3" xfId="1246"/>
    <cellStyle name="60% - Accent5 2 2 4" xfId="1247"/>
    <cellStyle name="60% - Accent5 2 2 5" xfId="1248"/>
    <cellStyle name="60% - Accent5 2 3" xfId="1249"/>
    <cellStyle name="60% - Accent5 2 3 2" xfId="1250"/>
    <cellStyle name="60% - Accent5 2 4" xfId="1251"/>
    <cellStyle name="60% - Accent5 2 5" xfId="1252"/>
    <cellStyle name="60% - Accent5 2 6" xfId="1253"/>
    <cellStyle name="60% - Accent5 2 7" xfId="1254"/>
    <cellStyle name="60% - Accent5 2 8" xfId="1255"/>
    <cellStyle name="60% - Accent5 3" xfId="1256"/>
    <cellStyle name="60% - Accent5 3 2" xfId="1257"/>
    <cellStyle name="60% - Accent5 3 3" xfId="1258"/>
    <cellStyle name="60% - Accent5 3 4" xfId="1259"/>
    <cellStyle name="60% - Accent5 3 5" xfId="1260"/>
    <cellStyle name="60% - Accent5 4" xfId="1261"/>
    <cellStyle name="60% - Accent5 4 2" xfId="1262"/>
    <cellStyle name="60% - Accent5 5" xfId="1263"/>
    <cellStyle name="60% - Accent5 6" xfId="1264"/>
    <cellStyle name="60% - Accent5 7" xfId="1265"/>
    <cellStyle name="60% - Accent6 2" xfId="1266"/>
    <cellStyle name="60% - Accent6 2 2" xfId="1267"/>
    <cellStyle name="60% - Accent6 2 2 2" xfId="1268"/>
    <cellStyle name="60% - Accent6 2 2 3" xfId="1269"/>
    <cellStyle name="60% - Accent6 2 2 4" xfId="1270"/>
    <cellStyle name="60% - Accent6 2 2 5" xfId="1271"/>
    <cellStyle name="60% - Accent6 2 3" xfId="1272"/>
    <cellStyle name="60% - Accent6 2 3 2" xfId="1273"/>
    <cellStyle name="60% - Accent6 2 4" xfId="1274"/>
    <cellStyle name="60% - Accent6 2 5" xfId="1275"/>
    <cellStyle name="60% - Accent6 2 6" xfId="1276"/>
    <cellStyle name="60% - Accent6 2 7" xfId="1277"/>
    <cellStyle name="60% - Accent6 2 8" xfId="1278"/>
    <cellStyle name="60% - Accent6 3" xfId="1279"/>
    <cellStyle name="60% - Accent6 3 2" xfId="1280"/>
    <cellStyle name="60% - Accent6 3 3" xfId="1281"/>
    <cellStyle name="60% - Accent6 3 4" xfId="1282"/>
    <cellStyle name="60% - Accent6 3 5" xfId="1283"/>
    <cellStyle name="60% - Accent6 4" xfId="1284"/>
    <cellStyle name="60% - Accent6 4 2" xfId="1285"/>
    <cellStyle name="60% - Accent6 5" xfId="1286"/>
    <cellStyle name="60% - Accent6 6" xfId="1287"/>
    <cellStyle name="60% - Accent6 7" xfId="1288"/>
    <cellStyle name="60% - アクセント 1" xfId="1289"/>
    <cellStyle name="60% - アクセント 1 2" xfId="1290"/>
    <cellStyle name="60% - アクセント 1 2 2" xfId="1291"/>
    <cellStyle name="60% - アクセント 1 3" xfId="1292"/>
    <cellStyle name="60% - アクセント 1 4" xfId="1293"/>
    <cellStyle name="60% - アクセント 1 5" xfId="1294"/>
    <cellStyle name="60% - アクセント 1 6" xfId="1295"/>
    <cellStyle name="60% - アクセント 2" xfId="1296"/>
    <cellStyle name="60% - アクセント 2 2" xfId="1297"/>
    <cellStyle name="60% - アクセント 2 2 2" xfId="1298"/>
    <cellStyle name="60% - アクセント 2 3" xfId="1299"/>
    <cellStyle name="60% - アクセント 2 4" xfId="1300"/>
    <cellStyle name="60% - アクセント 2 5" xfId="1301"/>
    <cellStyle name="60% - アクセント 2 6" xfId="1302"/>
    <cellStyle name="60% - アクセント 3" xfId="1303"/>
    <cellStyle name="60% - アクセント 3 2" xfId="1304"/>
    <cellStyle name="60% - アクセント 3 2 2" xfId="1305"/>
    <cellStyle name="60% - アクセント 3 3" xfId="1306"/>
    <cellStyle name="60% - アクセント 3 4" xfId="1307"/>
    <cellStyle name="60% - アクセント 3 5" xfId="1308"/>
    <cellStyle name="60% - アクセント 3 6" xfId="1309"/>
    <cellStyle name="60% - アクセント 4" xfId="1310"/>
    <cellStyle name="60% - アクセント 4 2" xfId="1311"/>
    <cellStyle name="60% - アクセント 4 2 2" xfId="1312"/>
    <cellStyle name="60% - アクセント 4 3" xfId="1313"/>
    <cellStyle name="60% - アクセント 4 4" xfId="1314"/>
    <cellStyle name="60% - アクセント 4 5" xfId="1315"/>
    <cellStyle name="60% - アクセント 4 6" xfId="1316"/>
    <cellStyle name="60% - アクセント 5" xfId="1317"/>
    <cellStyle name="60% - アクセント 5 2" xfId="1318"/>
    <cellStyle name="60% - アクセント 5 2 2" xfId="1319"/>
    <cellStyle name="60% - アクセント 5 3" xfId="1320"/>
    <cellStyle name="60% - アクセント 5 4" xfId="1321"/>
    <cellStyle name="60% - アクセント 5 5" xfId="1322"/>
    <cellStyle name="60% - アクセント 5 6" xfId="1323"/>
    <cellStyle name="60% - アクセント 6" xfId="1324"/>
    <cellStyle name="60% - アクセント 6 2" xfId="1325"/>
    <cellStyle name="60% - アクセント 6 2 2" xfId="1326"/>
    <cellStyle name="60% - アクセント 6 3" xfId="1327"/>
    <cellStyle name="60% - アクセント 6 4" xfId="1328"/>
    <cellStyle name="60% - アクセント 6 5" xfId="1329"/>
    <cellStyle name="60% - アクセント 6 6" xfId="1330"/>
    <cellStyle name="60% - 강조색1" xfId="1331"/>
    <cellStyle name="60% - 강조색1 2" xfId="1332"/>
    <cellStyle name="60% - 강조색2" xfId="1333"/>
    <cellStyle name="60% - 강조색2 2" xfId="1334"/>
    <cellStyle name="60% - 강조색3" xfId="1335"/>
    <cellStyle name="60% - 강조색3 2" xfId="1336"/>
    <cellStyle name="60% - 강조색4" xfId="1337"/>
    <cellStyle name="60% - 강조색4 2" xfId="1338"/>
    <cellStyle name="60% - 강조색5" xfId="1339"/>
    <cellStyle name="60% - 강조색5 2" xfId="1340"/>
    <cellStyle name="60% - 강조색6" xfId="1341"/>
    <cellStyle name="60% - 강조색6 2" xfId="1342"/>
    <cellStyle name="Accent1 - 20%" xfId="1343"/>
    <cellStyle name="Accent1 - 40%" xfId="1344"/>
    <cellStyle name="Accent1 - 60%" xfId="1345"/>
    <cellStyle name="Accent1 2" xfId="1346"/>
    <cellStyle name="Accent1 2 2" xfId="1347"/>
    <cellStyle name="Accent1 2 2 2" xfId="1348"/>
    <cellStyle name="Accent1 2 2 3" xfId="1349"/>
    <cellStyle name="Accent1 2 2 4" xfId="1350"/>
    <cellStyle name="Accent1 2 2 5" xfId="1351"/>
    <cellStyle name="Accent1 2 3" xfId="1352"/>
    <cellStyle name="Accent1 2 3 2" xfId="1353"/>
    <cellStyle name="Accent1 2 4" xfId="1354"/>
    <cellStyle name="Accent1 2 5" xfId="1355"/>
    <cellStyle name="Accent1 2 6" xfId="1356"/>
    <cellStyle name="Accent1 2 7" xfId="1357"/>
    <cellStyle name="Accent1 2 8" xfId="1358"/>
    <cellStyle name="Accent1 3" xfId="1359"/>
    <cellStyle name="Accent1 3 2" xfId="1360"/>
    <cellStyle name="Accent1 3 3" xfId="1361"/>
    <cellStyle name="Accent1 3 4" xfId="1362"/>
    <cellStyle name="Accent1 3 5" xfId="1363"/>
    <cellStyle name="Accent1 3 6" xfId="1364"/>
    <cellStyle name="Accent1 4" xfId="1365"/>
    <cellStyle name="Accent1 4 2" xfId="1366"/>
    <cellStyle name="Accent1 4 3" xfId="1367"/>
    <cellStyle name="Accent1 5" xfId="1368"/>
    <cellStyle name="Accent1 6" xfId="1369"/>
    <cellStyle name="Accent1 7" xfId="1370"/>
    <cellStyle name="Accent1 8" xfId="1371"/>
    <cellStyle name="Accent2 - 20%" xfId="1372"/>
    <cellStyle name="Accent2 - 40%" xfId="1373"/>
    <cellStyle name="Accent2 - 60%" xfId="1374"/>
    <cellStyle name="Accent2 2" xfId="1375"/>
    <cellStyle name="Accent2 2 2" xfId="1376"/>
    <cellStyle name="Accent2 2 2 2" xfId="1377"/>
    <cellStyle name="Accent2 2 2 3" xfId="1378"/>
    <cellStyle name="Accent2 2 2 4" xfId="1379"/>
    <cellStyle name="Accent2 2 2 5" xfId="1380"/>
    <cellStyle name="Accent2 2 3" xfId="1381"/>
    <cellStyle name="Accent2 2 3 2" xfId="1382"/>
    <cellStyle name="Accent2 2 4" xfId="1383"/>
    <cellStyle name="Accent2 2 5" xfId="1384"/>
    <cellStyle name="Accent2 2 6" xfId="1385"/>
    <cellStyle name="Accent2 2 7" xfId="1386"/>
    <cellStyle name="Accent2 2 8" xfId="1387"/>
    <cellStyle name="Accent2 3" xfId="1388"/>
    <cellStyle name="Accent2 3 2" xfId="1389"/>
    <cellStyle name="Accent2 3 3" xfId="1390"/>
    <cellStyle name="Accent2 3 4" xfId="1391"/>
    <cellStyle name="Accent2 3 5" xfId="1392"/>
    <cellStyle name="Accent2 3 6" xfId="1393"/>
    <cellStyle name="Accent2 4" xfId="1394"/>
    <cellStyle name="Accent2 4 2" xfId="1395"/>
    <cellStyle name="Accent2 4 3" xfId="1396"/>
    <cellStyle name="Accent2 5" xfId="1397"/>
    <cellStyle name="Accent2 6" xfId="1398"/>
    <cellStyle name="Accent2 7" xfId="1399"/>
    <cellStyle name="Accent2 8" xfId="1400"/>
    <cellStyle name="Accent3 - 20%" xfId="1401"/>
    <cellStyle name="Accent3 - 40%" xfId="1402"/>
    <cellStyle name="Accent3 - 60%" xfId="1403"/>
    <cellStyle name="Accent3 2" xfId="1404"/>
    <cellStyle name="Accent3 2 2" xfId="1405"/>
    <cellStyle name="Accent3 2 2 2" xfId="1406"/>
    <cellStyle name="Accent3 2 2 3" xfId="1407"/>
    <cellStyle name="Accent3 2 2 4" xfId="1408"/>
    <cellStyle name="Accent3 2 2 5" xfId="1409"/>
    <cellStyle name="Accent3 2 3" xfId="1410"/>
    <cellStyle name="Accent3 2 3 2" xfId="1411"/>
    <cellStyle name="Accent3 2 4" xfId="1412"/>
    <cellStyle name="Accent3 2 5" xfId="1413"/>
    <cellStyle name="Accent3 2 6" xfId="1414"/>
    <cellStyle name="Accent3 2 7" xfId="1415"/>
    <cellStyle name="Accent3 2 8" xfId="1416"/>
    <cellStyle name="Accent3 3" xfId="1417"/>
    <cellStyle name="Accent3 3 2" xfId="1418"/>
    <cellStyle name="Accent3 3 3" xfId="1419"/>
    <cellStyle name="Accent3 3 4" xfId="1420"/>
    <cellStyle name="Accent3 3 5" xfId="1421"/>
    <cellStyle name="Accent3 3 6" xfId="1422"/>
    <cellStyle name="Accent3 4" xfId="1423"/>
    <cellStyle name="Accent3 4 2" xfId="1424"/>
    <cellStyle name="Accent3 4 3" xfId="1425"/>
    <cellStyle name="Accent3 5" xfId="1426"/>
    <cellStyle name="Accent3 6" xfId="1427"/>
    <cellStyle name="Accent3 7" xfId="1428"/>
    <cellStyle name="Accent3 8" xfId="1429"/>
    <cellStyle name="Accent4 - 20%" xfId="1430"/>
    <cellStyle name="Accent4 - 40%" xfId="1431"/>
    <cellStyle name="Accent4 - 60%" xfId="1432"/>
    <cellStyle name="Accent4 2" xfId="1433"/>
    <cellStyle name="Accent4 2 2" xfId="1434"/>
    <cellStyle name="Accent4 2 2 2" xfId="1435"/>
    <cellStyle name="Accent4 2 2 3" xfId="1436"/>
    <cellStyle name="Accent4 2 2 4" xfId="1437"/>
    <cellStyle name="Accent4 2 2 5" xfId="1438"/>
    <cellStyle name="Accent4 2 3" xfId="1439"/>
    <cellStyle name="Accent4 2 3 2" xfId="1440"/>
    <cellStyle name="Accent4 2 4" xfId="1441"/>
    <cellStyle name="Accent4 2 5" xfId="1442"/>
    <cellStyle name="Accent4 2 6" xfId="1443"/>
    <cellStyle name="Accent4 2 7" xfId="1444"/>
    <cellStyle name="Accent4 2 8" xfId="1445"/>
    <cellStyle name="Accent4 3" xfId="1446"/>
    <cellStyle name="Accent4 3 2" xfId="1447"/>
    <cellStyle name="Accent4 3 3" xfId="1448"/>
    <cellStyle name="Accent4 3 4" xfId="1449"/>
    <cellStyle name="Accent4 3 5" xfId="1450"/>
    <cellStyle name="Accent4 3 6" xfId="1451"/>
    <cellStyle name="Accent4 4" xfId="1452"/>
    <cellStyle name="Accent4 4 2" xfId="1453"/>
    <cellStyle name="Accent4 4 3" xfId="1454"/>
    <cellStyle name="Accent4 5" xfId="1455"/>
    <cellStyle name="Accent4 6" xfId="1456"/>
    <cellStyle name="Accent4 7" xfId="1457"/>
    <cellStyle name="Accent4 8" xfId="1458"/>
    <cellStyle name="Accent5 - 20%" xfId="1459"/>
    <cellStyle name="Accent5 - 40%" xfId="1460"/>
    <cellStyle name="Accent5 - 60%" xfId="1461"/>
    <cellStyle name="Accent5 2" xfId="1462"/>
    <cellStyle name="Accent5 2 2" xfId="1463"/>
    <cellStyle name="Accent5 2 2 2" xfId="1464"/>
    <cellStyle name="Accent5 2 2 3" xfId="1465"/>
    <cellStyle name="Accent5 2 2 4" xfId="1466"/>
    <cellStyle name="Accent5 2 2 5" xfId="1467"/>
    <cellStyle name="Accent5 2 3" xfId="1468"/>
    <cellStyle name="Accent5 2 3 2" xfId="1469"/>
    <cellStyle name="Accent5 2 4" xfId="1470"/>
    <cellStyle name="Accent5 2 5" xfId="1471"/>
    <cellStyle name="Accent5 2 6" xfId="1472"/>
    <cellStyle name="Accent5 2 7" xfId="1473"/>
    <cellStyle name="Accent5 2 8" xfId="1474"/>
    <cellStyle name="Accent5 3" xfId="1475"/>
    <cellStyle name="Accent5 3 2" xfId="1476"/>
    <cellStyle name="Accent5 3 3" xfId="1477"/>
    <cellStyle name="Accent5 3 4" xfId="1478"/>
    <cellStyle name="Accent5 3 5" xfId="1479"/>
    <cellStyle name="Accent5 3 6" xfId="1480"/>
    <cellStyle name="Accent5 4" xfId="1481"/>
    <cellStyle name="Accent5 4 2" xfId="1482"/>
    <cellStyle name="Accent5 4 3" xfId="1483"/>
    <cellStyle name="Accent5 5" xfId="1484"/>
    <cellStyle name="Accent5 6" xfId="1485"/>
    <cellStyle name="Accent5 7" xfId="1486"/>
    <cellStyle name="Accent5 8" xfId="1487"/>
    <cellStyle name="Accent6 - 20%" xfId="1488"/>
    <cellStyle name="Accent6 - 40%" xfId="1489"/>
    <cellStyle name="Accent6 - 60%" xfId="1490"/>
    <cellStyle name="Accent6 2" xfId="1491"/>
    <cellStyle name="Accent6 2 2" xfId="1492"/>
    <cellStyle name="Accent6 2 2 2" xfId="1493"/>
    <cellStyle name="Accent6 2 2 3" xfId="1494"/>
    <cellStyle name="Accent6 2 2 4" xfId="1495"/>
    <cellStyle name="Accent6 2 2 5" xfId="1496"/>
    <cellStyle name="Accent6 2 3" xfId="1497"/>
    <cellStyle name="Accent6 2 3 2" xfId="1498"/>
    <cellStyle name="Accent6 2 4" xfId="1499"/>
    <cellStyle name="Accent6 2 5" xfId="1500"/>
    <cellStyle name="Accent6 2 6" xfId="1501"/>
    <cellStyle name="Accent6 2 7" xfId="1502"/>
    <cellStyle name="Accent6 2 8" xfId="1503"/>
    <cellStyle name="Accent6 3" xfId="1504"/>
    <cellStyle name="Accent6 3 2" xfId="1505"/>
    <cellStyle name="Accent6 3 3" xfId="1506"/>
    <cellStyle name="Accent6 3 4" xfId="1507"/>
    <cellStyle name="Accent6 3 5" xfId="1508"/>
    <cellStyle name="Accent6 3 6" xfId="1509"/>
    <cellStyle name="Accent6 4" xfId="1510"/>
    <cellStyle name="Accent6 4 2" xfId="1511"/>
    <cellStyle name="Accent6 4 3" xfId="1512"/>
    <cellStyle name="Accent6 5" xfId="1513"/>
    <cellStyle name="Accent6 6" xfId="1514"/>
    <cellStyle name="Accent6 7" xfId="1515"/>
    <cellStyle name="Accent6 8" xfId="1516"/>
    <cellStyle name="AR" xfId="1517"/>
    <cellStyle name="Bad 2" xfId="1518"/>
    <cellStyle name="Bad 2 2" xfId="1519"/>
    <cellStyle name="Bad 2 2 2" xfId="1520"/>
    <cellStyle name="Bad 2 2 3" xfId="1521"/>
    <cellStyle name="Bad 2 2 4" xfId="1522"/>
    <cellStyle name="Bad 2 2 5" xfId="1523"/>
    <cellStyle name="Bad 2 3" xfId="1524"/>
    <cellStyle name="Bad 2 3 2" xfId="1525"/>
    <cellStyle name="Bad 2 4" xfId="1526"/>
    <cellStyle name="Bad 2 5" xfId="1527"/>
    <cellStyle name="Bad 2 6" xfId="1528"/>
    <cellStyle name="Bad 2 7" xfId="1529"/>
    <cellStyle name="Bad 2 8" xfId="1530"/>
    <cellStyle name="Bad 3" xfId="1531"/>
    <cellStyle name="Bad 3 2" xfId="1532"/>
    <cellStyle name="Bad 3 3" xfId="1533"/>
    <cellStyle name="Bad 3 4" xfId="1534"/>
    <cellStyle name="Bad 3 5" xfId="1535"/>
    <cellStyle name="Bad 4" xfId="1536"/>
    <cellStyle name="Bad 4 2" xfId="1537"/>
    <cellStyle name="Bad 5" xfId="1538"/>
    <cellStyle name="Bad 6" xfId="1539"/>
    <cellStyle name="Bad 7" xfId="1540"/>
    <cellStyle name="Calculation 2" xfId="1541"/>
    <cellStyle name="Calculation 2 2" xfId="1542"/>
    <cellStyle name="Calculation 2 2 2" xfId="1543"/>
    <cellStyle name="Calculation 2 2 2 2" xfId="1544"/>
    <cellStyle name="Calculation 2 2 3" xfId="1545"/>
    <cellStyle name="Calculation 2 2 3 2" xfId="1546"/>
    <cellStyle name="Calculation 2 2 4" xfId="1547"/>
    <cellStyle name="Calculation 2 2 5" xfId="1548"/>
    <cellStyle name="Calculation 2 2 6" xfId="1549"/>
    <cellStyle name="Calculation 2 3" xfId="1550"/>
    <cellStyle name="Calculation 2 3 2" xfId="1551"/>
    <cellStyle name="Calculation 2 3 3" xfId="1552"/>
    <cellStyle name="Calculation 2 3 4" xfId="1553"/>
    <cellStyle name="Calculation 2 3 5" xfId="1554"/>
    <cellStyle name="Calculation 2 3 6" xfId="1555"/>
    <cellStyle name="Calculation 2 4" xfId="1556"/>
    <cellStyle name="Calculation 2 4 2" xfId="1557"/>
    <cellStyle name="Calculation 2 4 3" xfId="1558"/>
    <cellStyle name="Calculation 2 4 4" xfId="1559"/>
    <cellStyle name="Calculation 2 5" xfId="1560"/>
    <cellStyle name="Calculation 2 5 2" xfId="1561"/>
    <cellStyle name="Calculation 2 5 3" xfId="1562"/>
    <cellStyle name="Calculation 2 5 4" xfId="1563"/>
    <cellStyle name="Calculation 2 5 5" xfId="1564"/>
    <cellStyle name="Calculation 2 6" xfId="1565"/>
    <cellStyle name="Calculation 2 7" xfId="1566"/>
    <cellStyle name="Calculation 2 8" xfId="1567"/>
    <cellStyle name="Calculation 3" xfId="1568"/>
    <cellStyle name="Calculation 3 2" xfId="1569"/>
    <cellStyle name="Calculation 3 3" xfId="1570"/>
    <cellStyle name="Calculation 3 4" xfId="1571"/>
    <cellStyle name="Calculation 3 5" xfId="1572"/>
    <cellStyle name="Calculation 4" xfId="1573"/>
    <cellStyle name="Calculation 4 2" xfId="1574"/>
    <cellStyle name="Calculation 5" xfId="1575"/>
    <cellStyle name="Calculation 6" xfId="1576"/>
    <cellStyle name="Calculation 7" xfId="1577"/>
    <cellStyle name="Check Cell 2" xfId="1578"/>
    <cellStyle name="Check Cell 2 2" xfId="1579"/>
    <cellStyle name="Check Cell 2 2 2" xfId="1580"/>
    <cellStyle name="Check Cell 2 2 3" xfId="1581"/>
    <cellStyle name="Check Cell 2 2 4" xfId="1582"/>
    <cellStyle name="Check Cell 2 2 5" xfId="1583"/>
    <cellStyle name="Check Cell 2 3" xfId="1584"/>
    <cellStyle name="Check Cell 2 3 2" xfId="1585"/>
    <cellStyle name="Check Cell 2 4" xfId="1586"/>
    <cellStyle name="Check Cell 2 5" xfId="1587"/>
    <cellStyle name="Check Cell 2 6" xfId="1588"/>
    <cellStyle name="Check Cell 2 7" xfId="1589"/>
    <cellStyle name="Check Cell 2 8" xfId="1590"/>
    <cellStyle name="Check Cell 3" xfId="1591"/>
    <cellStyle name="Check Cell 3 2" xfId="1592"/>
    <cellStyle name="Check Cell 3 3" xfId="1593"/>
    <cellStyle name="Check Cell 3 4" xfId="1594"/>
    <cellStyle name="Check Cell 3 5" xfId="1595"/>
    <cellStyle name="Check Cell 4" xfId="1596"/>
    <cellStyle name="Check Cell 4 2" xfId="1597"/>
    <cellStyle name="Check Cell 5" xfId="1598"/>
    <cellStyle name="Check Cell 6" xfId="1599"/>
    <cellStyle name="Check Cell 7" xfId="1600"/>
    <cellStyle name="Checksum" xfId="1601"/>
    <cellStyle name="****************************************** 2" xfId="1602"/>
    <cellStyle name="Normal 6" xfId="1603"/>
    <cellStyle name="20% - Accent1 10" xfId="1604"/>
    <cellStyle name="20% - Accent2 10" xfId="1605"/>
    <cellStyle name="20% - Accent3 10" xfId="1606"/>
    <cellStyle name="20% - Accent4 10" xfId="1607"/>
    <cellStyle name="Accent1 14" xfId="1608"/>
    <cellStyle name="Accent6 15" xfId="1609"/>
    <cellStyle name="40% - Accent1 10" xfId="1610"/>
    <cellStyle name="40% - Accent2 10" xfId="1611"/>
    <cellStyle name="40% - Accent3 10" xfId="1612"/>
    <cellStyle name="40% - Accent4 10" xfId="1613"/>
    <cellStyle name="Input 4" xfId="1614"/>
    <cellStyle name="40% - Accent6 10" xfId="1615"/>
    <cellStyle name="60% - Accent1 8" xfId="1616"/>
    <cellStyle name="60% - Accent2 8" xfId="1617"/>
    <cellStyle name="60% - Accent3 8" xfId="1618"/>
    <cellStyle name="60% - Accent4 8" xfId="1619"/>
    <cellStyle name="Calculation 11" xfId="1620"/>
    <cellStyle name="60% - Accent6 8" xfId="1621"/>
    <cellStyle name="Accent1 9" xfId="1622"/>
    <cellStyle name="Accent2 9" xfId="1623"/>
    <cellStyle name="Accent3 9" xfId="1624"/>
    <cellStyle name="Accent4 9" xfId="1625"/>
    <cellStyle name="Accent5 9" xfId="1626"/>
    <cellStyle name="Accent6 9" xfId="1627"/>
    <cellStyle name="Bad 8" xfId="1628"/>
    <cellStyle name="Calculation 8" xfId="1629"/>
    <cellStyle name="Accent1 16" xfId="1630"/>
    <cellStyle name="Currency 4" xfId="1631"/>
    <cellStyle name="E&amp;Y House" xfId="1632"/>
    <cellStyle name="Euro 2" xfId="1633"/>
    <cellStyle name="Explanatory Text 2" xfId="1634"/>
    <cellStyle name="Good 2" xfId="1635"/>
    <cellStyle name="Note 3" xfId="1636"/>
    <cellStyle name="Header2 2" xfId="1637"/>
    <cellStyle name="Heading 1 2" xfId="1638"/>
    <cellStyle name="Heading 2 2" xfId="1639"/>
    <cellStyle name="Heading 3 2" xfId="1640"/>
    <cellStyle name="Heading 4 2" xfId="1641"/>
    <cellStyle name="Input 2" xfId="1642"/>
    <cellStyle name="Linked Cell 2" xfId="1643"/>
    <cellStyle name="Neutral 2" xfId="1644"/>
    <cellStyle name="Note 2" xfId="1645"/>
    <cellStyle name="Output 2" xfId="1646"/>
    <cellStyle name="Title 2" xfId="1647"/>
    <cellStyle name="Total 3" xfId="1648"/>
    <cellStyle name="Tusental_Cepheid A B  5 Year_Capex_HR_from_Henry" xfId="1649"/>
    <cellStyle name="Valuta_IFRS_Balance_Cepheid Mar 07 with More Questions" xfId="1650"/>
    <cellStyle name="Warning Text 2" xfId="1651"/>
    <cellStyle name="Normal 2 2 3" xfId="1652"/>
    <cellStyle name="Normal 7" xfId="1653"/>
    <cellStyle name="Percent 4" xfId="1654"/>
    <cellStyle name="Accent2 14" xfId="1655"/>
    <cellStyle name="Accent3 14" xfId="1656"/>
    <cellStyle name="Currency 8" xfId="1657"/>
    <cellStyle name="Accent4 14" xfId="1658"/>
    <cellStyle name="Accent5 14" xfId="1659"/>
    <cellStyle name="Accent6 14" xfId="1660"/>
    <cellStyle name="Accent1 12" xfId="1661"/>
    <cellStyle name="Accent2 12" xfId="1662"/>
    <cellStyle name="Currency 6" xfId="1663"/>
    <cellStyle name="Accent3 12" xfId="1664"/>
    <cellStyle name="Calculation 9" xfId="1665"/>
    <cellStyle name="Accent4 12" xfId="1666"/>
    <cellStyle name="Accent1 10" xfId="1667"/>
    <cellStyle name="Accent2 10" xfId="1668"/>
    <cellStyle name="Accent3 10" xfId="1669"/>
    <cellStyle name="Accent4 10" xfId="1670"/>
    <cellStyle name="Accent5 10" xfId="1671"/>
    <cellStyle name="Accent6 10" xfId="1672"/>
    <cellStyle name="Accent6 11" xfId="1673"/>
    <cellStyle name="Accent5 11" xfId="1674"/>
    <cellStyle name="Accent4 11" xfId="1675"/>
    <cellStyle name="Currency 5" xfId="1676"/>
    <cellStyle name="Accent3 11" xfId="1677"/>
    <cellStyle name="Accent2 11" xfId="1678"/>
    <cellStyle name="Accent1 11" xfId="1679"/>
    <cellStyle name="Accent5 12" xfId="1680"/>
    <cellStyle name="Accent6 12" xfId="1681"/>
    <cellStyle name="Accent6 13" xfId="1682"/>
    <cellStyle name="Accent5 13" xfId="1683"/>
    <cellStyle name="Accent4 13" xfId="1684"/>
    <cellStyle name="Currency 7" xfId="1685"/>
    <cellStyle name="Accent3 13" xfId="1686"/>
    <cellStyle name="Input 3" xfId="1687"/>
    <cellStyle name="Accent1 13" xfId="1688"/>
    <cellStyle name="Accent5 15" xfId="1689"/>
    <cellStyle name="Currency 9" xfId="1690"/>
    <cellStyle name="Accent3 15" xfId="1691"/>
    <cellStyle name="Accent2 15" xfId="1692"/>
    <cellStyle name="Accent1 15" xfId="1693"/>
    <cellStyle name="Input 5" xfId="1694"/>
    <cellStyle name="Accent4 16" xfId="1695"/>
    <cellStyle name="Normal 8" xfId="1696"/>
    <cellStyle name="Accent4 15" xfId="1697"/>
    <cellStyle name="Calculation 10" xfId="1698"/>
    <cellStyle name="Percent 5" xfId="1699"/>
    <cellStyle name="Accent2 13" xfId="1700"/>
    <cellStyle name="Accent2 18" xfId="1701"/>
    <cellStyle name="Input 6" xfId="1702"/>
    <cellStyle name="Currency 12" xfId="1703"/>
    <cellStyle name="Accent6 19" xfId="1704"/>
    <cellStyle name="Accent1 20" xfId="1705"/>
    <cellStyle name="Normal 9" xfId="1706"/>
    <cellStyle name="Accent3 18" xfId="1707"/>
    <cellStyle name="Currency 10" xfId="1708"/>
    <cellStyle name="Percent 6" xfId="1709"/>
    <cellStyle name="Accent2 16" xfId="1710"/>
    <cellStyle name="Accent5 16" xfId="1711"/>
    <cellStyle name="Accent5 17" xfId="1712"/>
    <cellStyle name="Accent4 17" xfId="1713"/>
    <cellStyle name="Input 7" xfId="1714"/>
    <cellStyle name="Accent3 17" xfId="1715"/>
    <cellStyle name="Accent2 17" xfId="1716"/>
    <cellStyle name="Accent5 18" xfId="1717"/>
    <cellStyle name="Normal 13" xfId="1718"/>
    <cellStyle name="Accent6 17" xfId="1719"/>
    <cellStyle name="Accent6 16" xfId="1720"/>
    <cellStyle name="Percent 7" xfId="1721"/>
    <cellStyle name="Accent3 16" xfId="1722"/>
    <cellStyle name="Currency 14" xfId="1723"/>
    <cellStyle name="Accent6 21" xfId="1724"/>
    <cellStyle name="Input 8" xfId="1725"/>
    <cellStyle name="Accent2 22" xfId="1726"/>
    <cellStyle name="Accent1 22" xfId="1727"/>
    <cellStyle name="Normal 14" xfId="1728"/>
    <cellStyle name="Accent2 20" xfId="1729"/>
    <cellStyle name="Accent3 20" xfId="1730"/>
    <cellStyle name="Percent 8" xfId="1731"/>
    <cellStyle name="Accent1 18" xfId="1732"/>
    <cellStyle name="Accent6 18" xfId="1733"/>
    <cellStyle name="Accent5 19" xfId="1734"/>
    <cellStyle name="Calculation 12" xfId="1735"/>
    <cellStyle name="Accent4 19" xfId="1736"/>
    <cellStyle name="Currency 13" xfId="1737"/>
    <cellStyle name="Normal 15" xfId="1738"/>
    <cellStyle name="Accent4 18" xfId="1739"/>
    <cellStyle name="Accent1 17" xfId="1740"/>
    <cellStyle name="Percent 9" xfId="1741"/>
    <cellStyle name="Currency 11" xfId="1742"/>
    <cellStyle name="Note 4" xfId="1743"/>
    <cellStyle name="Output 3" xfId="1744"/>
    <cellStyle name="Accent3 24" xfId="1745"/>
    <cellStyle name="Total 4" xfId="1746"/>
    <cellStyle name="Accent2 24" xfId="1747"/>
    <cellStyle name="Note 5" xfId="1748"/>
    <cellStyle name="Normal 16" xfId="1749"/>
    <cellStyle name="Input 10" xfId="1750"/>
    <cellStyle name="Currency 16" xfId="1751"/>
    <cellStyle name="Percent 10" xfId="1752"/>
    <cellStyle name="Accent3 22" xfId="1753"/>
    <cellStyle name="Input 9" xfId="1754"/>
    <cellStyle name="Accent2 19" xfId="1755"/>
    <cellStyle name="Accent1 19" xfId="1756"/>
    <cellStyle name="Accent6 20" xfId="1757"/>
    <cellStyle name="Accent5 21" xfId="1758"/>
    <cellStyle name="Calculation 13" xfId="1759"/>
    <cellStyle name="Accent4 21" xfId="1760"/>
    <cellStyle name="Currency 15" xfId="1761"/>
    <cellStyle name="Input 11" xfId="1762"/>
    <cellStyle name="Normal 17" xfId="1763"/>
    <cellStyle name="Accent5 20" xfId="1764"/>
    <cellStyle name="Accent4 20" xfId="1765"/>
    <cellStyle name="Percent 11" xfId="1766"/>
    <cellStyle name="Accent3 19" xfId="1767"/>
    <cellStyle name="Output 4" xfId="1768"/>
    <cellStyle name="Input 12" xfId="1769"/>
    <cellStyle name="Total 5" xfId="1770"/>
    <cellStyle name="Accent3 26" xfId="1771"/>
    <cellStyle name="Accent2 26" xfId="1772"/>
    <cellStyle name="Normal 18" xfId="1773"/>
    <cellStyle name="Currency 18" xfId="1774"/>
    <cellStyle name="Accent1 24" xfId="1775"/>
    <cellStyle name="Percent 12" xfId="1776"/>
    <cellStyle name="Accent6 23" xfId="1777"/>
    <cellStyle name="Accent2 21" xfId="1778"/>
    <cellStyle name="Accent1 21" xfId="1779"/>
    <cellStyle name="Accent6 22" xfId="1780"/>
    <cellStyle name="Accent5 23" xfId="1781"/>
    <cellStyle name="Calculation 14" xfId="1782"/>
    <cellStyle name="Accent4 23" xfId="1783"/>
    <cellStyle name="Currency 17" xfId="1784"/>
    <cellStyle name="Input 13" xfId="1785"/>
    <cellStyle name="Normal 19" xfId="1786"/>
    <cellStyle name="Accent5 22" xfId="1787"/>
    <cellStyle name="Accent4 22" xfId="1788"/>
    <cellStyle name="Percent 13" xfId="1789"/>
    <cellStyle name="Accent3 21" xfId="1790"/>
    <cellStyle name="Note 6" xfId="1791"/>
    <cellStyle name="Output 5" xfId="1792"/>
    <cellStyle name="Input 14" xfId="1793"/>
    <cellStyle name="Total 6" xfId="1794"/>
    <cellStyle name="Accent3 28" xfId="1795"/>
    <cellStyle name="Accent2 28" xfId="1796"/>
    <cellStyle name="Normal 20" xfId="1797"/>
    <cellStyle name="Currency 20" xfId="1798"/>
    <cellStyle name="Accent1 26" xfId="1799"/>
    <cellStyle name="Percent 14" xfId="1800"/>
    <cellStyle name="Accent6 25" xfId="1801"/>
    <cellStyle name="Accent2 23" xfId="1802"/>
    <cellStyle name="Accent1 23" xfId="1803"/>
    <cellStyle name="Accent6 24" xfId="1804"/>
    <cellStyle name="Accent5 25" xfId="1805"/>
    <cellStyle name="Calculation 15" xfId="1806"/>
    <cellStyle name="Accent4 25" xfId="1807"/>
    <cellStyle name="Currency 19" xfId="1808"/>
    <cellStyle name="Input 15" xfId="1809"/>
    <cellStyle name="Normal 21" xfId="1810"/>
    <cellStyle name="Accent5 24" xfId="1811"/>
    <cellStyle name="Accent4 24" xfId="1812"/>
    <cellStyle name="Percent 15" xfId="1813"/>
    <cellStyle name="Accent3 23" xfId="1814"/>
    <cellStyle name="Note 7" xfId="1815"/>
    <cellStyle name="Output 6" xfId="1816"/>
    <cellStyle name="Input 16" xfId="1817"/>
    <cellStyle name="Total 7" xfId="1818"/>
    <cellStyle name="Accent3 30" xfId="1819"/>
    <cellStyle name="Accent2 30" xfId="1820"/>
    <cellStyle name="Normal 22" xfId="1821"/>
    <cellStyle name="Currency 22" xfId="1822"/>
    <cellStyle name="Accent1 28" xfId="1823"/>
    <cellStyle name="Percent 16" xfId="1824"/>
    <cellStyle name="Accent6 27" xfId="1825"/>
    <cellStyle name="Accent2 25" xfId="1826"/>
    <cellStyle name="Accent1 25" xfId="1827"/>
    <cellStyle name="Accent6 26" xfId="1828"/>
    <cellStyle name="Accent5 27" xfId="1829"/>
    <cellStyle name="Calculation 16" xfId="1830"/>
    <cellStyle name="Accent4 27" xfId="1831"/>
    <cellStyle name="Currency 21" xfId="1832"/>
    <cellStyle name="Input 17" xfId="1833"/>
    <cellStyle name="Normal 23" xfId="1834"/>
    <cellStyle name="Accent5 26" xfId="1835"/>
    <cellStyle name="Accent4 26" xfId="1836"/>
    <cellStyle name="Percent 17" xfId="1837"/>
    <cellStyle name="Accent3 25" xfId="1838"/>
    <cellStyle name="Note 8" xfId="1839"/>
    <cellStyle name="Output 7" xfId="1840"/>
    <cellStyle name="Input 18" xfId="1841"/>
    <cellStyle name="Total 8" xfId="1842"/>
    <cellStyle name="Accent3 32" xfId="1843"/>
    <cellStyle name="Accent2 32" xfId="1844"/>
    <cellStyle name="Normal 24" xfId="1845"/>
    <cellStyle name="Currency 24" xfId="1846"/>
    <cellStyle name="Accent1 30" xfId="1847"/>
    <cellStyle name="Percent 18" xfId="1848"/>
    <cellStyle name="Accent6 29" xfId="1849"/>
    <cellStyle name="Accent2 27" xfId="1850"/>
    <cellStyle name="Accent1 27" xfId="1851"/>
    <cellStyle name="Accent6 28" xfId="1852"/>
    <cellStyle name="Accent5 29" xfId="1853"/>
    <cellStyle name="Calculation 17" xfId="1854"/>
    <cellStyle name="Accent4 29" xfId="1855"/>
    <cellStyle name="Currency 23" xfId="1856"/>
    <cellStyle name="Input 19" xfId="1857"/>
    <cellStyle name="Normal 25" xfId="1858"/>
    <cellStyle name="Accent5 28" xfId="1859"/>
    <cellStyle name="Accent4 28" xfId="1860"/>
    <cellStyle name="Percent 19" xfId="1861"/>
    <cellStyle name="Accent3 27" xfId="1862"/>
    <cellStyle name="Note 9" xfId="1863"/>
    <cellStyle name="Output 8" xfId="1864"/>
    <cellStyle name="Input 20" xfId="1865"/>
    <cellStyle name="Total 9" xfId="1866"/>
    <cellStyle name="Accent3 34" xfId="1867"/>
    <cellStyle name="Accent2 34" xfId="1868"/>
    <cellStyle name="Normal 26" xfId="1869"/>
    <cellStyle name="Currency 26" xfId="1870"/>
    <cellStyle name="Accent1 32" xfId="1871"/>
    <cellStyle name="Percent 20" xfId="1872"/>
    <cellStyle name="Accent6 31" xfId="1873"/>
    <cellStyle name="Accent2 29" xfId="1874"/>
    <cellStyle name="Accent1 29" xfId="1875"/>
    <cellStyle name="Accent6 30" xfId="1876"/>
    <cellStyle name="Accent5 31" xfId="1877"/>
    <cellStyle name="Calculation 18" xfId="1878"/>
    <cellStyle name="Accent4 31" xfId="1879"/>
    <cellStyle name="Currency 25" xfId="1880"/>
    <cellStyle name="Input 21" xfId="1881"/>
    <cellStyle name="Normal 27" xfId="1882"/>
    <cellStyle name="Accent5 30" xfId="1883"/>
    <cellStyle name="Accent4 30" xfId="1884"/>
    <cellStyle name="Percent 21" xfId="1885"/>
    <cellStyle name="Accent3 29" xfId="1886"/>
    <cellStyle name="Note 10" xfId="1887"/>
    <cellStyle name="Output 9" xfId="1888"/>
    <cellStyle name="Input 22" xfId="1889"/>
    <cellStyle name="Total 10" xfId="1890"/>
    <cellStyle name="Accent3 36" xfId="1891"/>
    <cellStyle name="Accent2 36" xfId="1892"/>
    <cellStyle name="Normal 28" xfId="1893"/>
    <cellStyle name="Currency 28" xfId="1894"/>
    <cellStyle name="Accent1 34" xfId="1895"/>
    <cellStyle name="Percent 22" xfId="1896"/>
    <cellStyle name="Accent6 33" xfId="1897"/>
    <cellStyle name="Accent2 31" xfId="1898"/>
    <cellStyle name="Accent1 31" xfId="1899"/>
    <cellStyle name="Accent6 32" xfId="1900"/>
    <cellStyle name="Accent5 33" xfId="1901"/>
    <cellStyle name="Calculation 19" xfId="1902"/>
    <cellStyle name="Accent4 33" xfId="1903"/>
    <cellStyle name="Currency 27" xfId="1904"/>
    <cellStyle name="Input 23" xfId="1905"/>
    <cellStyle name="Normal 29" xfId="1906"/>
    <cellStyle name="Accent5 32" xfId="1907"/>
    <cellStyle name="Accent4 32" xfId="1908"/>
    <cellStyle name="Percent 23" xfId="1909"/>
    <cellStyle name="Accent3 31" xfId="1910"/>
    <cellStyle name="Note 11" xfId="1911"/>
    <cellStyle name="Output 10" xfId="1912"/>
    <cellStyle name="Input 24" xfId="1913"/>
    <cellStyle name="Total 11" xfId="1914"/>
    <cellStyle name="Accent3 38" xfId="1915"/>
    <cellStyle name="Accent2 38" xfId="1916"/>
    <cellStyle name="Normal 30" xfId="1917"/>
    <cellStyle name="Currency 30" xfId="1918"/>
    <cellStyle name="Accent1 36" xfId="1919"/>
    <cellStyle name="Percent 24" xfId="1920"/>
    <cellStyle name="Accent6 35" xfId="1921"/>
    <cellStyle name="Accent2 33" xfId="1922"/>
    <cellStyle name="Accent1 33" xfId="1923"/>
    <cellStyle name="Accent6 34" xfId="1924"/>
    <cellStyle name="Accent5 35" xfId="1925"/>
    <cellStyle name="Calculation 20" xfId="1926"/>
    <cellStyle name="Accent4 35" xfId="1927"/>
    <cellStyle name="Currency 29" xfId="1928"/>
    <cellStyle name="Input 25" xfId="1929"/>
    <cellStyle name="Normal 31" xfId="1930"/>
    <cellStyle name="Accent5 34" xfId="1931"/>
    <cellStyle name="Accent4 34" xfId="1932"/>
    <cellStyle name="Percent 25" xfId="1933"/>
    <cellStyle name="Accent3 33" xfId="1934"/>
    <cellStyle name="Note 12" xfId="1935"/>
    <cellStyle name="Output 11" xfId="1936"/>
    <cellStyle name="Input 26" xfId="1937"/>
    <cellStyle name="Total 12" xfId="1938"/>
    <cellStyle name="Accent3 40" xfId="1939"/>
    <cellStyle name="Accent2 40" xfId="1940"/>
    <cellStyle name="Normal 32" xfId="1941"/>
    <cellStyle name="Currency 32" xfId="1942"/>
    <cellStyle name="Accent1 38" xfId="1943"/>
    <cellStyle name="Percent 26" xfId="1944"/>
    <cellStyle name="Accent6 37" xfId="1945"/>
    <cellStyle name="Accent2 35" xfId="1946"/>
    <cellStyle name="Accent1 35" xfId="1947"/>
    <cellStyle name="Accent6 36" xfId="1948"/>
    <cellStyle name="Accent5 37" xfId="1949"/>
    <cellStyle name="Calculation 21" xfId="1950"/>
    <cellStyle name="Accent4 37" xfId="1951"/>
    <cellStyle name="Currency 31" xfId="1952"/>
    <cellStyle name="Input 27" xfId="1953"/>
    <cellStyle name="Normal 33" xfId="1954"/>
    <cellStyle name="Accent5 36" xfId="1955"/>
    <cellStyle name="Accent4 36" xfId="1956"/>
    <cellStyle name="Percent 27" xfId="1957"/>
    <cellStyle name="Accent3 35" xfId="1958"/>
    <cellStyle name="Note 13" xfId="1959"/>
    <cellStyle name="Output 12" xfId="1960"/>
    <cellStyle name="Input 28" xfId="1961"/>
    <cellStyle name="Total 13" xfId="1962"/>
    <cellStyle name="Accent3 42" xfId="1963"/>
    <cellStyle name="Accent2 42" xfId="1964"/>
    <cellStyle name="Normal 34" xfId="1965"/>
    <cellStyle name="Currency 34" xfId="1966"/>
    <cellStyle name="Accent1 40" xfId="1967"/>
    <cellStyle name="Percent 28" xfId="1968"/>
    <cellStyle name="Accent6 39" xfId="1969"/>
    <cellStyle name="Accent2 37" xfId="1970"/>
    <cellStyle name="Accent1 37" xfId="1971"/>
    <cellStyle name="Accent6 38" xfId="1972"/>
    <cellStyle name="Accent5 39" xfId="1973"/>
    <cellStyle name="Calculation 22" xfId="1974"/>
    <cellStyle name="Accent4 39" xfId="1975"/>
    <cellStyle name="Currency 33" xfId="1976"/>
    <cellStyle name="Input 29" xfId="1977"/>
    <cellStyle name="Normal 35" xfId="1978"/>
    <cellStyle name="Accent5 38" xfId="1979"/>
    <cellStyle name="Accent4 38" xfId="1980"/>
    <cellStyle name="Percent 29" xfId="1981"/>
    <cellStyle name="Accent3 37" xfId="1982"/>
    <cellStyle name="Note 14" xfId="1983"/>
    <cellStyle name="Output 13" xfId="1984"/>
    <cellStyle name="Input 30" xfId="1985"/>
    <cellStyle name="Total 14" xfId="1986"/>
    <cellStyle name="Accent3 44" xfId="1987"/>
    <cellStyle name="Accent2 44" xfId="1988"/>
    <cellStyle name="Normal 36" xfId="1989"/>
    <cellStyle name="Currency 36" xfId="1990"/>
    <cellStyle name="Accent1 42" xfId="1991"/>
    <cellStyle name="Percent 30" xfId="1992"/>
    <cellStyle name="Accent6 41" xfId="1993"/>
    <cellStyle name="Accent2 39" xfId="1994"/>
    <cellStyle name="Accent1 39" xfId="1995"/>
    <cellStyle name="Accent6 40" xfId="1996"/>
    <cellStyle name="Accent5 41" xfId="1997"/>
    <cellStyle name="Calculation 23" xfId="1998"/>
    <cellStyle name="Accent4 41" xfId="1999"/>
    <cellStyle name="Currency 35" xfId="2000"/>
    <cellStyle name="Input 31" xfId="2001"/>
    <cellStyle name="Normal 37" xfId="2002"/>
    <cellStyle name="Accent5 40" xfId="2003"/>
    <cellStyle name="Accent4 40" xfId="2004"/>
    <cellStyle name="Percent 31" xfId="2005"/>
    <cellStyle name="Accent3 39" xfId="2006"/>
    <cellStyle name="Note 15" xfId="2007"/>
    <cellStyle name="Output 14" xfId="2008"/>
    <cellStyle name="Input 32" xfId="2009"/>
    <cellStyle name="Total 15" xfId="2010"/>
    <cellStyle name="Accent3 46" xfId="2011"/>
    <cellStyle name="Accent2 46" xfId="2012"/>
    <cellStyle name="Normal 38" xfId="2013"/>
    <cellStyle name="Currency 38" xfId="2014"/>
    <cellStyle name="Accent1 44" xfId="2015"/>
    <cellStyle name="Percent 32" xfId="2016"/>
    <cellStyle name="Accent6 43" xfId="2017"/>
    <cellStyle name="Accent2 41" xfId="2018"/>
    <cellStyle name="Accent1 41" xfId="2019"/>
    <cellStyle name="Accent6 42" xfId="2020"/>
    <cellStyle name="Accent5 43" xfId="2021"/>
    <cellStyle name="Calculation 24" xfId="2022"/>
    <cellStyle name="Accent4 43" xfId="2023"/>
    <cellStyle name="Currency 37" xfId="2024"/>
    <cellStyle name="Input 33" xfId="2025"/>
    <cellStyle name="Normal 39" xfId="2026"/>
    <cellStyle name="Accent5 42" xfId="2027"/>
    <cellStyle name="Accent4 42" xfId="2028"/>
    <cellStyle name="Percent 33" xfId="2029"/>
    <cellStyle name="Accent3 41" xfId="2030"/>
    <cellStyle name="Note 16" xfId="2031"/>
    <cellStyle name="Output 15" xfId="2032"/>
    <cellStyle name="Input 34" xfId="2033"/>
    <cellStyle name="Total 16" xfId="2034"/>
    <cellStyle name="Accent3 48" xfId="2035"/>
    <cellStyle name="Accent2 48" xfId="2036"/>
    <cellStyle name="Normal 40" xfId="2037"/>
    <cellStyle name="Currency 40" xfId="2038"/>
    <cellStyle name="Accent1 46" xfId="2039"/>
    <cellStyle name="Percent 34" xfId="2040"/>
    <cellStyle name="Accent6 45" xfId="2041"/>
    <cellStyle name="Accent2 43" xfId="2042"/>
    <cellStyle name="Accent1 43" xfId="2043"/>
    <cellStyle name="Accent6 44" xfId="2044"/>
    <cellStyle name="Accent5 45" xfId="2045"/>
    <cellStyle name="Calculation 25" xfId="2046"/>
    <cellStyle name="Accent4 45" xfId="2047"/>
    <cellStyle name="Currency 39" xfId="2048"/>
    <cellStyle name="Input 35" xfId="2049"/>
    <cellStyle name="Normal 41" xfId="2050"/>
    <cellStyle name="Accent5 44" xfId="2051"/>
    <cellStyle name="Accent4 44" xfId="2052"/>
    <cellStyle name="Percent 35" xfId="2053"/>
    <cellStyle name="Accent3 43" xfId="2054"/>
    <cellStyle name="Note 17" xfId="2055"/>
    <cellStyle name="Output 16" xfId="2056"/>
    <cellStyle name="Input 36" xfId="2057"/>
    <cellStyle name="Total 17" xfId="2058"/>
    <cellStyle name="Accent3 50" xfId="2059"/>
    <cellStyle name="Accent2 50" xfId="2060"/>
    <cellStyle name="Normal 42" xfId="2061"/>
    <cellStyle name="Currency 42" xfId="2062"/>
    <cellStyle name="Accent1 48" xfId="2063"/>
    <cellStyle name="Percent 36" xfId="2064"/>
    <cellStyle name="Accent6 47" xfId="2065"/>
    <cellStyle name="Accent2 45" xfId="2066"/>
    <cellStyle name="Accent1 45" xfId="2067"/>
    <cellStyle name="Accent6 46" xfId="2068"/>
    <cellStyle name="Accent5 47" xfId="2069"/>
    <cellStyle name="Calculation 26" xfId="2070"/>
    <cellStyle name="Accent4 47" xfId="2071"/>
    <cellStyle name="Currency 41" xfId="2072"/>
    <cellStyle name="Input 37" xfId="2073"/>
    <cellStyle name="Normal 43" xfId="2074"/>
    <cellStyle name="Accent5 46" xfId="2075"/>
    <cellStyle name="Accent4 46" xfId="2076"/>
    <cellStyle name="Percent 37" xfId="2077"/>
    <cellStyle name="Accent3 45" xfId="2078"/>
    <cellStyle name="Note 18" xfId="2079"/>
    <cellStyle name="Output 17" xfId="2080"/>
    <cellStyle name="Input 38" xfId="2081"/>
    <cellStyle name="Total 18" xfId="2082"/>
    <cellStyle name="Accent3 52" xfId="2083"/>
    <cellStyle name="Accent2 52" xfId="2084"/>
    <cellStyle name="Normal 44" xfId="2085"/>
    <cellStyle name="Currency 44" xfId="2086"/>
    <cellStyle name="Accent1 50" xfId="2087"/>
    <cellStyle name="Percent 38" xfId="2088"/>
    <cellStyle name="Accent6 49" xfId="2089"/>
    <cellStyle name="Accent2 47" xfId="2090"/>
    <cellStyle name="Accent1 47" xfId="2091"/>
    <cellStyle name="Accent6 48" xfId="2092"/>
    <cellStyle name="Accent5 49" xfId="2093"/>
    <cellStyle name="Calculation 27" xfId="2094"/>
    <cellStyle name="Accent4 49" xfId="2095"/>
    <cellStyle name="Currency 43" xfId="2096"/>
    <cellStyle name="Input 39" xfId="2097"/>
    <cellStyle name="Normal 45" xfId="2098"/>
    <cellStyle name="Accent5 48" xfId="2099"/>
    <cellStyle name="Accent4 48" xfId="2100"/>
    <cellStyle name="Percent 39" xfId="2101"/>
    <cellStyle name="Accent3 47" xfId="2102"/>
    <cellStyle name="Note 19" xfId="2103"/>
    <cellStyle name="Output 18" xfId="2104"/>
    <cellStyle name="Input 40" xfId="2105"/>
    <cellStyle name="Total 19" xfId="2106"/>
    <cellStyle name="Accent3 54" xfId="2107"/>
    <cellStyle name="Accent2 54" xfId="2108"/>
    <cellStyle name="Normal 46" xfId="2109"/>
    <cellStyle name="Currency 46" xfId="2110"/>
    <cellStyle name="Accent1 52" xfId="2111"/>
    <cellStyle name="Percent 40" xfId="2112"/>
    <cellStyle name="Accent6 51" xfId="2113"/>
    <cellStyle name="Accent2 49" xfId="2114"/>
    <cellStyle name="Accent1 49" xfId="2115"/>
    <cellStyle name="Accent6 50" xfId="2116"/>
    <cellStyle name="Accent5 51" xfId="2117"/>
    <cellStyle name="Calculation 28" xfId="2118"/>
    <cellStyle name="Accent4 51" xfId="2119"/>
    <cellStyle name="Currency 45" xfId="2120"/>
    <cellStyle name="Input 41" xfId="2121"/>
    <cellStyle name="Normal 47" xfId="2122"/>
    <cellStyle name="Accent5 50" xfId="2123"/>
    <cellStyle name="Accent4 50" xfId="2124"/>
    <cellStyle name="Percent 41" xfId="2125"/>
    <cellStyle name="Accent3 49" xfId="2126"/>
    <cellStyle name="Note 20" xfId="2127"/>
    <cellStyle name="Output 19" xfId="2128"/>
    <cellStyle name="Input 42" xfId="2129"/>
    <cellStyle name="Total 20" xfId="2130"/>
    <cellStyle name="Normal 48" xfId="2131"/>
    <cellStyle name="Currency 48" xfId="2132"/>
    <cellStyle name="Accent1 54" xfId="2133"/>
    <cellStyle name="Percent 42" xfId="2134"/>
    <cellStyle name="Accent6 53" xfId="2135"/>
    <cellStyle name="Accent2 51" xfId="2136"/>
    <cellStyle name="Accent1 51" xfId="2137"/>
    <cellStyle name="Accent6 52" xfId="2138"/>
    <cellStyle name="Accent5 53" xfId="2139"/>
    <cellStyle name="Calculation 29" xfId="2140"/>
    <cellStyle name="Accent4 53" xfId="2141"/>
    <cellStyle name="Currency 47" xfId="2142"/>
    <cellStyle name="Input 43" xfId="2143"/>
    <cellStyle name="Normal 49" xfId="2144"/>
    <cellStyle name="Accent5 52" xfId="2145"/>
    <cellStyle name="Accent4 52" xfId="2146"/>
    <cellStyle name="Percent 43" xfId="2147"/>
    <cellStyle name="Accent3 51" xfId="2148"/>
    <cellStyle name="Note 21" xfId="2149"/>
    <cellStyle name="Output 20" xfId="2150"/>
    <cellStyle name="Input 44" xfId="2151"/>
    <cellStyle name="Total 21" xfId="2152"/>
    <cellStyle name="Normal 50" xfId="2153"/>
    <cellStyle name="Currency 50" xfId="2154"/>
    <cellStyle name="Percent 44" xfId="2155"/>
    <cellStyle name="Accent6 55" xfId="2156"/>
    <cellStyle name="Accent2 53" xfId="2157"/>
    <cellStyle name="Accent1 53" xfId="2158"/>
    <cellStyle name="Accent6 54" xfId="2159"/>
    <cellStyle name="Accent5 55" xfId="2160"/>
    <cellStyle name="Calculation 30" xfId="2161"/>
    <cellStyle name="Accent4 55" xfId="2162"/>
    <cellStyle name="Currency 49" xfId="2163"/>
    <cellStyle name="Input 45" xfId="2164"/>
    <cellStyle name="Normal 51" xfId="2165"/>
    <cellStyle name="Accent5 54" xfId="2166"/>
    <cellStyle name="Accent4 54" xfId="2167"/>
    <cellStyle name="Percent 45" xfId="2168"/>
    <cellStyle name="Accent3 53" xfId="2169"/>
    <cellStyle name="Note 22" xfId="2170"/>
    <cellStyle name="Output 21" xfId="2171"/>
    <cellStyle name="Input 46" xfId="2172"/>
    <cellStyle name="Total 22" xfId="2173"/>
    <cellStyle name="Normal 52" xfId="2174"/>
    <cellStyle name="Percent 46" xfId="2175"/>
    <cellStyle name="Accent2 55" xfId="2176"/>
    <cellStyle name="Accent1 55" xfId="2177"/>
    <cellStyle name="Input 47" xfId="2178"/>
    <cellStyle name="Normal 53" xfId="2179"/>
    <cellStyle name="Percent 47" xfId="2180"/>
    <cellStyle name="Accent3 55" xfId="2181"/>
    <cellStyle name="Note 23" xfId="2182"/>
    <cellStyle name="Output 22" xfId="2183"/>
    <cellStyle name="Input 48" xfId="2184"/>
    <cellStyle name="Total 23" xfId="2185"/>
    <cellStyle name="Normal 54" xfId="2186"/>
    <cellStyle name="Percent 48" xfId="2187"/>
    <cellStyle name="Normal 55" xfId="2188"/>
    <cellStyle name="Percent 49" xfId="2189"/>
    <cellStyle name="Note 24" xfId="2190"/>
    <cellStyle name="Output 23" xfId="2191"/>
    <cellStyle name="Total 24" xfId="2192"/>
    <cellStyle name="Percent 50" xfId="2193"/>
    <cellStyle name="Normal 7 2" xfId="2194"/>
    <cellStyle name="Normal 2 3" xfId="2195"/>
    <cellStyle name="Hyperlink 2 2" xfId="2196"/>
    <cellStyle name="Normal 2 2 2 2" xfId="2197"/>
  </cellStyles>
  <dxfs count="5">
    <dxf>
      <font>
        <name val="Calibri"/>
        <family val="2"/>
        <strike val="0"/>
        <outline val="0"/>
        <shadow val="0"/>
        <color theme="1"/>
        <sz val="9"/>
        <vertAlign val="baseline"/>
        <scheme val="minor"/>
      </font>
    </dxf>
    <dxf>
      <font>
        <name val="Calibri"/>
        <family val="2"/>
        <strike val="0"/>
        <outline val="0"/>
        <shadow val="0"/>
        <color theme="1"/>
        <sz val="9"/>
        <vertAlign val="baseline"/>
        <scheme val="minor"/>
      </font>
    </dxf>
    <dxf>
      <border outline="0">
        <top style="thin">
          <color rgb="FF73C5EC"/>
        </top>
      </border>
    </dxf>
    <dxf>
      <font>
        <name val="Calibri"/>
        <family val="2"/>
        <strike val="0"/>
        <outline val="0"/>
        <shadow val="0"/>
        <color rgb="FF000000"/>
        <sz val="9"/>
        <vertAlign val="baseline"/>
      </font>
    </dxf>
    <dxf>
      <font>
        <name val="Calibri"/>
        <family val="2"/>
        <b val="1"/>
        <strike val="0"/>
        <outline val="0"/>
        <shadow val="0"/>
        <condense val="0"/>
        <color rgb="FFFFFFFF"/>
        <extend val="0"/>
        <sz val="11"/>
        <vertAlign val="baseline"/>
      </font>
      <numFmt numFmtId="0" formatCode="General"/>
      <fill>
        <patternFill patternType="solid">
          <fgColor indexed="64"/>
          <bgColor rgb="FF1E9BD7"/>
        </patternFill>
      </fill>
      <alignment horizontal="left" vertical="bottom"/>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externalLink" Target="/xl/externalLinks/externalLink1.xml" Id="rId21"/><Relationship Type="http://schemas.openxmlformats.org/officeDocument/2006/relationships/externalLink" Target="/xl/externalLinks/externalLink2.xml" Id="rId22"/><Relationship Type="http://schemas.openxmlformats.org/officeDocument/2006/relationships/externalLink" Target="/xl/externalLinks/externalLink3.xml" Id="rId23"/><Relationship Type="http://schemas.openxmlformats.org/officeDocument/2006/relationships/externalLink" Target="/xl/externalLinks/externalLink4.xml" Id="rId24"/><Relationship Type="http://schemas.openxmlformats.org/officeDocument/2006/relationships/externalLink" Target="/xl/externalLinks/externalLink5.xml" Id="rId25"/><Relationship Type="http://schemas.openxmlformats.org/officeDocument/2006/relationships/externalLink" Target="/xl/externalLinks/externalLink6.xml" Id="rId26"/><Relationship Type="http://schemas.openxmlformats.org/officeDocument/2006/relationships/externalLink" Target="/xl/externalLinks/externalLink7.xml" Id="rId27"/><Relationship Type="http://schemas.openxmlformats.org/officeDocument/2006/relationships/externalLink" Target="/xl/externalLinks/externalLink8.xml" Id="rId28"/><Relationship Type="http://schemas.openxmlformats.org/officeDocument/2006/relationships/externalLink" Target="/xl/externalLinks/externalLink9.xml" Id="rId29"/><Relationship Type="http://schemas.openxmlformats.org/officeDocument/2006/relationships/externalLink" Target="/xl/externalLinks/externalLink10.xml" Id="rId30"/><Relationship Type="http://schemas.openxmlformats.org/officeDocument/2006/relationships/externalLink" Target="/xl/externalLinks/externalLink11.xml" Id="rId31"/><Relationship Type="http://schemas.openxmlformats.org/officeDocument/2006/relationships/externalLink" Target="/xl/externalLinks/externalLink12.xml" Id="rId32"/><Relationship Type="http://schemas.openxmlformats.org/officeDocument/2006/relationships/externalLink" Target="/xl/externalLinks/externalLink13.xml" Id="rId33"/><Relationship Type="http://schemas.openxmlformats.org/officeDocument/2006/relationships/externalLink" Target="/xl/externalLinks/externalLink14.xml" Id="rId34"/><Relationship Type="http://schemas.openxmlformats.org/officeDocument/2006/relationships/externalLink" Target="/xl/externalLinks/externalLink15.xml" Id="rId35"/><Relationship Type="http://schemas.openxmlformats.org/officeDocument/2006/relationships/externalLink" Target="/xl/externalLinks/externalLink16.xml" Id="rId36"/><Relationship Type="http://schemas.openxmlformats.org/officeDocument/2006/relationships/externalLink" Target="/xl/externalLinks/externalLink17.xml" Id="rId37"/><Relationship Type="http://schemas.openxmlformats.org/officeDocument/2006/relationships/externalLink" Target="/xl/externalLinks/externalLink18.xml" Id="rId38"/><Relationship Type="http://schemas.openxmlformats.org/officeDocument/2006/relationships/externalLink" Target="/xl/externalLinks/externalLink19.xml" Id="rId39"/><Relationship Type="http://schemas.openxmlformats.org/officeDocument/2006/relationships/externalLink" Target="/xl/externalLinks/externalLink20.xml" Id="rId40"/><Relationship Type="http://schemas.openxmlformats.org/officeDocument/2006/relationships/externalLink" Target="/xl/externalLinks/externalLink21.xml" Id="rId41"/><Relationship Type="http://schemas.openxmlformats.org/officeDocument/2006/relationships/externalLink" Target="/xl/externalLinks/externalLink22.xml" Id="rId42"/><Relationship Type="http://schemas.openxmlformats.org/officeDocument/2006/relationships/styles" Target="styles.xml" Id="rId43"/><Relationship Type="http://schemas.openxmlformats.org/officeDocument/2006/relationships/theme" Target="theme/theme1.xml" Id="rId44"/></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marker val="1"/>
        <smooth val="0"/>
        <axId val="79948032"/>
        <axId val="80027648"/>
      </lineChart>
      <lineChart>
        <grouping val="standard"/>
        <varyColors val="0"/>
        <ser>
          <idx val="1"/>
          <order val="1"/>
          <tx>
            <strRef>
              <f>bands_A!$V$34:$V$35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0035840"/>
        <axId val="80029568"/>
      </lineChart>
      <dateAx>
        <axId val="79948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027648"/>
        <crosses val="autoZero"/>
        <lblOffset val="100"/>
        <baseTimeUnit val="days"/>
        <majorUnit val="1"/>
        <majorTimeUnit val="years"/>
      </dateAx>
      <valAx>
        <axId val="80027648"/>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79948032"/>
        <crosses val="autoZero"/>
        <crossBetween val="between"/>
      </valAx>
      <dateAx>
        <axId val="80035840"/>
        <scaling>
          <orientation val="minMax"/>
        </scaling>
        <delete val="1"/>
        <axPos val="b"/>
        <numFmt formatCode="m/d/yy" sourceLinked="1"/>
        <majorTickMark val="out"/>
        <minorTickMark val="none"/>
        <crossAx val="80029568"/>
        <crosses val="autoZero"/>
        <lblOffset val="100"/>
        <baseTimeUnit val="days"/>
      </dateAx>
      <valAx>
        <axId val="80029568"/>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0035840"/>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091392"/>
        <axId val="80101376"/>
      </lineChart>
      <dateAx>
        <axId val="800913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01376"/>
        <crosses val="autoZero"/>
        <lblOffset val="100"/>
        <baseTimeUnit val="days"/>
        <majorUnit val="1"/>
        <majorTimeUnit val="years"/>
      </dateAx>
      <valAx>
        <axId val="80101376"/>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09139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140928"/>
        <axId val="80142720"/>
      </lineChart>
      <dateAx>
        <axId val="8014092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142720"/>
        <crosses val="autoZero"/>
        <lblOffset val="100"/>
        <baseTimeUnit val="days"/>
        <majorUnit val="1"/>
        <majorTimeUnit val="years"/>
      </dateAx>
      <valAx>
        <axId val="80142720"/>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140928"/>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0325632"/>
        <axId val="80331520"/>
      </lineChart>
      <dateAx>
        <axId val="803256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331520"/>
        <crosses val="autoZero"/>
        <lblOffset val="100"/>
        <baseTimeUnit val="days"/>
        <majorUnit val="1"/>
        <majorTimeUnit val="years"/>
      </dateAx>
      <valAx>
        <axId val="80331520"/>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03256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1"/>
          <order val="1"/>
          <tx>
            <strRef>
              <f>bands_A!$BJ$34:$BJ$35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2"/>
          <order val="2"/>
          <tx>
            <strRef>
              <f>bands_A!$BK$34:$BK$35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3"/>
          <order val="3"/>
          <tx>
            <strRef>
              <f>bands_A!$BL$34:$BL$35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4"/>
          <order val="4"/>
          <tx>
            <strRef>
              <f>bands_A!$BM$34:$BM$35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ser>
          <idx val="5"/>
          <order val="5"/>
          <tx>
            <strRef>
              <f>bands_A!$BN$34:$BN$35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pt idx="477">
                  <v>42057</v>
                </pt>
                <pt idx="478">
                  <v>42064</v>
                </pt>
                <pt idx="479">
                  <v>42071</v>
                </pt>
                <pt idx="480">
                  <v>42078</v>
                </pt>
                <pt idx="481">
                  <v>42085</v>
                </pt>
                <pt idx="482">
                  <v>42092</v>
                </pt>
                <pt idx="483">
                  <v>42099</v>
                </pt>
                <pt idx="484">
                  <v>42106</v>
                </pt>
              </numCache>
            </numRef>
          </cat>
          <val>
            <numRef>
              <f>bands_A!$BN$88:$BN$979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numCache>
            </numRef>
          </val>
          <smooth val="0"/>
        </ser>
        <dLbls>
          <showLegendKey val="0"/>
          <showVal val="0"/>
          <showCatName val="0"/>
          <showSerName val="0"/>
          <showPercent val="0"/>
          <showBubbleSize val="0"/>
        </dLbls>
        <smooth val="0"/>
        <axId val="80588160"/>
        <axId val="80589952"/>
      </lineChart>
      <dateAx>
        <axId val="8058816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589952"/>
        <crosses val="autoZero"/>
        <lblOffset val="100"/>
        <baseTimeUnit val="days"/>
        <majorUnit val="12"/>
      </dateAx>
      <valAx>
        <axId val="80589952"/>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0588160"/>
        <crosses val="autoZero"/>
        <crossBetween val="between"/>
      </valAx>
    </plotArea>
    <legend>
      <legendPos val="b"/>
      <layout>
        <manualLayout>
          <xMode val="edge"/>
          <yMode val="edge"/>
          <wMode val="factor"/>
          <hMode val="factor"/>
          <x val="0.02080426883576505"/>
          <y val="0.9082970502433017"/>
          <w val="0.9500497873201346"/>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
          </a:r>
          <a:endParaRPr lang="en-US"/>
        </a:p>
      </txPr>
    </legend>
    <plotVisOnly val="1"/>
    <dispBlanksAs val="gap"/>
  </chart>
  <spPr>
    <a:ln xmlns:a="http://schemas.openxmlformats.org/drawingml/2006/main" w="3175">
      <a:solidFill>
        <a:srgbClr val="FFFFFF"/>
      </a:solidFill>
      <a:prstDash val="solid"/>
    </a:ln>
  </spPr>
</chartSpace>
</file>

<file path=xl/charts/chart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0879616"/>
        <axId val="80881152"/>
      </lineChart>
      <dateAx>
        <axId val="8087961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0881152"/>
        <crosses val="autoZero"/>
        <lblOffset val="100"/>
        <baseTimeUnit val="days"/>
        <majorUnit val="13"/>
        <majorTimeUnit val="months"/>
      </dateAx>
      <valAx>
        <axId val="80881152"/>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0879616"/>
        <crosses val="autoZero"/>
        <crossBetween val="between"/>
      </valAx>
    </plotArea>
    <legend>
      <legendPos val="b"/>
      <layout>
        <manualLayout>
          <xMode val="edge"/>
          <yMode val="edge"/>
          <wMode val="factor"/>
          <hMode val="factor"/>
          <x val="0.05000013136496077"/>
          <y val="0.9134476396972118"/>
          <w val="0.9250247622951089"/>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002496"/>
        <axId val="81004032"/>
      </lineChart>
      <dateAx>
        <axId val="8100249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004032"/>
        <crosses val="autoZero"/>
        <lblOffset val="100"/>
        <baseTimeUnit val="days"/>
        <majorUnit val="13"/>
        <majorTimeUnit val="months"/>
      </dateAx>
      <valAx>
        <axId val="81004032"/>
        <scaling>
          <orientation val="minMax"/>
          <max val="2.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1002496"/>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9525">
      <a:solidFill>
        <a:srgbClr val="FFFFFF"/>
      </a:solidFill>
      <a:prstDash val="solid"/>
    </a:ln>
  </spPr>
</chartSpace>
</file>

<file path=xl/charts/chart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1"/>
          <order val="1"/>
          <tx>
            <strRef>
              <f>bands_A!$CH$34:$CH$35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2"/>
          <order val="2"/>
          <tx>
            <strRef>
              <f>bands_A!$CI$34:$CI$35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3"/>
          <order val="3"/>
          <tx>
            <strRef>
              <f>bands_A!$CJ$34:$CJ$35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4"/>
          <order val="4"/>
          <tx>
            <strRef>
              <f>bands_A!$CK$34:$CK$35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ser>
          <idx val="5"/>
          <order val="5"/>
          <tx>
            <strRef>
              <f>bands_A!$CL$34:$CL$35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numCache>
            </numRef>
          </cat>
          <val>
            <numRef>
              <f>bands_A!$CL$36:$CL$979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numCache>
            </numRef>
          </val>
          <smooth val="0"/>
        </ser>
        <dLbls>
          <showLegendKey val="0"/>
          <showVal val="0"/>
          <showCatName val="0"/>
          <showSerName val="0"/>
          <showPercent val="0"/>
          <showBubbleSize val="0"/>
        </dLbls>
        <smooth val="0"/>
        <axId val="81158144"/>
        <axId val="81159680"/>
      </lineChart>
      <dateAx>
        <axId val="8115814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159680"/>
        <crosses val="autoZero"/>
        <lblOffset val="100"/>
        <baseTimeUnit val="days"/>
        <majorUnit val="13"/>
        <majorTimeUnit val="months"/>
      </dateAx>
      <valAx>
        <axId val="81159680"/>
        <scaling>
          <orientation val="minMax"/>
          <max val="23"/>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81158144"/>
        <crosses val="autoZero"/>
        <crossBetween val="between"/>
      </valAx>
    </plotArea>
    <legend>
      <legendPos val="b"/>
      <layout>
        <manualLayout>
          <xMode val="edge"/>
          <yMode val="edge"/>
          <wMode val="factor"/>
          <hMode val="factor"/>
          <x val="0.02080426883576505"/>
          <y val="0.9108723449702486"/>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444864"/>
        <axId val="81446400"/>
      </lineChart>
      <dateAx>
        <axId val="8144486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446400"/>
        <crosses val="autoZero"/>
        <lblOffset val="100"/>
        <baseTimeUnit val="days"/>
        <majorUnit val="1"/>
        <majorTimeUnit val="years"/>
      </dateAx>
      <valAx>
        <axId val="81446400"/>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44486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625472"/>
        <axId val="81627008"/>
      </lineChart>
      <dateAx>
        <axId val="8162547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627008"/>
        <crosses val="autoZero"/>
        <lblOffset val="100"/>
        <baseTimeUnit val="days"/>
        <majorUnit val="1"/>
        <majorTimeUnit val="years"/>
      </dateAx>
      <valAx>
        <axId val="8162700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62547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7.696225454133892</v>
                </pt>
                <pt idx="189">
                  <v>7.936957235538546</v>
                </pt>
                <pt idx="190">
                  <v>7.653408317837544</v>
                </pt>
                <pt idx="191">
                  <v>6.808578128717246</v>
                </pt>
                <pt idx="192">
                  <v>6.554848660111818</v>
                </pt>
                <pt idx="193">
                  <v>7.178417119334097</v>
                </pt>
                <pt idx="194">
                  <v>7.058075936726959</v>
                </pt>
                <pt idx="195">
                  <v>7.044090790503522</v>
                </pt>
                <pt idx="196">
                  <v>7.04544938848676</v>
                </pt>
                <pt idx="197">
                  <v>7.769963702359346</v>
                </pt>
                <pt idx="198">
                  <v>9.258418807297812</v>
                </pt>
                <pt idx="199">
                  <v>9.414273399573522</v>
                </pt>
                <pt idx="200">
                  <v>7.653408317837544</v>
                </pt>
                <pt idx="201">
                  <v>8.356482793809173</v>
                </pt>
                <pt idx="202">
                  <v>7.890798603237948</v>
                </pt>
                <pt idx="203">
                  <v>8.264087544839485</v>
                </pt>
                <pt idx="204">
                  <v>8.586660617059891</v>
                </pt>
                <pt idx="205">
                  <v>8.685693551496184</v>
                </pt>
                <pt idx="206">
                  <v>8.755812634682998</v>
                </pt>
                <pt idx="207">
                  <v>10.5148535066526</v>
                </pt>
                <pt idx="208">
                  <v>10.52308949734369</v>
                </pt>
                <pt idx="209">
                  <v>9.87387796841268</v>
                </pt>
                <pt idx="210">
                  <v>12.07666352347735</v>
                </pt>
                <pt idx="211">
                  <v>11.45796663676315</v>
                </pt>
                <pt idx="212">
                  <v>12.03190329031085</v>
                </pt>
                <pt idx="213">
                  <v>12.19193788241705</v>
                </pt>
                <pt idx="214">
                  <v>12.42186702362991</v>
                </pt>
                <pt idx="215">
                  <v>11.69027020285057</v>
                </pt>
                <pt idx="216">
                  <v>11.82405622945244</v>
                </pt>
                <pt idx="217">
                  <v>12.04395704095172</v>
                </pt>
                <pt idx="218">
                  <v>11.85398611552248</v>
                </pt>
                <pt idx="219">
                  <v>12.65865859053323</v>
                </pt>
                <pt idx="220">
                  <v>12.56948383437323</v>
                </pt>
                <pt idx="221">
                  <v>12.5469375716117</v>
                </pt>
                <pt idx="222">
                  <v>14.40627977675938</v>
                </pt>
                <pt idx="223">
                  <v>13.1259501281964</v>
                </pt>
                <pt idx="224">
                  <v>11.43142280387398</v>
                </pt>
                <pt idx="225">
                  <v>11.01718953877574</v>
                </pt>
                <pt idx="226">
                  <v>10.54268140448035</v>
                </pt>
                <pt idx="227">
                  <v>10.42872381471142</v>
                </pt>
                <pt idx="228">
                  <v>10.59966407916837</v>
                </pt>
                <pt idx="229">
                  <v>10.84069289622449</v>
                </pt>
                <pt idx="230">
                  <v>10.43038089617288</v>
                </pt>
                <pt idx="231">
                  <v>10.20616684074293</v>
                </pt>
                <pt idx="232">
                  <v>10.61655501305779</v>
                </pt>
                <pt idx="233">
                  <v>10.72839562236047</v>
                </pt>
                <pt idx="234">
                  <v>10.98651654787306</v>
                </pt>
                <pt idx="235">
                  <v>10.44327146830127</v>
                </pt>
                <pt idx="236">
                  <v>11.4311012225716</v>
                </pt>
                <pt idx="237">
                  <v>11.86448375303708</v>
                </pt>
                <pt idx="238">
                  <v>12.33853208926423</v>
                </pt>
                <pt idx="239">
                  <v>11.22511520214287</v>
                </pt>
                <pt idx="240">
                  <v>11.47715920443193</v>
                </pt>
                <pt idx="241">
                  <v>11.49947213676766</v>
                </pt>
                <pt idx="242">
                  <v>10.49844909274766</v>
                </pt>
                <pt idx="243">
                  <v>10.56554043307355</v>
                </pt>
                <pt idx="244">
                  <v>10.92784442021083</v>
                </pt>
                <pt idx="245">
                  <v>10.64421951856774</v>
                </pt>
                <pt idx="246">
                  <v>10.92393034147229</v>
                </pt>
                <pt idx="247">
                  <v>10.99764336213669</v>
                </pt>
                <pt idx="248">
                  <v>10.34984759565079</v>
                </pt>
                <pt idx="249">
                  <v>9.98281180635394</v>
                </pt>
                <pt idx="250">
                  <v>10.22229802717608</v>
                </pt>
                <pt idx="251">
                  <v>10.21648957327121</v>
                </pt>
                <pt idx="252">
                  <v>10.4167851253767</v>
                </pt>
                <pt idx="253">
                  <v>11.51921764839664</v>
                </pt>
                <pt idx="254">
                  <v>10.95591494391345</v>
                </pt>
                <pt idx="255">
                  <v>11.16175450959888</v>
                </pt>
                <pt idx="256">
                  <v>10.94952756711276</v>
                </pt>
                <pt idx="257">
                  <v>11.31165077269727</v>
                </pt>
                <pt idx="258">
                  <v>11.13902181202332</v>
                </pt>
                <pt idx="259">
                  <v>10.80208309644555</v>
                </pt>
                <pt idx="260">
                  <v>10.50596930073906</v>
                </pt>
                <pt idx="261">
                  <v>10.01035161360043</v>
                </pt>
                <pt idx="262">
                  <v>9.417935123425119</v>
                </pt>
                <pt idx="263">
                  <v>9.51175283128614</v>
                </pt>
                <pt idx="264">
                  <v>8.559608703602121</v>
                </pt>
                <pt idx="265">
                  <v>9.01732786137711</v>
                </pt>
                <pt idx="266">
                  <v>8.538227975252838</v>
                </pt>
                <pt idx="267">
                  <v>8.723714820052001</v>
                </pt>
                <pt idx="268">
                  <v>8.345399199662536</v>
                </pt>
                <pt idx="269">
                  <v>8.369590107625372</v>
                </pt>
                <pt idx="270">
                  <v>7.471277599981581</v>
                </pt>
                <pt idx="271">
                  <v>7.714793374219064</v>
                </pt>
                <pt idx="272">
                  <v>7.838771504975267</v>
                </pt>
                <pt idx="273">
                  <v>8.272606443925019</v>
                </pt>
                <pt idx="274">
                  <v>8.518297716224891</v>
                </pt>
                <pt idx="275">
                  <v>8.440463766786316</v>
                </pt>
                <pt idx="276">
                  <v>8.840347666971638</v>
                </pt>
                <pt idx="277">
                  <v>8.655134120233095</v>
                </pt>
                <pt idx="278">
                  <v>8.501435976063251</v>
                </pt>
                <pt idx="279">
                  <v>9.114375128492131</v>
                </pt>
                <pt idx="280">
                  <v>9.283591338374855</v>
                </pt>
                <pt idx="281">
                  <v>9.052699644358228</v>
                </pt>
                <pt idx="282">
                  <v>9.182928101847022</v>
                </pt>
                <pt idx="283">
                  <v>9.59686216260125</v>
                </pt>
                <pt idx="284">
                  <v>9.989069004814288</v>
                </pt>
                <pt idx="285">
                  <v>10.92111103324223</v>
                </pt>
                <pt idx="286">
                  <v>10.99182897972981</v>
                </pt>
                <pt idx="287">
                  <v>11.73218102406839</v>
                </pt>
                <pt idx="288">
                  <v>11.63223958454624</v>
                </pt>
                <pt idx="289">
                  <v>10.48759124087591</v>
                </pt>
                <pt idx="290">
                  <v>9.939150442064447</v>
                </pt>
                <pt idx="291">
                  <v>9.897300947812115</v>
                </pt>
                <pt idx="292">
                  <v>9.65046212659821</v>
                </pt>
                <pt idx="293">
                  <v>9.878792124991243</v>
                </pt>
                <pt idx="294">
                  <v>10.15560250738324</v>
                </pt>
                <pt idx="295">
                  <v>9.703042320282526</v>
                </pt>
                <pt idx="296">
                  <v>10.0027129999882</v>
                </pt>
                <pt idx="297">
                  <v>9.999413867885821</v>
                </pt>
                <pt idx="298">
                  <v>9.685715633995565</v>
                </pt>
                <pt idx="299">
                  <v>9.607079897303628</v>
                </pt>
                <pt idx="300">
                  <v>10.44164373206081</v>
                </pt>
                <pt idx="301">
                  <v>10.48773278155483</v>
                </pt>
                <pt idx="302">
                  <v>10.59615179933538</v>
                </pt>
                <pt idx="303">
                  <v>10.74466320752482</v>
                </pt>
                <pt idx="304">
                  <v>10.68809024445155</v>
                </pt>
                <pt idx="305">
                  <v>10.51645641657972</v>
                </pt>
                <pt idx="306">
                  <v>10.47120418848167</v>
                </pt>
                <pt idx="307">
                  <v>9.511030896007979</v>
                </pt>
                <pt idx="308">
                  <v>9.598801041951639</v>
                </pt>
                <pt idx="309">
                  <v>9.349458277893937</v>
                </pt>
                <pt idx="310">
                  <v>9.513842641042718</v>
                </pt>
                <pt idx="311">
                  <v>9.461920234227158</v>
                </pt>
                <pt idx="312">
                  <v>9.529268467435696</v>
                </pt>
                <pt idx="313">
                  <v>9.129633618110896</v>
                </pt>
                <pt idx="314">
                  <v>9.31223517583128</v>
                </pt>
                <pt idx="315">
                  <v>9.223480996758024</v>
                </pt>
                <pt idx="316">
                  <v>9.232206150014369</v>
                </pt>
                <pt idx="317">
                  <v>8.448780020133263</v>
                </pt>
                <pt idx="318">
                  <v>8.259799507773575</v>
                </pt>
                <pt idx="319">
                  <v>8.09658237731996</v>
                </pt>
                <pt idx="320">
                  <v>8.182321372704738</v>
                </pt>
                <pt idx="321">
                  <v>8.229561451001624</v>
                </pt>
                <pt idx="322">
                  <v>8.317184434467567</v>
                </pt>
                <pt idx="323">
                  <v>8.331126146733764</v>
                </pt>
                <pt idx="324">
                  <v>8.285094066570188</v>
                </pt>
                <pt idx="325">
                  <v>8.229607250755288</v>
                </pt>
                <pt idx="326">
                  <v>8.137267960718308</v>
                </pt>
                <pt idx="327">
                  <v>7.722241753445914</v>
                </pt>
                <pt idx="328">
                  <v>7.43440055575191</v>
                </pt>
                <pt idx="329">
                  <v>7.118565560282305</v>
                </pt>
                <pt idx="330">
                  <v>7.408673151798465</v>
                </pt>
                <pt idx="331">
                  <v>7.174756570759206</v>
                </pt>
                <pt idx="332">
                  <v>7.127427169654734</v>
                </pt>
                <pt idx="333">
                  <v>7.006322779093328</v>
                </pt>
                <pt idx="334">
                  <v>7.366684991753711</v>
                </pt>
                <pt idx="335">
                  <v>7.365943487115697</v>
                </pt>
                <pt idx="336">
                  <v>7.367830393520213</v>
                </pt>
                <pt idx="337">
                  <v>7.761572297157339</v>
                </pt>
                <pt idx="338">
                  <v>7.444047807599995</v>
                </pt>
                <pt idx="339">
                  <v>7.73689669900543</v>
                </pt>
                <pt idx="340">
                  <v>8.034686328785245</v>
                </pt>
                <pt idx="341">
                  <v>7.700608200902492</v>
                </pt>
                <pt idx="342">
                  <v>7.423468450259086</v>
                </pt>
                <pt idx="343">
                  <v>7.204892966360855</v>
                </pt>
                <pt idx="344">
                  <v>6.932133556661327</v>
                </pt>
                <pt idx="345">
                  <v>6.852258912234598</v>
                </pt>
                <pt idx="346">
                  <v>6.809745064778622</v>
                </pt>
                <pt idx="347">
                  <v>6.353567442259809</v>
                </pt>
                <pt idx="348">
                  <v>6.287059751722778</v>
                </pt>
                <pt idx="349">
                  <v>6.159709842011434</v>
                </pt>
                <pt idx="350">
                  <v>6.374981575197761</v>
                </pt>
                <pt idx="351">
                  <v>6.868216103513828</v>
                </pt>
                <pt idx="352">
                  <v>6.870238372734968</v>
                </pt>
                <pt idx="353">
                  <v>6.786412422085347</v>
                </pt>
                <pt idx="354">
                  <v>6.776486822813351</v>
                </pt>
                <pt idx="355">
                  <v>6.857916769268653</v>
                </pt>
                <pt idx="356">
                  <v>7.07883980893288</v>
                </pt>
                <pt idx="357">
                  <v>7.217459848260913</v>
                </pt>
                <pt idx="358">
                  <v>7.167445291369559</v>
                </pt>
                <pt idx="359">
                  <v>7.207052352421177</v>
                </pt>
                <pt idx="360">
                  <v>6.965247728589569</v>
                </pt>
                <pt idx="361">
                  <v>6.551349750777278</v>
                </pt>
                <pt idx="362">
                  <v>6.648772439606984</v>
                </pt>
                <pt idx="363">
                  <v>6.702313776704531</v>
                </pt>
                <pt idx="364">
                  <v>6.883303985913238</v>
                </pt>
                <pt idx="365">
                  <v>7.093951602936452</v>
                </pt>
                <pt idx="366">
                  <v>7.28882749774922</v>
                </pt>
                <pt idx="367">
                  <v>6.865833251304262</v>
                </pt>
                <pt idx="368">
                  <v>6.704075242807853</v>
                </pt>
                <pt idx="369">
                  <v>6.801887370549666</v>
                </pt>
                <pt idx="370">
                  <v>6.967792233104322</v>
                </pt>
                <pt idx="371">
                  <v>6.413454868505919</v>
                </pt>
                <pt idx="372">
                  <v>6.214964660004874</v>
                </pt>
                <pt idx="373">
                  <v>6.19232785206675</v>
                </pt>
                <pt idx="374">
                  <v>5.566202409579728</v>
                </pt>
                <pt idx="375">
                  <v>5.651437828093979</v>
                </pt>
                <pt idx="376">
                  <v>5.362385655011768</v>
                </pt>
                <pt idx="377">
                  <v>5.256305741783981</v>
                </pt>
                <pt idx="378">
                  <v>5.202635353609025</v>
                </pt>
                <pt idx="379">
                  <v>5.257009345794392</v>
                </pt>
                <pt idx="380">
                  <v>5.368930972630655</v>
                </pt>
                <pt idx="381">
                  <v>5.220403483521577</v>
                </pt>
                <pt idx="382">
                  <v>5.150424116677854</v>
                </pt>
                <pt idx="383">
                  <v>4.934351145038169</v>
                </pt>
                <pt idx="384">
                  <v>5.159365715892558</v>
                </pt>
                <pt idx="385">
                  <v>5.216067943887382</v>
                </pt>
                <pt idx="386">
                  <v>4.919020622993962</v>
                </pt>
                <pt idx="387">
                  <v>4.983901012817507</v>
                </pt>
                <pt idx="388">
                  <v>4.947463812486223</v>
                </pt>
                <pt idx="389">
                  <v>5.03382682151559</v>
                </pt>
                <pt idx="390">
                  <v>5.167670458770169</v>
                </pt>
                <pt idx="391">
                  <v>5.122353554020365</v>
                </pt>
                <pt idx="392">
                  <v>5.240022847492984</v>
                </pt>
                <pt idx="393">
                  <v>5.068260021614639</v>
                </pt>
                <pt idx="394">
                  <v>4.811338347734195</v>
                </pt>
                <pt idx="395">
                  <v>4.881328916892885</v>
                </pt>
                <pt idx="396">
                  <v>4.555525130068955</v>
                </pt>
                <pt idx="397">
                  <v>4.723724283672074</v>
                </pt>
                <pt idx="398">
                  <v>4.80178671133445</v>
                </pt>
                <pt idx="399">
                  <v>4.810261892036345</v>
                </pt>
                <pt idx="400">
                  <v>5.009633911368016</v>
                </pt>
                <pt idx="401">
                  <v>5.050567877890703</v>
                </pt>
                <pt idx="402">
                  <v>5.124816080201501</v>
                </pt>
                <pt idx="403">
                  <v>5.260599109936549</v>
                </pt>
                <pt idx="404">
                  <v>5.046791860334708</v>
                </pt>
                <pt idx="405">
                  <v>5.227977146271332</v>
                </pt>
                <pt idx="406">
                  <v>5.276650820120965</v>
                </pt>
                <pt idx="407">
                  <v>5.275272161741835</v>
                </pt>
                <pt idx="408">
                  <v>5.050944875032656</v>
                </pt>
                <pt idx="409">
                  <v>5.109034267912772</v>
                </pt>
                <pt idx="410">
                  <v>5.079373003194888</v>
                </pt>
                <pt idx="411">
                  <v>5.347459956520654</v>
                </pt>
                <pt idx="412">
                  <v>5.249868753281168</v>
                </pt>
                <pt idx="413">
                  <v>4.962686100728777</v>
                </pt>
                <pt idx="414">
                  <v>4.883423906238261</v>
                </pt>
                <pt idx="415">
                  <v>4.860206433510371</v>
                </pt>
                <pt idx="416">
                  <v>4.905105082443497</v>
                </pt>
                <pt idx="417">
                  <v>4.700456183683242</v>
                </pt>
                <pt idx="418">
                  <v>4.726731874558839</v>
                </pt>
                <pt idx="419">
                  <v>4.903075795486137</v>
                </pt>
                <pt idx="420">
                  <v>4.954875243319766</v>
                </pt>
                <pt idx="421">
                  <v>4.963156162163531</v>
                </pt>
                <pt idx="422">
                  <v>4.922430592463241</v>
                </pt>
                <pt idx="423">
                  <v>4.948239641600648</v>
                </pt>
                <pt idx="424">
                  <v>4.734536800263312</v>
                </pt>
                <pt idx="425">
                  <v>4.565863530006957</v>
                </pt>
                <pt idx="426">
                  <v>4.221008998079061</v>
                </pt>
                <pt idx="427">
                  <v>4.248700732142179</v>
                </pt>
                <pt idx="428">
                  <v>4.209701275552129</v>
                </pt>
                <pt idx="429">
                  <v>4.107840287169634</v>
                </pt>
                <pt idx="430">
                  <v>4.08633166337736</v>
                </pt>
                <pt idx="431">
                  <v>4.100020247013566</v>
                </pt>
                <pt idx="432">
                  <v>4.155475599249987</v>
                </pt>
                <pt idx="433">
                  <v>4.159216849900458</v>
                </pt>
                <pt idx="434">
                  <v>4.142911440516913</v>
                </pt>
                <pt idx="435">
                  <v>4.840958053478646</v>
                </pt>
                <pt idx="436">
                  <v>4.662772575801731</v>
                </pt>
                <pt idx="437">
                  <v>5.043912453901428</v>
                </pt>
                <pt idx="438">
                  <v>4.977834072197593</v>
                </pt>
                <pt idx="439">
                  <v>4.676035634179413</v>
                </pt>
                <pt idx="440">
                  <v>4.774690341700651</v>
                </pt>
                <pt idx="441">
                  <v>4.940586282905572</v>
                </pt>
                <pt idx="442">
                  <v>5.047807954429865</v>
                </pt>
                <pt idx="443">
                  <v>4.729006271350634</v>
                </pt>
                <pt idx="444">
                  <v>4.727711762089343</v>
                </pt>
                <pt idx="445">
                  <v>4.594570515839177</v>
                </pt>
                <pt idx="446">
                  <v>4.670637344736306</v>
                </pt>
                <pt idx="447">
                  <v>4.733848287797615</v>
                </pt>
                <pt idx="448">
                  <v>4.886801817279426</v>
                </pt>
                <pt idx="449">
                  <v>5.037430017981713</v>
                </pt>
                <pt idx="450">
                  <v>5.02011879670435</v>
                </pt>
                <pt idx="451">
                  <v>4.712162231189661</v>
                </pt>
                <pt idx="452">
                  <v>4.703296141507867</v>
                </pt>
                <pt idx="453">
                  <v>4.638290239089767</v>
                </pt>
                <pt idx="454">
                  <v>4.497578227108479</v>
                </pt>
                <pt idx="455">
                  <v>4.499134781772736</v>
                </pt>
                <pt idx="456">
                  <v>4.59604842540408</v>
                </pt>
                <pt idx="457">
                  <v>4.522625941679906</v>
                </pt>
                <pt idx="458">
                  <v>4.54254638515675</v>
                </pt>
                <pt idx="459">
                  <v>4.716920834984468</v>
                </pt>
                <pt idx="460">
                  <v>4.672540232226522</v>
                </pt>
                <pt idx="461">
                  <v>4.721804890981858</v>
                </pt>
                <pt idx="462">
                  <v>4.852216436724818</v>
                </pt>
                <pt idx="463">
                  <v>4.811638861876918</v>
                </pt>
                <pt idx="464">
                  <v>4.77347790864336</v>
                </pt>
                <pt idx="465">
                  <v>4.970216166939321</v>
                </pt>
                <pt idx="466">
                  <v>4.83387459405446</v>
                </pt>
                <pt idx="467">
                  <v>4.91762356465302</v>
                </pt>
                <pt idx="468">
                  <v>4.796372198482603</v>
                </pt>
                <pt idx="469">
                  <v>4.673882049565465</v>
                </pt>
                <pt idx="470">
                  <v>4.582270329180393</v>
                </pt>
                <pt idx="471">
                  <v>4.655099449851884</v>
                </pt>
                <pt idx="472">
                  <v>4.626002611453087</v>
                </pt>
                <pt idx="473">
                  <v>4.637688367235291</v>
                </pt>
                <pt idx="474">
                  <v>4.529322711140892</v>
                </pt>
                <pt idx="475">
                  <v>4.527131782945736</v>
                </pt>
                <pt idx="476">
                  <v>4.768026760862239</v>
                </pt>
                <pt idx="477">
                  <v>4.720447383825929</v>
                </pt>
                <pt idx="478">
                  <v>4.748787875010906</v>
                </pt>
                <pt idx="479">
                  <v>4.797301517896183</v>
                </pt>
                <pt idx="480">
                  <v>4.784748769457562</v>
                </pt>
                <pt idx="481">
                  <v>4.890707655454636</v>
                </pt>
                <pt idx="482">
                  <v>5.006257822277847</v>
                </pt>
                <pt idx="483">
                  <v>5.005143129531599</v>
                </pt>
                <pt idx="484">
                  <v>5.062462220431191</v>
                </pt>
                <pt idx="485">
                  <v>5.037275841225066</v>
                </pt>
                <pt idx="486">
                  <v>5.059913402477092</v>
                </pt>
                <pt idx="487">
                  <v>5.007252317588446</v>
                </pt>
                <pt idx="488">
                  <v>5.439789981194229</v>
                </pt>
                <pt idx="489">
                  <v>5.534915459852908</v>
                </pt>
                <pt idx="490">
                  <v>5.490691069738087</v>
                </pt>
                <pt idx="491">
                  <v>6.925716311517959</v>
                </pt>
                <pt idx="492">
                  <v>6.853732249212833</v>
                </pt>
                <pt idx="493">
                  <v>7.37890620055943</v>
                </pt>
                <pt idx="494">
                  <v>6.966787424315354</v>
                </pt>
                <pt idx="495">
                  <v>6.669540739989348</v>
                </pt>
                <pt idx="496">
                  <v>7.395943014449363</v>
                </pt>
                <pt idx="497">
                  <v>8.014788741310982</v>
                </pt>
                <pt idx="498">
                  <v>7.688805705903182</v>
                </pt>
                <pt idx="499">
                  <v>7.818241719252895</v>
                </pt>
                <pt idx="500">
                  <v>8.003433649767723</v>
                </pt>
                <pt idx="501">
                  <v>8.784090336240359</v>
                </pt>
                <pt idx="502">
                  <v>9.046032024456862</v>
                </pt>
                <pt idx="503">
                  <v>10.07999202571706</v>
                </pt>
                <pt idx="504">
                  <v>9.458179643106371</v>
                </pt>
                <pt idx="505">
                  <v>10.31056676873086</v>
                </pt>
                <pt idx="506">
                  <v>11.7466420332551</v>
                </pt>
                <pt idx="507">
                  <v>11.92825560190852</v>
                </pt>
                <pt idx="508">
                  <v>12.79131982032426</v>
                </pt>
                <pt idx="509">
                  <v>13.54667592087651</v>
                </pt>
                <pt idx="510">
                  <v>12.73901167121927</v>
                </pt>
                <pt idx="511">
                  <v>12.15907397287496</v>
                </pt>
                <pt idx="512">
                  <v>12.03250015505799</v>
                </pt>
                <pt idx="513">
                  <v>12.51144716976462</v>
                </pt>
                <pt idx="514">
                  <v>12.54333828628034</v>
                </pt>
                <pt idx="515">
                  <v>13.08786860028037</v>
                </pt>
                <pt idx="516">
                  <v>13.59174742106908</v>
                </pt>
                <pt idx="517">
                  <v>13.44860710854947</v>
                </pt>
                <pt idx="518">
                  <v>14.61851847180354</v>
                </pt>
                <pt idx="519">
                  <v>14.8974163659295</v>
                </pt>
              </numCache>
            </numRef>
          </val>
          <smooth val="0"/>
        </ser>
        <ser>
          <idx val="1"/>
          <order val="1"/>
          <tx>
            <strRef>
              <f>bands_A!$AD$34:$AD$35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1835136"/>
        <axId val="81836672"/>
      </lineChart>
      <dateAx>
        <axId val="81835136"/>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1836672"/>
        <crosses val="autoZero"/>
        <lblOffset val="100"/>
        <baseTimeUnit val="days"/>
        <majorUnit val="1"/>
        <majorTimeUnit val="years"/>
      </dateAx>
      <valAx>
        <axId val="81836672"/>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1835136"/>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Trailing P/B Multiple vs. ROE</a:t>
            </a:r>
          </a:p>
        </rich>
      </tx>
      <overlay val="0"/>
    </title>
    <plotArea>
      <layout/>
      <lineChart>
        <grouping val="standard"/>
        <varyColors val="0"/>
        <ser>
          <idx val="0"/>
          <order val="0"/>
          <tx>
            <strRef>
              <f>'bands_A-H_Avg'!$U$34:$U$35</f>
              <strCache>
                <ptCount val="2"/>
                <pt idx="0">
                  <v>P/B</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'bands_A-H_Avg'!$U$36:$U$609</f>
              <numCache>
                <formatCode>#,##0.00_);\(#,##0.00\)</formatCode>
                <ptCount val="557"/>
                <pt idx="0">
                  <v>1.65819603737088</v>
                </pt>
                <pt idx="1">
                  <v>1.655184427653238</v>
                </pt>
                <pt idx="2">
                  <v>1.710532587376173</v>
                </pt>
                <pt idx="3">
                  <v>1.668588673076558</v>
                </pt>
                <pt idx="4">
                  <v>1.646422368832605</v>
                </pt>
                <pt idx="5">
                  <v>1.577085591109646</v>
                </pt>
                <pt idx="6">
                  <v>1.62193841496271</v>
                </pt>
                <pt idx="7">
                  <v>1.591246945987461</v>
                </pt>
                <pt idx="8">
                  <v>1.626047085532008</v>
                </pt>
                <pt idx="9">
                  <v>1.623444537321689</v>
                </pt>
                <pt idx="10">
                  <v>1.703297179219364</v>
                </pt>
                <pt idx="11">
                  <v>1.745637450667113</v>
                </pt>
                <pt idx="12">
                  <v>1.670022068242609</v>
                </pt>
                <pt idx="13">
                  <v>1.738889061544425</v>
                </pt>
                <pt idx="14">
                  <v>1.802339211830404</v>
                </pt>
                <pt idx="15">
                  <v>1.94445068720755</v>
                </pt>
                <pt idx="16">
                  <v>2.040708872082824</v>
                </pt>
                <pt idx="17">
                  <v>2.070266976731945</v>
                </pt>
                <pt idx="18">
                  <v>2.056134488117264</v>
                </pt>
                <pt idx="19">
                  <v>2.020696864423668</v>
                </pt>
                <pt idx="20">
                  <v>1.878976518117826</v>
                </pt>
                <pt idx="21">
                  <v>1.993662305735901</v>
                </pt>
                <pt idx="22">
                  <v>2.212165123917115</v>
                </pt>
                <pt idx="23">
                  <v>2.155704069861642</v>
                </pt>
                <pt idx="24">
                  <v>2.162359286287924</v>
                </pt>
                <pt idx="25">
                  <v>2.086301963749479</v>
                </pt>
                <pt idx="26">
                  <v>2.01122926632778</v>
                </pt>
                <pt idx="27">
                  <v>2.120639036504627</v>
                </pt>
                <pt idx="28">
                  <v>2.107087753583808</v>
                </pt>
                <pt idx="29">
                  <v>2.053444935289362</v>
                </pt>
                <pt idx="30">
                  <v>2.020483831488727</v>
                </pt>
                <pt idx="31">
                  <v>2.007815419806032</v>
                </pt>
                <pt idx="32">
                  <v>1.936038398296033</v>
                </pt>
                <pt idx="33">
                  <v>2.100748245978974</v>
                </pt>
                <pt idx="34">
                  <v>2.029282758994623</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marker val="1"/>
        <smooth val="0"/>
        <axId val="83864192"/>
        <axId val="83865984"/>
      </lineChart>
      <lineChart>
        <grouping val="standard"/>
        <varyColors val="0"/>
        <ser>
          <idx val="1"/>
          <order val="1"/>
          <tx>
            <strRef>
              <f>'bands_A-H_Avg'!$V$34:$V$35</f>
              <strCache>
                <ptCount val="2"/>
                <pt idx="0">
                  <v>ROE (RHS)</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'bands_A-H_Avg'!$T$36:$T$609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'bands_A-H_Avg'!$V$36:$V$609</f>
              <numCache>
                <formatCode>#,##0.0%_);\(#,##0.0%\)</formatCode>
                <ptCount val="557"/>
                <pt idx="0">
                  <v>0.1520769230769231</v>
                </pt>
                <pt idx="1">
                  <v>0.1516923076923077</v>
                </pt>
                <pt idx="2">
                  <v>0.1513076923076923</v>
                </pt>
                <pt idx="3">
                  <v>0.1509230769230769</v>
                </pt>
                <pt idx="4">
                  <v>0.1505384615384615</v>
                </pt>
                <pt idx="5">
                  <v>0.1501538461538462</v>
                </pt>
                <pt idx="6">
                  <v>0.1497692307692308</v>
                </pt>
                <pt idx="7">
                  <v>0.1493846153846154</v>
                </pt>
                <pt idx="8">
                  <v>0.149</v>
                </pt>
                <pt idx="9">
                  <v>0.1486153846153846</v>
                </pt>
                <pt idx="10">
                  <v>0.1482307692307692</v>
                </pt>
                <pt idx="11">
                  <v>0.1478461538461538</v>
                </pt>
                <pt idx="12">
                  <v>0.1474615384615385</v>
                </pt>
                <pt idx="13">
                  <v>0.1470769230769231</v>
                </pt>
                <pt idx="14">
                  <v>0.1466923076923077</v>
                </pt>
                <pt idx="15">
                  <v>0.1463076923076923</v>
                </pt>
                <pt idx="16">
                  <v>0.1459230769230769</v>
                </pt>
                <pt idx="17">
                  <v>0.1455384615384616</v>
                </pt>
                <pt idx="18">
                  <v>0.1451538461538462</v>
                </pt>
                <pt idx="19">
                  <v>0.1447692307692308</v>
                </pt>
                <pt idx="20">
                  <v>0.1443846153846154</v>
                </pt>
                <pt idx="21">
                  <v>0.144</v>
                </pt>
                <pt idx="22">
                  <v>0.1436153846153846</v>
                </pt>
                <pt idx="23">
                  <v>0.1432307692307692</v>
                </pt>
                <pt idx="24">
                  <v>0.1428461538461538</v>
                </pt>
                <pt idx="25">
                  <v>0.1424615384615385</v>
                </pt>
                <pt idx="26">
                  <v>0.1420769230769231</v>
                </pt>
                <pt idx="27">
                  <v>0.1416923076923077</v>
                </pt>
                <pt idx="28">
                  <v>0.1413076923076923</v>
                </pt>
                <pt idx="29">
                  <v>0.1409230769230769</v>
                </pt>
                <pt idx="30">
                  <v>0.1405384615384616</v>
                </pt>
                <pt idx="31">
                  <v>0.1401538461538462</v>
                </pt>
                <pt idx="32">
                  <v>0.1397692307692308</v>
                </pt>
                <pt idx="33">
                  <v>0.1393846153846154</v>
                </pt>
                <pt idx="34">
                  <v>0.139</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marker val="1"/>
        <smooth val="0"/>
        <axId val="83882368"/>
        <axId val="83867904"/>
      </lineChart>
      <dateAx>
        <axId val="8386419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3865984"/>
        <crosses val="autoZero"/>
        <lblOffset val="100"/>
        <baseTimeUnit val="days"/>
        <majorUnit val="1"/>
        <majorTimeUnit val="years"/>
      </dateAx>
      <valAx>
        <axId val="83865984"/>
        <scaling>
          <orientation val="minMax"/>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 xml:space="preserve">1-yr Trailing </a:t>
                </a:r>
                <a:r>
                  <a:rPr lang="en-US" baseline="0"/>
                  <a:t>P/B Multiple</a:t>
                </a:r>
                <a:endParaRPr lang="en-US"/>
              </a:p>
            </rich>
          </tx>
          <overlay val="0"/>
        </title>
        <numFmt formatCode="#,##0.0\x" sourceLinked="0"/>
        <majorTickMark val="out"/>
        <minorTickMark val="none"/>
        <tickLblPos val="nextTo"/>
        <spPr>
          <a:ln xmlns:a="http://schemas.openxmlformats.org/drawingml/2006/main" w="12700">
            <a:solidFill>
              <a:srgbClr val="000000"/>
            </a:solidFill>
            <a:prstDash val="solid"/>
          </a:ln>
        </spPr>
        <crossAx val="83864192"/>
        <crosses val="autoZero"/>
        <crossBetween val="between"/>
      </valAx>
      <dateAx>
        <axId val="83882368"/>
        <scaling>
          <orientation val="minMax"/>
        </scaling>
        <delete val="1"/>
        <axPos val="b"/>
        <numFmt formatCode="m/d/yy" sourceLinked="1"/>
        <majorTickMark val="out"/>
        <minorTickMark val="none"/>
        <crossAx val="83867904"/>
        <crosses val="autoZero"/>
        <lblOffset val="100"/>
        <baseTimeUnit val="days"/>
      </dateAx>
      <valAx>
        <axId val="83867904"/>
        <scaling>
          <orientation val="minMax"/>
          <min val="0.09000000000000002"/>
        </scaling>
        <delete val="0"/>
        <axPos val="r"/>
        <title>
          <tx>
            <rich>
              <a:bodyPr xmlns:a="http://schemas.openxmlformats.org/drawingml/2006/main" rot="-5400000" vert="horz"/>
              <a:lstStyle xmlns:a="http://schemas.openxmlformats.org/drawingml/2006/main"/>
              <a:p xmlns:a="http://schemas.openxmlformats.org/drawingml/2006/main">
                <a:pPr>
                  <a:defRPr/>
                </a:pPr>
                <a:r>
                  <a:rPr lang="en-US"/>
                  <a:t>1-yr Trailing ROE</a:t>
                </a:r>
              </a:p>
            </rich>
          </tx>
          <overlay val="0"/>
        </title>
        <numFmt formatCode="0%" sourceLinked="0"/>
        <majorTickMark val="out"/>
        <minorTickMark val="none"/>
        <tickLblPos val="nextTo"/>
        <crossAx val="83882368"/>
        <crosses val="max"/>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84265600"/>
        <axId val="84271488"/>
      </lineChart>
      <dateAx>
        <axId val="8426560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271488"/>
        <crosses val="autoZero"/>
        <lblOffset val="100"/>
        <baseTimeUnit val="days"/>
        <majorUnit val="1"/>
        <majorTimeUnit val="years"/>
      </dateAx>
      <valAx>
        <axId val="842714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8426560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EV/Sales Price Bands</a:t>
            </a:r>
          </a:p>
        </rich>
      </tx>
      <overlay val="0"/>
    </title>
    <plotArea>
      <layout/>
      <lineChart>
        <grouping val="standard"/>
        <varyColors val="0"/>
        <ser>
          <idx val="0"/>
          <order val="0"/>
          <tx>
            <strRef>
              <f>'bands_A-H_Avg'!$AS$34:$AS$35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'bands_A-H_Avg'!$AS$36:$AS$609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'bands_A-H_Avg'!$AT$34:$AT$35</f>
              <strCache>
                <ptCount val="2"/>
                <pt idx="0">
                  <v>0.2x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'bands_A-H_Avg'!$AT$36:$AT$609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'bands_A-H_Avg'!$AU$34:$AU$35</f>
              <strCache>
                <ptCount val="2"/>
                <pt idx="0">
                  <v>0.5x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'bands_A-H_Avg'!$AU$36:$AU$609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'bands_A-H_Avg'!$AV$34:$AV$35</f>
              <strCache>
                <ptCount val="2"/>
                <pt idx="0">
                  <v>0.9x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'bands_A-H_Avg'!$AV$36:$AV$609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'bands_A-H_Avg'!$AW$34:$AW$35</f>
              <strCache>
                <ptCount val="2"/>
                <pt idx="0">
                  <v>1.2x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'bands_A-H_Avg'!$AW$36:$AW$609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'bands_A-H_Avg'!$AX$34:$AX$35</f>
              <strCache>
                <ptCount val="2"/>
                <pt idx="0">
                  <v>1.5x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'bands_A-H_Avg'!$AR$36:$AR$609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'bands_A-H_Avg'!$AX$36:$AX$609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1999104"/>
        <axId val="462000896"/>
      </lineChart>
      <dateAx>
        <axId val="461999104"/>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000896"/>
        <crosses val="autoZero"/>
        <lblOffset val="100"/>
        <baseTimeUnit val="days"/>
        <majorUnit val="1"/>
        <majorTimeUnit val="years"/>
      </dateAx>
      <valAx>
        <axId val="462000896"/>
        <scaling>
          <orientation val="minMax"/>
          <max val="9"/>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1999104"/>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5.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EV/EBTIDA Price Bands</a:t>
            </a:r>
          </a:p>
        </rich>
      </tx>
      <overlay val="0"/>
    </title>
    <plotArea>
      <layout/>
      <lineChart>
        <grouping val="standard"/>
        <varyColors val="0"/>
        <ser>
          <idx val="0"/>
          <order val="0"/>
          <tx>
            <strRef>
              <f>'bands_A-H_Avg'!$BA$34:$BA$35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'bands_A-H_Avg'!$BA$36:$BA$609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'bands_A-H_Avg'!$BB$34:$BB$35</f>
              <strCache>
                <ptCount val="2"/>
                <pt idx="0">
                  <v>3.0x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'bands_A-H_Avg'!$BB$36:$BB$609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'bands_A-H_Avg'!$BC$34:$BC$35</f>
              <strCache>
                <ptCount val="2"/>
                <pt idx="0">
                  <v>7.3x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'bands_A-H_Avg'!$BC$36:$BC$609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'bands_A-H_Avg'!$BD$34:$BD$35</f>
              <strCache>
                <ptCount val="2"/>
                <pt idx="0">
                  <v>11.5x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'bands_A-H_Avg'!$BD$36:$BD$609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'bands_A-H_Avg'!$BE$34:$BE$35</f>
              <strCache>
                <ptCount val="2"/>
                <pt idx="0">
                  <v>15.8x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'bands_A-H_Avg'!$BE$36:$BE$609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'bands_A-H_Avg'!$BF$34:$BF$35</f>
              <strCache>
                <ptCount val="2"/>
                <pt idx="0">
                  <v>20.0x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'bands_A-H_Avg'!$AZ$36:$AZ$609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'bands_A-H_Avg'!$BF$36:$BF$609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462978432"/>
        <axId val="462980224"/>
      </lineChart>
      <dateAx>
        <axId val="4629784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2980224"/>
        <crosses val="autoZero"/>
        <lblOffset val="100"/>
        <baseTimeUnit val="days"/>
        <majorUnit val="1"/>
        <majorTimeUnit val="years"/>
      </dateAx>
      <valAx>
        <axId val="462980224"/>
        <scaling>
          <orientation val="minMax"/>
          <max val="9"/>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46297843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16.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P/B Multiple</a:t>
            </a:r>
          </a:p>
        </rich>
      </tx>
      <overlay val="0"/>
    </title>
    <plotArea>
      <layout/>
      <lineChart>
        <grouping val="standard"/>
        <varyColors val="0"/>
        <ser>
          <idx val="0"/>
          <order val="0"/>
          <tx>
            <strRef>
              <f>'bands_A-H_Avg'!$BI$34:$BI$35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'bands_A-H_Avg'!$BI$88:$BI$979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1"/>
          <order val="1"/>
          <tx>
            <strRef>
              <f>'bands_A-H_Avg'!$BJ$34:$BJ$35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'bands_A-H_Avg'!$BJ$88:$BJ$979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2"/>
          <order val="2"/>
          <tx>
            <strRef>
              <f>'bands_A-H_Avg'!$BK$34:$BK$35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'bands_A-H_Avg'!$BK$88:$BK$979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3"/>
          <order val="3"/>
          <tx>
            <strRef>
              <f>'bands_A-H_Avg'!$BL$34:$BL$35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'bands_A-H_Avg'!$BL$88:$BL$979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4"/>
          <order val="4"/>
          <tx>
            <strRef>
              <f>'bands_A-H_Avg'!$BM$34:$BM$35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'bands_A-H_Avg'!$BM$88:$BM$979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ser>
          <idx val="5"/>
          <order val="5"/>
          <tx>
            <strRef>
              <f>'bands_A-H_Avg'!$BN$34:$BN$35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'bands_A-H_Avg'!$BH$88:$BH$979</f>
              <numCache>
                <formatCode>m/d/yy</formatCode>
                <ptCount val="892"/>
                <pt idx="0">
                  <v>38718</v>
                </pt>
                <pt idx="1">
                  <v>38725</v>
                </pt>
                <pt idx="2">
                  <v>38732</v>
                </pt>
                <pt idx="3">
                  <v>38739</v>
                </pt>
                <pt idx="4">
                  <v>38746</v>
                </pt>
                <pt idx="5">
                  <v>38753</v>
                </pt>
                <pt idx="6">
                  <v>38760</v>
                </pt>
                <pt idx="7">
                  <v>38767</v>
                </pt>
                <pt idx="8">
                  <v>38774</v>
                </pt>
                <pt idx="9">
                  <v>38781</v>
                </pt>
                <pt idx="10">
                  <v>38788</v>
                </pt>
                <pt idx="11">
                  <v>38795</v>
                </pt>
                <pt idx="12">
                  <v>38802</v>
                </pt>
                <pt idx="13">
                  <v>38809</v>
                </pt>
                <pt idx="14">
                  <v>38816</v>
                </pt>
                <pt idx="15">
                  <v>38823</v>
                </pt>
                <pt idx="16">
                  <v>38830</v>
                </pt>
                <pt idx="17">
                  <v>38837</v>
                </pt>
                <pt idx="18">
                  <v>38844</v>
                </pt>
                <pt idx="19">
                  <v>38851</v>
                </pt>
                <pt idx="20">
                  <v>38858</v>
                </pt>
                <pt idx="21">
                  <v>38865</v>
                </pt>
                <pt idx="22">
                  <v>38872</v>
                </pt>
                <pt idx="23">
                  <v>38879</v>
                </pt>
                <pt idx="24">
                  <v>38886</v>
                </pt>
                <pt idx="25">
                  <v>38893</v>
                </pt>
                <pt idx="26">
                  <v>38900</v>
                </pt>
                <pt idx="27">
                  <v>38907</v>
                </pt>
                <pt idx="28">
                  <v>38914</v>
                </pt>
                <pt idx="29">
                  <v>38921</v>
                </pt>
                <pt idx="30">
                  <v>38928</v>
                </pt>
                <pt idx="31">
                  <v>38935</v>
                </pt>
                <pt idx="32">
                  <v>38942</v>
                </pt>
                <pt idx="33">
                  <v>38949</v>
                </pt>
                <pt idx="34">
                  <v>38956</v>
                </pt>
                <pt idx="35">
                  <v>38963</v>
                </pt>
                <pt idx="36">
                  <v>38970</v>
                </pt>
                <pt idx="37">
                  <v>38977</v>
                </pt>
                <pt idx="38">
                  <v>38984</v>
                </pt>
                <pt idx="39">
                  <v>38991</v>
                </pt>
                <pt idx="40">
                  <v>38998</v>
                </pt>
                <pt idx="41">
                  <v>39005</v>
                </pt>
                <pt idx="42">
                  <v>39012</v>
                </pt>
                <pt idx="43">
                  <v>39019</v>
                </pt>
                <pt idx="44">
                  <v>39026</v>
                </pt>
                <pt idx="45">
                  <v>39033</v>
                </pt>
                <pt idx="46">
                  <v>39040</v>
                </pt>
                <pt idx="47">
                  <v>39047</v>
                </pt>
                <pt idx="48">
                  <v>39054</v>
                </pt>
                <pt idx="49">
                  <v>39061</v>
                </pt>
                <pt idx="50">
                  <v>39068</v>
                </pt>
                <pt idx="51">
                  <v>39075</v>
                </pt>
                <pt idx="52">
                  <v>39082</v>
                </pt>
                <pt idx="53">
                  <v>39089</v>
                </pt>
                <pt idx="54">
                  <v>39096</v>
                </pt>
                <pt idx="55">
                  <v>39103</v>
                </pt>
                <pt idx="56">
                  <v>39110</v>
                </pt>
                <pt idx="57">
                  <v>39117</v>
                </pt>
                <pt idx="58">
                  <v>39124</v>
                </pt>
                <pt idx="59">
                  <v>39131</v>
                </pt>
                <pt idx="60">
                  <v>39138</v>
                </pt>
                <pt idx="61">
                  <v>39145</v>
                </pt>
                <pt idx="62">
                  <v>39152</v>
                </pt>
                <pt idx="63">
                  <v>39159</v>
                </pt>
                <pt idx="64">
                  <v>39166</v>
                </pt>
                <pt idx="65">
                  <v>39173</v>
                </pt>
                <pt idx="66">
                  <v>39180</v>
                </pt>
                <pt idx="67">
                  <v>39187</v>
                </pt>
                <pt idx="68">
                  <v>39194</v>
                </pt>
                <pt idx="69">
                  <v>39201</v>
                </pt>
                <pt idx="70">
                  <v>39208</v>
                </pt>
                <pt idx="71">
                  <v>39215</v>
                </pt>
                <pt idx="72">
                  <v>39222</v>
                </pt>
                <pt idx="73">
                  <v>39229</v>
                </pt>
                <pt idx="74">
                  <v>39236</v>
                </pt>
                <pt idx="75">
                  <v>39243</v>
                </pt>
                <pt idx="76">
                  <v>39250</v>
                </pt>
                <pt idx="77">
                  <v>39257</v>
                </pt>
                <pt idx="78">
                  <v>39264</v>
                </pt>
                <pt idx="79">
                  <v>39271</v>
                </pt>
                <pt idx="80">
                  <v>39278</v>
                </pt>
                <pt idx="81">
                  <v>39285</v>
                </pt>
                <pt idx="82">
                  <v>39292</v>
                </pt>
                <pt idx="83">
                  <v>39299</v>
                </pt>
                <pt idx="84">
                  <v>39306</v>
                </pt>
                <pt idx="85">
                  <v>39313</v>
                </pt>
                <pt idx="86">
                  <v>39320</v>
                </pt>
                <pt idx="87">
                  <v>39327</v>
                </pt>
                <pt idx="88">
                  <v>39334</v>
                </pt>
                <pt idx="89">
                  <v>39341</v>
                </pt>
                <pt idx="90">
                  <v>39348</v>
                </pt>
                <pt idx="91">
                  <v>39355</v>
                </pt>
                <pt idx="92">
                  <v>39362</v>
                </pt>
                <pt idx="93">
                  <v>39369</v>
                </pt>
                <pt idx="94">
                  <v>39376</v>
                </pt>
                <pt idx="95">
                  <v>39383</v>
                </pt>
                <pt idx="96">
                  <v>39390</v>
                </pt>
                <pt idx="97">
                  <v>39397</v>
                </pt>
                <pt idx="98">
                  <v>39404</v>
                </pt>
                <pt idx="99">
                  <v>39411</v>
                </pt>
                <pt idx="100">
                  <v>39418</v>
                </pt>
                <pt idx="101">
                  <v>39425</v>
                </pt>
                <pt idx="102">
                  <v>39432</v>
                </pt>
                <pt idx="103">
                  <v>39439</v>
                </pt>
                <pt idx="104">
                  <v>39446</v>
                </pt>
                <pt idx="105">
                  <v>39453</v>
                </pt>
                <pt idx="106">
                  <v>39460</v>
                </pt>
                <pt idx="107">
                  <v>39467</v>
                </pt>
                <pt idx="108">
                  <v>39474</v>
                </pt>
                <pt idx="109">
                  <v>39481</v>
                </pt>
                <pt idx="110">
                  <v>39488</v>
                </pt>
                <pt idx="111">
                  <v>39495</v>
                </pt>
                <pt idx="112">
                  <v>39502</v>
                </pt>
                <pt idx="113">
                  <v>39509</v>
                </pt>
                <pt idx="114">
                  <v>39516</v>
                </pt>
                <pt idx="115">
                  <v>39523</v>
                </pt>
                <pt idx="116">
                  <v>39530</v>
                </pt>
                <pt idx="117">
                  <v>39537</v>
                </pt>
                <pt idx="118">
                  <v>39544</v>
                </pt>
                <pt idx="119">
                  <v>39551</v>
                </pt>
                <pt idx="120">
                  <v>39558</v>
                </pt>
                <pt idx="121">
                  <v>39565</v>
                </pt>
                <pt idx="122">
                  <v>39572</v>
                </pt>
                <pt idx="123">
                  <v>39579</v>
                </pt>
                <pt idx="124">
                  <v>39586</v>
                </pt>
                <pt idx="125">
                  <v>39593</v>
                </pt>
                <pt idx="126">
                  <v>39600</v>
                </pt>
                <pt idx="127">
                  <v>39607</v>
                </pt>
                <pt idx="128">
                  <v>39614</v>
                </pt>
                <pt idx="129">
                  <v>39621</v>
                </pt>
                <pt idx="130">
                  <v>39628</v>
                </pt>
                <pt idx="131">
                  <v>39635</v>
                </pt>
                <pt idx="132">
                  <v>39642</v>
                </pt>
                <pt idx="133">
                  <v>39649</v>
                </pt>
                <pt idx="134">
                  <v>39656</v>
                </pt>
                <pt idx="135">
                  <v>39663</v>
                </pt>
                <pt idx="136">
                  <v>39670</v>
                </pt>
                <pt idx="137">
                  <v>39677</v>
                </pt>
                <pt idx="138">
                  <v>39684</v>
                </pt>
                <pt idx="139">
                  <v>39691</v>
                </pt>
                <pt idx="140">
                  <v>39698</v>
                </pt>
                <pt idx="141">
                  <v>39705</v>
                </pt>
                <pt idx="142">
                  <v>39712</v>
                </pt>
                <pt idx="143">
                  <v>39719</v>
                </pt>
                <pt idx="144">
                  <v>39726</v>
                </pt>
                <pt idx="145">
                  <v>39733</v>
                </pt>
                <pt idx="146">
                  <v>39740</v>
                </pt>
                <pt idx="147">
                  <v>39747</v>
                </pt>
                <pt idx="148">
                  <v>39754</v>
                </pt>
                <pt idx="149">
                  <v>39761</v>
                </pt>
                <pt idx="150">
                  <v>39768</v>
                </pt>
                <pt idx="151">
                  <v>39775</v>
                </pt>
                <pt idx="152">
                  <v>39782</v>
                </pt>
                <pt idx="153">
                  <v>39789</v>
                </pt>
                <pt idx="154">
                  <v>39796</v>
                </pt>
                <pt idx="155">
                  <v>39803</v>
                </pt>
                <pt idx="156">
                  <v>39810</v>
                </pt>
                <pt idx="157">
                  <v>39817</v>
                </pt>
                <pt idx="158">
                  <v>39824</v>
                </pt>
                <pt idx="159">
                  <v>39831</v>
                </pt>
                <pt idx="160">
                  <v>39838</v>
                </pt>
                <pt idx="161">
                  <v>39845</v>
                </pt>
                <pt idx="162">
                  <v>39852</v>
                </pt>
                <pt idx="163">
                  <v>39859</v>
                </pt>
                <pt idx="164">
                  <v>39866</v>
                </pt>
                <pt idx="165">
                  <v>39873</v>
                </pt>
                <pt idx="166">
                  <v>39880</v>
                </pt>
                <pt idx="167">
                  <v>39887</v>
                </pt>
                <pt idx="168">
                  <v>39894</v>
                </pt>
                <pt idx="169">
                  <v>39901</v>
                </pt>
                <pt idx="170">
                  <v>39908</v>
                </pt>
                <pt idx="171">
                  <v>39915</v>
                </pt>
                <pt idx="172">
                  <v>39922</v>
                </pt>
                <pt idx="173">
                  <v>39929</v>
                </pt>
                <pt idx="174">
                  <v>39936</v>
                </pt>
                <pt idx="175">
                  <v>39943</v>
                </pt>
                <pt idx="176">
                  <v>39950</v>
                </pt>
                <pt idx="177">
                  <v>39957</v>
                </pt>
                <pt idx="178">
                  <v>39964</v>
                </pt>
                <pt idx="179">
                  <v>39971</v>
                </pt>
                <pt idx="180">
                  <v>39978</v>
                </pt>
                <pt idx="181">
                  <v>39985</v>
                </pt>
                <pt idx="182">
                  <v>39992</v>
                </pt>
                <pt idx="183">
                  <v>39999</v>
                </pt>
                <pt idx="184">
                  <v>40006</v>
                </pt>
                <pt idx="185">
                  <v>40013</v>
                </pt>
                <pt idx="186">
                  <v>40020</v>
                </pt>
                <pt idx="187">
                  <v>40027</v>
                </pt>
                <pt idx="188">
                  <v>40034</v>
                </pt>
                <pt idx="189">
                  <v>40041</v>
                </pt>
                <pt idx="190">
                  <v>40048</v>
                </pt>
                <pt idx="191">
                  <v>40055</v>
                </pt>
                <pt idx="192">
                  <v>40062</v>
                </pt>
                <pt idx="193">
                  <v>40069</v>
                </pt>
                <pt idx="194">
                  <v>40076</v>
                </pt>
                <pt idx="195">
                  <v>40083</v>
                </pt>
                <pt idx="196">
                  <v>40090</v>
                </pt>
                <pt idx="197">
                  <v>40097</v>
                </pt>
                <pt idx="198">
                  <v>40104</v>
                </pt>
                <pt idx="199">
                  <v>40111</v>
                </pt>
                <pt idx="200">
                  <v>40118</v>
                </pt>
                <pt idx="201">
                  <v>40125</v>
                </pt>
                <pt idx="202">
                  <v>40132</v>
                </pt>
                <pt idx="203">
                  <v>40139</v>
                </pt>
                <pt idx="204">
                  <v>40146</v>
                </pt>
                <pt idx="205">
                  <v>40153</v>
                </pt>
                <pt idx="206">
                  <v>40160</v>
                </pt>
                <pt idx="207">
                  <v>40167</v>
                </pt>
                <pt idx="208">
                  <v>40174</v>
                </pt>
                <pt idx="209">
                  <v>40181</v>
                </pt>
                <pt idx="210">
                  <v>40188</v>
                </pt>
                <pt idx="211">
                  <v>40195</v>
                </pt>
                <pt idx="212">
                  <v>40202</v>
                </pt>
                <pt idx="213">
                  <v>40209</v>
                </pt>
                <pt idx="214">
                  <v>40216</v>
                </pt>
                <pt idx="215">
                  <v>40223</v>
                </pt>
                <pt idx="216">
                  <v>40230</v>
                </pt>
                <pt idx="217">
                  <v>40237</v>
                </pt>
                <pt idx="218">
                  <v>40244</v>
                </pt>
                <pt idx="219">
                  <v>40251</v>
                </pt>
                <pt idx="220">
                  <v>40258</v>
                </pt>
                <pt idx="221">
                  <v>40265</v>
                </pt>
                <pt idx="222">
                  <v>40272</v>
                </pt>
                <pt idx="223">
                  <v>40279</v>
                </pt>
                <pt idx="224">
                  <v>40286</v>
                </pt>
                <pt idx="225">
                  <v>40293</v>
                </pt>
                <pt idx="226">
                  <v>40300</v>
                </pt>
                <pt idx="227">
                  <v>40307</v>
                </pt>
                <pt idx="228">
                  <v>40314</v>
                </pt>
                <pt idx="229">
                  <v>40321</v>
                </pt>
                <pt idx="230">
                  <v>40328</v>
                </pt>
                <pt idx="231">
                  <v>40335</v>
                </pt>
                <pt idx="232">
                  <v>40342</v>
                </pt>
                <pt idx="233">
                  <v>40349</v>
                </pt>
                <pt idx="234">
                  <v>40356</v>
                </pt>
                <pt idx="235">
                  <v>40363</v>
                </pt>
                <pt idx="236">
                  <v>40370</v>
                </pt>
                <pt idx="237">
                  <v>40377</v>
                </pt>
                <pt idx="238">
                  <v>40384</v>
                </pt>
                <pt idx="239">
                  <v>40391</v>
                </pt>
                <pt idx="240">
                  <v>40398</v>
                </pt>
                <pt idx="241">
                  <v>40405</v>
                </pt>
                <pt idx="242">
                  <v>40412</v>
                </pt>
                <pt idx="243">
                  <v>40419</v>
                </pt>
                <pt idx="244">
                  <v>40426</v>
                </pt>
                <pt idx="245">
                  <v>40433</v>
                </pt>
                <pt idx="246">
                  <v>40440</v>
                </pt>
                <pt idx="247">
                  <v>40447</v>
                </pt>
                <pt idx="248">
                  <v>40454</v>
                </pt>
                <pt idx="249">
                  <v>40461</v>
                </pt>
                <pt idx="250">
                  <v>40468</v>
                </pt>
                <pt idx="251">
                  <v>40475</v>
                </pt>
                <pt idx="252">
                  <v>40482</v>
                </pt>
                <pt idx="253">
                  <v>40489</v>
                </pt>
                <pt idx="254">
                  <v>40496</v>
                </pt>
                <pt idx="255">
                  <v>40503</v>
                </pt>
                <pt idx="256">
                  <v>40510</v>
                </pt>
                <pt idx="257">
                  <v>40517</v>
                </pt>
                <pt idx="258">
                  <v>40524</v>
                </pt>
                <pt idx="259">
                  <v>40531</v>
                </pt>
                <pt idx="260">
                  <v>40538</v>
                </pt>
                <pt idx="261">
                  <v>40545</v>
                </pt>
                <pt idx="262">
                  <v>40552</v>
                </pt>
                <pt idx="263">
                  <v>40559</v>
                </pt>
                <pt idx="264">
                  <v>40566</v>
                </pt>
                <pt idx="265">
                  <v>40573</v>
                </pt>
                <pt idx="266">
                  <v>40580</v>
                </pt>
                <pt idx="267">
                  <v>40587</v>
                </pt>
                <pt idx="268">
                  <v>40594</v>
                </pt>
                <pt idx="269">
                  <v>40601</v>
                </pt>
                <pt idx="270">
                  <v>40608</v>
                </pt>
                <pt idx="271">
                  <v>40615</v>
                </pt>
                <pt idx="272">
                  <v>40622</v>
                </pt>
                <pt idx="273">
                  <v>40629</v>
                </pt>
                <pt idx="274">
                  <v>40636</v>
                </pt>
                <pt idx="275">
                  <v>40643</v>
                </pt>
                <pt idx="276">
                  <v>40650</v>
                </pt>
                <pt idx="277">
                  <v>40657</v>
                </pt>
                <pt idx="278">
                  <v>40664</v>
                </pt>
                <pt idx="279">
                  <v>40671</v>
                </pt>
                <pt idx="280">
                  <v>40678</v>
                </pt>
                <pt idx="281">
                  <v>40685</v>
                </pt>
                <pt idx="282">
                  <v>40692</v>
                </pt>
                <pt idx="283">
                  <v>40699</v>
                </pt>
                <pt idx="284">
                  <v>40706</v>
                </pt>
                <pt idx="285">
                  <v>40713</v>
                </pt>
                <pt idx="286">
                  <v>40720</v>
                </pt>
                <pt idx="287">
                  <v>40727</v>
                </pt>
                <pt idx="288">
                  <v>40734</v>
                </pt>
                <pt idx="289">
                  <v>40741</v>
                </pt>
                <pt idx="290">
                  <v>40748</v>
                </pt>
                <pt idx="291">
                  <v>40755</v>
                </pt>
                <pt idx="292">
                  <v>40762</v>
                </pt>
                <pt idx="293">
                  <v>40769</v>
                </pt>
                <pt idx="294">
                  <v>40776</v>
                </pt>
                <pt idx="295">
                  <v>40783</v>
                </pt>
                <pt idx="296">
                  <v>40790</v>
                </pt>
                <pt idx="297">
                  <v>40797</v>
                </pt>
                <pt idx="298">
                  <v>40804</v>
                </pt>
                <pt idx="299">
                  <v>40811</v>
                </pt>
                <pt idx="300">
                  <v>40818</v>
                </pt>
                <pt idx="301">
                  <v>40825</v>
                </pt>
                <pt idx="302">
                  <v>40832</v>
                </pt>
                <pt idx="303">
                  <v>40839</v>
                </pt>
                <pt idx="304">
                  <v>40846</v>
                </pt>
                <pt idx="305">
                  <v>40853</v>
                </pt>
                <pt idx="306">
                  <v>40860</v>
                </pt>
                <pt idx="307">
                  <v>40867</v>
                </pt>
                <pt idx="308">
                  <v>40874</v>
                </pt>
                <pt idx="309">
                  <v>40881</v>
                </pt>
                <pt idx="310">
                  <v>40888</v>
                </pt>
                <pt idx="311">
                  <v>40895</v>
                </pt>
                <pt idx="312">
                  <v>40902</v>
                </pt>
                <pt idx="313">
                  <v>40909</v>
                </pt>
                <pt idx="314">
                  <v>40916</v>
                </pt>
                <pt idx="315">
                  <v>40923</v>
                </pt>
                <pt idx="316">
                  <v>40930</v>
                </pt>
                <pt idx="317">
                  <v>40937</v>
                </pt>
                <pt idx="318">
                  <v>40944</v>
                </pt>
                <pt idx="319">
                  <v>40951</v>
                </pt>
                <pt idx="320">
                  <v>40958</v>
                </pt>
                <pt idx="321">
                  <v>40965</v>
                </pt>
                <pt idx="322">
                  <v>40972</v>
                </pt>
                <pt idx="323">
                  <v>40979</v>
                </pt>
                <pt idx="324">
                  <v>40986</v>
                </pt>
                <pt idx="325">
                  <v>40993</v>
                </pt>
                <pt idx="326">
                  <v>41000</v>
                </pt>
                <pt idx="327">
                  <v>41007</v>
                </pt>
                <pt idx="328">
                  <v>41014</v>
                </pt>
                <pt idx="329">
                  <v>41021</v>
                </pt>
                <pt idx="330">
                  <v>41028</v>
                </pt>
                <pt idx="331">
                  <v>41035</v>
                </pt>
                <pt idx="332">
                  <v>41042</v>
                </pt>
                <pt idx="333">
                  <v>41049</v>
                </pt>
                <pt idx="334">
                  <v>41056</v>
                </pt>
                <pt idx="335">
                  <v>41063</v>
                </pt>
                <pt idx="336">
                  <v>41070</v>
                </pt>
                <pt idx="337">
                  <v>41077</v>
                </pt>
                <pt idx="338">
                  <v>41084</v>
                </pt>
                <pt idx="339">
                  <v>41091</v>
                </pt>
                <pt idx="340">
                  <v>41098</v>
                </pt>
                <pt idx="341">
                  <v>41105</v>
                </pt>
                <pt idx="342">
                  <v>41112</v>
                </pt>
                <pt idx="343">
                  <v>41119</v>
                </pt>
                <pt idx="344">
                  <v>41126</v>
                </pt>
                <pt idx="345">
                  <v>41133</v>
                </pt>
                <pt idx="346">
                  <v>41140</v>
                </pt>
                <pt idx="347">
                  <v>41147</v>
                </pt>
                <pt idx="348">
                  <v>41154</v>
                </pt>
                <pt idx="349">
                  <v>41161</v>
                </pt>
                <pt idx="350">
                  <v>41168</v>
                </pt>
                <pt idx="351">
                  <v>41175</v>
                </pt>
                <pt idx="352">
                  <v>41182</v>
                </pt>
                <pt idx="353">
                  <v>41189</v>
                </pt>
                <pt idx="354">
                  <v>41196</v>
                </pt>
                <pt idx="355">
                  <v>41203</v>
                </pt>
                <pt idx="356">
                  <v>41210</v>
                </pt>
                <pt idx="357">
                  <v>41217</v>
                </pt>
                <pt idx="358">
                  <v>41224</v>
                </pt>
                <pt idx="359">
                  <v>41231</v>
                </pt>
                <pt idx="360">
                  <v>41238</v>
                </pt>
                <pt idx="361">
                  <v>41245</v>
                </pt>
                <pt idx="362">
                  <v>41252</v>
                </pt>
                <pt idx="363">
                  <v>41259</v>
                </pt>
                <pt idx="364">
                  <v>41266</v>
                </pt>
                <pt idx="365">
                  <v>41273</v>
                </pt>
                <pt idx="366">
                  <v>41280</v>
                </pt>
                <pt idx="367">
                  <v>41287</v>
                </pt>
                <pt idx="368">
                  <v>41294</v>
                </pt>
                <pt idx="369">
                  <v>41301</v>
                </pt>
                <pt idx="370">
                  <v>41308</v>
                </pt>
                <pt idx="371">
                  <v>41315</v>
                </pt>
                <pt idx="372">
                  <v>41322</v>
                </pt>
                <pt idx="373">
                  <v>41329</v>
                </pt>
                <pt idx="374">
                  <v>41336</v>
                </pt>
                <pt idx="375">
                  <v>41343</v>
                </pt>
                <pt idx="376">
                  <v>41350</v>
                </pt>
                <pt idx="377">
                  <v>41357</v>
                </pt>
                <pt idx="378">
                  <v>41364</v>
                </pt>
                <pt idx="379">
                  <v>41371</v>
                </pt>
                <pt idx="380">
                  <v>41378</v>
                </pt>
                <pt idx="381">
                  <v>41385</v>
                </pt>
                <pt idx="382">
                  <v>41392</v>
                </pt>
                <pt idx="383">
                  <v>41399</v>
                </pt>
                <pt idx="384">
                  <v>41406</v>
                </pt>
                <pt idx="385">
                  <v>41413</v>
                </pt>
                <pt idx="386">
                  <v>41420</v>
                </pt>
                <pt idx="387">
                  <v>41427</v>
                </pt>
                <pt idx="388">
                  <v>41434</v>
                </pt>
                <pt idx="389">
                  <v>41441</v>
                </pt>
                <pt idx="390">
                  <v>41448</v>
                </pt>
                <pt idx="391">
                  <v>41455</v>
                </pt>
                <pt idx="392">
                  <v>41462</v>
                </pt>
                <pt idx="393">
                  <v>41469</v>
                </pt>
                <pt idx="394">
                  <v>41476</v>
                </pt>
                <pt idx="395">
                  <v>41483</v>
                </pt>
                <pt idx="396">
                  <v>41490</v>
                </pt>
                <pt idx="397">
                  <v>41497</v>
                </pt>
                <pt idx="398">
                  <v>41504</v>
                </pt>
                <pt idx="399">
                  <v>41511</v>
                </pt>
                <pt idx="400">
                  <v>41518</v>
                </pt>
                <pt idx="401">
                  <v>41525</v>
                </pt>
                <pt idx="402">
                  <v>41532</v>
                </pt>
                <pt idx="403">
                  <v>41539</v>
                </pt>
                <pt idx="404">
                  <v>41546</v>
                </pt>
                <pt idx="405">
                  <v>41553</v>
                </pt>
                <pt idx="406">
                  <v>41560</v>
                </pt>
                <pt idx="407">
                  <v>41567</v>
                </pt>
                <pt idx="408">
                  <v>41574</v>
                </pt>
                <pt idx="409">
                  <v>41581</v>
                </pt>
                <pt idx="410">
                  <v>41588</v>
                </pt>
                <pt idx="411">
                  <v>41595</v>
                </pt>
                <pt idx="412">
                  <v>41602</v>
                </pt>
                <pt idx="413">
                  <v>41609</v>
                </pt>
                <pt idx="414">
                  <v>41616</v>
                </pt>
                <pt idx="415">
                  <v>41623</v>
                </pt>
                <pt idx="416">
                  <v>41630</v>
                </pt>
                <pt idx="417">
                  <v>41637</v>
                </pt>
                <pt idx="418">
                  <v>41644</v>
                </pt>
                <pt idx="419">
                  <v>41651</v>
                </pt>
                <pt idx="420">
                  <v>41658</v>
                </pt>
                <pt idx="421">
                  <v>41665</v>
                </pt>
                <pt idx="422">
                  <v>41672</v>
                </pt>
                <pt idx="423">
                  <v>41679</v>
                </pt>
                <pt idx="424">
                  <v>41686</v>
                </pt>
                <pt idx="425">
                  <v>41693</v>
                </pt>
                <pt idx="426">
                  <v>41700</v>
                </pt>
                <pt idx="427">
                  <v>41707</v>
                </pt>
                <pt idx="428">
                  <v>41714</v>
                </pt>
                <pt idx="429">
                  <v>41721</v>
                </pt>
                <pt idx="430">
                  <v>41728</v>
                </pt>
                <pt idx="431">
                  <v>41735</v>
                </pt>
                <pt idx="432">
                  <v>41742</v>
                </pt>
                <pt idx="433">
                  <v>41749</v>
                </pt>
                <pt idx="434">
                  <v>41756</v>
                </pt>
                <pt idx="435">
                  <v>41763</v>
                </pt>
                <pt idx="436">
                  <v>41770</v>
                </pt>
                <pt idx="437">
                  <v>41777</v>
                </pt>
                <pt idx="438">
                  <v>41784</v>
                </pt>
                <pt idx="439">
                  <v>41791</v>
                </pt>
                <pt idx="440">
                  <v>41798</v>
                </pt>
                <pt idx="441">
                  <v>41805</v>
                </pt>
                <pt idx="442">
                  <v>41812</v>
                </pt>
                <pt idx="443">
                  <v>41819</v>
                </pt>
                <pt idx="444">
                  <v>41826</v>
                </pt>
                <pt idx="445">
                  <v>41833</v>
                </pt>
                <pt idx="446">
                  <v>41840</v>
                </pt>
                <pt idx="447">
                  <v>41847</v>
                </pt>
                <pt idx="448">
                  <v>41854</v>
                </pt>
                <pt idx="449">
                  <v>41861</v>
                </pt>
                <pt idx="450">
                  <v>41868</v>
                </pt>
                <pt idx="451">
                  <v>41875</v>
                </pt>
                <pt idx="452">
                  <v>41882</v>
                </pt>
                <pt idx="453">
                  <v>41889</v>
                </pt>
                <pt idx="454">
                  <v>41896</v>
                </pt>
                <pt idx="455">
                  <v>41903</v>
                </pt>
                <pt idx="456">
                  <v>41910</v>
                </pt>
                <pt idx="457">
                  <v>41917</v>
                </pt>
                <pt idx="458">
                  <v>41924</v>
                </pt>
                <pt idx="459">
                  <v>41931</v>
                </pt>
                <pt idx="460">
                  <v>41938</v>
                </pt>
                <pt idx="461">
                  <v>41945</v>
                </pt>
                <pt idx="462">
                  <v>41952</v>
                </pt>
                <pt idx="463">
                  <v>41959</v>
                </pt>
                <pt idx="464">
                  <v>41966</v>
                </pt>
                <pt idx="465">
                  <v>41973</v>
                </pt>
                <pt idx="466">
                  <v>41980</v>
                </pt>
                <pt idx="467">
                  <v>41987</v>
                </pt>
                <pt idx="468">
                  <v>41994</v>
                </pt>
                <pt idx="469">
                  <v>42001</v>
                </pt>
                <pt idx="470">
                  <v>42008</v>
                </pt>
                <pt idx="471">
                  <v>42015</v>
                </pt>
                <pt idx="472">
                  <v>42022</v>
                </pt>
                <pt idx="473">
                  <v>42029</v>
                </pt>
                <pt idx="474">
                  <v>42036</v>
                </pt>
                <pt idx="475">
                  <v>42043</v>
                </pt>
                <pt idx="476">
                  <v>42050</v>
                </pt>
              </numCache>
            </numRef>
          </cat>
          <val>
            <numRef>
              <f>'bands_A-H_Avg'!$BN$88:$BN$979</f>
              <numCache>
                <formatCode>#,##0.00</formatCode>
                <ptCount val="892"/>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numCache>
            </numRef>
          </val>
          <smooth val="0"/>
        </ser>
        <dLbls>
          <showLegendKey val="0"/>
          <showVal val="0"/>
          <showCatName val="0"/>
          <showSerName val="0"/>
          <showPercent val="0"/>
          <showBubbleSize val="0"/>
        </dLbls>
        <smooth val="0"/>
        <axId val="84307968"/>
        <axId val="84309504"/>
      </lineChart>
      <dateAx>
        <axId val="8430796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84309504"/>
        <crosses val="autoZero"/>
        <lblOffset val="100"/>
        <baseTimeUnit val="days"/>
        <majorUnit val="12"/>
      </dateAx>
      <valAx>
        <axId val="84309504"/>
        <scaling>
          <orientation val="minMax"/>
          <max val="4.5"/>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84307968"/>
        <crosses val="autoZero"/>
        <crossBetween val="between"/>
      </valAx>
    </plotArea>
    <legend>
      <legendPos val="b"/>
      <layout>
        <manualLayout>
          <xMode val="edge"/>
          <yMode val="edge"/>
          <wMode val="factor"/>
          <hMode val="factor"/>
          <x val="0.02080426883576505"/>
          <y val="0.9082970502433017"/>
          <w val="0.9500497873201343"/>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650"/>
          </a:pPr>
          <a:r>
            <a:t/>
          </a:r>
          <a:endParaRPr lang="en-US"/>
        </a:p>
      </txPr>
    </legend>
    <plotVisOnly val="1"/>
    <dispBlanksAs val="gap"/>
  </chart>
  <spPr>
    <a:ln xmlns:a="http://schemas.openxmlformats.org/drawingml/2006/main" w="3175">
      <a:solidFill>
        <a:srgbClr val="FFFFFF"/>
      </a:solidFill>
      <a:prstDash val="solid"/>
    </a:ln>
  </spPr>
</chartSpace>
</file>

<file path=xl/charts/chart17.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P/E Multiple</a:t>
            </a:r>
          </a:p>
        </rich>
      </tx>
      <overlay val="0"/>
    </title>
    <plotArea>
      <layout/>
      <lineChart>
        <grouping val="standard"/>
        <varyColors val="0"/>
        <ser>
          <idx val="0"/>
          <order val="0"/>
          <tx>
            <strRef>
              <f>'bands_A-H_Avg'!$BQ$34:$BQ$35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'bands_A-H_Avg'!$BQ$36:$BQ$979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'bands_A-H_Avg'!$BR$34:$BR$35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'bands_A-H_Avg'!$BR$36:$BR$979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'bands_A-H_Avg'!$BS$34:$BS$35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'bands_A-H_Avg'!$BS$36:$BS$979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'bands_A-H_Avg'!$BT$34:$BT$35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'bands_A-H_Avg'!$BT$36:$BT$979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'bands_A-H_Avg'!$BU$34:$BU$35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'bands_A-H_Avg'!$BU$36:$BU$979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'bands_A-H_Avg'!$BV$34:$BV$35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'bands_A-H_Avg'!$BP$36:$BP$979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'bands_A-H_Avg'!$BV$36:$BV$979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356288"/>
        <axId val="463357824"/>
      </lineChart>
      <dateAx>
        <axId val="463356288"/>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357824"/>
        <crosses val="autoZero"/>
        <lblOffset val="100"/>
        <baseTimeUnit val="days"/>
        <majorUnit val="13"/>
        <majorTimeUnit val="months"/>
      </dateAx>
      <valAx>
        <axId val="463357824"/>
        <scaling>
          <orientation val="minMax"/>
          <min val="5"/>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356288"/>
        <crosses val="autoZero"/>
        <crossBetween val="between"/>
      </valAx>
    </plotArea>
    <legend>
      <legendPos val="b"/>
      <layout>
        <manualLayout>
          <xMode val="edge"/>
          <yMode val="edge"/>
          <wMode val="factor"/>
          <hMode val="factor"/>
          <x val="0.05000013136496077"/>
          <y val="0.9134476396972118"/>
          <w val="0.9250247622951087"/>
          <h val="0.05868168025819517"/>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18.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1-yr FWD EV/Sales Multiple</a:t>
            </a:r>
          </a:p>
        </rich>
      </tx>
      <overlay val="0"/>
    </title>
    <plotArea>
      <layout/>
      <lineChart>
        <grouping val="standard"/>
        <varyColors val="0"/>
        <ser>
          <idx val="0"/>
          <order val="0"/>
          <tx>
            <strRef>
              <f>'bands_A-H_Avg'!$BY$34:$BY$35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'bands_A-H_Avg'!$BY$36:$BY$979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'bands_A-H_Avg'!$BZ$34:$BZ$35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'bands_A-H_Avg'!$BZ$36:$BZ$979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'bands_A-H_Avg'!$CA$34:$CA$35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'bands_A-H_Avg'!$CA$36:$CA$979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'bands_A-H_Avg'!$CB$34:$CB$35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'bands_A-H_Avg'!$CB$36:$CB$979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'bands_A-H_Avg'!$CC$34:$CC$35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'bands_A-H_Avg'!$CC$36:$CC$979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'bands_A-H_Avg'!$CD$34:$CD$35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'bands_A-H_Avg'!$BX$36:$BX$979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'bands_A-H_Avg'!$CD$36:$CD$979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516032"/>
        <axId val="463517568"/>
      </lineChart>
      <dateAx>
        <axId val="46351603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517568"/>
        <crosses val="autoZero"/>
        <lblOffset val="100"/>
        <baseTimeUnit val="days"/>
        <majorUnit val="13"/>
        <majorTimeUnit val="months"/>
      </dateAx>
      <valAx>
        <axId val="463517568"/>
        <scaling>
          <orientation val="minMax"/>
          <max val="1.6"/>
        </scaling>
        <delete val="0"/>
        <axPos val="l"/>
        <numFmt formatCode="#,##0.0&quot;x&quot;" sourceLinked="0"/>
        <majorTickMark val="out"/>
        <minorTickMark val="none"/>
        <tickLblPos val="nextTo"/>
        <spPr>
          <a:ln xmlns:a="http://schemas.openxmlformats.org/drawingml/2006/main" w="12700">
            <a:solidFill>
              <a:srgbClr val="000000"/>
            </a:solidFill>
            <a:prstDash val="solid"/>
          </a:ln>
        </spPr>
        <crossAx val="463516032"/>
        <crosses val="autoZero"/>
        <crossBetween val="between"/>
      </valAx>
    </plotArea>
    <legend>
      <legendPos val="b"/>
      <layout>
        <manualLayout>
          <xMode val="edge"/>
          <yMode val="edge"/>
          <wMode val="factor"/>
          <hMode val="factor"/>
          <x val="0.008291756323252386"/>
          <y val="0.912942163584067"/>
          <w val="0.9709039748409827"/>
          <h val="0.06383226971210541"/>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9525">
      <a:solidFill>
        <a:srgbClr val="FFFFFF"/>
      </a:solidFill>
      <a:prstDash val="solid"/>
    </a:ln>
  </spPr>
</chartSpace>
</file>

<file path=xl/charts/chart19.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SEG - 1-yr FWD EV/EBITDA Multiple</a:t>
            </a:r>
          </a:p>
        </rich>
      </tx>
      <overlay val="0"/>
    </title>
    <plotArea>
      <layout/>
      <lineChart>
        <grouping val="standard"/>
        <varyColors val="0"/>
        <ser>
          <idx val="0"/>
          <order val="0"/>
          <tx>
            <strRef>
              <f>'bands_A-H_Avg'!$CG$34:$CG$35</f>
              <strCache>
                <ptCount val="2"/>
                <pt idx="0">
                  <v>Multiple</v>
                </pt>
              </strCache>
            </strRef>
          </tx>
          <spPr>
            <a:ln xmlns:a="http://schemas.openxmlformats.org/drawingml/2006/main" w="12700">
              <a:solidFill>
                <a:srgbClr val="7B8D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'bands_A-H_Avg'!$CG$36:$CG$979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1"/>
          <order val="1"/>
          <tx>
            <strRef>
              <f>'bands_A-H_Avg'!$CH$34:$CH$35</f>
              <strCache>
                <ptCount val="2"/>
                <pt idx="0">
                  <v>-2</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'bands_A-H_Avg'!$CH$36:$CH$979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2"/>
          <order val="2"/>
          <tx>
            <strRef>
              <f>'bands_A-H_Avg'!$CI$34:$CI$35</f>
              <strCache>
                <ptCount val="2"/>
                <pt idx="0">
                  <v>-1</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'bands_A-H_Avg'!$CI$36:$CI$979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3"/>
          <order val="3"/>
          <tx>
            <strRef>
              <f>'bands_A-H_Avg'!$CJ$34:$CJ$35</f>
              <strCache>
                <ptCount val="2"/>
                <pt idx="0">
                  <v>Mean</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'bands_A-H_Avg'!$CJ$36:$CJ$979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4"/>
          <order val="4"/>
          <tx>
            <strRef>
              <f>'bands_A-H_Avg'!$CK$34:$CK$35</f>
              <strCache>
                <ptCount val="2"/>
                <pt idx="0">
                  <v>+1</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'bands_A-H_Avg'!$CK$36:$CK$979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ser>
          <idx val="5"/>
          <order val="5"/>
          <tx>
            <strRef>
              <f>'bands_A-H_Avg'!$CL$34:$CL$35</f>
              <strCache>
                <ptCount val="2"/>
                <pt idx="0">
                  <v>+2</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'bands_A-H_Avg'!$CF$36:$CF$979</f>
              <numCache>
                <formatCode>m/d/yy</formatCode>
                <ptCount val="92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numCache>
            </numRef>
          </cat>
          <val>
            <numRef>
              <f>'bands_A-H_Avg'!$CL$36:$CL$979</f>
              <numCache>
                <formatCode>#,##0.00</formatCode>
                <ptCount val="92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numCache>
            </numRef>
          </val>
          <smooth val="0"/>
        </ser>
        <dLbls>
          <showLegendKey val="0"/>
          <showVal val="0"/>
          <showCatName val="0"/>
          <showSerName val="0"/>
          <showPercent val="0"/>
          <showBubbleSize val="0"/>
        </dLbls>
        <smooth val="0"/>
        <axId val="463905152"/>
        <axId val="463906688"/>
      </lineChart>
      <dateAx>
        <axId val="4639051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463906688"/>
        <crosses val="autoZero"/>
        <lblOffset val="100"/>
        <baseTimeUnit val="days"/>
        <majorUnit val="13"/>
        <majorTimeUnit val="months"/>
      </dateAx>
      <valAx>
        <axId val="463906688"/>
        <scaling>
          <orientation val="minMax"/>
          <max val="18"/>
        </scaling>
        <delete val="0"/>
        <axPos val="l"/>
        <numFmt formatCode="#,##0&quot;x&quot;" sourceLinked="0"/>
        <majorTickMark val="out"/>
        <minorTickMark val="none"/>
        <tickLblPos val="nextTo"/>
        <spPr>
          <a:ln xmlns:a="http://schemas.openxmlformats.org/drawingml/2006/main" w="12700">
            <a:solidFill>
              <a:srgbClr val="000000"/>
            </a:solidFill>
            <a:prstDash val="solid"/>
          </a:ln>
        </spPr>
        <crossAx val="463905152"/>
        <crosses val="autoZero"/>
        <crossBetween val="between"/>
      </valAx>
    </plotArea>
    <legend>
      <legendPos val="b"/>
      <layout>
        <manualLayout>
          <xMode val="edge"/>
          <yMode val="edge"/>
          <wMode val="factor"/>
          <hMode val="factor"/>
          <x val="0.02080426883576505"/>
          <y val="0.910872344970249"/>
          <w val="0.9667331373368127"/>
          <h val="0.06125697498515029"/>
        </manualLayout>
      </layout>
      <overlay val="0"/>
      <spPr>
        <a:ln xmlns:a="http://schemas.openxmlformats.org/drawingml/2006/main" w="12700">
          <a:solidFill>
            <a:srgbClr val="000000"/>
          </a:solidFill>
          <a:prstDash val="solid"/>
        </a:ln>
      </spPr>
      <txPr>
        <a:bodyPr xmlns:a="http://schemas.openxmlformats.org/drawingml/2006/main"/>
        <a:lstStyle xmlns:a="http://schemas.openxmlformats.org/drawingml/2006/main"/>
        <a:p xmlns:a="http://schemas.openxmlformats.org/drawingml/2006/main">
          <a:pPr>
            <a:defRPr sz="700"/>
          </a:pPr>
          <a:r>
            <a:t/>
          </a:r>
          <a:endParaRPr lang="en-US"/>
        </a:p>
      </txPr>
    </legend>
    <plotVisOnly val="1"/>
    <dispBlanksAs val="gap"/>
  </chart>
  <spPr>
    <a:ln xmlns:a="http://schemas.openxmlformats.org/drawingml/2006/main" w="3175">
      <a:solidFill>
        <a:srgbClr val="FFFFFF"/>
      </a:solidFill>
      <a:prstDash val="solid"/>
    </a:ln>
  </spPr>
</chartSpace>
</file>

<file path=xl/charts/chart2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462912"/>
        <axId val="541464448"/>
      </lineChart>
      <dateAx>
        <axId val="54146291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464448"/>
        <crosses val="autoZero"/>
        <lblOffset val="100"/>
        <baseTimeUnit val="days"/>
        <majorUnit val="1"/>
        <majorTimeUnit val="years"/>
      </dateAx>
      <valAx>
        <axId val="541464448"/>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46291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P/E Price Bands</a:t>
            </a:r>
          </a:p>
        </rich>
      </tx>
      <overlay val="0"/>
    </title>
    <plotArea>
      <layout/>
      <lineChart>
        <grouping val="standard"/>
        <varyColors val="0"/>
        <ser>
          <idx val="0"/>
          <order val="0"/>
          <tx>
            <strRef>
              <f>'bands_A-H_Avg'!$AK$34:$AK$35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'bands_A-H_Avg'!$AK$36:$AK$609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'bands_A-H_Avg'!$AL$34:$AL$35</f>
              <strCache>
                <ptCount val="2"/>
                <pt idx="0">
                  <v>8.0x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'bands_A-H_Avg'!$AL$36:$AL$609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'bands_A-H_Avg'!$AM$34:$AM$35</f>
              <strCache>
                <ptCount val="2"/>
                <pt idx="0">
                  <v>14.3x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'bands_A-H_Avg'!$AM$36:$AM$609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'bands_A-H_Avg'!$AN$34:$AN$35</f>
              <strCache>
                <ptCount val="2"/>
                <pt idx="0">
                  <v>20.5x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'bands_A-H_Avg'!$AN$36:$AN$609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'bands_A-H_Avg'!$AO$34:$AO$35</f>
              <strCache>
                <ptCount val="2"/>
                <pt idx="0">
                  <v>26.8x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'bands_A-H_Avg'!$AO$36:$AO$609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'bands_A-H_Avg'!$AP$34:$AP$35</f>
              <strCache>
                <ptCount val="2"/>
                <pt idx="0">
                  <v>33.0x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'bands_A-H_Avg'!$AJ$36:$AJ$609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'bands_A-H_Avg'!$AP$36:$AP$609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41508352"/>
        <axId val="541509888"/>
      </lineChart>
      <dateAx>
        <axId val="541508352"/>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41509888"/>
        <crosses val="autoZero"/>
        <lblOffset val="100"/>
        <baseTimeUnit val="days"/>
        <majorUnit val="1"/>
        <majorTimeUnit val="years"/>
      </dateAx>
      <valAx>
        <axId val="541509888"/>
        <scaling>
          <orientation val="minMax"/>
          <max val="7"/>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41508352"/>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harts/chart2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sz="1000" b="1"/>
            </a:pPr>
            <a:r>
              <a:rPr lang="en-US"/>
              <a:t>1-yr FWD P/B Price Bands</a:t>
            </a:r>
          </a:p>
        </rich>
      </tx>
      <overlay val="0"/>
    </title>
    <plotArea>
      <layout/>
      <lineChart>
        <grouping val="standard"/>
        <varyColors val="0"/>
        <ser>
          <idx val="0"/>
          <order val="0"/>
          <tx>
            <strRef>
              <f>'bands_A-H_Avg'!$AC$34:$AC$35</f>
              <strCache>
                <ptCount val="2"/>
                <pt idx="0">
                  <v>Price</v>
                </pt>
              </strCache>
            </strRef>
          </tx>
          <spPr>
            <a:ln xmlns:a="http://schemas.openxmlformats.org/drawingml/2006/main" w="25400">
              <a:solidFill>
                <a:srgbClr val="7B8D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'bands_A-H_Avg'!$AC$36:$AC$609</f>
              <numCache>
                <formatCode>#,##0.00_);\(#,##0.00\)</formatCode>
                <ptCount val="557"/>
                <pt idx="0">
                  <v>1.68</v>
                </pt>
                <pt idx="1">
                  <v>1.69</v>
                </pt>
                <pt idx="2">
                  <v>1.76</v>
                </pt>
                <pt idx="3">
                  <v>1.73</v>
                </pt>
                <pt idx="4">
                  <v>1.72</v>
                </pt>
                <pt idx="5">
                  <v>1.66</v>
                </pt>
                <pt idx="6">
                  <v>1.72</v>
                </pt>
                <pt idx="7">
                  <v>1.7</v>
                </pt>
                <pt idx="8">
                  <v>1.75</v>
                </pt>
                <pt idx="9">
                  <v>1.76</v>
                </pt>
                <pt idx="10">
                  <v>1.86</v>
                </pt>
                <pt idx="11">
                  <v>1.92</v>
                </pt>
                <pt idx="12">
                  <v>1.85</v>
                </pt>
                <pt idx="13">
                  <v>1.94</v>
                </pt>
                <pt idx="14">
                  <v>2.025</v>
                </pt>
                <pt idx="15">
                  <v>2.2</v>
                </pt>
                <pt idx="16">
                  <v>2.325</v>
                </pt>
                <pt idx="17">
                  <v>2.375</v>
                </pt>
                <pt idx="18">
                  <v>2.375</v>
                </pt>
                <pt idx="19">
                  <v>2.35</v>
                </pt>
                <pt idx="20">
                  <v>2.2</v>
                </pt>
                <pt idx="21">
                  <v>2.35</v>
                </pt>
                <pt idx="22">
                  <v>2.625</v>
                </pt>
                <pt idx="23">
                  <v>2.575</v>
                </pt>
                <pt idx="24">
                  <v>2.6</v>
                </pt>
                <pt idx="25">
                  <v>2.525</v>
                </pt>
                <pt idx="26">
                  <v>2.45</v>
                </pt>
                <pt idx="27">
                  <v>2.6</v>
                </pt>
                <pt idx="28">
                  <v>2.6</v>
                </pt>
                <pt idx="29">
                  <v>2.55</v>
                </pt>
                <pt idx="30">
                  <v>2.525</v>
                </pt>
                <pt idx="31">
                  <v>2.525</v>
                </pt>
                <pt idx="32">
                  <v>2.45</v>
                </pt>
                <pt idx="33">
                  <v>2.675</v>
                </pt>
                <pt idx="34">
                  <v>2.6</v>
                </pt>
                <pt idx="35">
                  <v>2.65</v>
                </pt>
                <pt idx="36">
                  <v>2.7</v>
                </pt>
                <pt idx="37">
                  <v>2.85</v>
                </pt>
                <pt idx="38">
                  <v>2.85</v>
                </pt>
                <pt idx="39">
                  <v>3.075</v>
                </pt>
                <pt idx="40">
                  <v>3.1</v>
                </pt>
                <pt idx="41">
                  <v>3.2</v>
                </pt>
                <pt idx="42">
                  <v>3.2</v>
                </pt>
                <pt idx="43">
                  <v>3.65</v>
                </pt>
                <pt idx="44">
                  <v>3.6</v>
                </pt>
                <pt idx="45">
                  <v>3.15</v>
                </pt>
                <pt idx="46">
                  <v>2.95</v>
                </pt>
                <pt idx="47">
                  <v>3.05</v>
                </pt>
                <pt idx="48">
                  <v>3.275</v>
                </pt>
                <pt idx="49">
                  <v>3.275</v>
                </pt>
                <pt idx="50">
                  <v>2.925</v>
                </pt>
                <pt idx="51">
                  <v>3.225</v>
                </pt>
                <pt idx="52">
                  <v>3</v>
                </pt>
                <pt idx="53">
                  <v>3.175</v>
                </pt>
                <pt idx="54">
                  <v>3.25</v>
                </pt>
                <pt idx="55">
                  <v>2.95</v>
                </pt>
                <pt idx="56">
                  <v>2.875</v>
                </pt>
                <pt idx="57">
                  <v>2.925</v>
                </pt>
                <pt idx="58">
                  <v>2.675</v>
                </pt>
                <pt idx="59">
                  <v>2.575</v>
                </pt>
                <pt idx="60">
                  <v>2.55</v>
                </pt>
                <pt idx="61">
                  <v>2.7</v>
                </pt>
                <pt idx="62">
                  <v>2.8</v>
                </pt>
                <pt idx="63">
                  <v>2.775</v>
                </pt>
                <pt idx="64">
                  <v>2.75</v>
                </pt>
                <pt idx="65">
                  <v>2.93</v>
                </pt>
                <pt idx="66">
                  <v>2.86</v>
                </pt>
                <pt idx="67">
                  <v>2.55</v>
                </pt>
                <pt idx="68">
                  <v>2.55</v>
                </pt>
                <pt idx="69">
                  <v>2.55</v>
                </pt>
                <pt idx="70">
                  <v>2.55</v>
                </pt>
                <pt idx="71">
                  <v>2.7</v>
                </pt>
                <pt idx="72">
                  <v>2.55</v>
                </pt>
                <pt idx="73">
                  <v>2.52</v>
                </pt>
                <pt idx="74">
                  <v>2.62</v>
                </pt>
                <pt idx="75">
                  <v>2.56</v>
                </pt>
                <pt idx="76">
                  <v>2.62</v>
                </pt>
                <pt idx="77">
                  <v>2.53</v>
                </pt>
                <pt idx="78">
                  <v>2.74</v>
                </pt>
                <pt idx="79">
                  <v>2.9</v>
                </pt>
                <pt idx="80">
                  <v>2.81</v>
                </pt>
                <pt idx="81">
                  <v>2.83</v>
                </pt>
                <pt idx="82">
                  <v>2.8</v>
                </pt>
                <pt idx="83">
                  <v>2.76</v>
                </pt>
                <pt idx="84">
                  <v>2.82</v>
                </pt>
                <pt idx="85">
                  <v>3.15</v>
                </pt>
                <pt idx="86">
                  <v>3.28</v>
                </pt>
                <pt idx="87">
                  <v>3.27</v>
                </pt>
                <pt idx="88">
                  <v>3.33</v>
                </pt>
                <pt idx="89">
                  <v>3.31</v>
                </pt>
                <pt idx="90">
                  <v>3.45</v>
                </pt>
                <pt idx="91">
                  <v>3.69</v>
                </pt>
                <pt idx="92">
                  <v>3.91</v>
                </pt>
                <pt idx="93">
                  <v>4.07</v>
                </pt>
                <pt idx="94">
                  <v>4.06</v>
                </pt>
                <pt idx="95">
                  <v>4.18</v>
                </pt>
                <pt idx="96">
                  <v>3.62</v>
                </pt>
                <pt idx="97">
                  <v>3.55</v>
                </pt>
                <pt idx="98">
                  <v>3.41</v>
                </pt>
                <pt idx="99">
                  <v>3.64</v>
                </pt>
                <pt idx="100">
                  <v>3.65</v>
                </pt>
                <pt idx="101">
                  <v>3.88</v>
                </pt>
                <pt idx="102">
                  <v>3.96</v>
                </pt>
                <pt idx="103">
                  <v>3.4</v>
                </pt>
                <pt idx="104">
                  <v>3.39</v>
                </pt>
                <pt idx="105">
                  <v>3.51</v>
                </pt>
                <pt idx="106">
                  <v>3.56</v>
                </pt>
                <pt idx="107">
                  <v>3.46</v>
                </pt>
                <pt idx="108">
                  <v>3.3</v>
                </pt>
                <pt idx="109">
                  <v>3.28</v>
                </pt>
                <pt idx="110">
                  <v>3.27</v>
                </pt>
                <pt idx="111">
                  <v>3.24</v>
                </pt>
                <pt idx="112">
                  <v>3.79</v>
                </pt>
                <pt idx="113">
                  <v>3.52</v>
                </pt>
                <pt idx="114">
                  <v>3.66</v>
                </pt>
                <pt idx="115">
                  <v>3.69</v>
                </pt>
                <pt idx="116">
                  <v>3.8</v>
                </pt>
                <pt idx="117">
                  <v>3.77</v>
                </pt>
                <pt idx="118">
                  <v>3.52</v>
                </pt>
                <pt idx="119">
                  <v>3.59</v>
                </pt>
                <pt idx="120">
                  <v>3.51</v>
                </pt>
                <pt idx="121">
                  <v>3.51</v>
                </pt>
                <pt idx="122">
                  <v>4.99</v>
                </pt>
                <pt idx="123">
                  <v>4.88</v>
                </pt>
                <pt idx="124">
                  <v>5.03</v>
                </pt>
                <pt idx="125">
                  <v>5.56</v>
                </pt>
                <pt idx="126">
                  <v>6.06</v>
                </pt>
                <pt idx="127">
                  <v>6.07</v>
                </pt>
                <pt idx="128">
                  <v>5.93</v>
                </pt>
                <pt idx="129">
                  <v>7.46</v>
                </pt>
                <pt idx="130">
                  <v>8.07</v>
                </pt>
                <pt idx="131">
                  <v>7.6</v>
                </pt>
                <pt idx="132">
                  <v>6.97</v>
                </pt>
                <pt idx="133">
                  <v>6.82</v>
                </pt>
                <pt idx="134">
                  <v>5.52</v>
                </pt>
                <pt idx="135">
                  <v>6.18</v>
                </pt>
                <pt idx="136">
                  <v>6.6</v>
                </pt>
                <pt idx="137">
                  <v>5.86</v>
                </pt>
                <pt idx="138">
                  <v>5.95</v>
                </pt>
                <pt idx="139">
                  <v>6.6</v>
                </pt>
                <pt idx="140">
                  <v>6.61</v>
                </pt>
                <pt idx="141">
                  <v>7.12</v>
                </pt>
                <pt idx="142">
                  <v>6.27</v>
                </pt>
                <pt idx="143">
                  <v>5.87</v>
                </pt>
                <pt idx="144">
                  <v>6.14</v>
                </pt>
                <pt idx="145">
                  <v>6.01</v>
                </pt>
                <pt idx="146">
                  <v>6.32</v>
                </pt>
                <pt idx="147">
                  <v>5.99</v>
                </pt>
                <pt idx="148">
                  <v>5.68</v>
                </pt>
                <pt idx="149">
                  <v>4.86</v>
                </pt>
                <pt idx="150">
                  <v>4.52</v>
                </pt>
                <pt idx="151">
                  <v>4</v>
                </pt>
                <pt idx="152">
                  <v>4.99</v>
                </pt>
                <pt idx="153">
                  <v>4.87</v>
                </pt>
                <pt idx="154">
                  <v>4.53</v>
                </pt>
                <pt idx="155">
                  <v>3.73</v>
                </pt>
                <pt idx="156">
                  <v>4.52</v>
                </pt>
                <pt idx="157">
                  <v>4.51</v>
                </pt>
                <pt idx="158">
                  <v>4.34</v>
                </pt>
                <pt idx="159">
                  <v>4.72</v>
                </pt>
                <pt idx="160">
                  <v>4.5</v>
                </pt>
                <pt idx="161">
                  <v>4.62</v>
                </pt>
                <pt idx="162">
                  <v>4.35</v>
                </pt>
                <pt idx="163">
                  <v>3.93</v>
                </pt>
                <pt idx="164">
                  <v>3.95</v>
                </pt>
                <pt idx="165">
                  <v>3.75</v>
                </pt>
                <pt idx="166">
                  <v>3.57</v>
                </pt>
                <pt idx="167">
                  <v>4.25</v>
                </pt>
                <pt idx="168">
                  <v>4.01</v>
                </pt>
                <pt idx="169">
                  <v>3.73</v>
                </pt>
                <pt idx="170">
                  <v>3.32</v>
                </pt>
                <pt idx="171">
                  <v>3.13</v>
                </pt>
                <pt idx="172">
                  <v>3</v>
                </pt>
                <pt idx="173">
                  <v>3</v>
                </pt>
                <pt idx="174">
                  <v>3.25</v>
                </pt>
                <pt idx="175">
                  <v>3.03</v>
                </pt>
                <pt idx="176">
                  <v>2.46</v>
                </pt>
                <pt idx="177">
                  <v>2.39</v>
                </pt>
                <pt idx="178">
                  <v>2.37</v>
                </pt>
                <pt idx="179">
                  <v>2.42</v>
                </pt>
                <pt idx="180">
                  <v>1.7</v>
                </pt>
                <pt idx="181">
                  <v>1.8</v>
                </pt>
                <pt idx="182">
                  <v>1.72</v>
                </pt>
                <pt idx="183">
                  <v>2.25</v>
                </pt>
                <pt idx="184">
                  <v>2.34</v>
                </pt>
                <pt idx="185">
                  <v>2.62</v>
                </pt>
                <pt idx="186">
                  <v>2.47</v>
                </pt>
                <pt idx="187">
                  <v>2.77</v>
                </pt>
                <pt idx="188">
                  <v>4.352867636240168</v>
                </pt>
                <pt idx="189">
                  <v>4.229087170661564</v>
                </pt>
                <pt idx="190">
                  <v>4.501022495351263</v>
                </pt>
                <pt idx="191">
                  <v>4.100573438615173</v>
                </pt>
                <pt idx="192">
                  <v>4.248454598033545</v>
                </pt>
                <pt idx="193">
                  <v>4.015525135800229</v>
                </pt>
                <pt idx="194">
                  <v>3.776422781018088</v>
                </pt>
                <pt idx="195">
                  <v>3.758227237151056</v>
                </pt>
                <pt idx="196">
                  <v>3.863634816546028</v>
                </pt>
                <pt idx="197">
                  <v>4.213989110707804</v>
                </pt>
                <pt idx="198">
                  <v>4.527525642189343</v>
                </pt>
                <pt idx="199">
                  <v>4.378282019872056</v>
                </pt>
                <pt idx="200">
                  <v>3.668022495351263</v>
                </pt>
                <pt idx="201">
                  <v>3.906944838142752</v>
                </pt>
                <pt idx="202">
                  <v>3.704239580971384</v>
                </pt>
                <pt idx="203">
                  <v>3.907226263451845</v>
                </pt>
                <pt idx="204">
                  <v>4.255998185117967</v>
                </pt>
                <pt idx="205">
                  <v>4.306708065448856</v>
                </pt>
                <pt idx="206">
                  <v>4.4047437904049</v>
                </pt>
                <pt idx="207">
                  <v>5.29645605199578</v>
                </pt>
                <pt idx="208">
                  <v>5.298926849203106</v>
                </pt>
                <pt idx="209">
                  <v>4.922163390523804</v>
                </pt>
                <pt idx="210">
                  <v>5.939999057043205</v>
                </pt>
                <pt idx="211">
                  <v>5.649389991028945</v>
                </pt>
                <pt idx="212">
                  <v>5.947570987093256</v>
                </pt>
                <pt idx="213">
                  <v>6.219581364725114</v>
                </pt>
                <pt idx="214">
                  <v>6.435560107088972</v>
                </pt>
                <pt idx="215">
                  <v>6.00608106085517</v>
                </pt>
                <pt idx="216">
                  <v>5.885216868835732</v>
                </pt>
                <pt idx="217">
                  <v>6.056187112285516</v>
                </pt>
                <pt idx="218">
                  <v>5.901195834656744</v>
                </pt>
                <pt idx="219">
                  <v>6.338597577159968</v>
                </pt>
                <pt idx="220">
                  <v>6.290845150311968</v>
                </pt>
                <pt idx="221">
                  <v>6.29108127148351</v>
                </pt>
                <pt idx="222">
                  <v>7.170883933027814</v>
                </pt>
                <pt idx="223">
                  <v>6.62578503845892</v>
                </pt>
                <pt idx="224">
                  <v>6.040426841162194</v>
                </pt>
                <pt idx="225">
                  <v>5.818156861632723</v>
                </pt>
                <pt idx="226">
                  <v>5.738804421344106</v>
                </pt>
                <pt idx="227">
                  <v>5.732617144413426</v>
                </pt>
                <pt idx="228">
                  <v>5.88189922375051</v>
                </pt>
                <pt idx="229">
                  <v>5.898207868867347</v>
                </pt>
                <pt idx="230">
                  <v>5.775114268851864</v>
                </pt>
                <pt idx="231">
                  <v>5.602850052222879</v>
                </pt>
                <pt idx="232">
                  <v>5.865966503917338</v>
                </pt>
                <pt idx="233">
                  <v>5.899518686708142</v>
                </pt>
                <pt idx="234">
                  <v>6.060954964361919</v>
                </pt>
                <pt idx="235">
                  <v>5.736981440490379</v>
                </pt>
                <pt idx="236">
                  <v>6.08233036677148</v>
                </pt>
                <pt idx="237">
                  <v>6.219345125911124</v>
                </pt>
                <pt idx="238">
                  <v>6.396559626779268</v>
                </pt>
                <pt idx="239">
                  <v>5.803534560642862</v>
                </pt>
                <pt idx="240">
                  <v>5.991147761329579</v>
                </pt>
                <pt idx="241">
                  <v>5.920841641030298</v>
                </pt>
                <pt idx="242">
                  <v>5.438534727824298</v>
                </pt>
                <pt idx="243">
                  <v>5.612662129922065</v>
                </pt>
                <pt idx="244">
                  <v>5.791353326063249</v>
                </pt>
                <pt idx="245">
                  <v>5.825265855570322</v>
                </pt>
                <pt idx="246">
                  <v>5.951179102441686</v>
                </pt>
                <pt idx="247">
                  <v>5.742293008641005</v>
                </pt>
                <pt idx="248">
                  <v>5.484954278695236</v>
                </pt>
                <pt idx="249">
                  <v>5.318843541906181</v>
                </pt>
                <pt idx="250">
                  <v>5.516689408152823</v>
                </pt>
                <pt idx="251">
                  <v>5.451946871981363</v>
                </pt>
                <pt idx="252">
                  <v>5.58203553761301</v>
                </pt>
                <pt idx="253">
                  <v>6.08776529451899</v>
                </pt>
                <pt idx="254">
                  <v>5.890774483174033</v>
                </pt>
                <pt idx="255">
                  <v>6.043526352879665</v>
                </pt>
                <pt idx="256">
                  <v>5.909858270133828</v>
                </pt>
                <pt idx="257">
                  <v>6.130495231809181</v>
                </pt>
                <pt idx="258">
                  <v>6.099706543606997</v>
                </pt>
                <pt idx="259">
                  <v>5.893624928933663</v>
                </pt>
                <pt idx="260">
                  <v>5.769790790221717</v>
                </pt>
                <pt idx="261">
                  <v>5.628105484080129</v>
                </pt>
                <pt idx="262">
                  <v>5.156380537027536</v>
                </pt>
                <pt idx="263">
                  <v>5.296525849385842</v>
                </pt>
                <pt idx="264">
                  <v>4.933882611080636</v>
                </pt>
                <pt idx="265">
                  <v>5.232198358413132</v>
                </pt>
                <pt idx="266">
                  <v>5.018468392575851</v>
                </pt>
                <pt idx="267">
                  <v>5.0251144460156</v>
                </pt>
                <pt idx="268">
                  <v>4.91861975989876</v>
                </pt>
                <pt idx="269">
                  <v>4.946877032287611</v>
                </pt>
                <pt idx="270">
                  <v>4.628383279994474</v>
                </pt>
                <pt idx="271">
                  <v>4.75743801226572</v>
                </pt>
                <pt idx="272">
                  <v>4.78763145149258</v>
                </pt>
                <pt idx="273">
                  <v>4.973781933177506</v>
                </pt>
                <pt idx="274">
                  <v>5.110489314867467</v>
                </pt>
                <pt idx="275">
                  <v>5.185139130035894</v>
                </pt>
                <pt idx="276">
                  <v>5.263104300091491</v>
                </pt>
                <pt idx="277">
                  <v>5.193540236069929</v>
                </pt>
                <pt idx="278">
                  <v>5.000430792818975</v>
                </pt>
                <pt idx="279">
                  <v>5.303312538547639</v>
                </pt>
                <pt idx="280">
                  <v>5.494077401512456</v>
                </pt>
                <pt idx="281">
                  <v>5.382809893307468</v>
                </pt>
                <pt idx="282">
                  <v>5.512878430554107</v>
                </pt>
                <pt idx="283">
                  <v>5.896058648780374</v>
                </pt>
                <pt idx="284">
                  <v>6.020720701444287</v>
                </pt>
                <pt idx="285">
                  <v>6.678333309972668</v>
                </pt>
                <pt idx="286">
                  <v>6.559548693918942</v>
                </pt>
                <pt idx="287">
                  <v>7.152654307220518</v>
                </pt>
                <pt idx="288">
                  <v>7.409671875363871</v>
                </pt>
                <pt idx="289">
                  <v>6.814277372262774</v>
                </pt>
                <pt idx="290">
                  <v>6.635745132619333</v>
                </pt>
                <pt idx="291">
                  <v>6.665190284343634</v>
                </pt>
                <pt idx="292">
                  <v>6.773138637979462</v>
                </pt>
                <pt idx="293">
                  <v>6.876637637497373</v>
                </pt>
                <pt idx="294">
                  <v>6.637680752214971</v>
                </pt>
                <pt idx="295">
                  <v>6.473912696084757</v>
                </pt>
                <pt idx="296">
                  <v>6.591813899996462</v>
                </pt>
                <pt idx="297">
                  <v>6.751824160365747</v>
                </pt>
                <pt idx="298">
                  <v>6.608714690198669</v>
                </pt>
                <pt idx="299">
                  <v>6.319123969191088</v>
                </pt>
                <pt idx="300">
                  <v>6.562493119618242</v>
                </pt>
                <pt idx="301">
                  <v>6.49231983446645</v>
                </pt>
                <pt idx="302">
                  <v>6.412845539800613</v>
                </pt>
                <pt idx="303">
                  <v>6.674398962257445</v>
                </pt>
                <pt idx="304">
                  <v>6.328427073335466</v>
                </pt>
                <pt idx="305">
                  <v>6.423936924973916</v>
                </pt>
                <pt idx="306">
                  <v>6.263361256544503</v>
                </pt>
                <pt idx="307">
                  <v>5.534309268802394</v>
                </pt>
                <pt idx="308">
                  <v>5.770640312585491</v>
                </pt>
                <pt idx="309">
                  <v>5.57683748336818</v>
                </pt>
                <pt idx="310">
                  <v>5.948152792312815</v>
                </pt>
                <pt idx="311">
                  <v>5.799576070268147</v>
                </pt>
                <pt idx="312">
                  <v>5.728780540230709</v>
                </pt>
                <pt idx="313">
                  <v>5.440890085433269</v>
                </pt>
                <pt idx="314">
                  <v>5.691670552749383</v>
                </pt>
                <pt idx="315">
                  <v>5.665044299027407</v>
                </pt>
                <pt idx="316">
                  <v>5.75166184500431</v>
                </pt>
                <pt idx="317">
                  <v>5.355634006039979</v>
                </pt>
                <pt idx="318">
                  <v>5.249939852332073</v>
                </pt>
                <pt idx="319">
                  <v>5.137974713195987</v>
                </pt>
                <pt idx="320">
                  <v>5.303696411811421</v>
                </pt>
                <pt idx="321">
                  <v>5.310868435300486</v>
                </pt>
                <pt idx="322">
                  <v>5.37215533034027</v>
                </pt>
                <pt idx="323">
                  <v>5.313337844020129</v>
                </pt>
                <pt idx="324">
                  <v>5.222528219971057</v>
                </pt>
                <pt idx="325">
                  <v>5.240882175226586</v>
                </pt>
                <pt idx="326">
                  <v>5.339180388215492</v>
                </pt>
                <pt idx="327">
                  <v>5.011672526033774</v>
                </pt>
                <pt idx="328">
                  <v>4.603320166725573</v>
                </pt>
                <pt idx="329">
                  <v>4.354569668084691</v>
                </pt>
                <pt idx="330">
                  <v>4.665601945539539</v>
                </pt>
                <pt idx="331">
                  <v>4.539426971227762</v>
                </pt>
                <pt idx="332">
                  <v>4.37822815089642</v>
                </pt>
                <pt idx="333">
                  <v>4.187896833727999</v>
                </pt>
                <pt idx="334">
                  <v>4.219005497526114</v>
                </pt>
                <pt idx="335">
                  <v>4.330783046134709</v>
                </pt>
                <pt idx="336">
                  <v>4.275349118056064</v>
                </pt>
                <pt idx="337">
                  <v>4.568471689147201</v>
                </pt>
                <pt idx="338">
                  <v>4.354214342279998</v>
                </pt>
                <pt idx="339">
                  <v>4.834069009701629</v>
                </pt>
                <pt idx="340">
                  <v>5.098405898635573</v>
                </pt>
                <pt idx="341">
                  <v>4.879182460270748</v>
                </pt>
                <pt idx="342">
                  <v>4.684040535077726</v>
                </pt>
                <pt idx="343">
                  <v>4.324467889908256</v>
                </pt>
                <pt idx="344">
                  <v>4.550640066998398</v>
                </pt>
                <pt idx="345">
                  <v>4.449677673670379</v>
                </pt>
                <pt idx="346">
                  <v>4.499923519433587</v>
                </pt>
                <pt idx="347">
                  <v>4.440070232677942</v>
                </pt>
                <pt idx="348">
                  <v>4.399117925516833</v>
                </pt>
                <pt idx="349">
                  <v>4.46591295260343</v>
                </pt>
                <pt idx="350">
                  <v>4.551494472559328</v>
                </pt>
                <pt idx="351">
                  <v>4.923464831054147</v>
                </pt>
                <pt idx="352">
                  <v>4.91007151182049</v>
                </pt>
                <pt idx="353">
                  <v>4.653923726625604</v>
                </pt>
                <pt idx="354">
                  <v>4.748946046844004</v>
                </pt>
                <pt idx="355">
                  <v>5.060375030780595</v>
                </pt>
                <pt idx="356">
                  <v>5.098651942679863</v>
                </pt>
                <pt idx="357">
                  <v>5.077237954478274</v>
                </pt>
                <pt idx="358">
                  <v>5.041233587410867</v>
                </pt>
                <pt idx="359">
                  <v>5.032115705726353</v>
                </pt>
                <pt idx="360">
                  <v>4.79157431857687</v>
                </pt>
                <pt idx="361">
                  <v>4.730404925233183</v>
                </pt>
                <pt idx="362">
                  <v>4.752631731882095</v>
                </pt>
                <pt idx="363">
                  <v>4.929694133011359</v>
                </pt>
                <pt idx="364">
                  <v>4.962991195773971</v>
                </pt>
                <pt idx="365">
                  <v>4.886185480880935</v>
                </pt>
                <pt idx="366">
                  <v>4.951648249324766</v>
                </pt>
                <pt idx="367">
                  <v>4.502749975391279</v>
                </pt>
                <pt idx="368">
                  <v>4.300222572842356</v>
                </pt>
                <pt idx="369">
                  <v>4.280566211164899</v>
                </pt>
                <pt idx="370">
                  <v>4.470337669931297</v>
                </pt>
                <pt idx="371">
                  <v>4.206036460551775</v>
                </pt>
                <pt idx="372">
                  <v>4.104489398001462</v>
                </pt>
                <pt idx="373">
                  <v>4.104698355620025</v>
                </pt>
                <pt idx="374">
                  <v>3.860860722873918</v>
                </pt>
                <pt idx="375">
                  <v>3.914431348428193</v>
                </pt>
                <pt idx="376">
                  <v>3.54071569650353</v>
                </pt>
                <pt idx="377">
                  <v>3.529891722535194</v>
                </pt>
                <pt idx="378">
                  <v>3.471790606082707</v>
                </pt>
                <pt idx="379">
                  <v>3.684102803738317</v>
                </pt>
                <pt idx="380">
                  <v>3.899679291789196</v>
                </pt>
                <pt idx="381">
                  <v>3.848121045056472</v>
                </pt>
                <pt idx="382">
                  <v>3.771127235003356</v>
                </pt>
                <pt idx="383">
                  <v>3.65730534351145</v>
                </pt>
                <pt idx="384">
                  <v>3.829809714767767</v>
                </pt>
                <pt idx="385">
                  <v>3.874820383166214</v>
                </pt>
                <pt idx="386">
                  <v>3.610706186898188</v>
                </pt>
                <pt idx="387">
                  <v>3.427170303845252</v>
                </pt>
                <pt idx="388">
                  <v>3.437239143745867</v>
                </pt>
                <pt idx="389">
                  <v>3.498148046454677</v>
                </pt>
                <pt idx="390">
                  <v>3.86730113763105</v>
                </pt>
                <pt idx="391">
                  <v>3.783706066206109</v>
                </pt>
                <pt idx="392">
                  <v>3.826006854247895</v>
                </pt>
                <pt idx="393">
                  <v>3.711478006484391</v>
                </pt>
                <pt idx="394">
                  <v>3.613401504320259</v>
                </pt>
                <pt idx="395">
                  <v>3.697398675067865</v>
                </pt>
                <pt idx="396">
                  <v>3.501657539020687</v>
                </pt>
                <pt idx="397">
                  <v>3.608117285101622</v>
                </pt>
                <pt idx="398">
                  <v>3.813536013400335</v>
                </pt>
                <pt idx="399">
                  <v>3.851078567610903</v>
                </pt>
                <pt idx="400">
                  <v>3.847890173410405</v>
                </pt>
                <pt idx="401">
                  <v>4.000170363367211</v>
                </pt>
                <pt idx="402">
                  <v>4.204444824060451</v>
                </pt>
                <pt idx="403">
                  <v>4.028179732980965</v>
                </pt>
                <pt idx="404">
                  <v>3.768037558100413</v>
                </pt>
                <pt idx="405">
                  <v>3.780393143881399</v>
                </pt>
                <pt idx="406">
                  <v>3.857995246036289</v>
                </pt>
                <pt idx="407">
                  <v>3.86458164852255</v>
                </pt>
                <pt idx="408">
                  <v>3.671283462509797</v>
                </pt>
                <pt idx="409">
                  <v>3.772710280373832</v>
                </pt>
                <pt idx="410">
                  <v>3.805811900958466</v>
                </pt>
                <pt idx="411">
                  <v>3.746237986956196</v>
                </pt>
                <pt idx="412">
                  <v>3.80796062598435</v>
                </pt>
                <pt idx="413">
                  <v>3.602805830218633</v>
                </pt>
                <pt idx="414">
                  <v>3.397027171871478</v>
                </pt>
                <pt idx="415">
                  <v>3.376061930053111</v>
                </pt>
                <pt idx="416">
                  <v>3.340531524733049</v>
                </pt>
                <pt idx="417">
                  <v>3.384136855104972</v>
                </pt>
                <pt idx="418">
                  <v>3.399019562367651</v>
                </pt>
                <pt idx="419">
                  <v>3.605922738645841</v>
                </pt>
                <pt idx="420">
                  <v>3.57246257299593</v>
                </pt>
                <pt idx="421">
                  <v>3.574946848649059</v>
                </pt>
                <pt idx="422">
                  <v>3.499729177738972</v>
                </pt>
                <pt idx="423">
                  <v>3.535471892480195</v>
                </pt>
                <pt idx="424">
                  <v>3.331361040078993</v>
                </pt>
                <pt idx="425">
                  <v>3.217759059002087</v>
                </pt>
                <pt idx="426">
                  <v>3.086302699423718</v>
                </pt>
                <pt idx="427">
                  <v>3.024610219642653</v>
                </pt>
                <pt idx="428">
                  <v>3.068910382665639</v>
                </pt>
                <pt idx="429">
                  <v>3.04535208615089</v>
                </pt>
                <pt idx="430">
                  <v>3.108899499013208</v>
                </pt>
                <pt idx="431">
                  <v>3.127006074104069</v>
                </pt>
                <pt idx="432">
                  <v>3.192642679774996</v>
                </pt>
                <pt idx="433">
                  <v>3.277765054970137</v>
                </pt>
                <pt idx="434">
                  <v>3.202873432155074</v>
                </pt>
                <pt idx="435">
                  <v>3.461287416043594</v>
                </pt>
                <pt idx="436">
                  <v>3.358831772740519</v>
                </pt>
                <pt idx="437">
                  <v>3.480173736170428</v>
                </pt>
                <pt idx="438">
                  <v>3.453350221659278</v>
                </pt>
                <pt idx="439">
                  <v>3.341810690253824</v>
                </pt>
                <pt idx="440">
                  <v>3.336407102510195</v>
                </pt>
                <pt idx="441">
                  <v>3.414175884871671</v>
                </pt>
                <pt idx="442">
                  <v>3.55834238632896</v>
                </pt>
                <pt idx="443">
                  <v>3.38570188140519</v>
                </pt>
                <pt idx="444">
                  <v>3.322313528626803</v>
                </pt>
                <pt idx="445">
                  <v>3.282371154751753</v>
                </pt>
                <pt idx="446">
                  <v>3.312191203420892</v>
                </pt>
                <pt idx="447">
                  <v>3.394154486339284</v>
                </pt>
                <pt idx="448">
                  <v>3.426040545183827</v>
                </pt>
                <pt idx="449">
                  <v>3.541229005394514</v>
                </pt>
                <pt idx="450">
                  <v>3.529035639011305</v>
                </pt>
                <pt idx="451">
                  <v>3.380648669356898</v>
                </pt>
                <pt idx="452">
                  <v>3.39898884245236</v>
                </pt>
                <pt idx="453">
                  <v>3.33048707172693</v>
                </pt>
                <pt idx="454">
                  <v>3.176273468132544</v>
                </pt>
                <pt idx="455">
                  <v>3.12774043453182</v>
                </pt>
                <pt idx="456">
                  <v>3.135814527621223</v>
                </pt>
                <pt idx="457">
                  <v>3.092787782503972</v>
                </pt>
                <pt idx="458">
                  <v>3.077763915547025</v>
                </pt>
                <pt idx="459">
                  <v>3.15807625049534</v>
                </pt>
                <pt idx="460">
                  <v>3.193762069667956</v>
                </pt>
                <pt idx="461">
                  <v>3.271541467294557</v>
                </pt>
                <pt idx="462">
                  <v>3.457664931017445</v>
                </pt>
                <pt idx="463">
                  <v>3.403491658563075</v>
                </pt>
                <pt idx="464">
                  <v>3.392043372593008</v>
                </pt>
                <pt idx="465">
                  <v>3.493064850081796</v>
                </pt>
                <pt idx="466">
                  <v>3.361162378216338</v>
                </pt>
                <pt idx="467">
                  <v>3.680287069395906</v>
                </pt>
                <pt idx="468">
                  <v>3.55291165954478</v>
                </pt>
                <pt idx="469">
                  <v>3.54416461486964</v>
                </pt>
                <pt idx="470">
                  <v>3.593681098754118</v>
                </pt>
                <pt idx="471">
                  <v>3.489529834955565</v>
                </pt>
                <pt idx="472">
                  <v>3.382800783435926</v>
                </pt>
                <pt idx="473">
                  <v>3.414306510170587</v>
                </pt>
                <pt idx="474">
                  <v>3.318796813342267</v>
                </pt>
                <pt idx="475">
                  <v>3.367139534883721</v>
                </pt>
                <pt idx="476">
                  <v>3.537408028258671</v>
                </pt>
                <pt idx="477">
                  <v>3.586134215147779</v>
                </pt>
                <pt idx="478">
                  <v>3.594636362503272</v>
                </pt>
                <pt idx="479">
                  <v>3.651190455368854</v>
                </pt>
                <pt idx="480">
                  <v>3.640424630837268</v>
                </pt>
                <pt idx="481">
                  <v>3.76321229663639</v>
                </pt>
                <pt idx="482">
                  <v>3.832877346683354</v>
                </pt>
                <pt idx="483">
                  <v>3.867542938859479</v>
                </pt>
                <pt idx="484">
                  <v>3.940738666129357</v>
                </pt>
                <pt idx="485">
                  <v>3.94718275236752</v>
                </pt>
                <pt idx="486">
                  <v>4.016974020743127</v>
                </pt>
                <pt idx="487">
                  <v>3.882175695276534</v>
                </pt>
                <pt idx="488">
                  <v>4.179936994358268</v>
                </pt>
                <pt idx="489">
                  <v>4.334474637955872</v>
                </pt>
                <pt idx="490">
                  <v>4.286207320921426</v>
                </pt>
                <pt idx="491">
                  <v>5.108714893455387</v>
                </pt>
                <pt idx="492">
                  <v>4.996119674763849</v>
                </pt>
                <pt idx="493">
                  <v>5.139671860167828</v>
                </pt>
                <pt idx="494">
                  <v>4.869036227294606</v>
                </pt>
                <pt idx="495">
                  <v>4.548862221996805</v>
                </pt>
                <pt idx="496">
                  <v>4.934782904334808</v>
                </pt>
                <pt idx="497">
                  <v>5.036436622393294</v>
                </pt>
                <pt idx="498">
                  <v>5.561641711770955</v>
                </pt>
                <pt idx="499">
                  <v>5.397472515775869</v>
                </pt>
                <pt idx="500">
                  <v>5.656030094930317</v>
                </pt>
                <pt idx="501">
                  <v>5.729227100872107</v>
                </pt>
                <pt idx="502">
                  <v>5.674809607337059</v>
                </pt>
                <pt idx="503">
                  <v>5.767997607715118</v>
                </pt>
                <pt idx="504">
                  <v>5.476453892931911</v>
                </pt>
                <pt idx="505">
                  <v>5.998170030619258</v>
                </pt>
                <pt idx="506">
                  <v>6.568992609976531</v>
                </pt>
                <pt idx="507">
                  <v>6.742476680572556</v>
                </pt>
                <pt idx="508">
                  <v>7.141395946097278</v>
                </pt>
                <pt idx="509">
                  <v>7.396002776262952</v>
                </pt>
                <pt idx="510">
                  <v>6.894703501365781</v>
                </pt>
                <pt idx="511">
                  <v>6.790722191862486</v>
                </pt>
              </numCache>
            </numRef>
          </val>
          <smooth val="0"/>
        </ser>
        <ser>
          <idx val="1"/>
          <order val="1"/>
          <tx>
            <strRef>
              <f>'bands_A-H_Avg'!$AD$34:$AD$35</f>
              <strCache>
                <ptCount val="2"/>
                <pt idx="0">
                  <v>0.7x</v>
                </pt>
              </strCache>
            </strRef>
          </tx>
          <spPr>
            <a:ln xmlns:a="http://schemas.openxmlformats.org/drawingml/2006/main" w="12700">
              <a:solidFill>
                <a:srgbClr val="000000"/>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'bands_A-H_Avg'!$AD$36:$AD$609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2"/>
          <order val="2"/>
          <tx>
            <strRef>
              <f>'bands_A-H_Avg'!$AE$34:$AE$35</f>
              <strCache>
                <ptCount val="2"/>
                <pt idx="0">
                  <v>1.6x</v>
                </pt>
              </strCache>
            </strRef>
          </tx>
          <spPr>
            <a:ln xmlns:a="http://schemas.openxmlformats.org/drawingml/2006/main" w="12700">
              <a:solidFill>
                <a:srgbClr val="286A7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'bands_A-H_Avg'!$AE$36:$AE$609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3"/>
          <order val="3"/>
          <tx>
            <strRef>
              <f>'bands_A-H_Avg'!$AF$34:$AF$35</f>
              <strCache>
                <ptCount val="2"/>
                <pt idx="0">
                  <v>2.5x</v>
                </pt>
              </strCache>
            </strRef>
          </tx>
          <spPr>
            <a:ln xmlns:a="http://schemas.openxmlformats.org/drawingml/2006/main" w="12700">
              <a:solidFill>
                <a:srgbClr val="659CAA"/>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'bands_A-H_Avg'!$AF$36:$AF$609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4"/>
          <order val="4"/>
          <tx>
            <strRef>
              <f>'bands_A-H_Avg'!$AG$34:$AG$35</f>
              <strCache>
                <ptCount val="2"/>
                <pt idx="0">
                  <v>3.3x</v>
                </pt>
              </strCache>
            </strRef>
          </tx>
          <spPr>
            <a:ln xmlns:a="http://schemas.openxmlformats.org/drawingml/2006/main" w="12700">
              <a:solidFill>
                <a:srgbClr val="818181"/>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'bands_A-H_Avg'!$AG$36:$AG$609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ser>
          <idx val="5"/>
          <order val="5"/>
          <tx>
            <strRef>
              <f>'bands_A-H_Avg'!$AH$34:$AH$35</f>
              <strCache>
                <ptCount val="2"/>
                <pt idx="0">
                  <v>4.2x</v>
                </pt>
              </strCache>
            </strRef>
          </tx>
          <spPr>
            <a:ln xmlns:a="http://schemas.openxmlformats.org/drawingml/2006/main" w="12700">
              <a:solidFill>
                <a:srgbClr val="A1BCC3"/>
              </a:solidFill>
              <a:prstDash val="solid"/>
            </a:ln>
          </spPr>
          <marker>
            <symbol val="none"/>
            <spPr>
              <a:ln xmlns:a="http://schemas.openxmlformats.org/drawingml/2006/main">
                <a:prstDash val="solid"/>
              </a:ln>
            </spPr>
          </marker>
          <cat>
            <numRef>
              <f>'bands_A-H_Avg'!$AB$36:$AB$609</f>
              <numCache>
                <formatCode>m/d/yy</formatCode>
                <ptCount val="557"/>
                <pt idx="0">
                  <v>38473</v>
                </pt>
                <pt idx="1">
                  <v>38480</v>
                </pt>
                <pt idx="2">
                  <v>38487</v>
                </pt>
                <pt idx="3">
                  <v>38494</v>
                </pt>
                <pt idx="4">
                  <v>38501</v>
                </pt>
                <pt idx="5">
                  <v>38508</v>
                </pt>
                <pt idx="6">
                  <v>38515</v>
                </pt>
                <pt idx="7">
                  <v>38522</v>
                </pt>
                <pt idx="8">
                  <v>38529</v>
                </pt>
                <pt idx="9">
                  <v>38536</v>
                </pt>
                <pt idx="10">
                  <v>38543</v>
                </pt>
                <pt idx="11">
                  <v>38550</v>
                </pt>
                <pt idx="12">
                  <v>38557</v>
                </pt>
                <pt idx="13">
                  <v>38564</v>
                </pt>
                <pt idx="14">
                  <v>38571</v>
                </pt>
                <pt idx="15">
                  <v>38578</v>
                </pt>
                <pt idx="16">
                  <v>38585</v>
                </pt>
                <pt idx="17">
                  <v>38592</v>
                </pt>
                <pt idx="18">
                  <v>38599</v>
                </pt>
                <pt idx="19">
                  <v>38606</v>
                </pt>
                <pt idx="20">
                  <v>38613</v>
                </pt>
                <pt idx="21">
                  <v>38620</v>
                </pt>
                <pt idx="22">
                  <v>38627</v>
                </pt>
                <pt idx="23">
                  <v>38634</v>
                </pt>
                <pt idx="24">
                  <v>38641</v>
                </pt>
                <pt idx="25">
                  <v>38648</v>
                </pt>
                <pt idx="26">
                  <v>38655</v>
                </pt>
                <pt idx="27">
                  <v>38662</v>
                </pt>
                <pt idx="28">
                  <v>38669</v>
                </pt>
                <pt idx="29">
                  <v>38676</v>
                </pt>
                <pt idx="30">
                  <v>38683</v>
                </pt>
                <pt idx="31">
                  <v>38690</v>
                </pt>
                <pt idx="32">
                  <v>38697</v>
                </pt>
                <pt idx="33">
                  <v>38704</v>
                </pt>
                <pt idx="34">
                  <v>38711</v>
                </pt>
                <pt idx="35">
                  <v>38718</v>
                </pt>
                <pt idx="36">
                  <v>38725</v>
                </pt>
                <pt idx="37">
                  <v>38732</v>
                </pt>
                <pt idx="38">
                  <v>38739</v>
                </pt>
                <pt idx="39">
                  <v>38746</v>
                </pt>
                <pt idx="40">
                  <v>38753</v>
                </pt>
                <pt idx="41">
                  <v>38760</v>
                </pt>
                <pt idx="42">
                  <v>38767</v>
                </pt>
                <pt idx="43">
                  <v>38774</v>
                </pt>
                <pt idx="44">
                  <v>38781</v>
                </pt>
                <pt idx="45">
                  <v>38788</v>
                </pt>
                <pt idx="46">
                  <v>38795</v>
                </pt>
                <pt idx="47">
                  <v>38802</v>
                </pt>
                <pt idx="48">
                  <v>38809</v>
                </pt>
                <pt idx="49">
                  <v>38816</v>
                </pt>
                <pt idx="50">
                  <v>38823</v>
                </pt>
                <pt idx="51">
                  <v>38830</v>
                </pt>
                <pt idx="52">
                  <v>38837</v>
                </pt>
                <pt idx="53">
                  <v>38844</v>
                </pt>
                <pt idx="54">
                  <v>38851</v>
                </pt>
                <pt idx="55">
                  <v>38858</v>
                </pt>
                <pt idx="56">
                  <v>38865</v>
                </pt>
                <pt idx="57">
                  <v>38872</v>
                </pt>
                <pt idx="58">
                  <v>38879</v>
                </pt>
                <pt idx="59">
                  <v>38886</v>
                </pt>
                <pt idx="60">
                  <v>38893</v>
                </pt>
                <pt idx="61">
                  <v>38900</v>
                </pt>
                <pt idx="62">
                  <v>38907</v>
                </pt>
                <pt idx="63">
                  <v>38914</v>
                </pt>
                <pt idx="64">
                  <v>38921</v>
                </pt>
                <pt idx="65">
                  <v>38928</v>
                </pt>
                <pt idx="66">
                  <v>38935</v>
                </pt>
                <pt idx="67">
                  <v>38942</v>
                </pt>
                <pt idx="68">
                  <v>38949</v>
                </pt>
                <pt idx="69">
                  <v>38956</v>
                </pt>
                <pt idx="70">
                  <v>38963</v>
                </pt>
                <pt idx="71">
                  <v>38970</v>
                </pt>
                <pt idx="72">
                  <v>38977</v>
                </pt>
                <pt idx="73">
                  <v>38984</v>
                </pt>
                <pt idx="74">
                  <v>38991</v>
                </pt>
                <pt idx="75">
                  <v>38998</v>
                </pt>
                <pt idx="76">
                  <v>39005</v>
                </pt>
                <pt idx="77">
                  <v>39012</v>
                </pt>
                <pt idx="78">
                  <v>39019</v>
                </pt>
                <pt idx="79">
                  <v>39026</v>
                </pt>
                <pt idx="80">
                  <v>39033</v>
                </pt>
                <pt idx="81">
                  <v>39040</v>
                </pt>
                <pt idx="82">
                  <v>39047</v>
                </pt>
                <pt idx="83">
                  <v>39054</v>
                </pt>
                <pt idx="84">
                  <v>39061</v>
                </pt>
                <pt idx="85">
                  <v>39068</v>
                </pt>
                <pt idx="86">
                  <v>39075</v>
                </pt>
                <pt idx="87">
                  <v>39082</v>
                </pt>
                <pt idx="88">
                  <v>39089</v>
                </pt>
                <pt idx="89">
                  <v>39096</v>
                </pt>
                <pt idx="90">
                  <v>39103</v>
                </pt>
                <pt idx="91">
                  <v>39110</v>
                </pt>
                <pt idx="92">
                  <v>39117</v>
                </pt>
                <pt idx="93">
                  <v>39124</v>
                </pt>
                <pt idx="94">
                  <v>39131</v>
                </pt>
                <pt idx="95">
                  <v>39138</v>
                </pt>
                <pt idx="96">
                  <v>39145</v>
                </pt>
                <pt idx="97">
                  <v>39152</v>
                </pt>
                <pt idx="98">
                  <v>39159</v>
                </pt>
                <pt idx="99">
                  <v>39166</v>
                </pt>
                <pt idx="100">
                  <v>39173</v>
                </pt>
                <pt idx="101">
                  <v>39180</v>
                </pt>
                <pt idx="102">
                  <v>39187</v>
                </pt>
                <pt idx="103">
                  <v>39194</v>
                </pt>
                <pt idx="104">
                  <v>39201</v>
                </pt>
                <pt idx="105">
                  <v>39208</v>
                </pt>
                <pt idx="106">
                  <v>39215</v>
                </pt>
                <pt idx="107">
                  <v>39222</v>
                </pt>
                <pt idx="108">
                  <v>39229</v>
                </pt>
                <pt idx="109">
                  <v>39236</v>
                </pt>
                <pt idx="110">
                  <v>39243</v>
                </pt>
                <pt idx="111">
                  <v>39250</v>
                </pt>
                <pt idx="112">
                  <v>39257</v>
                </pt>
                <pt idx="113">
                  <v>39264</v>
                </pt>
                <pt idx="114">
                  <v>39271</v>
                </pt>
                <pt idx="115">
                  <v>39278</v>
                </pt>
                <pt idx="116">
                  <v>39285</v>
                </pt>
                <pt idx="117">
                  <v>39292</v>
                </pt>
                <pt idx="118">
                  <v>39299</v>
                </pt>
                <pt idx="119">
                  <v>39306</v>
                </pt>
                <pt idx="120">
                  <v>39313</v>
                </pt>
                <pt idx="121">
                  <v>39320</v>
                </pt>
                <pt idx="122">
                  <v>39327</v>
                </pt>
                <pt idx="123">
                  <v>39334</v>
                </pt>
                <pt idx="124">
                  <v>39341</v>
                </pt>
                <pt idx="125">
                  <v>39348</v>
                </pt>
                <pt idx="126">
                  <v>39355</v>
                </pt>
                <pt idx="127">
                  <v>39362</v>
                </pt>
                <pt idx="128">
                  <v>39369</v>
                </pt>
                <pt idx="129">
                  <v>39376</v>
                </pt>
                <pt idx="130">
                  <v>39383</v>
                </pt>
                <pt idx="131">
                  <v>39390</v>
                </pt>
                <pt idx="132">
                  <v>39397</v>
                </pt>
                <pt idx="133">
                  <v>39404</v>
                </pt>
                <pt idx="134">
                  <v>39411</v>
                </pt>
                <pt idx="135">
                  <v>39418</v>
                </pt>
                <pt idx="136">
                  <v>39425</v>
                </pt>
                <pt idx="137">
                  <v>39432</v>
                </pt>
                <pt idx="138">
                  <v>39439</v>
                </pt>
                <pt idx="139">
                  <v>39446</v>
                </pt>
                <pt idx="140">
                  <v>39453</v>
                </pt>
                <pt idx="141">
                  <v>39460</v>
                </pt>
                <pt idx="142">
                  <v>39467</v>
                </pt>
                <pt idx="143">
                  <v>39474</v>
                </pt>
                <pt idx="144">
                  <v>39481</v>
                </pt>
                <pt idx="145">
                  <v>39488</v>
                </pt>
                <pt idx="146">
                  <v>39495</v>
                </pt>
                <pt idx="147">
                  <v>39502</v>
                </pt>
                <pt idx="148">
                  <v>39509</v>
                </pt>
                <pt idx="149">
                  <v>39516</v>
                </pt>
                <pt idx="150">
                  <v>39523</v>
                </pt>
                <pt idx="151">
                  <v>39530</v>
                </pt>
                <pt idx="152">
                  <v>39537</v>
                </pt>
                <pt idx="153">
                  <v>39544</v>
                </pt>
                <pt idx="154">
                  <v>39551</v>
                </pt>
                <pt idx="155">
                  <v>39558</v>
                </pt>
                <pt idx="156">
                  <v>39565</v>
                </pt>
                <pt idx="157">
                  <v>39572</v>
                </pt>
                <pt idx="158">
                  <v>39579</v>
                </pt>
                <pt idx="159">
                  <v>39586</v>
                </pt>
                <pt idx="160">
                  <v>39593</v>
                </pt>
                <pt idx="161">
                  <v>39600</v>
                </pt>
                <pt idx="162">
                  <v>39607</v>
                </pt>
                <pt idx="163">
                  <v>39614</v>
                </pt>
                <pt idx="164">
                  <v>39621</v>
                </pt>
                <pt idx="165">
                  <v>39628</v>
                </pt>
                <pt idx="166">
                  <v>39635</v>
                </pt>
                <pt idx="167">
                  <v>39642</v>
                </pt>
                <pt idx="168">
                  <v>39649</v>
                </pt>
                <pt idx="169">
                  <v>39656</v>
                </pt>
                <pt idx="170">
                  <v>39663</v>
                </pt>
                <pt idx="171">
                  <v>39670</v>
                </pt>
                <pt idx="172">
                  <v>39677</v>
                </pt>
                <pt idx="173">
                  <v>39684</v>
                </pt>
                <pt idx="174">
                  <v>39691</v>
                </pt>
                <pt idx="175">
                  <v>39698</v>
                </pt>
                <pt idx="176">
                  <v>39705</v>
                </pt>
                <pt idx="177">
                  <v>39712</v>
                </pt>
                <pt idx="178">
                  <v>39719</v>
                </pt>
                <pt idx="179">
                  <v>39726</v>
                </pt>
                <pt idx="180">
                  <v>39733</v>
                </pt>
                <pt idx="181">
                  <v>39740</v>
                </pt>
                <pt idx="182">
                  <v>39747</v>
                </pt>
                <pt idx="183">
                  <v>39754</v>
                </pt>
                <pt idx="184">
                  <v>39761</v>
                </pt>
                <pt idx="185">
                  <v>39768</v>
                </pt>
                <pt idx="186">
                  <v>39775</v>
                </pt>
                <pt idx="187">
                  <v>39782</v>
                </pt>
                <pt idx="188">
                  <v>39789</v>
                </pt>
                <pt idx="189">
                  <v>39796</v>
                </pt>
                <pt idx="190">
                  <v>39803</v>
                </pt>
                <pt idx="191">
                  <v>39810</v>
                </pt>
                <pt idx="192">
                  <v>39817</v>
                </pt>
                <pt idx="193">
                  <v>39824</v>
                </pt>
                <pt idx="194">
                  <v>39831</v>
                </pt>
                <pt idx="195">
                  <v>39838</v>
                </pt>
                <pt idx="196">
                  <v>39845</v>
                </pt>
                <pt idx="197">
                  <v>39852</v>
                </pt>
                <pt idx="198">
                  <v>39859</v>
                </pt>
                <pt idx="199">
                  <v>39866</v>
                </pt>
                <pt idx="200">
                  <v>39873</v>
                </pt>
                <pt idx="201">
                  <v>39880</v>
                </pt>
                <pt idx="202">
                  <v>39887</v>
                </pt>
                <pt idx="203">
                  <v>39894</v>
                </pt>
                <pt idx="204">
                  <v>39901</v>
                </pt>
                <pt idx="205">
                  <v>39908</v>
                </pt>
                <pt idx="206">
                  <v>39915</v>
                </pt>
                <pt idx="207">
                  <v>39922</v>
                </pt>
                <pt idx="208">
                  <v>39929</v>
                </pt>
                <pt idx="209">
                  <v>39936</v>
                </pt>
                <pt idx="210">
                  <v>39943</v>
                </pt>
                <pt idx="211">
                  <v>39950</v>
                </pt>
                <pt idx="212">
                  <v>39957</v>
                </pt>
                <pt idx="213">
                  <v>39964</v>
                </pt>
                <pt idx="214">
                  <v>39971</v>
                </pt>
                <pt idx="215">
                  <v>39978</v>
                </pt>
                <pt idx="216">
                  <v>39985</v>
                </pt>
                <pt idx="217">
                  <v>39992</v>
                </pt>
                <pt idx="218">
                  <v>39999</v>
                </pt>
                <pt idx="219">
                  <v>40006</v>
                </pt>
                <pt idx="220">
                  <v>40013</v>
                </pt>
                <pt idx="221">
                  <v>40020</v>
                </pt>
                <pt idx="222">
                  <v>40027</v>
                </pt>
                <pt idx="223">
                  <v>40034</v>
                </pt>
                <pt idx="224">
                  <v>40041</v>
                </pt>
                <pt idx="225">
                  <v>40048</v>
                </pt>
                <pt idx="226">
                  <v>40055</v>
                </pt>
                <pt idx="227">
                  <v>40062</v>
                </pt>
                <pt idx="228">
                  <v>40069</v>
                </pt>
                <pt idx="229">
                  <v>40076</v>
                </pt>
                <pt idx="230">
                  <v>40083</v>
                </pt>
                <pt idx="231">
                  <v>40090</v>
                </pt>
                <pt idx="232">
                  <v>40097</v>
                </pt>
                <pt idx="233">
                  <v>40104</v>
                </pt>
                <pt idx="234">
                  <v>40111</v>
                </pt>
                <pt idx="235">
                  <v>40118</v>
                </pt>
                <pt idx="236">
                  <v>40125</v>
                </pt>
                <pt idx="237">
                  <v>40132</v>
                </pt>
                <pt idx="238">
                  <v>40139</v>
                </pt>
                <pt idx="239">
                  <v>40146</v>
                </pt>
                <pt idx="240">
                  <v>40153</v>
                </pt>
                <pt idx="241">
                  <v>40160</v>
                </pt>
                <pt idx="242">
                  <v>40167</v>
                </pt>
                <pt idx="243">
                  <v>40174</v>
                </pt>
                <pt idx="244">
                  <v>40181</v>
                </pt>
                <pt idx="245">
                  <v>40188</v>
                </pt>
                <pt idx="246">
                  <v>40195</v>
                </pt>
                <pt idx="247">
                  <v>40202</v>
                </pt>
                <pt idx="248">
                  <v>40209</v>
                </pt>
                <pt idx="249">
                  <v>40216</v>
                </pt>
                <pt idx="250">
                  <v>40223</v>
                </pt>
                <pt idx="251">
                  <v>40230</v>
                </pt>
                <pt idx="252">
                  <v>40237</v>
                </pt>
                <pt idx="253">
                  <v>40244</v>
                </pt>
                <pt idx="254">
                  <v>40251</v>
                </pt>
                <pt idx="255">
                  <v>40258</v>
                </pt>
                <pt idx="256">
                  <v>40265</v>
                </pt>
                <pt idx="257">
                  <v>40272</v>
                </pt>
                <pt idx="258">
                  <v>40279</v>
                </pt>
                <pt idx="259">
                  <v>40286</v>
                </pt>
                <pt idx="260">
                  <v>40293</v>
                </pt>
                <pt idx="261">
                  <v>40300</v>
                </pt>
                <pt idx="262">
                  <v>40307</v>
                </pt>
                <pt idx="263">
                  <v>40314</v>
                </pt>
                <pt idx="264">
                  <v>40321</v>
                </pt>
                <pt idx="265">
                  <v>40328</v>
                </pt>
                <pt idx="266">
                  <v>40335</v>
                </pt>
                <pt idx="267">
                  <v>40342</v>
                </pt>
                <pt idx="268">
                  <v>40349</v>
                </pt>
                <pt idx="269">
                  <v>40356</v>
                </pt>
                <pt idx="270">
                  <v>40363</v>
                </pt>
                <pt idx="271">
                  <v>40370</v>
                </pt>
                <pt idx="272">
                  <v>40377</v>
                </pt>
                <pt idx="273">
                  <v>40384</v>
                </pt>
                <pt idx="274">
                  <v>40391</v>
                </pt>
                <pt idx="275">
                  <v>40398</v>
                </pt>
                <pt idx="276">
                  <v>40405</v>
                </pt>
                <pt idx="277">
                  <v>40412</v>
                </pt>
                <pt idx="278">
                  <v>40419</v>
                </pt>
                <pt idx="279">
                  <v>40426</v>
                </pt>
                <pt idx="280">
                  <v>40433</v>
                </pt>
                <pt idx="281">
                  <v>40440</v>
                </pt>
                <pt idx="282">
                  <v>40447</v>
                </pt>
                <pt idx="283">
                  <v>40454</v>
                </pt>
                <pt idx="284">
                  <v>40461</v>
                </pt>
                <pt idx="285">
                  <v>40468</v>
                </pt>
                <pt idx="286">
                  <v>40475</v>
                </pt>
                <pt idx="287">
                  <v>40482</v>
                </pt>
                <pt idx="288">
                  <v>40489</v>
                </pt>
                <pt idx="289">
                  <v>40496</v>
                </pt>
                <pt idx="290">
                  <v>40503</v>
                </pt>
                <pt idx="291">
                  <v>40510</v>
                </pt>
                <pt idx="292">
                  <v>40517</v>
                </pt>
                <pt idx="293">
                  <v>40524</v>
                </pt>
                <pt idx="294">
                  <v>40531</v>
                </pt>
                <pt idx="295">
                  <v>40538</v>
                </pt>
                <pt idx="296">
                  <v>40545</v>
                </pt>
                <pt idx="297">
                  <v>40552</v>
                </pt>
                <pt idx="298">
                  <v>40559</v>
                </pt>
                <pt idx="299">
                  <v>40566</v>
                </pt>
                <pt idx="300">
                  <v>40573</v>
                </pt>
                <pt idx="301">
                  <v>40580</v>
                </pt>
                <pt idx="302">
                  <v>40587</v>
                </pt>
                <pt idx="303">
                  <v>40594</v>
                </pt>
                <pt idx="304">
                  <v>40601</v>
                </pt>
                <pt idx="305">
                  <v>40608</v>
                </pt>
                <pt idx="306">
                  <v>40615</v>
                </pt>
                <pt idx="307">
                  <v>40622</v>
                </pt>
                <pt idx="308">
                  <v>40629</v>
                </pt>
                <pt idx="309">
                  <v>40636</v>
                </pt>
                <pt idx="310">
                  <v>40643</v>
                </pt>
                <pt idx="311">
                  <v>40650</v>
                </pt>
                <pt idx="312">
                  <v>40657</v>
                </pt>
                <pt idx="313">
                  <v>40664</v>
                </pt>
                <pt idx="314">
                  <v>40671</v>
                </pt>
                <pt idx="315">
                  <v>40678</v>
                </pt>
                <pt idx="316">
                  <v>40685</v>
                </pt>
                <pt idx="317">
                  <v>40692</v>
                </pt>
                <pt idx="318">
                  <v>40699</v>
                </pt>
                <pt idx="319">
                  <v>40706</v>
                </pt>
                <pt idx="320">
                  <v>40713</v>
                </pt>
                <pt idx="321">
                  <v>40720</v>
                </pt>
                <pt idx="322">
                  <v>40727</v>
                </pt>
                <pt idx="323">
                  <v>40734</v>
                </pt>
                <pt idx="324">
                  <v>40741</v>
                </pt>
                <pt idx="325">
                  <v>40748</v>
                </pt>
                <pt idx="326">
                  <v>40755</v>
                </pt>
                <pt idx="327">
                  <v>40762</v>
                </pt>
                <pt idx="328">
                  <v>40769</v>
                </pt>
                <pt idx="329">
                  <v>40776</v>
                </pt>
                <pt idx="330">
                  <v>40783</v>
                </pt>
                <pt idx="331">
                  <v>40790</v>
                </pt>
                <pt idx="332">
                  <v>40797</v>
                </pt>
                <pt idx="333">
                  <v>40804</v>
                </pt>
                <pt idx="334">
                  <v>40811</v>
                </pt>
                <pt idx="335">
                  <v>40818</v>
                </pt>
                <pt idx="336">
                  <v>40825</v>
                </pt>
                <pt idx="337">
                  <v>40832</v>
                </pt>
                <pt idx="338">
                  <v>40839</v>
                </pt>
                <pt idx="339">
                  <v>40846</v>
                </pt>
                <pt idx="340">
                  <v>40853</v>
                </pt>
                <pt idx="341">
                  <v>40860</v>
                </pt>
                <pt idx="342">
                  <v>40867</v>
                </pt>
                <pt idx="343">
                  <v>40874</v>
                </pt>
                <pt idx="344">
                  <v>40881</v>
                </pt>
                <pt idx="345">
                  <v>40888</v>
                </pt>
                <pt idx="346">
                  <v>40895</v>
                </pt>
                <pt idx="347">
                  <v>40902</v>
                </pt>
                <pt idx="348">
                  <v>40909</v>
                </pt>
                <pt idx="349">
                  <v>40916</v>
                </pt>
                <pt idx="350">
                  <v>40923</v>
                </pt>
                <pt idx="351">
                  <v>40930</v>
                </pt>
                <pt idx="352">
                  <v>40937</v>
                </pt>
                <pt idx="353">
                  <v>40944</v>
                </pt>
                <pt idx="354">
                  <v>40951</v>
                </pt>
                <pt idx="355">
                  <v>40958</v>
                </pt>
                <pt idx="356">
                  <v>40965</v>
                </pt>
                <pt idx="357">
                  <v>40972</v>
                </pt>
                <pt idx="358">
                  <v>40979</v>
                </pt>
                <pt idx="359">
                  <v>40986</v>
                </pt>
                <pt idx="360">
                  <v>40993</v>
                </pt>
                <pt idx="361">
                  <v>41000</v>
                </pt>
                <pt idx="362">
                  <v>41007</v>
                </pt>
                <pt idx="363">
                  <v>41014</v>
                </pt>
                <pt idx="364">
                  <v>41021</v>
                </pt>
                <pt idx="365">
                  <v>41028</v>
                </pt>
                <pt idx="366">
                  <v>41035</v>
                </pt>
                <pt idx="367">
                  <v>41042</v>
                </pt>
                <pt idx="368">
                  <v>41049</v>
                </pt>
                <pt idx="369">
                  <v>41056</v>
                </pt>
                <pt idx="370">
                  <v>41063</v>
                </pt>
                <pt idx="371">
                  <v>41070</v>
                </pt>
                <pt idx="372">
                  <v>41077</v>
                </pt>
                <pt idx="373">
                  <v>41084</v>
                </pt>
                <pt idx="374">
                  <v>41091</v>
                </pt>
                <pt idx="375">
                  <v>41098</v>
                </pt>
                <pt idx="376">
                  <v>41105</v>
                </pt>
                <pt idx="377">
                  <v>41112</v>
                </pt>
                <pt idx="378">
                  <v>41119</v>
                </pt>
                <pt idx="379">
                  <v>41126</v>
                </pt>
                <pt idx="380">
                  <v>41133</v>
                </pt>
                <pt idx="381">
                  <v>41140</v>
                </pt>
                <pt idx="382">
                  <v>41147</v>
                </pt>
                <pt idx="383">
                  <v>41154</v>
                </pt>
                <pt idx="384">
                  <v>41161</v>
                </pt>
                <pt idx="385">
                  <v>41168</v>
                </pt>
                <pt idx="386">
                  <v>41175</v>
                </pt>
                <pt idx="387">
                  <v>41182</v>
                </pt>
                <pt idx="388">
                  <v>41189</v>
                </pt>
                <pt idx="389">
                  <v>41196</v>
                </pt>
                <pt idx="390">
                  <v>41203</v>
                </pt>
                <pt idx="391">
                  <v>41210</v>
                </pt>
                <pt idx="392">
                  <v>41217</v>
                </pt>
                <pt idx="393">
                  <v>41224</v>
                </pt>
                <pt idx="394">
                  <v>41231</v>
                </pt>
                <pt idx="395">
                  <v>41238</v>
                </pt>
                <pt idx="396">
                  <v>41245</v>
                </pt>
                <pt idx="397">
                  <v>41252</v>
                </pt>
                <pt idx="398">
                  <v>41259</v>
                </pt>
                <pt idx="399">
                  <v>41266</v>
                </pt>
                <pt idx="400">
                  <v>41273</v>
                </pt>
                <pt idx="401">
                  <v>41280</v>
                </pt>
                <pt idx="402">
                  <v>41287</v>
                </pt>
                <pt idx="403">
                  <v>41294</v>
                </pt>
                <pt idx="404">
                  <v>41301</v>
                </pt>
                <pt idx="405">
                  <v>41308</v>
                </pt>
                <pt idx="406">
                  <v>41315</v>
                </pt>
                <pt idx="407">
                  <v>41322</v>
                </pt>
                <pt idx="408">
                  <v>41329</v>
                </pt>
                <pt idx="409">
                  <v>41336</v>
                </pt>
                <pt idx="410">
                  <v>41343</v>
                </pt>
                <pt idx="411">
                  <v>41350</v>
                </pt>
                <pt idx="412">
                  <v>41357</v>
                </pt>
                <pt idx="413">
                  <v>41364</v>
                </pt>
                <pt idx="414">
                  <v>41371</v>
                </pt>
                <pt idx="415">
                  <v>41378</v>
                </pt>
                <pt idx="416">
                  <v>41385</v>
                </pt>
                <pt idx="417">
                  <v>41392</v>
                </pt>
                <pt idx="418">
                  <v>41399</v>
                </pt>
                <pt idx="419">
                  <v>41406</v>
                </pt>
                <pt idx="420">
                  <v>41413</v>
                </pt>
                <pt idx="421">
                  <v>41420</v>
                </pt>
                <pt idx="422">
                  <v>41427</v>
                </pt>
                <pt idx="423">
                  <v>41434</v>
                </pt>
                <pt idx="424">
                  <v>41441</v>
                </pt>
                <pt idx="425">
                  <v>41448</v>
                </pt>
                <pt idx="426">
                  <v>41455</v>
                </pt>
                <pt idx="427">
                  <v>41462</v>
                </pt>
                <pt idx="428">
                  <v>41469</v>
                </pt>
                <pt idx="429">
                  <v>41476</v>
                </pt>
                <pt idx="430">
                  <v>41483</v>
                </pt>
                <pt idx="431">
                  <v>41490</v>
                </pt>
                <pt idx="432">
                  <v>41497</v>
                </pt>
                <pt idx="433">
                  <v>41504</v>
                </pt>
                <pt idx="434">
                  <v>41511</v>
                </pt>
                <pt idx="435">
                  <v>41518</v>
                </pt>
                <pt idx="436">
                  <v>41525</v>
                </pt>
                <pt idx="437">
                  <v>41532</v>
                </pt>
                <pt idx="438">
                  <v>41539</v>
                </pt>
                <pt idx="439">
                  <v>41546</v>
                </pt>
                <pt idx="440">
                  <v>41553</v>
                </pt>
                <pt idx="441">
                  <v>41560</v>
                </pt>
                <pt idx="442">
                  <v>41567</v>
                </pt>
                <pt idx="443">
                  <v>41574</v>
                </pt>
                <pt idx="444">
                  <v>41581</v>
                </pt>
                <pt idx="445">
                  <v>41588</v>
                </pt>
                <pt idx="446">
                  <v>41595</v>
                </pt>
                <pt idx="447">
                  <v>41602</v>
                </pt>
                <pt idx="448">
                  <v>41609</v>
                </pt>
                <pt idx="449">
                  <v>41616</v>
                </pt>
                <pt idx="450">
                  <v>41623</v>
                </pt>
                <pt idx="451">
                  <v>41630</v>
                </pt>
                <pt idx="452">
                  <v>41637</v>
                </pt>
                <pt idx="453">
                  <v>41644</v>
                </pt>
                <pt idx="454">
                  <v>41651</v>
                </pt>
                <pt idx="455">
                  <v>41658</v>
                </pt>
                <pt idx="456">
                  <v>41665</v>
                </pt>
                <pt idx="457">
                  <v>41672</v>
                </pt>
                <pt idx="458">
                  <v>41679</v>
                </pt>
                <pt idx="459">
                  <v>41686</v>
                </pt>
                <pt idx="460">
                  <v>41693</v>
                </pt>
                <pt idx="461">
                  <v>41700</v>
                </pt>
                <pt idx="462">
                  <v>41707</v>
                </pt>
                <pt idx="463">
                  <v>41714</v>
                </pt>
                <pt idx="464">
                  <v>41721</v>
                </pt>
                <pt idx="465">
                  <v>41728</v>
                </pt>
                <pt idx="466">
                  <v>41735</v>
                </pt>
                <pt idx="467">
                  <v>41742</v>
                </pt>
                <pt idx="468">
                  <v>41749</v>
                </pt>
                <pt idx="469">
                  <v>41756</v>
                </pt>
                <pt idx="470">
                  <v>41763</v>
                </pt>
                <pt idx="471">
                  <v>41770</v>
                </pt>
                <pt idx="472">
                  <v>41777</v>
                </pt>
                <pt idx="473">
                  <v>41784</v>
                </pt>
                <pt idx="474">
                  <v>41791</v>
                </pt>
                <pt idx="475">
                  <v>41798</v>
                </pt>
                <pt idx="476">
                  <v>41805</v>
                </pt>
                <pt idx="477">
                  <v>41812</v>
                </pt>
                <pt idx="478">
                  <v>41819</v>
                </pt>
                <pt idx="479">
                  <v>41826</v>
                </pt>
                <pt idx="480">
                  <v>41833</v>
                </pt>
                <pt idx="481">
                  <v>41840</v>
                </pt>
                <pt idx="482">
                  <v>41847</v>
                </pt>
                <pt idx="483">
                  <v>41854</v>
                </pt>
                <pt idx="484">
                  <v>41861</v>
                </pt>
                <pt idx="485">
                  <v>41868</v>
                </pt>
                <pt idx="486">
                  <v>41875</v>
                </pt>
                <pt idx="487">
                  <v>41882</v>
                </pt>
                <pt idx="488">
                  <v>41889</v>
                </pt>
                <pt idx="489">
                  <v>41896</v>
                </pt>
                <pt idx="490">
                  <v>41903</v>
                </pt>
                <pt idx="491">
                  <v>41910</v>
                </pt>
                <pt idx="492">
                  <v>41917</v>
                </pt>
                <pt idx="493">
                  <v>41924</v>
                </pt>
                <pt idx="494">
                  <v>41931</v>
                </pt>
                <pt idx="495">
                  <v>41938</v>
                </pt>
                <pt idx="496">
                  <v>41945</v>
                </pt>
                <pt idx="497">
                  <v>41952</v>
                </pt>
                <pt idx="498">
                  <v>41959</v>
                </pt>
                <pt idx="499">
                  <v>41966</v>
                </pt>
                <pt idx="500">
                  <v>41973</v>
                </pt>
                <pt idx="501">
                  <v>41980</v>
                </pt>
                <pt idx="502">
                  <v>41987</v>
                </pt>
                <pt idx="503">
                  <v>41994</v>
                </pt>
                <pt idx="504">
                  <v>42001</v>
                </pt>
                <pt idx="505">
                  <v>42008</v>
                </pt>
                <pt idx="506">
                  <v>42015</v>
                </pt>
                <pt idx="507">
                  <v>42022</v>
                </pt>
                <pt idx="508">
                  <v>42029</v>
                </pt>
                <pt idx="509">
                  <v>42036</v>
                </pt>
                <pt idx="510">
                  <v>42043</v>
                </pt>
                <pt idx="511">
                  <v>42050</v>
                </pt>
                <pt idx="512">
                  <v>42057</v>
                </pt>
                <pt idx="513">
                  <v>42064</v>
                </pt>
                <pt idx="514">
                  <v>42071</v>
                </pt>
                <pt idx="515">
                  <v>42078</v>
                </pt>
                <pt idx="516">
                  <v>42085</v>
                </pt>
                <pt idx="517">
                  <v>42092</v>
                </pt>
                <pt idx="518">
                  <v>42099</v>
                </pt>
                <pt idx="519">
                  <v>42106</v>
                </pt>
                <pt idx="520">
                  <v>42113</v>
                </pt>
                <pt idx="521">
                  <v>42120</v>
                </pt>
                <pt idx="522">
                  <v>42127</v>
                </pt>
                <pt idx="523">
                  <v>42134</v>
                </pt>
                <pt idx="524">
                  <v>42141</v>
                </pt>
                <pt idx="525">
                  <v>42148</v>
                </pt>
                <pt idx="526">
                  <v>42155</v>
                </pt>
                <pt idx="527">
                  <v>42162</v>
                </pt>
                <pt idx="528">
                  <v>42169</v>
                </pt>
                <pt idx="529">
                  <v>42176</v>
                </pt>
                <pt idx="530">
                  <v>42183</v>
                </pt>
                <pt idx="531">
                  <v>42190</v>
                </pt>
                <pt idx="532">
                  <v>42197</v>
                </pt>
                <pt idx="533">
                  <v>42204</v>
                </pt>
                <pt idx="534">
                  <v>42211</v>
                </pt>
                <pt idx="535">
                  <v>42218</v>
                </pt>
                <pt idx="536">
                  <v>42225</v>
                </pt>
                <pt idx="537">
                  <v>42232</v>
                </pt>
                <pt idx="538">
                  <v>42239</v>
                </pt>
                <pt idx="539">
                  <v>42246</v>
                </pt>
                <pt idx="540">
                  <v>42253</v>
                </pt>
                <pt idx="541">
                  <v>42260</v>
                </pt>
                <pt idx="542">
                  <v>42267</v>
                </pt>
                <pt idx="543">
                  <v>42274</v>
                </pt>
                <pt idx="544">
                  <v>42281</v>
                </pt>
                <pt idx="545">
                  <v>42288</v>
                </pt>
                <pt idx="546">
                  <v>42295</v>
                </pt>
                <pt idx="547">
                  <v>42302</v>
                </pt>
                <pt idx="548">
                  <v>42309</v>
                </pt>
                <pt idx="549">
                  <v>42316</v>
                </pt>
                <pt idx="550">
                  <v>42323</v>
                </pt>
                <pt idx="551">
                  <v>42330</v>
                </pt>
                <pt idx="552">
                  <v>42337</v>
                </pt>
                <pt idx="553">
                  <v>42344</v>
                </pt>
                <pt idx="554">
                  <v>42351</v>
                </pt>
                <pt idx="555">
                  <v>42358</v>
                </pt>
                <pt idx="556">
                  <v>42365</v>
                </pt>
              </numCache>
            </numRef>
          </cat>
          <val>
            <numRef>
              <f>'bands_A-H_Avg'!$AH$36:$AH$609</f>
              <numCache>
                <formatCode>#,##0.00_);\(#,##0.00\)</formatCode>
                <ptCount val="557"/>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pt idx="54">
                  <v>0</v>
                </pt>
                <pt idx="55">
                  <v>0</v>
                </pt>
                <pt idx="56">
                  <v>0</v>
                </pt>
                <pt idx="57">
                  <v>0</v>
                </pt>
                <pt idx="58">
                  <v>0</v>
                </pt>
                <pt idx="59">
                  <v>0</v>
                </pt>
                <pt idx="60">
                  <v>0</v>
                </pt>
                <pt idx="61">
                  <v>0</v>
                </pt>
                <pt idx="62">
                  <v>0</v>
                </pt>
                <pt idx="63">
                  <v>0</v>
                </pt>
                <pt idx="64">
                  <v>0</v>
                </pt>
                <pt idx="65">
                  <v>0</v>
                </pt>
                <pt idx="66">
                  <v>0</v>
                </pt>
                <pt idx="67">
                  <v>0</v>
                </pt>
                <pt idx="68">
                  <v>0</v>
                </pt>
                <pt idx="69">
                  <v>0</v>
                </pt>
                <pt idx="70">
                  <v>0</v>
                </pt>
                <pt idx="71">
                  <v>0</v>
                </pt>
                <pt idx="72">
                  <v>0</v>
                </pt>
                <pt idx="73">
                  <v>0</v>
                </pt>
                <pt idx="74">
                  <v>0</v>
                </pt>
                <pt idx="75">
                  <v>0</v>
                </pt>
                <pt idx="76">
                  <v>0</v>
                </pt>
                <pt idx="77">
                  <v>0</v>
                </pt>
                <pt idx="78">
                  <v>0</v>
                </pt>
                <pt idx="79">
                  <v>0</v>
                </pt>
                <pt idx="80">
                  <v>0</v>
                </pt>
                <pt idx="81">
                  <v>0</v>
                </pt>
                <pt idx="82">
                  <v>0</v>
                </pt>
                <pt idx="83">
                  <v>0</v>
                </pt>
                <pt idx="84">
                  <v>0</v>
                </pt>
                <pt idx="85">
                  <v>0</v>
                </pt>
                <pt idx="86">
                  <v>0</v>
                </pt>
                <pt idx="87">
                  <v>0</v>
                </pt>
                <pt idx="88">
                  <v>0</v>
                </pt>
                <pt idx="89">
                  <v>0</v>
                </pt>
                <pt idx="90">
                  <v>0</v>
                </pt>
                <pt idx="91">
                  <v>0</v>
                </pt>
                <pt idx="92">
                  <v>0</v>
                </pt>
                <pt idx="93">
                  <v>0</v>
                </pt>
                <pt idx="94">
                  <v>0</v>
                </pt>
                <pt idx="95">
                  <v>0</v>
                </pt>
                <pt idx="96">
                  <v>0</v>
                </pt>
                <pt idx="97">
                  <v>0</v>
                </pt>
                <pt idx="98">
                  <v>0</v>
                </pt>
                <pt idx="99">
                  <v>0</v>
                </pt>
                <pt idx="100">
                  <v>0</v>
                </pt>
                <pt idx="101">
                  <v>0</v>
                </pt>
                <pt idx="102">
                  <v>0</v>
                </pt>
                <pt idx="103">
                  <v>0</v>
                </pt>
                <pt idx="104">
                  <v>0</v>
                </pt>
                <pt idx="105">
                  <v>0</v>
                </pt>
                <pt idx="106">
                  <v>0</v>
                </pt>
                <pt idx="107">
                  <v>0</v>
                </pt>
                <pt idx="108">
                  <v>0</v>
                </pt>
                <pt idx="109">
                  <v>0</v>
                </pt>
                <pt idx="110">
                  <v>0</v>
                </pt>
                <pt idx="111">
                  <v>0</v>
                </pt>
                <pt idx="112">
                  <v>0</v>
                </pt>
                <pt idx="113">
                  <v>0</v>
                </pt>
                <pt idx="114">
                  <v>0</v>
                </pt>
                <pt idx="115">
                  <v>0</v>
                </pt>
                <pt idx="116">
                  <v>0</v>
                </pt>
                <pt idx="117">
                  <v>0</v>
                </pt>
                <pt idx="118">
                  <v>0</v>
                </pt>
                <pt idx="119">
                  <v>0</v>
                </pt>
                <pt idx="120">
                  <v>0</v>
                </pt>
                <pt idx="121">
                  <v>0</v>
                </pt>
                <pt idx="122">
                  <v>0</v>
                </pt>
                <pt idx="123">
                  <v>0</v>
                </pt>
                <pt idx="124">
                  <v>0</v>
                </pt>
                <pt idx="125">
                  <v>0</v>
                </pt>
                <pt idx="126">
                  <v>0</v>
                </pt>
                <pt idx="127">
                  <v>0</v>
                </pt>
                <pt idx="128">
                  <v>0</v>
                </pt>
                <pt idx="129">
                  <v>0</v>
                </pt>
                <pt idx="130">
                  <v>0</v>
                </pt>
                <pt idx="131">
                  <v>0</v>
                </pt>
                <pt idx="132">
                  <v>0</v>
                </pt>
                <pt idx="133">
                  <v>0</v>
                </pt>
                <pt idx="134">
                  <v>0</v>
                </pt>
                <pt idx="135">
                  <v>0</v>
                </pt>
                <pt idx="136">
                  <v>0</v>
                </pt>
                <pt idx="137">
                  <v>0</v>
                </pt>
                <pt idx="138">
                  <v>0</v>
                </pt>
                <pt idx="139">
                  <v>0</v>
                </pt>
                <pt idx="140">
                  <v>0</v>
                </pt>
                <pt idx="141">
                  <v>0</v>
                </pt>
                <pt idx="142">
                  <v>0</v>
                </pt>
                <pt idx="143">
                  <v>0</v>
                </pt>
                <pt idx="144">
                  <v>0</v>
                </pt>
                <pt idx="145">
                  <v>0</v>
                </pt>
                <pt idx="146">
                  <v>0</v>
                </pt>
                <pt idx="147">
                  <v>0</v>
                </pt>
                <pt idx="148">
                  <v>0</v>
                </pt>
                <pt idx="149">
                  <v>0</v>
                </pt>
                <pt idx="150">
                  <v>0</v>
                </pt>
                <pt idx="151">
                  <v>0</v>
                </pt>
                <pt idx="152">
                  <v>0</v>
                </pt>
                <pt idx="153">
                  <v>0</v>
                </pt>
                <pt idx="154">
                  <v>0</v>
                </pt>
                <pt idx="155">
                  <v>0</v>
                </pt>
                <pt idx="156">
                  <v>0</v>
                </pt>
                <pt idx="157">
                  <v>0</v>
                </pt>
                <pt idx="158">
                  <v>0</v>
                </pt>
                <pt idx="159">
                  <v>0</v>
                </pt>
                <pt idx="160">
                  <v>0</v>
                </pt>
                <pt idx="161">
                  <v>0</v>
                </pt>
                <pt idx="162">
                  <v>0</v>
                </pt>
                <pt idx="163">
                  <v>0</v>
                </pt>
                <pt idx="164">
                  <v>0</v>
                </pt>
                <pt idx="165">
                  <v>0</v>
                </pt>
                <pt idx="166">
                  <v>0</v>
                </pt>
                <pt idx="167">
                  <v>0</v>
                </pt>
                <pt idx="168">
                  <v>0</v>
                </pt>
                <pt idx="169">
                  <v>0</v>
                </pt>
                <pt idx="170">
                  <v>0</v>
                </pt>
                <pt idx="171">
                  <v>0</v>
                </pt>
                <pt idx="172">
                  <v>0</v>
                </pt>
                <pt idx="173">
                  <v>0</v>
                </pt>
                <pt idx="174">
                  <v>0</v>
                </pt>
                <pt idx="175">
                  <v>0</v>
                </pt>
                <pt idx="176">
                  <v>0</v>
                </pt>
                <pt idx="177">
                  <v>0</v>
                </pt>
                <pt idx="178">
                  <v>0</v>
                </pt>
                <pt idx="179">
                  <v>0</v>
                </pt>
                <pt idx="180">
                  <v>0</v>
                </pt>
                <pt idx="181">
                  <v>0</v>
                </pt>
                <pt idx="182">
                  <v>0</v>
                </pt>
                <pt idx="183">
                  <v>0</v>
                </pt>
                <pt idx="184">
                  <v>0</v>
                </pt>
                <pt idx="185">
                  <v>0</v>
                </pt>
                <pt idx="186">
                  <v>0</v>
                </pt>
                <pt idx="187">
                  <v>0</v>
                </pt>
                <pt idx="188">
                  <v>0</v>
                </pt>
                <pt idx="189">
                  <v>0</v>
                </pt>
                <pt idx="190">
                  <v>0</v>
                </pt>
                <pt idx="191">
                  <v>0</v>
                </pt>
                <pt idx="192">
                  <v>0</v>
                </pt>
                <pt idx="193">
                  <v>0</v>
                </pt>
                <pt idx="194">
                  <v>0</v>
                </pt>
                <pt idx="195">
                  <v>0</v>
                </pt>
                <pt idx="196">
                  <v>0</v>
                </pt>
                <pt idx="197">
                  <v>0</v>
                </pt>
                <pt idx="198">
                  <v>0</v>
                </pt>
                <pt idx="199">
                  <v>0</v>
                </pt>
                <pt idx="200">
                  <v>0</v>
                </pt>
                <pt idx="201">
                  <v>0</v>
                </pt>
                <pt idx="202">
                  <v>0</v>
                </pt>
                <pt idx="203">
                  <v>0</v>
                </pt>
                <pt idx="204">
                  <v>0</v>
                </pt>
                <pt idx="205">
                  <v>0</v>
                </pt>
                <pt idx="206">
                  <v>0</v>
                </pt>
                <pt idx="207">
                  <v>0</v>
                </pt>
                <pt idx="208">
                  <v>0</v>
                </pt>
                <pt idx="209">
                  <v>0</v>
                </pt>
                <pt idx="210">
                  <v>0</v>
                </pt>
                <pt idx="211">
                  <v>0</v>
                </pt>
                <pt idx="212">
                  <v>0</v>
                </pt>
                <pt idx="213">
                  <v>0</v>
                </pt>
                <pt idx="214">
                  <v>0</v>
                </pt>
                <pt idx="215">
                  <v>0</v>
                </pt>
                <pt idx="216">
                  <v>0</v>
                </pt>
                <pt idx="217">
                  <v>0</v>
                </pt>
                <pt idx="218">
                  <v>0</v>
                </pt>
                <pt idx="219">
                  <v>0</v>
                </pt>
                <pt idx="220">
                  <v>0</v>
                </pt>
                <pt idx="221">
                  <v>0</v>
                </pt>
                <pt idx="222">
                  <v>0</v>
                </pt>
                <pt idx="223">
                  <v>0</v>
                </pt>
                <pt idx="224">
                  <v>0</v>
                </pt>
                <pt idx="225">
                  <v>0</v>
                </pt>
                <pt idx="226">
                  <v>0</v>
                </pt>
                <pt idx="227">
                  <v>0</v>
                </pt>
                <pt idx="228">
                  <v>0</v>
                </pt>
                <pt idx="229">
                  <v>0</v>
                </pt>
                <pt idx="230">
                  <v>0</v>
                </pt>
                <pt idx="231">
                  <v>0</v>
                </pt>
                <pt idx="232">
                  <v>0</v>
                </pt>
                <pt idx="233">
                  <v>0</v>
                </pt>
                <pt idx="234">
                  <v>0</v>
                </pt>
                <pt idx="235">
                  <v>0</v>
                </pt>
                <pt idx="236">
                  <v>0</v>
                </pt>
                <pt idx="237">
                  <v>0</v>
                </pt>
                <pt idx="238">
                  <v>0</v>
                </pt>
                <pt idx="239">
                  <v>0</v>
                </pt>
                <pt idx="240">
                  <v>0</v>
                </pt>
                <pt idx="241">
                  <v>0</v>
                </pt>
                <pt idx="242">
                  <v>0</v>
                </pt>
                <pt idx="243">
                  <v>0</v>
                </pt>
                <pt idx="244">
                  <v>0</v>
                </pt>
                <pt idx="245">
                  <v>0</v>
                </pt>
                <pt idx="246">
                  <v>0</v>
                </pt>
                <pt idx="247">
                  <v>0</v>
                </pt>
                <pt idx="248">
                  <v>0</v>
                </pt>
                <pt idx="249">
                  <v>0</v>
                </pt>
                <pt idx="250">
                  <v>0</v>
                </pt>
                <pt idx="251">
                  <v>0</v>
                </pt>
                <pt idx="252">
                  <v>0</v>
                </pt>
                <pt idx="253">
                  <v>0</v>
                </pt>
                <pt idx="254">
                  <v>0</v>
                </pt>
                <pt idx="255">
                  <v>0</v>
                </pt>
                <pt idx="256">
                  <v>0</v>
                </pt>
                <pt idx="257">
                  <v>0</v>
                </pt>
                <pt idx="258">
                  <v>0</v>
                </pt>
                <pt idx="259">
                  <v>0</v>
                </pt>
                <pt idx="260">
                  <v>0</v>
                </pt>
                <pt idx="261">
                  <v>0</v>
                </pt>
                <pt idx="262">
                  <v>0</v>
                </pt>
                <pt idx="263">
                  <v>0</v>
                </pt>
                <pt idx="264">
                  <v>0</v>
                </pt>
                <pt idx="265">
                  <v>0</v>
                </pt>
                <pt idx="266">
                  <v>0</v>
                </pt>
                <pt idx="267">
                  <v>0</v>
                </pt>
                <pt idx="268">
                  <v>0</v>
                </pt>
                <pt idx="269">
                  <v>0</v>
                </pt>
                <pt idx="270">
                  <v>0</v>
                </pt>
                <pt idx="271">
                  <v>0</v>
                </pt>
                <pt idx="272">
                  <v>0</v>
                </pt>
                <pt idx="273">
                  <v>0</v>
                </pt>
                <pt idx="274">
                  <v>0</v>
                </pt>
                <pt idx="275">
                  <v>0</v>
                </pt>
                <pt idx="276">
                  <v>0</v>
                </pt>
                <pt idx="277">
                  <v>0</v>
                </pt>
                <pt idx="278">
                  <v>0</v>
                </pt>
                <pt idx="279">
                  <v>0</v>
                </pt>
                <pt idx="280">
                  <v>0</v>
                </pt>
                <pt idx="281">
                  <v>0</v>
                </pt>
                <pt idx="282">
                  <v>0</v>
                </pt>
                <pt idx="283">
                  <v>0</v>
                </pt>
                <pt idx="284">
                  <v>0</v>
                </pt>
                <pt idx="285">
                  <v>0</v>
                </pt>
                <pt idx="286">
                  <v>0</v>
                </pt>
                <pt idx="287">
                  <v>0</v>
                </pt>
                <pt idx="288">
                  <v>0</v>
                </pt>
                <pt idx="289">
                  <v>0</v>
                </pt>
                <pt idx="290">
                  <v>0</v>
                </pt>
                <pt idx="291">
                  <v>0</v>
                </pt>
                <pt idx="292">
                  <v>0</v>
                </pt>
                <pt idx="293">
                  <v>0</v>
                </pt>
                <pt idx="294">
                  <v>0</v>
                </pt>
                <pt idx="295">
                  <v>0</v>
                </pt>
                <pt idx="296">
                  <v>0</v>
                </pt>
                <pt idx="297">
                  <v>0</v>
                </pt>
                <pt idx="298">
                  <v>0</v>
                </pt>
                <pt idx="299">
                  <v>0</v>
                </pt>
                <pt idx="300">
                  <v>0</v>
                </pt>
                <pt idx="301">
                  <v>0</v>
                </pt>
                <pt idx="302">
                  <v>0</v>
                </pt>
                <pt idx="303">
                  <v>0</v>
                </pt>
                <pt idx="304">
                  <v>0</v>
                </pt>
                <pt idx="305">
                  <v>0</v>
                </pt>
                <pt idx="306">
                  <v>0</v>
                </pt>
                <pt idx="307">
                  <v>0</v>
                </pt>
                <pt idx="308">
                  <v>0</v>
                </pt>
                <pt idx="309">
                  <v>0</v>
                </pt>
                <pt idx="310">
                  <v>0</v>
                </pt>
                <pt idx="311">
                  <v>0</v>
                </pt>
                <pt idx="312">
                  <v>0</v>
                </pt>
                <pt idx="313">
                  <v>0</v>
                </pt>
                <pt idx="314">
                  <v>0</v>
                </pt>
                <pt idx="315">
                  <v>0</v>
                </pt>
                <pt idx="316">
                  <v>0</v>
                </pt>
                <pt idx="317">
                  <v>0</v>
                </pt>
                <pt idx="318">
                  <v>0</v>
                </pt>
                <pt idx="319">
                  <v>0</v>
                </pt>
                <pt idx="320">
                  <v>0</v>
                </pt>
                <pt idx="321">
                  <v>0</v>
                </pt>
                <pt idx="322">
                  <v>0</v>
                </pt>
                <pt idx="323">
                  <v>0</v>
                </pt>
                <pt idx="324">
                  <v>0</v>
                </pt>
                <pt idx="325">
                  <v>0</v>
                </pt>
                <pt idx="326">
                  <v>0</v>
                </pt>
                <pt idx="327">
                  <v>0</v>
                </pt>
                <pt idx="328">
                  <v>0</v>
                </pt>
                <pt idx="329">
                  <v>0</v>
                </pt>
                <pt idx="330">
                  <v>0</v>
                </pt>
                <pt idx="331">
                  <v>0</v>
                </pt>
                <pt idx="332">
                  <v>0</v>
                </pt>
                <pt idx="333">
                  <v>0</v>
                </pt>
                <pt idx="334">
                  <v>0</v>
                </pt>
                <pt idx="335">
                  <v>0</v>
                </pt>
                <pt idx="336">
                  <v>0</v>
                </pt>
                <pt idx="337">
                  <v>0</v>
                </pt>
                <pt idx="338">
                  <v>0</v>
                </pt>
                <pt idx="339">
                  <v>0</v>
                </pt>
                <pt idx="340">
                  <v>0</v>
                </pt>
                <pt idx="341">
                  <v>0</v>
                </pt>
                <pt idx="342">
                  <v>0</v>
                </pt>
                <pt idx="343">
                  <v>0</v>
                </pt>
                <pt idx="344">
                  <v>0</v>
                </pt>
                <pt idx="345">
                  <v>0</v>
                </pt>
                <pt idx="346">
                  <v>0</v>
                </pt>
                <pt idx="347">
                  <v>0</v>
                </pt>
                <pt idx="348">
                  <v>0</v>
                </pt>
                <pt idx="349">
                  <v>0</v>
                </pt>
                <pt idx="350">
                  <v>0</v>
                </pt>
                <pt idx="351">
                  <v>0</v>
                </pt>
                <pt idx="352">
                  <v>0</v>
                </pt>
                <pt idx="353">
                  <v>0</v>
                </pt>
                <pt idx="354">
                  <v>0</v>
                </pt>
                <pt idx="355">
                  <v>0</v>
                </pt>
                <pt idx="356">
                  <v>0</v>
                </pt>
                <pt idx="357">
                  <v>0</v>
                </pt>
                <pt idx="358">
                  <v>0</v>
                </pt>
                <pt idx="359">
                  <v>0</v>
                </pt>
                <pt idx="360">
                  <v>0</v>
                </pt>
                <pt idx="361">
                  <v>0</v>
                </pt>
                <pt idx="362">
                  <v>0</v>
                </pt>
                <pt idx="363">
                  <v>0</v>
                </pt>
                <pt idx="364">
                  <v>0</v>
                </pt>
                <pt idx="365">
                  <v>0</v>
                </pt>
                <pt idx="366">
                  <v>0</v>
                </pt>
                <pt idx="367">
                  <v>0</v>
                </pt>
                <pt idx="368">
                  <v>0</v>
                </pt>
                <pt idx="369">
                  <v>0</v>
                </pt>
                <pt idx="370">
                  <v>0</v>
                </pt>
                <pt idx="371">
                  <v>0</v>
                </pt>
                <pt idx="372">
                  <v>0</v>
                </pt>
                <pt idx="373">
                  <v>0</v>
                </pt>
                <pt idx="374">
                  <v>0</v>
                </pt>
                <pt idx="375">
                  <v>0</v>
                </pt>
                <pt idx="376">
                  <v>0</v>
                </pt>
                <pt idx="377">
                  <v>0</v>
                </pt>
                <pt idx="378">
                  <v>0</v>
                </pt>
                <pt idx="379">
                  <v>0</v>
                </pt>
                <pt idx="380">
                  <v>0</v>
                </pt>
                <pt idx="381">
                  <v>0</v>
                </pt>
                <pt idx="382">
                  <v>0</v>
                </pt>
                <pt idx="383">
                  <v>0</v>
                </pt>
                <pt idx="384">
                  <v>0</v>
                </pt>
                <pt idx="385">
                  <v>0</v>
                </pt>
                <pt idx="386">
                  <v>0</v>
                </pt>
                <pt idx="387">
                  <v>0</v>
                </pt>
                <pt idx="388">
                  <v>0</v>
                </pt>
                <pt idx="389">
                  <v>0</v>
                </pt>
                <pt idx="390">
                  <v>0</v>
                </pt>
                <pt idx="391">
                  <v>0</v>
                </pt>
                <pt idx="392">
                  <v>0</v>
                </pt>
                <pt idx="393">
                  <v>0</v>
                </pt>
                <pt idx="394">
                  <v>0</v>
                </pt>
                <pt idx="395">
                  <v>0</v>
                </pt>
                <pt idx="396">
                  <v>0</v>
                </pt>
                <pt idx="397">
                  <v>0</v>
                </pt>
                <pt idx="398">
                  <v>0</v>
                </pt>
                <pt idx="399">
                  <v>0</v>
                </pt>
                <pt idx="400">
                  <v>0</v>
                </pt>
                <pt idx="401">
                  <v>0</v>
                </pt>
                <pt idx="402">
                  <v>0</v>
                </pt>
                <pt idx="403">
                  <v>0</v>
                </pt>
                <pt idx="404">
                  <v>0</v>
                </pt>
                <pt idx="405">
                  <v>0</v>
                </pt>
                <pt idx="406">
                  <v>0</v>
                </pt>
                <pt idx="407">
                  <v>0</v>
                </pt>
                <pt idx="408">
                  <v>0</v>
                </pt>
                <pt idx="409">
                  <v>0</v>
                </pt>
                <pt idx="410">
                  <v>0</v>
                </pt>
                <pt idx="411">
                  <v>0</v>
                </pt>
                <pt idx="412">
                  <v>0</v>
                </pt>
                <pt idx="413">
                  <v>0</v>
                </pt>
                <pt idx="414">
                  <v>0</v>
                </pt>
                <pt idx="415">
                  <v>0</v>
                </pt>
                <pt idx="416">
                  <v>0</v>
                </pt>
                <pt idx="417">
                  <v>0</v>
                </pt>
                <pt idx="418">
                  <v>0</v>
                </pt>
                <pt idx="419">
                  <v>0</v>
                </pt>
                <pt idx="420">
                  <v>0</v>
                </pt>
                <pt idx="421">
                  <v>0</v>
                </pt>
                <pt idx="422">
                  <v>0</v>
                </pt>
                <pt idx="423">
                  <v>0</v>
                </pt>
                <pt idx="424">
                  <v>0</v>
                </pt>
                <pt idx="425">
                  <v>0</v>
                </pt>
                <pt idx="426">
                  <v>0</v>
                </pt>
                <pt idx="427">
                  <v>0</v>
                </pt>
                <pt idx="428">
                  <v>0</v>
                </pt>
                <pt idx="429">
                  <v>0</v>
                </pt>
                <pt idx="430">
                  <v>0</v>
                </pt>
                <pt idx="431">
                  <v>0</v>
                </pt>
                <pt idx="432">
                  <v>0</v>
                </pt>
                <pt idx="433">
                  <v>0</v>
                </pt>
                <pt idx="434">
                  <v>0</v>
                </pt>
                <pt idx="435">
                  <v>0</v>
                </pt>
                <pt idx="436">
                  <v>0</v>
                </pt>
                <pt idx="437">
                  <v>0</v>
                </pt>
                <pt idx="438">
                  <v>0</v>
                </pt>
                <pt idx="439">
                  <v>0</v>
                </pt>
                <pt idx="440">
                  <v>0</v>
                </pt>
                <pt idx="441">
                  <v>0</v>
                </pt>
                <pt idx="442">
                  <v>0</v>
                </pt>
                <pt idx="443">
                  <v>0</v>
                </pt>
                <pt idx="444">
                  <v>0</v>
                </pt>
                <pt idx="445">
                  <v>0</v>
                </pt>
                <pt idx="446">
                  <v>0</v>
                </pt>
                <pt idx="447">
                  <v>0</v>
                </pt>
                <pt idx="448">
                  <v>0</v>
                </pt>
                <pt idx="449">
                  <v>0</v>
                </pt>
                <pt idx="450">
                  <v>0</v>
                </pt>
                <pt idx="451">
                  <v>0</v>
                </pt>
                <pt idx="452">
                  <v>0</v>
                </pt>
                <pt idx="453">
                  <v>0</v>
                </pt>
                <pt idx="454">
                  <v>0</v>
                </pt>
                <pt idx="455">
                  <v>0</v>
                </pt>
                <pt idx="456">
                  <v>0</v>
                </pt>
                <pt idx="457">
                  <v>0</v>
                </pt>
                <pt idx="458">
                  <v>0</v>
                </pt>
                <pt idx="459">
                  <v>0</v>
                </pt>
                <pt idx="460">
                  <v>0</v>
                </pt>
                <pt idx="461">
                  <v>0</v>
                </pt>
                <pt idx="462">
                  <v>0</v>
                </pt>
                <pt idx="463">
                  <v>0</v>
                </pt>
                <pt idx="464">
                  <v>0</v>
                </pt>
                <pt idx="465">
                  <v>0</v>
                </pt>
                <pt idx="466">
                  <v>0</v>
                </pt>
                <pt idx="467">
                  <v>0</v>
                </pt>
                <pt idx="468">
                  <v>0</v>
                </pt>
                <pt idx="469">
                  <v>0</v>
                </pt>
                <pt idx="470">
                  <v>0</v>
                </pt>
                <pt idx="471">
                  <v>0</v>
                </pt>
                <pt idx="472">
                  <v>0</v>
                </pt>
                <pt idx="473">
                  <v>0</v>
                </pt>
                <pt idx="474">
                  <v>0</v>
                </pt>
                <pt idx="475">
                  <v>0</v>
                </pt>
                <pt idx="476">
                  <v>0</v>
                </pt>
                <pt idx="477">
                  <v>0</v>
                </pt>
                <pt idx="478">
                  <v>0</v>
                </pt>
                <pt idx="479">
                  <v>0</v>
                </pt>
                <pt idx="480">
                  <v>0</v>
                </pt>
                <pt idx="481">
                  <v>0</v>
                </pt>
                <pt idx="482">
                  <v>0</v>
                </pt>
                <pt idx="483">
                  <v>0</v>
                </pt>
                <pt idx="484">
                  <v>0</v>
                </pt>
                <pt idx="485">
                  <v>0</v>
                </pt>
                <pt idx="486">
                  <v>0</v>
                </pt>
                <pt idx="487">
                  <v>0</v>
                </pt>
                <pt idx="488">
                  <v>0</v>
                </pt>
                <pt idx="489">
                  <v>0</v>
                </pt>
                <pt idx="490">
                  <v>0</v>
                </pt>
                <pt idx="491">
                  <v>0</v>
                </pt>
                <pt idx="492">
                  <v>0</v>
                </pt>
                <pt idx="493">
                  <v>0</v>
                </pt>
                <pt idx="494">
                  <v>0</v>
                </pt>
                <pt idx="495">
                  <v>0</v>
                </pt>
                <pt idx="496">
                  <v>0</v>
                </pt>
                <pt idx="497">
                  <v>0</v>
                </pt>
                <pt idx="498">
                  <v>0</v>
                </pt>
                <pt idx="499">
                  <v>0</v>
                </pt>
                <pt idx="500">
                  <v>0</v>
                </pt>
                <pt idx="501">
                  <v>0</v>
                </pt>
                <pt idx="502">
                  <v>0</v>
                </pt>
                <pt idx="503">
                  <v>0</v>
                </pt>
                <pt idx="504">
                  <v>0</v>
                </pt>
                <pt idx="505">
                  <v>0</v>
                </pt>
                <pt idx="506">
                  <v>0</v>
                </pt>
                <pt idx="507">
                  <v>0</v>
                </pt>
                <pt idx="508">
                  <v>0</v>
                </pt>
                <pt idx="509">
                  <v>0</v>
                </pt>
                <pt idx="510">
                  <v>0</v>
                </pt>
                <pt idx="511">
                  <v>0</v>
                </pt>
                <pt idx="512">
                  <v>0</v>
                </pt>
                <pt idx="513">
                  <v>0</v>
                </pt>
                <pt idx="514">
                  <v>0</v>
                </pt>
                <pt idx="515">
                  <v>0</v>
                </pt>
                <pt idx="516">
                  <v>0</v>
                </pt>
                <pt idx="517">
                  <v>0</v>
                </pt>
                <pt idx="518">
                  <v>0</v>
                </pt>
                <pt idx="519">
                  <v>0</v>
                </pt>
                <pt idx="520">
                  <v>0</v>
                </pt>
                <pt idx="521">
                  <v>0</v>
                </pt>
                <pt idx="522">
                  <v>0</v>
                </pt>
                <pt idx="523">
                  <v>0</v>
                </pt>
                <pt idx="524">
                  <v>0</v>
                </pt>
                <pt idx="525">
                  <v>0</v>
                </pt>
                <pt idx="526">
                  <v>0</v>
                </pt>
                <pt idx="527">
                  <v>0</v>
                </pt>
                <pt idx="528">
                  <v>0</v>
                </pt>
                <pt idx="529">
                  <v>0</v>
                </pt>
                <pt idx="530">
                  <v>0</v>
                </pt>
                <pt idx="531">
                  <v>0</v>
                </pt>
                <pt idx="532">
                  <v>0</v>
                </pt>
                <pt idx="533">
                  <v>0</v>
                </pt>
                <pt idx="534">
                  <v>0</v>
                </pt>
                <pt idx="535">
                  <v>0</v>
                </pt>
                <pt idx="536">
                  <v>0</v>
                </pt>
                <pt idx="537">
                  <v>0</v>
                </pt>
                <pt idx="538">
                  <v>0</v>
                </pt>
                <pt idx="539">
                  <v>0</v>
                </pt>
                <pt idx="540">
                  <v>0</v>
                </pt>
                <pt idx="541">
                  <v>0</v>
                </pt>
                <pt idx="542">
                  <v>0</v>
                </pt>
                <pt idx="543">
                  <v>0</v>
                </pt>
                <pt idx="544">
                  <v>0</v>
                </pt>
                <pt idx="545">
                  <v>0</v>
                </pt>
                <pt idx="546">
                  <v>0</v>
                </pt>
                <pt idx="547">
                  <v>0</v>
                </pt>
                <pt idx="548">
                  <v>0</v>
                </pt>
                <pt idx="549">
                  <v>0</v>
                </pt>
                <pt idx="550">
                  <v>0</v>
                </pt>
                <pt idx="551">
                  <v>0</v>
                </pt>
                <pt idx="552">
                  <v>0</v>
                </pt>
                <pt idx="553">
                  <v>0</v>
                </pt>
                <pt idx="554">
                  <v>0</v>
                </pt>
                <pt idx="555">
                  <v>0</v>
                </pt>
                <pt idx="556">
                  <v>0</v>
                </pt>
              </numCache>
            </numRef>
          </val>
          <smooth val="0"/>
        </ser>
        <dLbls>
          <showLegendKey val="0"/>
          <showVal val="0"/>
          <showCatName val="0"/>
          <showSerName val="0"/>
          <showPercent val="0"/>
          <showBubbleSize val="0"/>
        </dLbls>
        <smooth val="0"/>
        <axId val="552568320"/>
        <axId val="552569856"/>
      </lineChart>
      <dateAx>
        <axId val="552568320"/>
        <scaling>
          <orientation val="minMax"/>
        </scaling>
        <delete val="0"/>
        <axPos val="b"/>
        <numFmt formatCode="yy" sourceLinked="0"/>
        <majorTickMark val="out"/>
        <minorTickMark val="none"/>
        <tickLblPos val="low"/>
        <spPr>
          <a:ln xmlns:a="http://schemas.openxmlformats.org/drawingml/2006/main" w="12700">
            <a:solidFill>
              <a:srgbClr val="000000"/>
            </a:solidFill>
            <a:prstDash val="solid"/>
          </a:ln>
        </spPr>
        <crossAx val="552569856"/>
        <crosses val="autoZero"/>
        <lblOffset val="100"/>
        <baseTimeUnit val="days"/>
        <majorUnit val="1"/>
        <majorTimeUnit val="years"/>
      </dateAx>
      <valAx>
        <axId val="552569856"/>
        <scaling>
          <orientation val="minMax"/>
          <max val="10"/>
          <min val="0"/>
        </scaling>
        <delete val="0"/>
        <axPos val="l"/>
        <title>
          <tx>
            <rich>
              <a:bodyPr xmlns:a="http://schemas.openxmlformats.org/drawingml/2006/main" rot="-5400000" vert="horz"/>
              <a:lstStyle xmlns:a="http://schemas.openxmlformats.org/drawingml/2006/main"/>
              <a:p xmlns:a="http://schemas.openxmlformats.org/drawingml/2006/main">
                <a:pPr>
                  <a:defRPr b="1"/>
                </a:pPr>
                <a:r>
                  <a:rPr lang="en-US"/>
                  <a:t>HKD</a:t>
                </a:r>
              </a:p>
            </rich>
          </tx>
          <overlay val="0"/>
        </title>
        <numFmt formatCode="#,##0" sourceLinked="0"/>
        <majorTickMark val="out"/>
        <minorTickMark val="none"/>
        <tickLblPos val="nextTo"/>
        <spPr>
          <a:ln xmlns:a="http://schemas.openxmlformats.org/drawingml/2006/main" w="12700">
            <a:solidFill>
              <a:srgbClr val="000000"/>
            </a:solidFill>
            <a:prstDash val="solid"/>
          </a:ln>
        </spPr>
        <crossAx val="552568320"/>
        <crosses val="autoZero"/>
        <crossBetween val="between"/>
      </valAx>
    </plotArea>
    <legend>
      <legendPos val="b"/>
      <overlay val="0"/>
      <spPr>
        <a:ln xmlns:a="http://schemas.openxmlformats.org/drawingml/2006/main" w="12700">
          <a:solidFill>
            <a:srgbClr val="000000"/>
          </a:solidFill>
          <a:prstDash val="solid"/>
        </a:ln>
      </spPr>
    </legend>
    <plotVisOnly val="1"/>
    <dispBlanksAs val="gap"/>
  </chart>
  <spPr>
    <a:ln xmlns:a="http://schemas.openxmlformats.org/drawingml/2006/main" w="25400">
      <a:noFill/>
      <a:prstDash val="solid"/>
    </a:ln>
  </spPr>
</chartSpace>
</file>

<file path=xl/comments/comment1.xml><?xml version="1.0" encoding="utf-8"?>
<comments xmlns="http://schemas.openxmlformats.org/spreadsheetml/2006/main">
  <authors>
    <author>Wang, Dien</author>
  </authors>
  <commentList>
    <comment ref="M30" authorId="0" shapeId="0">
      <text>
        <t>Wang, Dien:
 55,921,562 and
52,542,466 shares issued and outstanding, respectively, at March 31, 2022;
55,967,254 and
50,206,255 shares issued and outstanding, respectively, at June 30, 2022
 55,974,063 and
49,393,642 shares issued and outstanding, respectively, at September 30, 2022;
56,017,672 and
48,138,257 shares issued and outstanding, respectively, at December 31, 2022
56,183,735 and
47,305,551 shares issued and outstanding, respectively, at March 31, 2023;
56,242,504 and
47,364,320 shares issued and outstanding, respectively, at June 30, 2023
56,317,438 and
46,320,671 shares issued and outstanding, respectively, at December 31, 2023;
56,521,438 and
45,566,746 shares issued and outstanding, respectively, at March 31, 2024;</t>
      </text>
    </comment>
  </commentList>
</comments>
</file>

<file path=xl/comments/comment2.xml><?xml version="1.0" encoding="utf-8"?>
<comments xmlns="http://schemas.openxmlformats.org/spreadsheetml/2006/main">
  <authors>
    <author>tc={A440F06A-2771-44B9-8F5F-988AACC781B3}</author>
    <author>Cheng, Dennis</author>
    <author>Tang, Cathy</author>
    <author>Wang, Dien</author>
  </authors>
  <commentList>
    <comment ref="BS29" authorId="0" shapeId="0">
      <text>
        <t>[Threaded comment]
Your version of Excel allows you to read this threaded comment; however, any edits to it will get removed if the file is opened in a newer version of Excel. Learn more: https://go.microsoft.com/fwlink/?linkid=870924
Comment:
    Guidance 0.3-0.6</t>
      </text>
    </comment>
    <comment ref="AW30" authorId="1" shapeId="0">
      <text>
        <t>Cheng, Dennis:
guidance 1.30-1.50</t>
      </text>
    </comment>
    <comment ref="AY30" authorId="1" shapeId="0">
      <text>
        <t>Cheng, Dennis:
guidance: 1.25-1.55</t>
      </text>
    </comment>
    <comment ref="BA30" authorId="1" shapeId="0">
      <text>
        <t>Cheng, Dennis:
guidance 0.55-0.95</t>
      </text>
    </comment>
    <comment ref="BB30" authorId="1" shapeId="0">
      <text>
        <t>Cheng, Dennis:
guidance 0.55-0.95</t>
      </text>
    </comment>
    <comment ref="BC30" authorId="2" shapeId="0">
      <text>
        <t>Tang, Cathy:
guidance 0.4-0.7</t>
      </text>
    </comment>
    <comment ref="BE30" authorId="3" shapeId="0">
      <text>
        <t>Wang, Dien:
IPG anticipates delivering earnings per diluted share in the range of $0.75 to $1.05</t>
      </text>
    </comment>
    <comment ref="BH30" authorId="3" shapeId="0">
      <text>
        <t>Wang, Dien:
IPG anticipates delivering earnings per diluted share in the range of $1.10 to $1.40</t>
      </text>
    </comment>
    <comment ref="BI30" authorId="3" shapeId="0">
      <text>
        <t>Wang, Dien:
IPG anticipates delivering earnings per diluted share in the range of $1 to
$1.30 with approximately 54 million diluted shares outstanding.</t>
      </text>
    </comment>
    <comment ref="BM30" authorId="3" shapeId="0">
      <text>
        <t>Wang, Dien:
guidance 0.70-1.00</t>
      </text>
    </comment>
    <comment ref="AN50" authorId="1" shapeId="0">
      <text>
        <t>Cheng, Dennis:
deferred income taxes is moved to non-current in later reports</t>
      </text>
    </comment>
    <comment ref="AJ62" authorId="1" shapeId="0">
      <text>
        <t>Cheng, Dennis
Revolving line-of-credit facilities + Deferred income taxes, net</t>
      </text>
    </comment>
    <comment ref="AN63" authorId="1" shapeId="0">
      <text>
        <t>Cheng, Dennis:
deferred income tax moved to non-current liablilities in later reports</t>
      </text>
    </comment>
    <comment ref="T64" authorId="1" shapeId="0">
      <text>
        <t>Cheng, Dennis:
incl. REDEEMABLE NONCONTROLLING INTERESTS</t>
      </text>
    </comment>
    <comment ref="U74" authorId="1" shapeId="0">
      <text>
        <t>Cheng, Dennis:
incl. redeemable non-controlling interests</t>
      </text>
    </comment>
    <comment ref="V74" authorId="1" shapeId="0">
      <text>
        <t>Cheng, Dennis:
incl. redeemable non-controlling interests</t>
      </text>
    </comment>
    <comment ref="A95" authorId="1" shapeId="0">
      <text>
        <t>Cheng, Dennis:
incl. deferred income taxes, stock-based compensation, unrealized losses on FX, and other</t>
      </text>
    </comment>
    <comment ref="A101" authorId="1" shapeId="0">
      <text>
        <t>Cheng, Dennis:
incl. accrued expenses, income and other taxs payable, tax benefit from exercise of employee stock options</t>
      </text>
    </comment>
  </commentList>
</comments>
</file>

<file path=xl/comments/comment3.xml><?xml version="1.0" encoding="utf-8"?>
<comments xmlns="http://schemas.openxmlformats.org/spreadsheetml/2006/main">
  <authors>
    <author>Wang, Dien</author>
    <author>tc={7599BF15-3B96-447D-87B0-95A3214F5D27}</author>
    <author>Cheng, Dennis</author>
    <author>tc={30FCCDA2-B80F-4570-AEA2-DCBCABAD0149}</author>
    <author>tc={C4CABE37-46CB-470A-A398-08AC0E120EC5}</author>
    <author>tc={7DC41291-2B01-4BDD-B047-92688043CC97}</author>
    <author>tc={B5200774-0F5C-4F7C-B710-A1B38E53E26E}</author>
    <author>tc={724ABE78-CF67-40A9-93EF-5867F1DDFC30}</author>
    <author>tc={F019F024-C087-44E4-9658-46C16E5D4D25}</author>
  </authors>
  <commentList>
    <comment ref="BH20" authorId="0" shapeId="0">
      <text>
        <t>Wang, Dien:
For the third quarter of 2021, IPG expects revenue of $350 to $380 million.</t>
      </text>
    </comment>
    <comment ref="BI20" authorId="0" shapeId="0">
      <text>
        <t>Wang, Dien:
For the fourth quarter of 2021, IPG expects revenue of $330 million to $360 million.</t>
      </text>
    </comment>
    <comment ref="BK20" authorId="0" shapeId="0">
      <text>
        <t>Wang, Dien:
guidance $355M - $385M</t>
      </text>
    </comment>
    <comment ref="BL20" authorId="0" shapeId="0">
      <text>
        <t>Wang, Dien:
guidance $350M - $380M 
consensus 374.7
FX is expected to have a
negative impact on revenue in
Q3</t>
      </text>
    </comment>
    <comment ref="BM20" authorId="0" shapeId="0">
      <text>
        <t>Wang, Dien:
guidance $300M - $330M 
FX is expected to have a
negative impact on revenue in
Q4</t>
      </text>
    </comment>
    <comment ref="BN20" authorId="0" shapeId="0">
      <text>
        <t>Wang, Dien:
Guidance $310M - $340M</t>
      </text>
    </comment>
    <comment ref="BO20" authorId="0" shapeId="0">
      <text>
        <t>Wang, Dien:
Guidance $325M - $355M</t>
      </text>
    </comment>
    <comment ref="BP20" authorId="0" shapeId="0">
      <text>
        <t>Wang, Dien:
Guidance $325M - $355M</t>
      </text>
    </comment>
    <comment ref="BS20" authorId="1" shapeId="0">
      <text>
        <t>[Threaded comment]
Your version of Excel allows you to read this threaded comment; however, any edits to it will get removed if the file is opened in a newer version of Excel. Learn more: https://go.microsoft.com/fwlink/?linkid=870924
Comment:
    Guidance USD 240-270 mn</t>
      </text>
    </comment>
    <comment ref="AT23" authorId="2" shapeId="0">
      <text>
        <t>Cheng, Dennis:
1Q18 guide: 15%-24%</t>
      </text>
    </comment>
    <comment ref="BK65" authorId="0" shapeId="0">
      <text>
        <t xml:space="preserve">Wang, Dien:
guidance 44% - 46%
</t>
      </text>
    </comment>
    <comment ref="BL65" authorId="0" shapeId="0">
      <text>
        <t>Wang, Dien:
guidance 44% - 46%</t>
      </text>
    </comment>
    <comment ref="BM65" authorId="0" shapeId="0">
      <text>
        <t>Wang, Dien:
guidance 42% - 44%</t>
      </text>
    </comment>
    <comment ref="BN65" authorId="0" shapeId="0">
      <text>
        <t>Wang, Dien:
guidance 41% - 43%</t>
      </text>
    </comment>
    <comment ref="BO65" authorId="0" shapeId="0">
      <text>
        <t>Wang, Dien:
Guidance: 41.5% - 43.5%</t>
      </text>
    </comment>
    <comment ref="BP65" authorId="0" shapeId="0">
      <text>
        <t>Wang, Dien:
Guidance: 41.5% - 43.5%</t>
      </text>
    </comment>
    <comment ref="BS65" authorId="3" shapeId="0">
      <text>
        <t>[Threaded comment]
Your version of Excel allows you to read this threaded comment; however, any edits to it will get removed if the file is opened in a newer version of Excel. Learn more: https://go.microsoft.com/fwlink/?linkid=870924
Comment:
    Guidance 37%-40%</t>
      </text>
    </comment>
    <comment ref="BG73" authorId="0" shapeId="0">
      <text>
        <t>Wang, Dien:
IPG expects total operating
expenses to be in the range of $82 and $84 million</t>
      </text>
    </comment>
    <comment ref="BK82" authorId="0" shapeId="0">
      <text>
        <t>Wang, Dien:
guidance $85M - $87M</t>
      </text>
    </comment>
    <comment ref="BM82" authorId="0" shapeId="0">
      <text>
        <t>Wang, Dien:
guidance 77M-79M</t>
      </text>
    </comment>
    <comment ref="BN82" authorId="0" shapeId="0">
      <text>
        <t>Wang, Dien:
guidance $76M - $78M</t>
      </text>
    </comment>
    <comment ref="BO82" authorId="0" shapeId="0">
      <text>
        <t>Wang, Dien:
Guidance: $76M - $78M</t>
      </text>
    </comment>
    <comment ref="BP82" authorId="0" shapeId="0">
      <text>
        <t>Wang, Dien:
Guidance: $76M - $78M</t>
      </text>
    </comment>
    <comment ref="BR82" authorId="4" shapeId="0">
      <text>
        <t>[Threaded comment]
Your version of Excel allows you to read this threaded comment; however, any edits to it will get removed if the file is opened in a newer version of Excel. Learn more: https://go.microsoft.com/fwlink/?linkid=870924
Comment:
    Guidance 80-83 mn</t>
      </text>
    </comment>
    <comment ref="BS82" authorId="5" shapeId="0">
      <text>
        <t>[Threaded comment]
Your version of Excel allows you to read this threaded comment; however, any edits to it will get removed if the file is opened in a newer version of Excel. Learn more: https://go.microsoft.com/fwlink/?linkid=870924
Comment:
    Guidance 82-85 mn</t>
      </text>
    </comment>
    <comment ref="AT89" authorId="2" shapeId="0">
      <text>
        <t>Cheng, Dennis:
Guidance: OpEX is slightly higher than 16.5%.
IPG is trying to develop new markets, so OpEx will be slightly higher over the years. (Earnings call page 12)</t>
      </text>
    </comment>
    <comment ref="BE94" authorId="0" shapeId="0">
      <text>
        <t>Wang, Dien:
Previous: 0.5%</t>
      </text>
    </comment>
    <comment ref="AT102" authorId="2" shapeId="0">
      <text>
        <t>Cheng, Dennis:
https://www.investopedia.com/news/trumps-tax-reform-what-can-be-done/</t>
      </text>
    </comment>
    <comment ref="AV102" authorId="2" shapeId="0">
      <text>
        <t>Cheng, Dennis:
guidance 26
2Q transcipt, line2, page 5</t>
      </text>
    </comment>
    <comment ref="BG102" authorId="0" shapeId="0">
      <text>
        <t xml:space="preserve">Wang, Dien:
</t>
      </text>
    </comment>
    <comment ref="BH102" authorId="0" shapeId="0">
      <text>
        <t>Wang, Dien:
The Company expects the  tax rate
to be approximately 25%.</t>
      </text>
    </comment>
    <comment ref="BK102" authorId="0" shapeId="0">
      <text>
        <t>Wang, Dien:
guidance ~26%</t>
      </text>
    </comment>
    <comment ref="BM102" authorId="0" shapeId="0">
      <text>
        <t>Wang, Dien:
guidance ~25%</t>
      </text>
    </comment>
    <comment ref="BS102" authorId="6" shapeId="0">
      <text>
        <t>[Threaded comment]
Your version of Excel allows you to read this threaded comment; however, any edits to it will get removed if the file is opened in a newer version of Excel. Learn more: https://go.microsoft.com/fwlink/?linkid=870924
Comment:
    Guidance 25%</t>
      </text>
    </comment>
    <comment ref="AT177" authorId="2" shapeId="0">
      <text>
        <t>Cheng, Dennis:
guidance: 170m-190m</t>
      </text>
    </comment>
    <comment ref="A178" authorId="2" shapeId="0">
      <text>
        <t>Cheng, Dennis:
D&amp;A for simplification</t>
      </text>
    </comment>
    <comment ref="BR187" authorId="7" shapeId="0">
      <text>
        <t>[Threaded comment]
Your version of Excel allows you to read this threaded comment; however, any edits to it will get removed if the file is opened in a newer version of Excel. Learn more: https://go.microsoft.com/fwlink/?linkid=870924
Comment:
    Actual capital expenditures were 28mn, but gain in sales of two buildings 25mn</t>
      </text>
    </comment>
    <comment ref="BU188" authorId="8" shapeId="0">
      <text>
        <t>[Threaded comment]
Your version of Excel allows you to read this threaded comment; however, any edits to it will get removed if the file is opened in a newer version of Excel. Learn more: https://go.microsoft.com/fwlink/?linkid=870924
Comment:
    Guidance: Capex USD 120-130 mn
Reply:
    1Q24 selling 2 buildings, proceed USD 25mn, thus lower net CAPEX to USD 95mn to 115mn in 2024</t>
      </text>
    </comment>
    <comment ref="A230" authorId="2" shapeId="0">
      <text>
        <t>Cheng, Dennis:
IPG does not declare cash dividend
(2010 annual report)
We have never declared or paid any cash dividends on our capital stock. We anticipate that we will retain any future earnings to support operations and to finance the growth and development of our business. Therefore, we do not expect to pay cash dividends in the foreseeable future.</t>
      </text>
    </comment>
    <comment ref="BL232" authorId="0" shapeId="0">
      <text>
        <t>Wang, Dien:
guidance Diluted common shares ~51M</t>
      </text>
    </comment>
    <comment ref="BL237" authorId="0" shapeId="0">
      <text>
        <t>Wang, Dien:
guidance Diluted common shares ~51M</t>
      </text>
    </comment>
  </commentList>
</comments>
</file>

<file path=xl/comments/comment4.xml><?xml version="1.0" encoding="utf-8"?>
<comments xmlns="http://schemas.openxmlformats.org/spreadsheetml/2006/main">
  <authors>
    <author>Cheng, Dennis</author>
    <author>Wang, Dien</author>
    <author>tc={ECB28479-CBF3-4E03-83E7-B24C9D8A224C}</author>
    <author>Tang, Cathy</author>
    <author>tc={0E352367-9928-47D7-B773-01438EAFEA19}</author>
  </authors>
  <commentList>
    <comment ref="AT12" authorId="0" shapeId="0">
      <text>
        <t>Cheng, Dennis:
IPG 20180Q1 excel workbook</t>
      </text>
    </comment>
    <comment ref="AB22" authorId="0" shapeId="0">
      <text>
        <t xml:space="preserve">Cheng, Dennis
old numbers replaced with data from IPG 2018Q1 workbook
</t>
      </text>
    </comment>
    <comment ref="AB23" authorId="0" shapeId="0">
      <text>
        <t xml:space="preserve">Cheng, Dennis:
old numbers replaced with data from IPG 2018Q1 workbook
</t>
      </text>
    </comment>
    <comment ref="BA85" authorId="0" shapeId="0">
      <text>
        <t>Cheng, Dennis:
incl. goodwill impairment 37,120 AND impairment of long-lived assets and other restructuring charges 7,130</t>
      </text>
    </comment>
    <comment ref="BC85" authorId="1" shapeId="0">
      <text>
        <t>Wang, Dien:
impairment of long-lived assets and other restructuring charges 1,165</t>
      </text>
    </comment>
    <comment ref="BD85" authorId="1" shapeId="0">
      <text>
        <t>Wang, Dien:
Impairment of long-lived assets and other restructuring charges 1177
Goodwill impairment 44589
Loss (gain) on foreign exchange -18101</t>
      </text>
    </comment>
    <comment ref="BE85" authorId="1" shapeId="0">
      <text>
        <t xml:space="preserve">Wang, Dien:
Goodwill impairment 44,589  + Impairment of long-lived assets and other restructuring charges 1,177 </t>
      </text>
    </comment>
    <comment ref="BL85" authorId="1" shapeId="0">
      <text>
        <t>Wang, Dien:
Gain on divestiture
Impairment of long-lived assets and other restructuring
charges</t>
      </text>
    </comment>
    <comment ref="BM85" authorId="1" shapeId="0">
      <text>
        <t>Wang, Dien:
Gain on divestiture
Impairment of long-lived assets and other restructuring
charges
Other restructuring charges</t>
      </text>
    </comment>
    <comment ref="BN85" authorId="1" shapeId="0">
      <text>
        <t xml:space="preserve">Wang, Dien:
+Other restructuring charges
</t>
      </text>
    </comment>
    <comment ref="BO85" authorId="1" shapeId="0">
      <text>
        <t xml:space="preserve">Wang, Dien:
+Other restructuring charges
</t>
      </text>
    </comment>
    <comment ref="BR85" authorId="2" shapeId="0">
      <text>
        <t>[Threaded comment]
Your version of Excel allows you to read this threaded comment; however, any edits to it will get removed if the file is opened in a newer version of Excel. Learn more: https://go.microsoft.com/fwlink/?linkid=870924
Comment:
    Incl. gain on sale of assets</t>
      </text>
    </comment>
    <comment ref="R104" authorId="0" shapeId="0">
      <text>
        <t>Cheng, Dennis:
incl. Change in cumulative translation adjustment attributable to NCI &amp; redeemable NCI</t>
      </text>
    </comment>
    <comment ref="AT107" authorId="0" shapeId="0">
      <text>
        <t>Cheng, Dennis:
Effect of adopted accounting standards</t>
      </text>
    </comment>
    <comment ref="V110" authorId="0" shapeId="0">
      <text>
        <t>Cheng, Dennis:
reported as -2765</t>
      </text>
    </comment>
    <comment ref="AN129" authorId="0" shapeId="0">
      <text>
        <t>Cheng, Dennis:
deferred income taxes is moved to non-current in later reports</t>
      </text>
    </comment>
    <comment ref="BB140" authorId="3" shapeId="0">
      <text>
        <t>Tang, Cathy:
incl. accured compension + customer deposites and deferred revenue + current portion of accrued warranty + other liabilities</t>
      </text>
    </comment>
    <comment ref="AJ142" authorId="0" shapeId="0">
      <text>
        <t>Cheng, Dennis
Revolving line-of-credit facilities + Deferred income taxes, net</t>
      </text>
    </comment>
    <comment ref="AN143" authorId="0" shapeId="0">
      <text>
        <t>Cheng, Dennis:
deferred income tax moved to non-current liablilities in later reports</t>
      </text>
    </comment>
    <comment ref="T144" authorId="0" shapeId="0">
      <text>
        <t>Cheng, Dennis:
incl. REDEEMABLE NONCONTROLLING INTERESTS</t>
      </text>
    </comment>
    <comment ref="U154" authorId="0" shapeId="0">
      <text>
        <t>Cheng, Dennis:
incl. redeemable non-controlling interests</t>
      </text>
    </comment>
    <comment ref="V154" authorId="0" shapeId="0">
      <text>
        <t>Cheng, Dennis:
incl. redeemable non-controlling interests</t>
      </text>
    </comment>
    <comment ref="BA177" authorId="0" shapeId="0">
      <text>
        <t>Cheng, Dennis:
incl. goodwill impairment 37,120 AND impairment of long-lived assets 5,350</t>
      </text>
    </comment>
    <comment ref="BC177" authorId="1" shapeId="0">
      <text>
        <t>Wang, Dien:
 impairment of long-lived assets 671</t>
      </text>
    </comment>
    <comment ref="BE177" authorId="0" shapeId="0">
      <text>
        <t>Cheng, Dennis:
incl. goodwill impairment 44589 AND impairment of long-lived assets 671</t>
      </text>
    </comment>
    <comment ref="BH177" authorId="1" shapeId="0">
      <text>
        <t>Wang, Dien:
Deferred income taxes+Stock-based compensation+Unrealized losses (gains) on foreign currency transactions+Other</t>
      </text>
    </comment>
    <comment ref="BL177" authorId="1" shapeId="0">
      <text>
        <t>Wang, Dien:
Deferred income taxes+Stock-based compensation+Unrealized losses (gains) on foreign currency transactions+Other+Gain on divestiture+Impairment of long-lived assets and other restructuring charges</t>
      </text>
    </comment>
    <comment ref="BM177" authorId="1" shapeId="0">
      <text>
        <t>Wang, Dien:
Impairment of long-lived assets
Gain on divestiture and sale of asset</t>
      </text>
    </comment>
    <comment ref="BG180" authorId="1" shapeId="0">
      <text>
        <t>Wang, Dien:
Accounts receivable and accounts payable</t>
      </text>
    </comment>
    <comment ref="BH180" authorId="1" shapeId="0">
      <text>
        <t>Wang, Dien:
Accounts receivable and accounts payable</t>
      </text>
    </comment>
    <comment ref="BL180" authorId="1" shapeId="0">
      <text>
        <t>Wang, Dien:
Accounts receivable and accounts payable</t>
      </text>
    </comment>
    <comment ref="BG185" authorId="1" shapeId="0">
      <text>
        <t>Wang, Dien:
Others: Income and other taxes payable + Accrued expenses and other liabilities + Prepaid expenses and other current assets</t>
      </text>
    </comment>
    <comment ref="BH185" authorId="1" shapeId="0">
      <text>
        <t>Wang, Dien:
Others: Income and other taxes payable + Accrued expenses and other liabilities + Prepaid expenses and other current assets</t>
      </text>
    </comment>
    <comment ref="BK185" authorId="1" shapeId="0">
      <text>
        <t>Wang, Dien:
Others: Income and other taxes payable + Accrued expenses and other liabilities + Prepaid expenses and other current assets</t>
      </text>
    </comment>
    <comment ref="BL185" authorId="1" shapeId="0">
      <text>
        <t>Wang, Dien:
Others: Income and other taxes payable + Accrued expenses and other liabilities + Prepaid expenses and other current assets</t>
      </text>
    </comment>
    <comment ref="BO185" authorId="1" shapeId="0">
      <text>
        <t>Wang, Dien:
Others: Income and other taxes payable + Accrued expenses and other liabilities + Prepaid expenses and other current assets</t>
      </text>
    </comment>
    <comment ref="BP185" authorId="4" shapeId="0">
      <text>
        <t>[Threaded comment]
Your version of Excel allows you to read this threaded comment; however, any edits to it will get removed if the file is opened in a newer version of Excel. Learn more: https://go.microsoft.com/fwlink/?linkid=870924
Comment:
    others</t>
      </text>
    </comment>
    <comment ref="AY214" authorId="0" shapeId="0">
      <text>
        <t>Cheng, Dennis:
incl. restricted cash included in  other assets</t>
      </text>
    </comment>
    <comment ref="AY215" authorId="0" shapeId="0">
      <text>
        <t>Cheng, Dennis:
incl. restricted cash included in  other assets</t>
      </text>
    </comment>
    <comment ref="Q228" authorId="0" shapeId="0">
      <text>
        <t>Cheng, Dennis:
incl. Amounts related to acquisition of businesses included in accounts payable and accrued
expenses and other liabilities</t>
      </text>
    </comment>
    <comment ref="T228" authorId="0" shapeId="0">
      <text>
        <t>Cheng, Dennis:
incl. Change in fair value of warrant
&amp;
Amounts related to acquisition of businesses included in accounts payable and accrued expenses
and other long-term liabilities</t>
      </text>
    </comment>
    <comment ref="X228" authorId="0" shapeId="0">
      <text>
        <t>Cheng, Dennis:
Amounts related to acquisition of businesses included in accounts payable and accrued expenses
and other long-term liabilities</t>
      </text>
    </comment>
    <comment ref="AO267" authorId="0" shapeId="0">
      <text>
        <t>Cheng, Dennis:
2016 annual report page 77</t>
      </text>
    </comment>
  </commentList>
</comments>
</file>

<file path=xl/comments/comment5.xml><?xml version="1.0" encoding="utf-8"?>
<comments xmlns="http://schemas.openxmlformats.org/spreadsheetml/2006/main">
  <authors>
    <author>Jhuang5</author>
    <author>slin2</author>
    <author>Columbia University</author>
  </authors>
  <commentList>
    <comment ref="V17" authorId="0" shapeId="0">
      <text>
        <t>Jhuang5:
Coal-fired equipment only</t>
      </text>
    </comment>
    <comment ref="V47" authorId="0" shapeId="0">
      <text>
        <t>Jhuang5:
Elevator</t>
      </text>
    </comment>
    <comment ref="Q57" authorId="1" shapeId="0">
      <text>
        <t xml:space="preserve">slin2:
not mentioned by mgt. </t>
      </text>
    </comment>
    <comment ref="H60" authorId="0" shapeId="0">
      <text>
        <t>Jhuang5:
Estimate</t>
      </text>
    </comment>
    <comment ref="U61" authorId="0" shapeId="0">
      <text>
        <t>Jhuang5:
May be 2380</t>
      </text>
    </comment>
    <comment ref="Q63" authorId="1" shapeId="0">
      <text>
        <t>slin2:
incl. others</t>
      </text>
    </comment>
    <comment ref="A334" authorId="2" shapeId="0">
      <text>
        <t>from statement of equity</t>
      </text>
    </comment>
  </commentList>
</comments>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 Type="http://schemas.openxmlformats.org/officeDocument/2006/relationships/chart" Target="/xl/charts/chart3.xml" Id="rId3"/><Relationship Type="http://schemas.openxmlformats.org/officeDocument/2006/relationships/chart" Target="/xl/charts/chart4.xml" Id="rId4"/><Relationship Type="http://schemas.openxmlformats.org/officeDocument/2006/relationships/chart" Target="/xl/charts/chart5.xml" Id="rId5"/><Relationship Type="http://schemas.openxmlformats.org/officeDocument/2006/relationships/chart" Target="/xl/charts/chart6.xml" Id="rId6"/><Relationship Type="http://schemas.openxmlformats.org/officeDocument/2006/relationships/chart" Target="/xl/charts/chart7.xml" Id="rId7"/><Relationship Type="http://schemas.openxmlformats.org/officeDocument/2006/relationships/chart" Target="/xl/charts/chart8.xml" Id="rId8"/><Relationship Type="http://schemas.openxmlformats.org/officeDocument/2006/relationships/chart" Target="/xl/charts/chart9.xml" Id="rId9"/><Relationship Type="http://schemas.openxmlformats.org/officeDocument/2006/relationships/chart" Target="/xl/charts/chart10.xml" Id="rId10"/><Relationship Type="http://schemas.openxmlformats.org/officeDocument/2006/relationships/chart" Target="/xl/charts/chart11.xml" Id="rId11"/></Relationships>
</file>

<file path=xl/drawings/_rels/drawing2.xml.rels><Relationships xmlns="http://schemas.openxmlformats.org/package/2006/relationships"><Relationship Type="http://schemas.openxmlformats.org/officeDocument/2006/relationships/chart" Target="/xl/charts/chart12.xml" Id="rId1"/><Relationship Type="http://schemas.openxmlformats.org/officeDocument/2006/relationships/chart" Target="/xl/charts/chart13.xml" Id="rId2"/><Relationship Type="http://schemas.openxmlformats.org/officeDocument/2006/relationships/chart" Target="/xl/charts/chart14.xml" Id="rId3"/><Relationship Type="http://schemas.openxmlformats.org/officeDocument/2006/relationships/chart" Target="/xl/charts/chart15.xml" Id="rId4"/><Relationship Type="http://schemas.openxmlformats.org/officeDocument/2006/relationships/chart" Target="/xl/charts/chart16.xml" Id="rId5"/><Relationship Type="http://schemas.openxmlformats.org/officeDocument/2006/relationships/chart" Target="/xl/charts/chart17.xml" Id="rId6"/><Relationship Type="http://schemas.openxmlformats.org/officeDocument/2006/relationships/chart" Target="/xl/charts/chart18.xml" Id="rId7"/><Relationship Type="http://schemas.openxmlformats.org/officeDocument/2006/relationships/chart" Target="/xl/charts/chart19.xml" Id="rId8"/><Relationship Type="http://schemas.openxmlformats.org/officeDocument/2006/relationships/chart" Target="/xl/charts/chart20.xml" Id="rId9"/><Relationship Type="http://schemas.openxmlformats.org/officeDocument/2006/relationships/chart" Target="/xl/charts/chart21.xml" Id="rId10"/><Relationship Type="http://schemas.openxmlformats.org/officeDocument/2006/relationships/chart" Target="/xl/charts/chart22.xml" Id="rId11"/></Relationships>
</file>

<file path=xl/drawings/drawing1.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drawings/drawing2.xml><?xml version="1.0" encoding="utf-8"?>
<wsDr xmlns="http://schemas.openxmlformats.org/drawingml/2006/spreadsheetDrawing">
  <twoCellAnchor>
    <from>
      <col>19</col>
      <colOff>0</colOff>
      <row>13</row>
      <rowOff>0</rowOff>
    </from>
    <to>
      <col>24</col>
      <colOff>67469</colOff>
      <row>31</row>
      <rowOff>44450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35</col>
      <colOff>0</colOff>
      <row>13</row>
      <rowOff>0</rowOff>
    </from>
    <to>
      <col>40</col>
      <colOff>67467</colOff>
      <row>31</row>
      <rowOff>44450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43</col>
      <colOff>0</colOff>
      <row>13</row>
      <rowOff>0</rowOff>
    </from>
    <to>
      <col>48</col>
      <colOff>67471</colOff>
      <row>31</row>
      <rowOff>44450</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51</col>
      <colOff>0</colOff>
      <row>13</row>
      <rowOff>0</rowOff>
    </from>
    <to>
      <col>56</col>
      <colOff>67469</colOff>
      <row>31</row>
      <rowOff>44450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59</col>
      <colOff>1</colOff>
      <row>13</row>
      <rowOff>0</rowOff>
    </from>
    <to>
      <col>64</col>
      <colOff>243483</colOff>
      <row>30</row>
      <rowOff>67056</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66</col>
      <colOff>582705</colOff>
      <row>13</row>
      <rowOff>0</rowOff>
    </from>
    <to>
      <col>72</col>
      <colOff>243481</colOff>
      <row>30</row>
      <rowOff>67056</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75</col>
      <colOff>-1</colOff>
      <row>13</row>
      <rowOff>0</rowOff>
    </from>
    <to>
      <col>80</col>
      <colOff>243481</colOff>
      <row>30</row>
      <rowOff>67056</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twoCellAnchor>
    <from>
      <col>83</col>
      <colOff>0</colOff>
      <row>13</row>
      <rowOff>0</rowOff>
    </from>
    <to>
      <col>88</col>
      <colOff>243481</colOff>
      <row>30</row>
      <rowOff>67056</rowOff>
    </to>
    <graphicFrame>
      <nvGraphicFramePr>
        <cNvPr id="8" name="Chart 8"/>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8"/>
        </a:graphicData>
      </a:graphic>
    </graphicFrame>
    <clientData/>
  </twoCellAnchor>
  <twoCellAnchor>
    <from>
      <col>35</col>
      <colOff>0</colOff>
      <row>13</row>
      <rowOff>0</rowOff>
    </from>
    <to>
      <col>40</col>
      <colOff>67467</colOff>
      <row>31</row>
      <rowOff>44450</rowOff>
    </to>
    <graphicFrame>
      <nvGraphicFramePr>
        <cNvPr id="9" name="Chart 9"/>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9"/>
        </a:graphicData>
      </a:graphic>
    </graphicFrame>
    <clientData/>
  </twoCellAnchor>
  <twoCellAnchor>
    <from>
      <col>27</col>
      <colOff>0</colOff>
      <row>13</row>
      <rowOff>0</rowOff>
    </from>
    <to>
      <col>32</col>
      <colOff>67467</colOff>
      <row>31</row>
      <rowOff>44450</rowOff>
    </to>
    <graphicFrame>
      <nvGraphicFramePr>
        <cNvPr id="10" name="Chart 10"/>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0"/>
        </a:graphicData>
      </a:graphic>
    </graphicFrame>
    <clientData/>
  </twoCellAnchor>
  <twoCellAnchor>
    <from>
      <col>27</col>
      <colOff>0</colOff>
      <row>13</row>
      <rowOff>0</rowOff>
    </from>
    <to>
      <col>32</col>
      <colOff>67467</colOff>
      <row>31</row>
      <rowOff>44450</rowOff>
    </to>
    <graphicFrame>
      <nvGraphicFramePr>
        <cNvPr id="11" name="Chart 1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1"/>
        </a:graphicData>
      </a:graphic>
    </graphicFrame>
    <clientData/>
  </twoCellAnchor>
</wsDr>
</file>

<file path=xl/externalLinks/_rels/externalLink1.xml.rels><Relationships xmlns="http://schemas.openxmlformats.org/package/2006/relationships"><Relationship Type="http://schemas.openxmlformats.org/officeDocument/2006/relationships/externalLinkPath" Target="file:///C:/Users/Frank/Quarterly%20S&amp;A%20Reports/2003q1/1%20HISTSALES%20123101.xls" TargetMode="External" Id="rId1"/></Relationships>
</file>

<file path=xl/externalLinks/_rels/externalLink2.xml.rels><Relationships xmlns="http://schemas.openxmlformats.org/package/2006/relationships"><Relationship Type="http://schemas.openxmlformats.org/officeDocument/2006/relationships/externalLinkPath" Target="file:///C:/Documents%20and%20Settings/mvasar/Local%20Settings/Temporary%20Internet%20Files/OLK100E/FactSet%20formulas_M%20Vasarhelyi%20(11).xls" TargetMode="External" Id="rId1"/></Relationships>
</file>

<file path=xl/externalLinks/_rels/externalLink3.xml.rels><Relationships xmlns="http://schemas.openxmlformats.org/package/2006/relationships"><Relationship Type="http://schemas.openxmlformats.org/officeDocument/2006/relationships/externalLinkPath" Target="file:///S:/HKG_SSRES/Asian%20IT%20Hardware/Calls/20150908_Industrial%20Automation%20and%20Macro/Robot%20Market%20Data.xlsx" TargetMode="External" Id="rId1"/></Relationships>
</file>

<file path=xl/externalLinks/_rels/externalLink4.xml.rels><Relationships xmlns="http://schemas.openxmlformats.org/package/2006/relationships"><Relationship Type="http://schemas.openxmlformats.org/officeDocument/2006/relationships/externalLinkPath" Target="/NTR0102/TBuech/COMPT/123R31/BUDGET/2000/INC/exp2000310.xls" TargetMode="External" Id="rId1"/></Relationships>
</file>

<file path=xl/externalLinks/_rels/externalLink5.xml.rels><Relationships xmlns="http://schemas.openxmlformats.org/package/2006/relationships"><Relationship Type="http://schemas.openxmlformats.org/officeDocument/2006/relationships/externalLinkPath" Target="/NTS0016/RSCH1/AATECH/VALUATIO/NEW/MKTCAP/VZ6.XLS" TargetMode="External" Id="rId1"/></Relationships>
</file>

<file path=xl/externalLinks/_rels/externalLink6.xml.rels><Relationships xmlns="http://schemas.openxmlformats.org/package/2006/relationships"><Relationship Type="http://schemas.openxmlformats.org/officeDocument/2006/relationships/externalLinkPath" Target="file:///C:/HKG_SSRES/Asian%20Utilities/Public%20Book/_Databases%20-%20EIA,%20IMF,%20ETC/BP%202011%20Energy%20Survey.xls" TargetMode="External" Id="rId1"/></Relationships>
</file>

<file path=xl/externalLinks/_rels/externalLink7.xml.rels><Relationships xmlns="http://schemas.openxmlformats.org/package/2006/relationships"><Relationship Type="http://schemas.openxmlformats.org/officeDocument/2006/relationships/externalLinkPath" Target="file:///C:/Documents%20and%20Settings/BJoy/Desktop/June%202009/US%20sell%20through/vendor%20main.xls" TargetMode="External" Id="rId1"/></Relationships>
</file>

<file path=xl/externalLinks/_rels/externalLink8.xml.rels><Relationships xmlns="http://schemas.openxmlformats.org/package/2006/relationships"><Relationship Type="http://schemas.openxmlformats.org/officeDocument/2006/relationships/externalLinkPath" Target="file:///C:/Users/SBicheno/AppData/Local/Temp/Temp1_data%20(3).zip/vendor%20main.xlsx" TargetMode="External" Id="rId1"/></Relationships>
</file>

<file path=xl/externalLinks/_rels/externalLink9.xml.rels><Relationships xmlns="http://schemas.openxmlformats.org/package/2006/relationships"><Relationship Type="http://schemas.microsoft.com/office/2006/relationships/xlExternalLinkPath/xlStartup" Target="News/Charts.xls" TargetMode="External" Id="rId1"/></Relationships>
</file>

<file path=xl/externalLinks/_rels/externalLink10.xml.rels><Relationships xmlns="http://schemas.openxmlformats.org/package/2006/relationships"><Relationship Type="http://schemas.openxmlformats.org/officeDocument/2006/relationships/externalLinkPath" Target="/NTS0016/rsch1/TEMP/MasterStats.xls" TargetMode="External" Id="rId1"/></Relationships>
</file>

<file path=xl/externalLinks/_rels/externalLink11.xml.rels><Relationships xmlns="http://schemas.openxmlformats.org/package/2006/relationships"><Relationship Type="http://schemas.openxmlformats.org/officeDocument/2006/relationships/externalLinkPath" Target="/njgisnap003/groups5/fid23groups/MORTGAGE_RESEARCH/Heike/Data/MasterStats.xls" TargetMode="External" Id="rId1"/></Relationships>
</file>

<file path=xl/externalLinks/_rels/externalLink12.xml.rels><Relationships xmlns="http://schemas.openxmlformats.org/package/2006/relationships"><Relationship Type="http://schemas.openxmlformats.org/officeDocument/2006/relationships/externalLinkPath" Target="/ac03hkg0202/jkim12$/054050_Model.xlsx" TargetMode="External" Id="rId1"/></Relationships>
</file>

<file path=xl/externalLinks/_rels/externalLink13.xml.rels><Relationships xmlns="http://schemas.openxmlformats.org/package/2006/relationships"><Relationship Type="http://schemas.openxmlformats.org/officeDocument/2006/relationships/externalLinkPath" Target="file:///C:/Documents%20and%20Settings/alu/Local%20Settings/Application%20Data/Capital%20IQ/Office%20Plug-in/Templates/Company%20Tearsheets/+One%20Page%20Tearsheet.xls" TargetMode="External" Id="rId1"/></Relationships>
</file>

<file path=xl/externalLinks/_rels/externalLink14.xml.rels><Relationships xmlns="http://schemas.openxmlformats.org/package/2006/relationships"><Relationship Type="http://schemas.openxmlformats.org/officeDocument/2006/relationships/externalLinkPath" Target="/hkgssusrsrv/userdata/TransEcoInfo/STAT/OICA/EXP-PRO-SURVEY/PROQUARTERS20052009.xls" TargetMode="External" Id="rId1"/></Relationships>
</file>

<file path=xl/externalLinks/_rels/externalLink15.xml.rels><Relationships xmlns="http://schemas.openxmlformats.org/package/2006/relationships"><Relationship Type="http://schemas.openxmlformats.org/officeDocument/2006/relationships/externalLinkPath" Target="/Taipei_fs/101010/WINDOWS/TEMP/Goods%20in%20Transit%202001%2006-ACG.xls" TargetMode="External" Id="rId1"/></Relationships>
</file>

<file path=xl/externalLinks/_rels/externalLink16.xml.rels><Relationships xmlns="http://schemas.openxmlformats.org/package/2006/relationships"><Relationship Type="http://schemas.microsoft.com/office/2006/relationships/xlExternalLinkPath/xlStartup" Target="DATA/Research%20Reports/FactSet/TCEM%20Industry%20Spreadsheets/Music%20AWW.xls" TargetMode="External" Id="rId1"/></Relationships>
</file>

<file path=xl/externalLinks/_rels/externalLink17.xml.rels><Relationships xmlns="http://schemas.openxmlformats.org/package/2006/relationships"><Relationship Type="http://schemas.openxmlformats.org/officeDocument/2006/relationships/externalLinkPath" Target="file:///C:/HKG_SSRES/Asian%20IT%20Hardware/Companies/LG%20Display%20(034220.KR,%20LPL.NYSE)/MODEL/TSMC%20Working%20Model%20110208.xlsm" TargetMode="External" Id="rId1"/></Relationships>
</file>

<file path=xl/externalLinks/_rels/externalLink18.xml.rels><Relationships xmlns="http://schemas.openxmlformats.org/package/2006/relationships"><Relationship Type="http://schemas.openxmlformats.org/officeDocument/2006/relationships/externalLinkPath" Target="file:///C:/HKG_SSRES/Asian%20IT%20Hardware/Market%20Data/Trading%20Multiples/Trading%20multiples_P-B%205YR.xlsx" TargetMode="External" Id="rId1"/></Relationships>
</file>

<file path=xl/externalLinks/_rels/externalLink19.xml.rels><Relationships xmlns="http://schemas.openxmlformats.org/package/2006/relationships"><Relationship Type="http://schemas.openxmlformats.org/officeDocument/2006/relationships/externalLinkPath" Target="/Twtpemeyfl02/Taipei_fs/Documents%20and%20Settings/101010/&#26700;&#38754;/ASUS%2094%20Q2/ASUS%2094Q2&#21512;&#20341;&#36039;&#35338;/&#33775;&#30889;94Q2&#21512;&#20341;(PBC)/ASUS94Q2&#21512;&#20341;&#22235;&#22823;&#34920;9.8.xls" TargetMode="External" Id="rId1"/></Relationships>
</file>

<file path=xl/externalLinks/_rels/externalLink20.xml.rels><Relationships xmlns="http://schemas.openxmlformats.org/package/2006/relationships"><Relationship Type="http://schemas.openxmlformats.org/officeDocument/2006/relationships/externalLinkPath" Target="file:///C:/DEPT/Corpfin/FORECAST/Scale/00%20April/Models%20Prototype/Prototype23.xls" TargetMode="External" Id="rId1"/></Relationships>
</file>

<file path=xl/externalLinks/_rels/externalLink21.xml.rels><Relationships xmlns="http://schemas.openxmlformats.org/package/2006/relationships"><Relationship Type="http://schemas.openxmlformats.org/officeDocument/2006/relationships/externalLinkPath" Target="file:///C:/Documents%20and%20Settings/mli/Desktop/Price%20Perf%20100723.xls" TargetMode="External" Id="rId1"/></Relationships>
</file>

<file path=xl/externalLinks/_rels/externalLink22.xml.rels><Relationships xmlns="http://schemas.openxmlformats.org/package/2006/relationships"><Relationship Type="http://schemas.openxmlformats.org/officeDocument/2006/relationships/externalLinkPath" Target="file:///C:/DOCUME~1/CHRISA~1/LOCALS~1/Temp/Documents%20and%20Settings/dkerr.INSIGHTS/Local%20Settings/Temporary%20Internet%20Files/OLK1/APAC%20DEC%2004.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A"/>
      <sheetName val="HI"/>
      <sheetName val="Net Interest"/>
      <sheetName val="Sector Op. Prof"/>
    </sheetNames>
    <sheetDataSet>
      <sheetData sheetId="0" refreshError="1">
        <row r="3">
          <cell r="A3">
            <v>1985</v>
          </cell>
          <cell r="B3">
            <v>1986</v>
          </cell>
          <cell r="C3">
            <v>1987</v>
          </cell>
          <cell r="D3">
            <v>1988</v>
          </cell>
          <cell r="E3">
            <v>1989</v>
          </cell>
          <cell r="F3">
            <v>1990</v>
          </cell>
          <cell r="G3">
            <v>1991</v>
          </cell>
          <cell r="H3">
            <v>1992</v>
          </cell>
          <cell r="I3">
            <v>1993</v>
          </cell>
          <cell r="J3">
            <v>1994</v>
          </cell>
          <cell r="K3">
            <v>1995</v>
          </cell>
          <cell r="L3">
            <v>1996</v>
          </cell>
          <cell r="M3">
            <v>1997</v>
          </cell>
          <cell r="N3">
            <v>1998</v>
          </cell>
          <cell r="O3">
            <v>1999</v>
          </cell>
          <cell r="P3">
            <v>2000</v>
          </cell>
        </row>
        <row r="4">
          <cell r="A4">
            <v>4.5</v>
          </cell>
          <cell r="B4">
            <v>8.1</v>
          </cell>
          <cell r="C4">
            <v>9.3000000000000007</v>
          </cell>
          <cell r="D4">
            <v>7.2</v>
          </cell>
          <cell r="E4">
            <v>9.8000000000000007</v>
          </cell>
          <cell r="F4">
            <v>12</v>
          </cell>
          <cell r="G4">
            <v>17.3</v>
          </cell>
          <cell r="H4">
            <v>28.5</v>
          </cell>
          <cell r="I4">
            <v>46.6</v>
          </cell>
          <cell r="J4">
            <v>50.2</v>
          </cell>
          <cell r="K4">
            <v>51.3</v>
          </cell>
          <cell r="L4">
            <v>74.3</v>
          </cell>
          <cell r="M4">
            <v>88.2</v>
          </cell>
          <cell r="N4">
            <v>99.8</v>
          </cell>
          <cell r="O4">
            <v>123</v>
          </cell>
          <cell r="P4">
            <v>137.19999999999999</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__FDSCACHE__"/>
      <sheetName val="Sheet1"/>
      <sheetName val="Sheet1 (2)"/>
      <sheetName val="Sheet2"/>
      <sheetName val="__APW_ACTIVE_FIELD_RESTORE__"/>
      <sheetName val="Community Bank"/>
    </sheetNames>
    <sheetDataSet>
      <sheetData sheetId="0"/>
      <sheetData sheetId="1"/>
      <sheetData sheetId="2"/>
      <sheetData sheetId="3"/>
      <sheetData sheetId="4"/>
      <sheetData sheetId="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hinaMacro"/>
      <sheetName val="IFA"/>
      <sheetName val="GDP"/>
      <sheetName val="China forecasts"/>
      <sheetName val="Employment"/>
      <sheetName val="Wage"/>
      <sheetName val="Population"/>
      <sheetName val="Productivity"/>
      <sheetName val="Production"/>
      <sheetName val="IFR"/>
      <sheetName val="Density"/>
      <sheetName val="Industry"/>
      <sheetName val="Country"/>
      <sheetName val="RobotForecast"/>
      <sheetName val="Application"/>
      <sheetName val="Cycle"/>
      <sheetName val="RobotIQ"/>
      <sheetName val="Operational stock"/>
      <sheetName val="WorldMacro"/>
      <sheetName val="M_employee"/>
      <sheetName val="WorldData"/>
      <sheetName val="Manufacturing"/>
      <sheetName val="IndustrialOutput"/>
      <sheetName val="Handset"/>
      <sheetName val="Auto"/>
    </sheetNames>
    <sheetDataSet>
      <sheetData sheetId="0"/>
      <sheetData sheetId="1">
        <row r="25">
          <cell r="C25" t="str">
            <v>Investment in fixed assets (RMB trn)</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JANUARY"/>
      <sheetName val="FEBRUARY"/>
      <sheetName val="FEBRUARY YTD"/>
      <sheetName val="MARCH"/>
      <sheetName val="1ST QUARTER"/>
      <sheetName val="APRIL"/>
      <sheetName val="APRIL YTD"/>
      <sheetName val="MAY"/>
      <sheetName val="MAY YTD"/>
      <sheetName val="TWO MONTH MAY"/>
      <sheetName val="JUNE"/>
      <sheetName val="JUNE YTD"/>
      <sheetName val="2ND QUARTER"/>
      <sheetName val="JULY"/>
      <sheetName val="JULY YTD"/>
      <sheetName val="AUGUST"/>
      <sheetName val="TWO MONTH AUGUST"/>
      <sheetName val="AUGUST YTD"/>
      <sheetName val="SEPTEMBER"/>
      <sheetName val="SEPTEMBER YTD"/>
      <sheetName val="3RD QUARTER"/>
      <sheetName val="3Q VAR"/>
      <sheetName val="OCTOBER"/>
      <sheetName val="OCTOBER YTD"/>
      <sheetName val="NOVEMBER"/>
      <sheetName val="NOVEMBER YTD"/>
      <sheetName val="TWO MONTH NOVEMBER"/>
      <sheetName val="DECEMBER"/>
      <sheetName val="4TH QUARTER"/>
      <sheetName val="DECEMBER YTD"/>
      <sheetName val="REVBUDVSBUD"/>
      <sheetName val="REVBUDVSBUDXMR"/>
      <sheetName val="REVBUDVSBUDXMR (2)"/>
      <sheetName val="EXPVARBUDTOBUD"/>
      <sheetName val="5 YR EXP DET"/>
      <sheetName val="5 YEAR EXPENSE SUM"/>
      <sheetName val="BUD VS BUD"/>
      <sheetName val="BUD VS BUD (2)"/>
      <sheetName val="DEC YTD VAR"/>
      <sheetName val="EXP DET REV"/>
      <sheetName val="EXP DET REV1"/>
      <sheetName val="OTHER OTHER"/>
      <sheetName val="4Q VAR"/>
      <sheetName val="EXPENSE MATRIX"/>
      <sheetName val="BUD VS BUD  OTHER"/>
      <sheetName val="BUD VS BUD  OTHER (2)"/>
      <sheetName val="OTHER OTHER EMP BENF"/>
      <sheetName val="OTHER OTHER  EXP"/>
      <sheetName val="SETTLEMENT BY ORG"/>
      <sheetName val="INTANGIBLE BY ORG"/>
      <sheetName val="T AND E BY ORG"/>
      <sheetName val="T AND E BY ORG (2)"/>
      <sheetName val="OP RATIO PRF MAR"/>
      <sheetName val="MERGER RELATED"/>
      <sheetName val="MERGER RELATED (2)"/>
      <sheetName val="5 YEAR EXPENSE SUM (2)"/>
      <sheetName val="INTANGIBLE BY ORG (2)"/>
      <sheetName val="T AND E BY ORG (3)"/>
      <sheetName val="Auto Sales BBG"/>
      <sheetName val="__FDSCACHE__"/>
      <sheetName val="IPO"/>
      <sheetName val="Comps"/>
      <sheetName val="Comp 2"/>
      <sheetName val="Wind"/>
      <sheetName val="Guide"/>
      <sheetName val="1. Market Model (old)"/>
      <sheetName val="1. Market model"/>
      <sheetName val="1.0 Market"/>
      <sheetName val="1.0 Market - 072219"/>
      <sheetName val="1. Market model- Feb 18.2019"/>
      <sheetName val="1.0 Market - Feb 18.2019"/>
      <sheetName val="1. Market model 2019"/>
      <sheetName val="Market Model Assumptions"/>
      <sheetName val="1.0 Market raw"/>
      <sheetName val="1.01 Market initiation"/>
      <sheetName val="1.2 eCommerce"/>
      <sheetName val="1.2 eCommerce (unused)"/>
      <sheetName val="1.2.2 eCommerce OLD"/>
      <sheetName val="1.2.1 Order Size"/>
      <sheetName val="1.3. O2O-Old"/>
      <sheetName val="1.3. O2O"/>
      <sheetName val="1.4. Coldchain"/>
      <sheetName val="1.6 TFS"/>
      <sheetName val="1.5 Other countries"/>
      <sheetName val="2. Players 2016"/>
      <sheetName val="2. Players 2017"/>
      <sheetName val="2. Players 2018"/>
      <sheetName val="Notes"/>
      <sheetName val="2.1 Players MS"/>
      <sheetName val="2.2 Bhav"/>
      <sheetName val="2.3 Deppon"/>
      <sheetName val="3. Service quality"/>
      <sheetName val="3.1 Sat and Comp"/>
      <sheetName val="3.2 Time 2B"/>
      <sheetName val="3.3 Time 2C"/>
      <sheetName val="4. Product"/>
      <sheetName val="4.1 Product list"/>
      <sheetName val="5. Company comparison"/>
      <sheetName val="Comp hardcode"/>
      <sheetName val="5.1 Operating metrics"/>
      <sheetName val="5.2. Financial metrics"/>
      <sheetName val="5.11 Automatic Sorting Cost"/>
      <sheetName val="6 Other countries"/>
      <sheetName val="6.1. UPS"/>
      <sheetName val="UPS By Measure"/>
      <sheetName val="6.2 FDX"/>
      <sheetName val="FDX By Measure"/>
      <sheetName val="6.3 DHL"/>
      <sheetName val="6.4 Yamato"/>
      <sheetName val="6.5 Sagawa"/>
      <sheetName val="6.6 CJ"/>
      <sheetName val="bbg"/>
      <sheetName val="7. Buyer"/>
      <sheetName val="7.1 Cainiao"/>
      <sheetName val="7.2 AJ"/>
      <sheetName val="7.3 EAL"/>
      <sheetName val="8 Airports"/>
      <sheetName val="8.1 Memphis"/>
      <sheetName val="8.2 Louisville"/>
      <sheetName val="9. International"/>
      <sheetName val="9.1 Price"/>
      <sheetName val="9.2 Fruit imports"/>
      <sheetName val="Sheet32"/>
      <sheetName val="Old model"/>
    </sheetNames>
    <sheetDataSet>
      <sheetData sheetId="0" refreshError="1"/>
      <sheetData sheetId="1" refreshError="1"/>
      <sheetData sheetId="2" refreshError="1"/>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A"/>
      <sheetName val="Val_Momen"/>
      <sheetName val="Chart1"/>
      <sheetName val="EPS Revision"/>
      <sheetName val="SP vs. Perf"/>
      <sheetName val="Price_sales"/>
      <sheetName val="Rev vs Perf"/>
      <sheetName val="Rel SP vs Rel Perf"/>
      <sheetName val="Rel SP vs Annual Perf"/>
      <sheetName val="REV vs Annual Perf "/>
      <sheetName val="Chart1 (3)"/>
      <sheetName val="Qtr Rev"/>
      <sheetName val="94-"/>
      <sheetName val="JANUARY"/>
      <sheetName val="VZ6"/>
    </sheetNames>
    <sheetDataSet>
      <sheetData sheetId="0" refreshError="1">
        <row r="6">
          <cell r="A6">
            <v>6</v>
          </cell>
          <cell r="B6">
            <v>28460</v>
          </cell>
          <cell r="C6">
            <v>1</v>
          </cell>
          <cell r="D6">
            <v>59.38</v>
          </cell>
          <cell r="E6">
            <v>1.0860300000000001</v>
          </cell>
          <cell r="F6" t="e">
            <v>#N/A</v>
          </cell>
          <cell r="G6">
            <v>0.15748000000000001</v>
          </cell>
          <cell r="H6">
            <v>7.0354E-2</v>
          </cell>
          <cell r="I6">
            <v>0.51190999999999998</v>
          </cell>
          <cell r="J6">
            <v>0.63902000000000003</v>
          </cell>
          <cell r="K6">
            <v>1.2051499999999999</v>
          </cell>
        </row>
        <row r="7">
          <cell r="A7">
            <v>6</v>
          </cell>
          <cell r="B7">
            <v>28550</v>
          </cell>
          <cell r="C7">
            <v>1</v>
          </cell>
          <cell r="D7">
            <v>65.400000000000006</v>
          </cell>
          <cell r="E7">
            <v>1.03687</v>
          </cell>
          <cell r="F7" t="e">
            <v>#N/A</v>
          </cell>
          <cell r="G7">
            <v>0.16198000000000001</v>
          </cell>
          <cell r="H7">
            <v>7.4369000000000005E-2</v>
          </cell>
          <cell r="I7">
            <v>0.49048000000000003</v>
          </cell>
          <cell r="J7">
            <v>0.60787000000000002</v>
          </cell>
          <cell r="K7">
            <v>1.4371400000000001</v>
          </cell>
        </row>
        <row r="8">
          <cell r="A8">
            <v>6</v>
          </cell>
          <cell r="B8">
            <v>28642</v>
          </cell>
          <cell r="C8">
            <v>1</v>
          </cell>
          <cell r="D8">
            <v>76.64</v>
          </cell>
          <cell r="E8">
            <v>0.93667999999999996</v>
          </cell>
          <cell r="F8" t="e">
            <v>#N/A</v>
          </cell>
          <cell r="G8">
            <v>0.15286</v>
          </cell>
          <cell r="H8">
            <v>7.2860999999999995E-2</v>
          </cell>
          <cell r="I8">
            <v>0.44169999999999998</v>
          </cell>
          <cell r="J8">
            <v>0.51287000000000005</v>
          </cell>
          <cell r="K8">
            <v>0.47692000000000001</v>
          </cell>
        </row>
        <row r="9">
          <cell r="A9">
            <v>6</v>
          </cell>
          <cell r="B9">
            <v>28734</v>
          </cell>
          <cell r="C9">
            <v>1</v>
          </cell>
          <cell r="D9">
            <v>83.86</v>
          </cell>
          <cell r="E9">
            <v>0.91549000000000003</v>
          </cell>
          <cell r="F9" t="e">
            <v>#N/A</v>
          </cell>
          <cell r="G9">
            <v>0.15171999999999999</v>
          </cell>
          <cell r="H9">
            <v>7.4146000000000004E-2</v>
          </cell>
          <cell r="I9">
            <v>0.42988999999999999</v>
          </cell>
          <cell r="J9">
            <v>0.47208</v>
          </cell>
          <cell r="K9">
            <v>-0.70489999999999997</v>
          </cell>
        </row>
        <row r="10">
          <cell r="A10">
            <v>6</v>
          </cell>
          <cell r="B10">
            <v>28825</v>
          </cell>
          <cell r="C10">
            <v>1</v>
          </cell>
          <cell r="D10">
            <v>138.80000000000001</v>
          </cell>
          <cell r="E10">
            <v>0.82154000000000005</v>
          </cell>
          <cell r="F10" t="e">
            <v>#N/A</v>
          </cell>
          <cell r="G10">
            <v>0.11737</v>
          </cell>
          <cell r="H10">
            <v>5.1027999999999997E-2</v>
          </cell>
          <cell r="I10">
            <v>0.3337</v>
          </cell>
          <cell r="J10">
            <v>0.48451</v>
          </cell>
          <cell r="K10">
            <v>0.13925000000000001</v>
          </cell>
        </row>
        <row r="11">
          <cell r="A11">
            <v>6</v>
          </cell>
          <cell r="B11">
            <v>29281</v>
          </cell>
          <cell r="C11">
            <v>1</v>
          </cell>
          <cell r="D11">
            <v>149.56</v>
          </cell>
          <cell r="E11">
            <v>0.81872999999999996</v>
          </cell>
          <cell r="F11" t="e">
            <v>#N/A</v>
          </cell>
          <cell r="G11">
            <v>0.12403</v>
          </cell>
          <cell r="H11">
            <v>5.3263999999999999E-2</v>
          </cell>
          <cell r="I11">
            <v>0.45605000000000001</v>
          </cell>
          <cell r="J11">
            <v>0.50655000000000006</v>
          </cell>
          <cell r="K11">
            <v>1.37741</v>
          </cell>
        </row>
        <row r="12">
          <cell r="A12">
            <v>6</v>
          </cell>
          <cell r="B12">
            <v>29373</v>
          </cell>
          <cell r="C12">
            <v>1</v>
          </cell>
          <cell r="D12">
            <v>137.34</v>
          </cell>
          <cell r="E12">
            <v>0.99943000000000004</v>
          </cell>
          <cell r="F12" t="e">
            <v>#N/A</v>
          </cell>
          <cell r="G12">
            <v>0.15704000000000001</v>
          </cell>
          <cell r="H12">
            <v>7.1435999999999999E-2</v>
          </cell>
          <cell r="I12">
            <v>0.53227999999999998</v>
          </cell>
          <cell r="J12">
            <v>0.60187999999999997</v>
          </cell>
          <cell r="K12">
            <v>4.38286</v>
          </cell>
        </row>
        <row r="13">
          <cell r="A13">
            <v>6</v>
          </cell>
          <cell r="B13">
            <v>29465</v>
          </cell>
          <cell r="C13">
            <v>1</v>
          </cell>
          <cell r="D13">
            <v>187.19</v>
          </cell>
          <cell r="E13">
            <v>0.79766000000000004</v>
          </cell>
          <cell r="F13" t="e">
            <v>#N/A</v>
          </cell>
          <cell r="G13">
            <v>0.12411999999999999</v>
          </cell>
          <cell r="H13">
            <v>5.9116000000000002E-2</v>
          </cell>
          <cell r="I13">
            <v>0.40886</v>
          </cell>
          <cell r="J13">
            <v>0.47262999999999999</v>
          </cell>
          <cell r="K13">
            <v>1.15229</v>
          </cell>
        </row>
        <row r="14">
          <cell r="A14">
            <v>6</v>
          </cell>
          <cell r="B14">
            <v>29556</v>
          </cell>
          <cell r="C14">
            <v>3</v>
          </cell>
          <cell r="D14">
            <v>440.24</v>
          </cell>
          <cell r="E14">
            <v>0.79981999999999998</v>
          </cell>
          <cell r="F14" t="e">
            <v>#N/A</v>
          </cell>
          <cell r="G14">
            <v>0.11785</v>
          </cell>
          <cell r="H14">
            <v>5.8465999999999997E-2</v>
          </cell>
          <cell r="I14">
            <v>0.30748000000000003</v>
          </cell>
          <cell r="J14">
            <v>0.50463999999999998</v>
          </cell>
          <cell r="K14">
            <v>-1.29423</v>
          </cell>
        </row>
        <row r="15">
          <cell r="A15">
            <v>6</v>
          </cell>
          <cell r="B15">
            <v>29646</v>
          </cell>
          <cell r="C15">
            <v>3</v>
          </cell>
          <cell r="D15">
            <v>355.92</v>
          </cell>
          <cell r="E15">
            <v>0.87921000000000005</v>
          </cell>
          <cell r="F15" t="e">
            <v>#N/A</v>
          </cell>
          <cell r="G15">
            <v>0.12520999999999999</v>
          </cell>
          <cell r="H15">
            <v>6.4451999999999995E-2</v>
          </cell>
          <cell r="I15">
            <v>0.38847999999999999</v>
          </cell>
          <cell r="J15">
            <v>0.67520000000000002</v>
          </cell>
          <cell r="K15">
            <v>-2.70879</v>
          </cell>
        </row>
        <row r="16">
          <cell r="A16">
            <v>6</v>
          </cell>
          <cell r="B16">
            <v>29738</v>
          </cell>
          <cell r="C16">
            <v>3</v>
          </cell>
          <cell r="D16">
            <v>334.79</v>
          </cell>
          <cell r="E16">
            <v>0.89238000000000006</v>
          </cell>
          <cell r="F16" t="e">
            <v>#N/A</v>
          </cell>
          <cell r="G16">
            <v>0.10215</v>
          </cell>
          <cell r="H16">
            <v>5.1205000000000001E-2</v>
          </cell>
          <cell r="I16">
            <v>0.42304999999999998</v>
          </cell>
          <cell r="J16">
            <v>0.76615999999999995</v>
          </cell>
          <cell r="K16">
            <v>-4.9278500000000003</v>
          </cell>
        </row>
        <row r="17">
          <cell r="A17">
            <v>6</v>
          </cell>
          <cell r="B17">
            <v>29830</v>
          </cell>
          <cell r="C17">
            <v>3</v>
          </cell>
          <cell r="D17">
            <v>246.84</v>
          </cell>
          <cell r="E17">
            <v>1.1954199999999999</v>
          </cell>
          <cell r="F17" t="e">
            <v>#N/A</v>
          </cell>
          <cell r="G17">
            <v>0.11105</v>
          </cell>
          <cell r="H17">
            <v>5.1533000000000002E-2</v>
          </cell>
          <cell r="I17">
            <v>0.58306000000000002</v>
          </cell>
          <cell r="J17">
            <v>1.0123</v>
          </cell>
          <cell r="K17">
            <v>-2.87799</v>
          </cell>
        </row>
        <row r="18">
          <cell r="A18">
            <v>6</v>
          </cell>
          <cell r="B18">
            <v>29921</v>
          </cell>
          <cell r="C18">
            <v>1</v>
          </cell>
          <cell r="D18">
            <v>145.46</v>
          </cell>
          <cell r="E18">
            <v>1.1269199999999999</v>
          </cell>
          <cell r="F18" t="e">
            <v>#N/A</v>
          </cell>
          <cell r="G18">
            <v>8.8599999999999998E-2</v>
          </cell>
          <cell r="H18">
            <v>3.9406000000000004E-2</v>
          </cell>
          <cell r="I18">
            <v>0.62075999999999998</v>
          </cell>
          <cell r="J18">
            <v>0.95372999999999997</v>
          </cell>
          <cell r="K18">
            <v>-1.4866999999999999</v>
          </cell>
        </row>
        <row r="19">
          <cell r="A19">
            <v>6</v>
          </cell>
          <cell r="B19">
            <v>30011</v>
          </cell>
          <cell r="C19">
            <v>1</v>
          </cell>
          <cell r="D19">
            <v>117.43</v>
          </cell>
          <cell r="E19">
            <v>1.3620000000000001</v>
          </cell>
          <cell r="F19" t="e">
            <v>#N/A</v>
          </cell>
          <cell r="G19">
            <v>8.2129999999999995E-2</v>
          </cell>
          <cell r="H19">
            <v>3.6336E-2</v>
          </cell>
          <cell r="I19">
            <v>0.77100999999999997</v>
          </cell>
          <cell r="J19">
            <v>1.24566</v>
          </cell>
          <cell r="K19">
            <v>-0.83150000000000002</v>
          </cell>
        </row>
        <row r="20">
          <cell r="A20">
            <v>6</v>
          </cell>
          <cell r="B20">
            <v>30103</v>
          </cell>
          <cell r="C20">
            <v>1</v>
          </cell>
          <cell r="D20">
            <v>123.4</v>
          </cell>
          <cell r="E20">
            <v>1.2886</v>
          </cell>
          <cell r="F20" t="e">
            <v>#N/A</v>
          </cell>
          <cell r="G20">
            <v>7.0519999999999999E-2</v>
          </cell>
          <cell r="H20">
            <v>3.1620000000000002E-2</v>
          </cell>
          <cell r="I20">
            <v>0.74787999999999999</v>
          </cell>
          <cell r="J20">
            <v>1.18127</v>
          </cell>
          <cell r="K20">
            <v>-5.1200000000000002E-2</v>
          </cell>
        </row>
        <row r="21">
          <cell r="A21">
            <v>6</v>
          </cell>
          <cell r="B21">
            <v>30195</v>
          </cell>
          <cell r="C21">
            <v>1</v>
          </cell>
          <cell r="D21">
            <v>173.22</v>
          </cell>
          <cell r="E21">
            <v>0.93359999999999999</v>
          </cell>
          <cell r="F21" t="e">
            <v>#N/A</v>
          </cell>
          <cell r="G21">
            <v>4.7140000000000001E-2</v>
          </cell>
          <cell r="H21">
            <v>1.9980999999999999E-2</v>
          </cell>
          <cell r="I21">
            <v>0.53705999999999998</v>
          </cell>
          <cell r="J21">
            <v>0.87128000000000005</v>
          </cell>
          <cell r="K21">
            <v>0.62858000000000003</v>
          </cell>
        </row>
        <row r="22">
          <cell r="A22">
            <v>6</v>
          </cell>
          <cell r="B22">
            <v>30286</v>
          </cell>
          <cell r="C22">
            <v>2</v>
          </cell>
          <cell r="D22">
            <v>370.02</v>
          </cell>
          <cell r="E22">
            <v>0.69789000000000001</v>
          </cell>
          <cell r="F22" t="e">
            <v>#N/A</v>
          </cell>
          <cell r="G22">
            <v>-5.7000000000000002E-3</v>
          </cell>
          <cell r="H22">
            <v>-1.6084999999999999E-2</v>
          </cell>
          <cell r="I22">
            <v>0.34889999999999999</v>
          </cell>
          <cell r="J22">
            <v>0.60175000000000001</v>
          </cell>
          <cell r="K22">
            <v>2.3108599999999999</v>
          </cell>
        </row>
        <row r="23">
          <cell r="A23">
            <v>6</v>
          </cell>
          <cell r="B23">
            <v>30376</v>
          </cell>
          <cell r="C23">
            <v>2</v>
          </cell>
          <cell r="D23">
            <v>556.47</v>
          </cell>
          <cell r="E23">
            <v>0.47910000000000003</v>
          </cell>
          <cell r="F23" t="e">
            <v>#N/A</v>
          </cell>
          <cell r="G23">
            <v>2.4199999999999998E-3</v>
          </cell>
          <cell r="H23">
            <v>-7.0190000000000001E-3</v>
          </cell>
          <cell r="I23">
            <v>0.23924999999999999</v>
          </cell>
          <cell r="J23">
            <v>0.42308000000000001</v>
          </cell>
          <cell r="K23">
            <v>3.3977499999999998</v>
          </cell>
        </row>
        <row r="24">
          <cell r="A24">
            <v>6</v>
          </cell>
          <cell r="B24">
            <v>30468</v>
          </cell>
          <cell r="C24">
            <v>2</v>
          </cell>
          <cell r="D24">
            <v>849.05</v>
          </cell>
          <cell r="E24">
            <v>0.33546999999999999</v>
          </cell>
          <cell r="F24" t="e">
            <v>#N/A</v>
          </cell>
          <cell r="G24">
            <v>1.1339999999999999E-2</v>
          </cell>
          <cell r="H24">
            <v>1.354E-3</v>
          </cell>
          <cell r="I24">
            <v>0.19164</v>
          </cell>
          <cell r="J24">
            <v>0.28781000000000001</v>
          </cell>
          <cell r="K24">
            <v>4.4187000000000003</v>
          </cell>
        </row>
        <row r="25">
          <cell r="A25">
            <v>6</v>
          </cell>
          <cell r="B25">
            <v>30560</v>
          </cell>
          <cell r="C25">
            <v>2</v>
          </cell>
          <cell r="D25">
            <v>930.76</v>
          </cell>
          <cell r="E25">
            <v>0.32795000000000002</v>
          </cell>
          <cell r="F25" t="e">
            <v>#N/A</v>
          </cell>
          <cell r="G25">
            <v>2.5930000000000002E-2</v>
          </cell>
          <cell r="H25">
            <v>1.2700000000000001E-2</v>
          </cell>
          <cell r="I25">
            <v>0.18318999999999999</v>
          </cell>
          <cell r="J25">
            <v>0.29494999999999999</v>
          </cell>
          <cell r="K25">
            <v>4.2784700000000004</v>
          </cell>
        </row>
        <row r="26">
          <cell r="A26">
            <v>6</v>
          </cell>
          <cell r="B26">
            <v>30651</v>
          </cell>
          <cell r="C26">
            <v>5</v>
          </cell>
          <cell r="D26">
            <v>1709.54</v>
          </cell>
          <cell r="E26">
            <v>0.29003000000000001</v>
          </cell>
          <cell r="F26" t="e">
            <v>#N/A</v>
          </cell>
          <cell r="G26">
            <v>2.8140000000000002E-2</v>
          </cell>
          <cell r="H26">
            <v>1.5885E-2</v>
          </cell>
          <cell r="I26">
            <v>0.17057</v>
          </cell>
          <cell r="J26">
            <v>0.22236</v>
          </cell>
          <cell r="K26">
            <v>4.3924300000000001</v>
          </cell>
        </row>
        <row r="27">
          <cell r="A27">
            <v>6</v>
          </cell>
          <cell r="B27">
            <v>30742</v>
          </cell>
          <cell r="C27">
            <v>5</v>
          </cell>
          <cell r="D27">
            <v>1420.4</v>
          </cell>
          <cell r="E27">
            <v>0.38707999999999998</v>
          </cell>
          <cell r="F27" t="e">
            <v>#N/A</v>
          </cell>
          <cell r="G27">
            <v>4.5810000000000003E-2</v>
          </cell>
          <cell r="H27">
            <v>2.7942999999999999E-2</v>
          </cell>
          <cell r="I27">
            <v>0.25068000000000001</v>
          </cell>
          <cell r="J27">
            <v>0.28386</v>
          </cell>
          <cell r="K27">
            <v>3.78904</v>
          </cell>
        </row>
        <row r="28">
          <cell r="A28">
            <v>6</v>
          </cell>
          <cell r="B28">
            <v>30834</v>
          </cell>
          <cell r="C28">
            <v>5</v>
          </cell>
          <cell r="D28">
            <v>1360.78</v>
          </cell>
          <cell r="E28">
            <v>0.45490999999999998</v>
          </cell>
          <cell r="F28" t="e">
            <v>#N/A</v>
          </cell>
          <cell r="G28">
            <v>6.3020000000000007E-2</v>
          </cell>
          <cell r="H28">
            <v>3.8214999999999999E-2</v>
          </cell>
          <cell r="I28">
            <v>0.27988000000000002</v>
          </cell>
          <cell r="J28">
            <v>0.34982000000000002</v>
          </cell>
          <cell r="K28">
            <v>2.4871699999999999</v>
          </cell>
        </row>
        <row r="29">
          <cell r="A29">
            <v>6</v>
          </cell>
          <cell r="B29">
            <v>30926</v>
          </cell>
          <cell r="C29">
            <v>5</v>
          </cell>
          <cell r="D29">
            <v>1375.42</v>
          </cell>
          <cell r="E29">
            <v>0.51019000000000003</v>
          </cell>
          <cell r="F29" t="e">
            <v>#N/A</v>
          </cell>
          <cell r="G29">
            <v>8.1290000000000001E-2</v>
          </cell>
          <cell r="H29">
            <v>5.0084999999999998E-2</v>
          </cell>
          <cell r="I29">
            <v>0.30809999999999998</v>
          </cell>
          <cell r="J29">
            <v>0.35877999999999999</v>
          </cell>
          <cell r="K29">
            <v>1.5942000000000001</v>
          </cell>
        </row>
        <row r="30">
          <cell r="A30">
            <v>6</v>
          </cell>
          <cell r="B30">
            <v>31017</v>
          </cell>
          <cell r="C30">
            <v>5</v>
          </cell>
          <cell r="D30">
            <v>1377.64</v>
          </cell>
          <cell r="E30">
            <v>0.58169999999999999</v>
          </cell>
          <cell r="F30">
            <v>0.25109999999999999</v>
          </cell>
          <cell r="G30">
            <v>0.10020000000000001</v>
          </cell>
          <cell r="H30">
            <v>6.1200999999999998E-2</v>
          </cell>
          <cell r="I30">
            <v>0.31845000000000001</v>
          </cell>
          <cell r="J30">
            <v>0.38507000000000002</v>
          </cell>
          <cell r="K30">
            <v>2.0990799999999998</v>
          </cell>
        </row>
        <row r="31">
          <cell r="A31">
            <v>6</v>
          </cell>
          <cell r="B31">
            <v>31107</v>
          </cell>
          <cell r="C31">
            <v>5</v>
          </cell>
          <cell r="D31">
            <v>1338.75</v>
          </cell>
          <cell r="E31">
            <v>0.66593000000000002</v>
          </cell>
          <cell r="F31">
            <v>0.34693000000000002</v>
          </cell>
          <cell r="G31">
            <v>0.11407</v>
          </cell>
          <cell r="H31">
            <v>6.8707000000000004E-2</v>
          </cell>
          <cell r="I31">
            <v>0.35863</v>
          </cell>
          <cell r="J31">
            <v>0.4299</v>
          </cell>
          <cell r="K31">
            <v>-4.6213699999999998</v>
          </cell>
        </row>
        <row r="32">
          <cell r="A32">
            <v>6</v>
          </cell>
          <cell r="B32">
            <v>31199</v>
          </cell>
          <cell r="C32">
            <v>5</v>
          </cell>
          <cell r="D32">
            <v>1208.08</v>
          </cell>
          <cell r="E32">
            <v>0.77983000000000002</v>
          </cell>
          <cell r="F32">
            <v>0.38055</v>
          </cell>
          <cell r="G32">
            <v>0.12223000000000001</v>
          </cell>
          <cell r="H32">
            <v>8.1129000000000007E-2</v>
          </cell>
          <cell r="I32">
            <v>0.42297000000000001</v>
          </cell>
          <cell r="J32">
            <v>0.50611000000000006</v>
          </cell>
          <cell r="K32">
            <v>-4.1472600000000002</v>
          </cell>
        </row>
        <row r="33">
          <cell r="A33">
            <v>6</v>
          </cell>
          <cell r="B33">
            <v>31291</v>
          </cell>
          <cell r="C33">
            <v>5</v>
          </cell>
          <cell r="D33">
            <v>1070.4100000000001</v>
          </cell>
          <cell r="E33">
            <v>0.86516000000000004</v>
          </cell>
          <cell r="F33">
            <v>0.38103999999999999</v>
          </cell>
          <cell r="G33">
            <v>0.1047</v>
          </cell>
          <cell r="H33">
            <v>7.2513999999999995E-2</v>
          </cell>
          <cell r="I33">
            <v>0.48068</v>
          </cell>
          <cell r="J33">
            <v>0.66315999999999997</v>
          </cell>
          <cell r="K33">
            <v>-4.1933499999999997</v>
          </cell>
        </row>
        <row r="34">
          <cell r="A34">
            <v>6</v>
          </cell>
          <cell r="B34">
            <v>31382</v>
          </cell>
          <cell r="C34">
            <v>3</v>
          </cell>
          <cell r="D34">
            <v>1108.77</v>
          </cell>
          <cell r="E34">
            <v>0.42701</v>
          </cell>
          <cell r="F34">
            <v>0.1968</v>
          </cell>
          <cell r="G34">
            <v>5.1580000000000001E-2</v>
          </cell>
          <cell r="H34">
            <v>4.0705999999999999E-2</v>
          </cell>
          <cell r="I34">
            <v>0.32183</v>
          </cell>
          <cell r="J34">
            <v>0.39878000000000002</v>
          </cell>
          <cell r="K34">
            <v>-3.61944</v>
          </cell>
        </row>
        <row r="35">
          <cell r="A35">
            <v>6</v>
          </cell>
          <cell r="B35">
            <v>31472</v>
          </cell>
          <cell r="C35">
            <v>3</v>
          </cell>
          <cell r="D35">
            <v>1139.6199999999999</v>
          </cell>
          <cell r="E35">
            <v>0.39276</v>
          </cell>
          <cell r="F35">
            <v>0.18454000000000001</v>
          </cell>
          <cell r="G35">
            <v>3.6500000000000005E-2</v>
          </cell>
          <cell r="H35">
            <v>3.1737000000000001E-2</v>
          </cell>
          <cell r="I35">
            <v>0.31816</v>
          </cell>
          <cell r="J35">
            <v>0.40593000000000001</v>
          </cell>
          <cell r="K35">
            <v>-2.2276600000000002</v>
          </cell>
        </row>
        <row r="36">
          <cell r="A36">
            <v>6</v>
          </cell>
          <cell r="B36">
            <v>31564</v>
          </cell>
          <cell r="C36">
            <v>3</v>
          </cell>
          <cell r="D36">
            <v>1070.68</v>
          </cell>
          <cell r="E36">
            <v>0.40304000000000001</v>
          </cell>
          <cell r="F36">
            <v>0.18411</v>
          </cell>
          <cell r="G36">
            <v>2.6690000000000002E-2</v>
          </cell>
          <cell r="H36">
            <v>1.9841000000000001E-2</v>
          </cell>
          <cell r="I36">
            <v>0.34995999999999999</v>
          </cell>
          <cell r="J36">
            <v>0.43431000000000003</v>
          </cell>
          <cell r="K36">
            <v>-1.41272</v>
          </cell>
        </row>
        <row r="37">
          <cell r="A37">
            <v>6</v>
          </cell>
          <cell r="B37">
            <v>31656</v>
          </cell>
          <cell r="C37">
            <v>3</v>
          </cell>
          <cell r="D37">
            <v>856.83</v>
          </cell>
          <cell r="E37">
            <v>0.50078999999999996</v>
          </cell>
          <cell r="F37">
            <v>0.22945000000000002</v>
          </cell>
          <cell r="G37">
            <v>3.0859999999999999E-2</v>
          </cell>
          <cell r="H37">
            <v>2.1194999999999999E-2</v>
          </cell>
          <cell r="I37">
            <v>0.44539000000000001</v>
          </cell>
          <cell r="J37">
            <v>0.51821000000000006</v>
          </cell>
          <cell r="K37">
            <v>-0.94684999999999997</v>
          </cell>
        </row>
        <row r="38">
          <cell r="A38">
            <v>6</v>
          </cell>
          <cell r="B38">
            <v>31747</v>
          </cell>
          <cell r="C38">
            <v>3</v>
          </cell>
          <cell r="D38">
            <v>859.89</v>
          </cell>
          <cell r="E38">
            <v>0.51171999999999995</v>
          </cell>
          <cell r="F38">
            <v>0.23377000000000001</v>
          </cell>
          <cell r="G38">
            <v>3.143E-2</v>
          </cell>
          <cell r="H38">
            <v>2.1186E-2</v>
          </cell>
          <cell r="I38">
            <v>0.45007000000000003</v>
          </cell>
          <cell r="J38">
            <v>0.52288000000000001</v>
          </cell>
          <cell r="K38">
            <v>-0.91166999999999998</v>
          </cell>
        </row>
        <row r="39">
          <cell r="A39">
            <v>6</v>
          </cell>
          <cell r="B39">
            <v>31837</v>
          </cell>
          <cell r="C39">
            <v>3</v>
          </cell>
          <cell r="D39">
            <v>1199.81</v>
          </cell>
          <cell r="E39">
            <v>0.36973</v>
          </cell>
          <cell r="F39">
            <v>0.16803999999999999</v>
          </cell>
          <cell r="G39">
            <v>1.8030000000000001E-2</v>
          </cell>
          <cell r="H39">
            <v>1.5212E-2</v>
          </cell>
          <cell r="I39">
            <v>0.32951999999999998</v>
          </cell>
          <cell r="J39">
            <v>0.38521</v>
          </cell>
          <cell r="K39">
            <v>-0.40923999999999999</v>
          </cell>
        </row>
        <row r="40">
          <cell r="A40">
            <v>6</v>
          </cell>
          <cell r="B40">
            <v>31929</v>
          </cell>
          <cell r="C40">
            <v>3</v>
          </cell>
          <cell r="D40">
            <v>1268.1600000000001</v>
          </cell>
          <cell r="E40">
            <v>0.36599999999999999</v>
          </cell>
          <cell r="F40">
            <v>0.16349</v>
          </cell>
          <cell r="G40">
            <v>1.1770000000000001E-2</v>
          </cell>
          <cell r="H40">
            <v>1.0940999999999999E-2</v>
          </cell>
          <cell r="I40">
            <v>0.31746000000000002</v>
          </cell>
          <cell r="J40">
            <v>0.37414000000000003</v>
          </cell>
          <cell r="K40">
            <v>2.801E-2</v>
          </cell>
        </row>
        <row r="41">
          <cell r="A41">
            <v>6</v>
          </cell>
          <cell r="B41">
            <v>32021</v>
          </cell>
          <cell r="C41">
            <v>3</v>
          </cell>
          <cell r="D41">
            <v>1437.83</v>
          </cell>
          <cell r="E41">
            <v>0.33877000000000002</v>
          </cell>
          <cell r="F41">
            <v>0.15001</v>
          </cell>
          <cell r="G41">
            <v>6.3500000000000006E-3</v>
          </cell>
          <cell r="H41">
            <v>5.9789999999999999E-3</v>
          </cell>
          <cell r="I41">
            <v>0.28194999999999998</v>
          </cell>
          <cell r="J41">
            <v>0.33682000000000001</v>
          </cell>
          <cell r="K41">
            <v>1.4171800000000001</v>
          </cell>
        </row>
        <row r="42">
          <cell r="A42">
            <v>6</v>
          </cell>
          <cell r="B42">
            <v>32112</v>
          </cell>
          <cell r="C42">
            <v>4</v>
          </cell>
          <cell r="D42">
            <v>1217.1400000000001</v>
          </cell>
          <cell r="E42">
            <v>0.55766000000000004</v>
          </cell>
          <cell r="F42">
            <v>0.24157999999999999</v>
          </cell>
          <cell r="G42">
            <v>6.7600000000000004E-3</v>
          </cell>
          <cell r="H42">
            <v>5.1799999999999997E-3</v>
          </cell>
          <cell r="I42">
            <v>0.46368999999999999</v>
          </cell>
          <cell r="J42">
            <v>0.53454999999999997</v>
          </cell>
          <cell r="K42">
            <v>2.0709400000000002</v>
          </cell>
        </row>
        <row r="43">
          <cell r="A43">
            <v>6</v>
          </cell>
          <cell r="B43">
            <v>32203</v>
          </cell>
          <cell r="C43">
            <v>4</v>
          </cell>
          <cell r="D43">
            <v>1444.59</v>
          </cell>
          <cell r="E43">
            <v>0.51004000000000005</v>
          </cell>
          <cell r="F43">
            <v>0.22183</v>
          </cell>
          <cell r="G43">
            <v>1.3310000000000001E-2</v>
          </cell>
          <cell r="H43">
            <v>1.684E-3</v>
          </cell>
          <cell r="I43">
            <v>0.41263</v>
          </cell>
          <cell r="J43">
            <v>0.45358999999999999</v>
          </cell>
          <cell r="K43">
            <v>2.4639899999999999</v>
          </cell>
        </row>
        <row r="44">
          <cell r="A44">
            <v>6</v>
          </cell>
          <cell r="B44">
            <v>32295</v>
          </cell>
          <cell r="C44">
            <v>4</v>
          </cell>
          <cell r="D44">
            <v>1662.59</v>
          </cell>
          <cell r="E44">
            <v>0.48524</v>
          </cell>
          <cell r="F44">
            <v>0.21587000000000001</v>
          </cell>
          <cell r="G44">
            <v>2.8150000000000001E-2</v>
          </cell>
          <cell r="H44">
            <v>1.1435000000000001E-2</v>
          </cell>
          <cell r="I44">
            <v>0.37201000000000001</v>
          </cell>
          <cell r="J44">
            <v>0.40240999999999999</v>
          </cell>
          <cell r="K44">
            <v>3.6163600000000002</v>
          </cell>
        </row>
        <row r="45">
          <cell r="A45">
            <v>6</v>
          </cell>
          <cell r="B45">
            <v>32387</v>
          </cell>
          <cell r="C45">
            <v>4</v>
          </cell>
          <cell r="D45">
            <v>1304.82</v>
          </cell>
          <cell r="E45">
            <v>0.68535000000000001</v>
          </cell>
          <cell r="F45">
            <v>0.31025999999999998</v>
          </cell>
          <cell r="G45">
            <v>5.9300000000000005E-2</v>
          </cell>
          <cell r="H45">
            <v>2.9295999999999999E-2</v>
          </cell>
          <cell r="I45">
            <v>0.48793999999999998</v>
          </cell>
          <cell r="J45">
            <v>0.52266999999999997</v>
          </cell>
          <cell r="K45">
            <v>3.0039000000000002</v>
          </cell>
        </row>
        <row r="46">
          <cell r="A46">
            <v>6</v>
          </cell>
          <cell r="B46">
            <v>32478</v>
          </cell>
          <cell r="C46">
            <v>4</v>
          </cell>
          <cell r="D46">
            <v>1138.1400000000001</v>
          </cell>
          <cell r="E46">
            <v>0.87404000000000004</v>
          </cell>
          <cell r="F46">
            <v>0.3992</v>
          </cell>
          <cell r="G46">
            <v>9.4259999999999997E-2</v>
          </cell>
          <cell r="H46">
            <v>5.0192000000000001E-2</v>
          </cell>
          <cell r="I46">
            <v>0.58521999999999996</v>
          </cell>
          <cell r="J46">
            <v>0.66330999999999996</v>
          </cell>
          <cell r="K46">
            <v>2.08799</v>
          </cell>
        </row>
        <row r="47">
          <cell r="A47">
            <v>6</v>
          </cell>
          <cell r="B47">
            <v>32568</v>
          </cell>
          <cell r="C47">
            <v>4</v>
          </cell>
          <cell r="D47">
            <v>1079</v>
          </cell>
          <cell r="E47">
            <v>1.00661</v>
          </cell>
          <cell r="F47">
            <v>0.46667000000000003</v>
          </cell>
          <cell r="G47">
            <v>0.12645000000000001</v>
          </cell>
          <cell r="H47">
            <v>6.3198000000000004E-2</v>
          </cell>
          <cell r="I47">
            <v>0.62699000000000005</v>
          </cell>
          <cell r="J47">
            <v>0.78132000000000001</v>
          </cell>
          <cell r="K47">
            <v>0.86653999999999998</v>
          </cell>
        </row>
        <row r="48">
          <cell r="A48">
            <v>6</v>
          </cell>
          <cell r="B48">
            <v>32660</v>
          </cell>
          <cell r="C48">
            <v>4</v>
          </cell>
          <cell r="D48">
            <v>1125.57</v>
          </cell>
          <cell r="E48">
            <v>1.0232300000000001</v>
          </cell>
          <cell r="F48">
            <v>0.48071999999999998</v>
          </cell>
          <cell r="G48">
            <v>0.13236000000000001</v>
          </cell>
          <cell r="H48">
            <v>6.8373000000000003E-2</v>
          </cell>
          <cell r="I48">
            <v>0.62529999999999997</v>
          </cell>
          <cell r="J48">
            <v>0.78947000000000001</v>
          </cell>
          <cell r="K48">
            <v>-0.98548000000000002</v>
          </cell>
        </row>
        <row r="49">
          <cell r="A49">
            <v>6</v>
          </cell>
          <cell r="B49">
            <v>32752</v>
          </cell>
          <cell r="C49">
            <v>4</v>
          </cell>
          <cell r="D49">
            <v>1217.17</v>
          </cell>
          <cell r="E49">
            <v>0.99285999999999996</v>
          </cell>
          <cell r="F49">
            <v>0.46821000000000002</v>
          </cell>
          <cell r="G49">
            <v>0.12573999999999999</v>
          </cell>
          <cell r="H49">
            <v>6.7576999999999998E-2</v>
          </cell>
          <cell r="I49">
            <v>0.59506999999999999</v>
          </cell>
          <cell r="J49">
            <v>0.76605999999999996</v>
          </cell>
          <cell r="K49">
            <v>-1.8499300000000001</v>
          </cell>
        </row>
        <row r="50">
          <cell r="A50">
            <v>6</v>
          </cell>
          <cell r="B50">
            <v>32843</v>
          </cell>
          <cell r="C50">
            <v>3</v>
          </cell>
          <cell r="D50">
            <v>1023.33</v>
          </cell>
          <cell r="E50">
            <v>1.0516700000000001</v>
          </cell>
          <cell r="F50">
            <v>0.49898999999999999</v>
          </cell>
          <cell r="G50">
            <v>0.12537999999999999</v>
          </cell>
          <cell r="H50">
            <v>6.5616999999999995E-2</v>
          </cell>
          <cell r="I50">
            <v>0.61297000000000001</v>
          </cell>
          <cell r="J50">
            <v>0.85089999999999999</v>
          </cell>
          <cell r="K50">
            <v>-4.2419500000000001</v>
          </cell>
        </row>
        <row r="51">
          <cell r="A51">
            <v>6</v>
          </cell>
          <cell r="B51">
            <v>32933</v>
          </cell>
          <cell r="C51">
            <v>3</v>
          </cell>
          <cell r="D51">
            <v>981.35</v>
          </cell>
          <cell r="E51">
            <v>1.1155999999999999</v>
          </cell>
          <cell r="F51">
            <v>0.52512000000000003</v>
          </cell>
          <cell r="G51">
            <v>0.11550000000000001</v>
          </cell>
          <cell r="H51">
            <v>7.3525999999999994E-2</v>
          </cell>
          <cell r="I51">
            <v>0.65078999999999998</v>
          </cell>
          <cell r="J51">
            <v>0.90436000000000005</v>
          </cell>
          <cell r="K51">
            <v>-3.5407500000000001</v>
          </cell>
        </row>
        <row r="52">
          <cell r="A52">
            <v>6</v>
          </cell>
          <cell r="B52">
            <v>33025</v>
          </cell>
          <cell r="C52">
            <v>3</v>
          </cell>
          <cell r="D52">
            <v>1131.1400000000001</v>
          </cell>
          <cell r="E52">
            <v>0.98065000000000002</v>
          </cell>
          <cell r="F52">
            <v>0.45418000000000003</v>
          </cell>
          <cell r="G52">
            <v>8.541E-2</v>
          </cell>
          <cell r="H52">
            <v>5.3109999999999997E-2</v>
          </cell>
          <cell r="I52">
            <v>0.57432000000000005</v>
          </cell>
          <cell r="J52">
            <v>0.79408000000000001</v>
          </cell>
          <cell r="K52">
            <v>-3.1984400000000002</v>
          </cell>
        </row>
        <row r="53">
          <cell r="A53">
            <v>6</v>
          </cell>
          <cell r="B53">
            <v>33117</v>
          </cell>
          <cell r="C53">
            <v>3</v>
          </cell>
          <cell r="D53">
            <v>669.13</v>
          </cell>
          <cell r="E53">
            <v>1.65086</v>
          </cell>
          <cell r="F53">
            <v>0.75507999999999997</v>
          </cell>
          <cell r="G53">
            <v>0.11226</v>
          </cell>
          <cell r="H53">
            <v>6.6814999999999999E-2</v>
          </cell>
          <cell r="I53">
            <v>0.98230000000000006</v>
          </cell>
          <cell r="J53">
            <v>1.39747</v>
          </cell>
          <cell r="K53">
            <v>-2.4247399999999999</v>
          </cell>
        </row>
        <row r="54">
          <cell r="A54">
            <v>6</v>
          </cell>
          <cell r="B54">
            <v>33208</v>
          </cell>
          <cell r="C54">
            <v>5</v>
          </cell>
          <cell r="D54">
            <v>1046.8499999999999</v>
          </cell>
          <cell r="E54">
            <v>1.26</v>
          </cell>
          <cell r="F54">
            <v>0.52107999999999999</v>
          </cell>
          <cell r="G54">
            <v>2.5600000000000001E-2</v>
          </cell>
          <cell r="H54">
            <v>4.6629999999999998E-2</v>
          </cell>
          <cell r="I54">
            <v>0.78968000000000005</v>
          </cell>
          <cell r="J54">
            <v>1.1262399999999999</v>
          </cell>
          <cell r="K54">
            <v>-3.3387000000000002</v>
          </cell>
        </row>
        <row r="55">
          <cell r="A55">
            <v>6</v>
          </cell>
          <cell r="B55">
            <v>33298</v>
          </cell>
          <cell r="C55">
            <v>5</v>
          </cell>
          <cell r="D55">
            <v>1529.98</v>
          </cell>
          <cell r="E55">
            <v>0.87253000000000003</v>
          </cell>
          <cell r="F55">
            <v>0.37331000000000003</v>
          </cell>
          <cell r="G55">
            <v>2.8490000000000001E-2</v>
          </cell>
          <cell r="H55">
            <v>2.5859E-2</v>
          </cell>
          <cell r="I55">
            <v>0.53702000000000005</v>
          </cell>
          <cell r="J55">
            <v>0.78586999999999996</v>
          </cell>
          <cell r="K55">
            <v>-1.02521</v>
          </cell>
        </row>
        <row r="56">
          <cell r="A56">
            <v>6</v>
          </cell>
          <cell r="B56">
            <v>33390</v>
          </cell>
          <cell r="C56">
            <v>5</v>
          </cell>
          <cell r="D56">
            <v>1567.4</v>
          </cell>
          <cell r="E56">
            <v>0.87146000000000001</v>
          </cell>
          <cell r="F56">
            <v>0.37503999999999998</v>
          </cell>
          <cell r="G56">
            <v>3.4160000000000003E-2</v>
          </cell>
          <cell r="H56">
            <v>2.5189E-2</v>
          </cell>
          <cell r="I56">
            <v>0.53503000000000001</v>
          </cell>
          <cell r="J56">
            <v>0.77515999999999996</v>
          </cell>
          <cell r="K56">
            <v>0.91273000000000004</v>
          </cell>
        </row>
        <row r="57">
          <cell r="A57">
            <v>6</v>
          </cell>
          <cell r="B57">
            <v>33482</v>
          </cell>
          <cell r="C57">
            <v>5</v>
          </cell>
          <cell r="D57">
            <v>1446.4</v>
          </cell>
          <cell r="E57">
            <v>0.97907</v>
          </cell>
          <cell r="F57">
            <v>0.43314999999999998</v>
          </cell>
          <cell r="G57">
            <v>6.1409999999999999E-2</v>
          </cell>
          <cell r="H57">
            <v>3.3943000000000001E-2</v>
          </cell>
          <cell r="I57">
            <v>0.59833000000000003</v>
          </cell>
          <cell r="J57">
            <v>0.87387999999999999</v>
          </cell>
          <cell r="K57">
            <v>1.5314399999999999</v>
          </cell>
        </row>
        <row r="58">
          <cell r="A58">
            <v>6</v>
          </cell>
          <cell r="B58">
            <v>33573</v>
          </cell>
          <cell r="C58">
            <v>5</v>
          </cell>
          <cell r="D58">
            <v>1832.17</v>
          </cell>
          <cell r="E58">
            <v>0.79574</v>
          </cell>
          <cell r="F58">
            <v>0.35302</v>
          </cell>
          <cell r="G58">
            <v>5.9220000000000002E-2</v>
          </cell>
          <cell r="H58">
            <v>3.6733000000000002E-2</v>
          </cell>
          <cell r="I58">
            <v>0.48852000000000001</v>
          </cell>
          <cell r="J58">
            <v>0.71501000000000003</v>
          </cell>
          <cell r="K58">
            <v>1.2956300000000001</v>
          </cell>
        </row>
        <row r="59">
          <cell r="A59">
            <v>6</v>
          </cell>
          <cell r="B59">
            <v>33664</v>
          </cell>
          <cell r="C59">
            <v>5</v>
          </cell>
          <cell r="D59">
            <v>1891.93</v>
          </cell>
          <cell r="E59">
            <v>0.79276999999999997</v>
          </cell>
          <cell r="F59">
            <v>0.35160999999999998</v>
          </cell>
          <cell r="G59">
            <v>6.6100000000000006E-2</v>
          </cell>
          <cell r="H59">
            <v>4.1966999999999997E-2</v>
          </cell>
          <cell r="I59">
            <v>0.49135000000000001</v>
          </cell>
          <cell r="J59">
            <v>0.69511000000000001</v>
          </cell>
          <cell r="K59">
            <v>1.8515600000000001</v>
          </cell>
        </row>
        <row r="60">
          <cell r="A60">
            <v>6</v>
          </cell>
          <cell r="B60">
            <v>33756</v>
          </cell>
          <cell r="C60">
            <v>5</v>
          </cell>
          <cell r="D60">
            <v>1549.63</v>
          </cell>
          <cell r="E60">
            <v>0.99441000000000002</v>
          </cell>
          <cell r="F60">
            <v>0.43906000000000001</v>
          </cell>
          <cell r="G60">
            <v>8.7830000000000005E-2</v>
          </cell>
          <cell r="H60">
            <v>5.5821000000000003E-2</v>
          </cell>
          <cell r="I60">
            <v>0.62390000000000001</v>
          </cell>
          <cell r="J60">
            <v>0.90298999999999996</v>
          </cell>
          <cell r="K60">
            <v>1.70146</v>
          </cell>
        </row>
        <row r="61">
          <cell r="A61">
            <v>6</v>
          </cell>
          <cell r="B61">
            <v>33848</v>
          </cell>
          <cell r="C61">
            <v>5</v>
          </cell>
          <cell r="D61">
            <v>1932.02</v>
          </cell>
          <cell r="E61">
            <v>0.80788000000000004</v>
          </cell>
          <cell r="F61">
            <v>0.35052</v>
          </cell>
          <cell r="G61">
            <v>6.4180000000000001E-2</v>
          </cell>
          <cell r="H61">
            <v>3.6136000000000001E-2</v>
          </cell>
          <cell r="I61">
            <v>0.50372000000000006</v>
          </cell>
          <cell r="J61">
            <v>0.74390000000000001</v>
          </cell>
          <cell r="K61">
            <v>0.99363000000000001</v>
          </cell>
        </row>
        <row r="62">
          <cell r="A62">
            <v>6</v>
          </cell>
          <cell r="B62">
            <v>33939</v>
          </cell>
          <cell r="C62">
            <v>3</v>
          </cell>
          <cell r="D62">
            <v>2070.42</v>
          </cell>
          <cell r="E62">
            <v>0.65473000000000003</v>
          </cell>
          <cell r="F62">
            <v>0.27539999999999998</v>
          </cell>
          <cell r="G62">
            <v>5.3220000000000003E-2</v>
          </cell>
          <cell r="H62">
            <v>3.5429000000000002E-2</v>
          </cell>
          <cell r="I62">
            <v>0.42924000000000001</v>
          </cell>
          <cell r="J62">
            <v>0.55693000000000004</v>
          </cell>
          <cell r="K62">
            <v>1.8106</v>
          </cell>
        </row>
        <row r="63">
          <cell r="A63">
            <v>6</v>
          </cell>
          <cell r="B63">
            <v>34029</v>
          </cell>
          <cell r="C63">
            <v>3</v>
          </cell>
          <cell r="D63">
            <v>2433.08</v>
          </cell>
          <cell r="E63">
            <v>0.57513000000000003</v>
          </cell>
          <cell r="F63">
            <v>0.24203</v>
          </cell>
          <cell r="G63">
            <v>4.7320000000000001E-2</v>
          </cell>
          <cell r="H63">
            <v>3.1462999999999998E-2</v>
          </cell>
          <cell r="I63">
            <v>0.37492999999999999</v>
          </cell>
          <cell r="J63">
            <v>0.48875000000000002</v>
          </cell>
          <cell r="K63">
            <v>1.6956800000000001</v>
          </cell>
        </row>
        <row r="64">
          <cell r="A64">
            <v>6</v>
          </cell>
          <cell r="B64">
            <v>34121</v>
          </cell>
          <cell r="C64">
            <v>3</v>
          </cell>
          <cell r="D64">
            <v>3229.06</v>
          </cell>
          <cell r="E64">
            <v>0.45467000000000002</v>
          </cell>
          <cell r="F64">
            <v>0.19294</v>
          </cell>
          <cell r="G64">
            <v>4.0320000000000002E-2</v>
          </cell>
          <cell r="H64">
            <v>2.657E-2</v>
          </cell>
          <cell r="I64">
            <v>0.29877999999999999</v>
          </cell>
          <cell r="J64">
            <v>0.38238</v>
          </cell>
          <cell r="K64">
            <v>2.3817599999999999</v>
          </cell>
        </row>
        <row r="65">
          <cell r="A65">
            <v>6</v>
          </cell>
          <cell r="B65">
            <v>34213</v>
          </cell>
          <cell r="C65">
            <v>3</v>
          </cell>
          <cell r="D65">
            <v>4305.13</v>
          </cell>
          <cell r="E65">
            <v>0.36492000000000002</v>
          </cell>
          <cell r="F65">
            <v>0.15787000000000001</v>
          </cell>
          <cell r="G65">
            <v>3.8580000000000003E-2</v>
          </cell>
          <cell r="H65">
            <v>2.5527999999999999E-2</v>
          </cell>
          <cell r="I65">
            <v>0.23493</v>
          </cell>
          <cell r="J65">
            <v>0.28987000000000002</v>
          </cell>
          <cell r="K65">
            <v>3.1058400000000002</v>
          </cell>
        </row>
        <row r="66">
          <cell r="A66">
            <v>6</v>
          </cell>
          <cell r="B66">
            <v>34304</v>
          </cell>
          <cell r="C66">
            <v>4</v>
          </cell>
          <cell r="D66">
            <v>5140.46</v>
          </cell>
          <cell r="E66">
            <v>0.36787999999999998</v>
          </cell>
          <cell r="F66">
            <v>0.16020000000000001</v>
          </cell>
          <cell r="G66">
            <v>4.5240000000000002E-2</v>
          </cell>
          <cell r="H66">
            <v>2.9252E-2</v>
          </cell>
          <cell r="I66">
            <v>0.23755999999999999</v>
          </cell>
          <cell r="J66">
            <v>0.30808000000000002</v>
          </cell>
          <cell r="K66">
            <v>3.3764099999999999</v>
          </cell>
        </row>
        <row r="67">
          <cell r="A67">
            <v>6</v>
          </cell>
          <cell r="B67">
            <v>34394</v>
          </cell>
          <cell r="C67">
            <v>4</v>
          </cell>
          <cell r="D67">
            <v>5681.91</v>
          </cell>
          <cell r="E67">
            <v>0.36471999999999999</v>
          </cell>
          <cell r="F67">
            <v>0.16249</v>
          </cell>
          <cell r="G67">
            <v>5.2139999999999999E-2</v>
          </cell>
          <cell r="H67">
            <v>3.3425000000000003E-2</v>
          </cell>
          <cell r="I67">
            <v>0.22772000000000001</v>
          </cell>
          <cell r="J67">
            <v>0.27778000000000003</v>
          </cell>
          <cell r="K67">
            <v>1.5919700000000001</v>
          </cell>
        </row>
        <row r="68">
          <cell r="A68">
            <v>6</v>
          </cell>
          <cell r="B68">
            <v>34486</v>
          </cell>
          <cell r="C68">
            <v>4</v>
          </cell>
          <cell r="D68">
            <v>5910.28</v>
          </cell>
          <cell r="E68">
            <v>0.38815</v>
          </cell>
          <cell r="F68">
            <v>0.17609</v>
          </cell>
          <cell r="G68">
            <v>6.3409999999999994E-2</v>
          </cell>
          <cell r="H68">
            <v>4.1109E-2</v>
          </cell>
          <cell r="I68">
            <v>0.27195999999999998</v>
          </cell>
          <cell r="J68">
            <v>0.28545999999999999</v>
          </cell>
          <cell r="K68">
            <v>3.6648399999999999</v>
          </cell>
        </row>
        <row r="69">
          <cell r="A69">
            <v>6</v>
          </cell>
          <cell r="B69">
            <v>34578</v>
          </cell>
          <cell r="C69">
            <v>4</v>
          </cell>
          <cell r="D69">
            <v>6838.8</v>
          </cell>
          <cell r="E69">
            <v>0.36848999999999998</v>
          </cell>
          <cell r="F69">
            <v>0.17022000000000001</v>
          </cell>
          <cell r="G69">
            <v>6.5790000000000001E-2</v>
          </cell>
          <cell r="H69">
            <v>4.2956000000000001E-2</v>
          </cell>
          <cell r="I69">
            <v>0.25092999999999999</v>
          </cell>
          <cell r="J69">
            <v>0.26250000000000001</v>
          </cell>
          <cell r="K69">
            <v>1.37792</v>
          </cell>
        </row>
        <row r="70">
          <cell r="A70">
            <v>6</v>
          </cell>
          <cell r="B70">
            <v>34669</v>
          </cell>
          <cell r="C70">
            <v>5</v>
          </cell>
          <cell r="D70">
            <v>7220.61</v>
          </cell>
          <cell r="E70">
            <v>0.40222000000000002</v>
          </cell>
          <cell r="F70">
            <v>0.18967000000000001</v>
          </cell>
          <cell r="G70">
            <v>7.6590000000000005E-2</v>
          </cell>
          <cell r="H70">
            <v>5.0539000000000001E-2</v>
          </cell>
          <cell r="I70">
            <v>0.27611000000000002</v>
          </cell>
          <cell r="J70">
            <v>0.28311000000000003</v>
          </cell>
          <cell r="K70">
            <v>0.56274999999999997</v>
          </cell>
        </row>
        <row r="71">
          <cell r="A71">
            <v>6</v>
          </cell>
          <cell r="B71">
            <v>34759</v>
          </cell>
          <cell r="C71">
            <v>5</v>
          </cell>
          <cell r="D71">
            <v>9420.2099999999991</v>
          </cell>
          <cell r="E71">
            <v>0.34458</v>
          </cell>
          <cell r="F71">
            <v>0.16617999999999999</v>
          </cell>
          <cell r="G71">
            <v>6.8790000000000004E-2</v>
          </cell>
          <cell r="H71">
            <v>4.6259000000000002E-2</v>
          </cell>
          <cell r="I71">
            <v>0.22685</v>
          </cell>
          <cell r="J71">
            <v>0.22231999999999999</v>
          </cell>
          <cell r="K71">
            <v>-2.0801400000000001</v>
          </cell>
        </row>
        <row r="72">
          <cell r="A72">
            <v>6</v>
          </cell>
          <cell r="B72">
            <v>34851</v>
          </cell>
          <cell r="C72">
            <v>5</v>
          </cell>
          <cell r="D72">
            <v>13854.79</v>
          </cell>
          <cell r="E72">
            <v>0.26661000000000001</v>
          </cell>
          <cell r="F72">
            <v>0.129</v>
          </cell>
          <cell r="G72">
            <v>5.636E-2</v>
          </cell>
          <cell r="H72">
            <v>3.7656000000000002E-2</v>
          </cell>
          <cell r="I72">
            <v>0.17013</v>
          </cell>
          <cell r="J72">
            <v>0.18018000000000001</v>
          </cell>
          <cell r="K72">
            <v>3.4406500000000002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Contents"/>
      <sheetName val="Oil – Proved reserves"/>
      <sheetName val="Oil - proved reserves history"/>
      <sheetName val="Oil Production – barrels"/>
      <sheetName val="Oil Production – tonnes"/>
      <sheetName val="Oil Consumption – barrels"/>
      <sheetName val="Oil Consumption – tonnes"/>
      <sheetName val="Oil - Regional consumption "/>
      <sheetName val="Oil –  Spot crude prices"/>
      <sheetName val="Oil - crude prices since 1861"/>
      <sheetName val="Oil - Refinery capacities"/>
      <sheetName val="Oil - Refinery throughputs"/>
      <sheetName val="Oil - Regional refining margins"/>
      <sheetName val="Oil - Trade movements"/>
      <sheetName val="Oil - Inter-area movements "/>
      <sheetName val="Oil - Imports and exports"/>
      <sheetName val="Gas – Proved reserves"/>
      <sheetName val="Gas - Proved reserves history "/>
      <sheetName val="Gas Production – bcm"/>
      <sheetName val="Gas Production – bcf"/>
      <sheetName val="Gas Production – tonnes"/>
      <sheetName val="Gas Consumption – bcm"/>
      <sheetName val="Gas Consumption – bcf"/>
      <sheetName val="Gas Consumption – tonnes"/>
      <sheetName val="Gas – Trade movements "/>
      <sheetName val="Gas – Trade movements LNG"/>
      <sheetName val="Gas - Trade - pipeline"/>
      <sheetName val="Gas - Prices "/>
      <sheetName val="Coal - Reserves"/>
      <sheetName val="Coal - Prices"/>
      <sheetName val="Coal - Production tonnes"/>
      <sheetName val=" Coal - Production Mtoe"/>
      <sheetName val="Coal - Consumption Mtoe"/>
      <sheetName val="Nuclear Energy Consumption TWh"/>
      <sheetName val="Nuclear Energy Consumption Mtoe"/>
      <sheetName val="Hydro Consumption TWh"/>
      <sheetName val=" Hydro Consumption - tonnes "/>
      <sheetName val="Other renewables-Twh"/>
      <sheetName val="Other renewables-Mtoe"/>
      <sheetName val="Biofuels Production - barrels "/>
      <sheetName val="Biofuels Production - Ktoe"/>
      <sheetName val="Primary Energy - Consumption"/>
      <sheetName val="Primary Energy - Cons by fuel"/>
      <sheetName val="Electricity Generation "/>
      <sheetName val="Carbon Dioxide Emissions"/>
      <sheetName val="Geothermal capacity"/>
      <sheetName val="Solar capacity"/>
      <sheetName val="Wind capacity"/>
      <sheetName val="Approximate conversion factors"/>
      <sheetName val="Defini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ow r="5">
          <cell r="AU5">
            <v>849.44031578948193</v>
          </cell>
        </row>
      </sheetData>
      <sheetData sheetId="34"/>
      <sheetData sheetId="35">
        <row r="5">
          <cell r="AU5">
            <v>259.64815353535045</v>
          </cell>
        </row>
      </sheetData>
      <sheetData sheetId="36"/>
      <sheetData sheetId="37">
        <row r="5">
          <cell r="V5">
            <v>172.91287590643213</v>
          </cell>
        </row>
      </sheetData>
      <sheetData sheetId="38"/>
      <sheetData sheetId="39"/>
      <sheetData sheetId="40"/>
      <sheetData sheetId="41"/>
      <sheetData sheetId="42"/>
      <sheetData sheetId="43">
        <row r="5">
          <cell r="V5">
            <v>4325.9390000000003</v>
          </cell>
        </row>
      </sheetData>
      <sheetData sheetId="44"/>
      <sheetData sheetId="45"/>
      <sheetData sheetId="46"/>
      <sheetData sheetId="47"/>
      <sheetData sheetId="48"/>
      <sheetData sheetId="49"/>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ASP "/>
      <sheetName val="NA OUT"/>
      <sheetName val="WE OUT"/>
      <sheetName val="APAC OUT "/>
      <sheetName val="CALA OUT "/>
      <sheetName val="CEE OUT "/>
      <sheetName val="ROW OUT "/>
      <sheetName val="Exchange rates"/>
      <sheetName val="Exchange rates_history"/>
      <sheetName val="Pricing"/>
      <sheetName val="Pricing(NewFX)"/>
      <sheetName val="TEMPLATE"/>
      <sheetName val="Key metrics"/>
      <sheetName val="Vendor Metrics"/>
      <sheetName val="Vendor Tech and Region"/>
      <sheetName val="Regionals"/>
      <sheetName val="Output - OEM Projections"/>
      <sheetName val="Output - OEM Proj(NewFX)"/>
      <sheetName val="Global Sh by Tech Wksht"/>
      <sheetName val="NA"/>
      <sheetName val="US Share by Carrier"/>
      <sheetName val="NA TABLE"/>
      <sheetName val="USTABLE"/>
      <sheetName val="CANTABLE"/>
      <sheetName val="UMTS"/>
      <sheetName val="GLOBAL BY REGION BY PROTOCOL"/>
      <sheetName val="COJK - FORECAST BY REGION"/>
      <sheetName val="Quarterly Char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Nokia"/>
      <sheetName val="Motorola"/>
      <sheetName val="SEMC"/>
      <sheetName val="Samsung"/>
      <sheetName val="LG"/>
      <sheetName val="RIM"/>
      <sheetName val="Apple"/>
      <sheetName val="HTC"/>
      <sheetName val="Japanese"/>
      <sheetName val="Chinese"/>
      <sheetName val="Others"/>
      <sheetName val="Quarterly Charts"/>
      <sheetName val="Countries_Input"/>
      <sheetName val="WSS"/>
      <sheetName val="Value_step2-currentFX _OBSOLETE"/>
      <sheetName val="Value_share_ _OBSOLETE"/>
      <sheetName val="Countries"/>
      <sheetName val="Output"/>
      <sheetName val="Device Type Value FRCST"/>
      <sheetName val="Input- OEM FCST - Handsets"/>
      <sheetName val="Output - OEM FCST - Handsets"/>
      <sheetName val="Regionals"/>
      <sheetName val="Global Sh by Tech Wksht"/>
      <sheetName val="Value_step1"/>
      <sheetName val="Value_step2-historicalFX"/>
      <sheetName val="Output - OEM Proj(HistoricalFX)"/>
      <sheetName val="Exchange rates"/>
      <sheetName val="Exchange rates_history"/>
      <sheetName val="Flat File"/>
      <sheetName val="Flat File (2)"/>
      <sheetName val="Sheet1"/>
    </sheetNames>
    <sheetDataSet>
      <sheetData sheetId="0"/>
      <sheetData sheetId="1"/>
      <sheetData sheetId="2"/>
      <sheetData sheetId="3"/>
      <sheetData sheetId="4"/>
      <sheetData sheetId="5"/>
      <sheetData sheetId="6"/>
      <sheetData sheetId="7"/>
      <sheetData sheetId="8">
        <row r="237">
          <cell r="A237" t="str">
            <v>Kyocera</v>
          </cell>
        </row>
        <row r="238">
          <cell r="A238" t="str">
            <v>Shipments, millions</v>
          </cell>
        </row>
        <row r="239">
          <cell r="A239" t="str">
            <v>Net Sales (Billion Yen)</v>
          </cell>
        </row>
        <row r="240">
          <cell r="A240" t="str">
            <v>Operating Income(E)</v>
          </cell>
        </row>
        <row r="241">
          <cell r="A241" t="str">
            <v>Operating Margin (Loss)</v>
          </cell>
        </row>
        <row r="242">
          <cell r="A242" t="str">
            <v>Wholesale ASP</v>
          </cell>
        </row>
        <row r="243">
          <cell r="A243" t="str">
            <v>Wholesale ASP (USD)</v>
          </cell>
        </row>
        <row r="245">
          <cell r="A245" t="str">
            <v>Reported Revenue (Telecom Grp)</v>
          </cell>
        </row>
        <row r="248">
          <cell r="A248" t="str">
            <v>% Shipments by Technology</v>
          </cell>
        </row>
        <row r="249">
          <cell r="A249" t="str">
            <v>CDMA</v>
          </cell>
        </row>
        <row r="250">
          <cell r="A250" t="str">
            <v>GSM</v>
          </cell>
        </row>
        <row r="251">
          <cell r="A251" t="str">
            <v>WCDMA</v>
          </cell>
        </row>
        <row r="252">
          <cell r="A252" t="str">
            <v>PDC</v>
          </cell>
        </row>
        <row r="253">
          <cell r="A253" t="str">
            <v>Total</v>
          </cell>
        </row>
        <row r="255">
          <cell r="A255" t="str">
            <v>Unit Shipments by Technology</v>
          </cell>
        </row>
        <row r="256">
          <cell r="A256" t="str">
            <v>CDMA</v>
          </cell>
        </row>
        <row r="257">
          <cell r="A257" t="str">
            <v>GSM</v>
          </cell>
        </row>
        <row r="258">
          <cell r="A258" t="str">
            <v>WCDMA</v>
          </cell>
        </row>
        <row r="259">
          <cell r="A259" t="str">
            <v>Others</v>
          </cell>
        </row>
        <row r="260">
          <cell r="A260" t="str">
            <v>Total</v>
          </cell>
        </row>
        <row r="263">
          <cell r="A263" t="str">
            <v>% Shipments by Region</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Shipments by Region (mil)</v>
          </cell>
        </row>
        <row r="273">
          <cell r="A273" t="str">
            <v>N America</v>
          </cell>
        </row>
        <row r="274">
          <cell r="A274" t="str">
            <v>W Europe</v>
          </cell>
        </row>
        <row r="275">
          <cell r="A275" t="str">
            <v>APAC</v>
          </cell>
        </row>
        <row r="276">
          <cell r="A276" t="str">
            <v>CALA</v>
          </cell>
        </row>
        <row r="277">
          <cell r="A277" t="str">
            <v>C/E Europe</v>
          </cell>
        </row>
        <row r="278">
          <cell r="A278" t="str">
            <v>ROW</v>
          </cell>
        </row>
        <row r="281">
          <cell r="A281" t="str">
            <v>NA (mln)</v>
          </cell>
        </row>
        <row r="282">
          <cell r="A282" t="str">
            <v>GSM</v>
          </cell>
        </row>
        <row r="283">
          <cell r="A283" t="str">
            <v>UMTS</v>
          </cell>
        </row>
        <row r="284">
          <cell r="A284" t="str">
            <v>CDMA</v>
          </cell>
        </row>
        <row r="285">
          <cell r="A285" t="str">
            <v>Others</v>
          </cell>
        </row>
        <row r="286">
          <cell r="A286" t="str">
            <v>Total</v>
          </cell>
        </row>
        <row r="287">
          <cell r="A287" t="str">
            <v>NA  (%)</v>
          </cell>
        </row>
        <row r="288">
          <cell r="A288" t="str">
            <v>GSM</v>
          </cell>
        </row>
        <row r="289">
          <cell r="A289" t="str">
            <v>UMTS</v>
          </cell>
        </row>
        <row r="290">
          <cell r="A290" t="str">
            <v>CDMA</v>
          </cell>
        </row>
        <row r="291">
          <cell r="A291" t="str">
            <v>Others</v>
          </cell>
        </row>
        <row r="292">
          <cell r="A292" t="str">
            <v>Total</v>
          </cell>
        </row>
        <row r="293">
          <cell r="A293" t="str">
            <v>WE (mln)</v>
          </cell>
        </row>
        <row r="294">
          <cell r="A294" t="str">
            <v>GSM</v>
          </cell>
        </row>
        <row r="295">
          <cell r="A295" t="str">
            <v>UMTS</v>
          </cell>
        </row>
        <row r="296">
          <cell r="A296" t="str">
            <v>CDMA</v>
          </cell>
        </row>
        <row r="297">
          <cell r="A297" t="str">
            <v>Others</v>
          </cell>
        </row>
        <row r="299">
          <cell r="A299" t="str">
            <v>WE (%)</v>
          </cell>
        </row>
        <row r="300">
          <cell r="A300" t="str">
            <v>GSM</v>
          </cell>
        </row>
        <row r="301">
          <cell r="A301" t="str">
            <v>UMTS</v>
          </cell>
        </row>
        <row r="302">
          <cell r="A302" t="str">
            <v>CDMA</v>
          </cell>
        </row>
        <row r="303">
          <cell r="A303" t="str">
            <v>Others</v>
          </cell>
        </row>
        <row r="305">
          <cell r="A305" t="str">
            <v>APAC (mln)</v>
          </cell>
        </row>
        <row r="306">
          <cell r="A306" t="str">
            <v>GSM</v>
          </cell>
        </row>
        <row r="307">
          <cell r="A307" t="str">
            <v>UMTS</v>
          </cell>
        </row>
        <row r="308">
          <cell r="A308" t="str">
            <v>CDMA</v>
          </cell>
        </row>
        <row r="309">
          <cell r="A309" t="str">
            <v>Others</v>
          </cell>
        </row>
        <row r="310">
          <cell r="A310" t="str">
            <v>Total</v>
          </cell>
        </row>
        <row r="311">
          <cell r="A311" t="str">
            <v>APAC  (%)</v>
          </cell>
        </row>
        <row r="312">
          <cell r="A312" t="str">
            <v>GSM</v>
          </cell>
        </row>
        <row r="313">
          <cell r="A313" t="str">
            <v>UMTS</v>
          </cell>
        </row>
        <row r="314">
          <cell r="A314" t="str">
            <v>CDMA</v>
          </cell>
        </row>
        <row r="315">
          <cell r="A315" t="str">
            <v>Others</v>
          </cell>
        </row>
        <row r="316">
          <cell r="A316" t="str">
            <v>Total</v>
          </cell>
        </row>
        <row r="317">
          <cell r="A317" t="str">
            <v>CALA</v>
          </cell>
        </row>
        <row r="318">
          <cell r="A318" t="str">
            <v>GSM</v>
          </cell>
        </row>
        <row r="319">
          <cell r="A319" t="str">
            <v>UMTS</v>
          </cell>
        </row>
        <row r="320">
          <cell r="A320" t="str">
            <v>CDMA</v>
          </cell>
        </row>
        <row r="321">
          <cell r="A321" t="str">
            <v>Others</v>
          </cell>
        </row>
        <row r="322">
          <cell r="A322" t="str">
            <v>Total</v>
          </cell>
        </row>
        <row r="323">
          <cell r="A323" t="str">
            <v>CALA (%)</v>
          </cell>
        </row>
        <row r="324">
          <cell r="A324" t="str">
            <v>GSM</v>
          </cell>
        </row>
        <row r="325">
          <cell r="A325" t="str">
            <v>UMTS</v>
          </cell>
        </row>
        <row r="326">
          <cell r="A326" t="str">
            <v>CDMA</v>
          </cell>
        </row>
        <row r="327">
          <cell r="A327" t="str">
            <v>Others</v>
          </cell>
        </row>
        <row r="328">
          <cell r="A328" t="str">
            <v>Total</v>
          </cell>
        </row>
        <row r="329">
          <cell r="A329" t="str">
            <v>CEE (mln)</v>
          </cell>
        </row>
        <row r="330">
          <cell r="A330" t="str">
            <v>GSM</v>
          </cell>
        </row>
        <row r="331">
          <cell r="A331" t="str">
            <v>UMTS</v>
          </cell>
        </row>
        <row r="332">
          <cell r="A332" t="str">
            <v>CDMA</v>
          </cell>
        </row>
        <row r="333">
          <cell r="A333" t="str">
            <v>Others</v>
          </cell>
        </row>
        <row r="335">
          <cell r="A335" t="str">
            <v>CEE  (%)</v>
          </cell>
        </row>
        <row r="336">
          <cell r="A336" t="str">
            <v>GSM</v>
          </cell>
        </row>
        <row r="337">
          <cell r="A337" t="str">
            <v>UMTS</v>
          </cell>
        </row>
        <row r="338">
          <cell r="A338" t="str">
            <v>CDMA</v>
          </cell>
        </row>
        <row r="339">
          <cell r="A339" t="str">
            <v>Others</v>
          </cell>
        </row>
        <row r="341">
          <cell r="A341" t="str">
            <v>ROW</v>
          </cell>
        </row>
        <row r="342">
          <cell r="A342" t="str">
            <v>GSM</v>
          </cell>
        </row>
        <row r="343">
          <cell r="A343" t="str">
            <v>UMTS</v>
          </cell>
        </row>
        <row r="344">
          <cell r="A344" t="str">
            <v>CDMA</v>
          </cell>
        </row>
        <row r="345">
          <cell r="A345" t="str">
            <v>Others</v>
          </cell>
        </row>
        <row r="347">
          <cell r="A347" t="str">
            <v>ROW (%)</v>
          </cell>
        </row>
        <row r="348">
          <cell r="A348" t="str">
            <v>GSM</v>
          </cell>
        </row>
        <row r="349">
          <cell r="A349" t="str">
            <v>UMTS</v>
          </cell>
        </row>
        <row r="351">
          <cell r="A351" t="str">
            <v>Others</v>
          </cell>
        </row>
        <row r="353">
          <cell r="A353" t="str">
            <v>NEC</v>
          </cell>
        </row>
        <row r="354">
          <cell r="A354" t="str">
            <v>Shipments (Millions Of Units)</v>
          </cell>
        </row>
        <row r="355">
          <cell r="A355" t="str">
            <v>Net Sales (Billion Yen)</v>
          </cell>
        </row>
        <row r="356">
          <cell r="A356" t="str">
            <v>Operating Income(E)</v>
          </cell>
        </row>
        <row r="357">
          <cell r="A357" t="str">
            <v>Operating Margin (Loss)</v>
          </cell>
        </row>
        <row r="358">
          <cell r="A358" t="str">
            <v>Wholesale ASP</v>
          </cell>
        </row>
        <row r="359">
          <cell r="A359" t="str">
            <v>Wholesale ASP (USD)</v>
          </cell>
        </row>
        <row r="361">
          <cell r="A361" t="str">
            <v>NEC+Casio - Reported Revenue (Billions of Yen)</v>
          </cell>
        </row>
        <row r="362">
          <cell r="A362" t="str">
            <v>Calculated Wholesale ASP(Japanese Yen '000))</v>
          </cell>
        </row>
        <row r="365">
          <cell r="A365" t="str">
            <v>% Shipments by Technology</v>
          </cell>
        </row>
        <row r="366">
          <cell r="A366" t="str">
            <v>CDMA</v>
          </cell>
        </row>
        <row r="367">
          <cell r="A367" t="str">
            <v>GSM</v>
          </cell>
        </row>
        <row r="368">
          <cell r="A368" t="str">
            <v>WCDMA</v>
          </cell>
        </row>
        <row r="369">
          <cell r="A369" t="str">
            <v>PDC</v>
          </cell>
        </row>
        <row r="370">
          <cell r="A370" t="str">
            <v>LTE</v>
          </cell>
        </row>
        <row r="371">
          <cell r="A371" t="str">
            <v>Total</v>
          </cell>
        </row>
        <row r="373">
          <cell r="A373" t="str">
            <v>Unit Shipments by Technology</v>
          </cell>
        </row>
        <row r="374">
          <cell r="A374" t="str">
            <v>CDMA</v>
          </cell>
        </row>
        <row r="375">
          <cell r="A375" t="str">
            <v>GSM</v>
          </cell>
        </row>
        <row r="376">
          <cell r="A376" t="str">
            <v>WCDMA</v>
          </cell>
        </row>
        <row r="377">
          <cell r="A377" t="str">
            <v>Others</v>
          </cell>
        </row>
        <row r="378">
          <cell r="A378" t="str">
            <v>LTE</v>
          </cell>
        </row>
        <row r="379">
          <cell r="A379" t="str">
            <v>Total</v>
          </cell>
        </row>
        <row r="382">
          <cell r="A382" t="str">
            <v>% Shipments by Region</v>
          </cell>
        </row>
        <row r="383">
          <cell r="A383" t="str">
            <v>N America</v>
          </cell>
        </row>
        <row r="384">
          <cell r="A384" t="str">
            <v>W Europe</v>
          </cell>
        </row>
        <row r="385">
          <cell r="A385" t="str">
            <v>APAC</v>
          </cell>
        </row>
        <row r="386">
          <cell r="A386" t="str">
            <v>CALA</v>
          </cell>
        </row>
        <row r="387">
          <cell r="A387" t="str">
            <v>C/E Europe</v>
          </cell>
        </row>
        <row r="388">
          <cell r="A388" t="str">
            <v>ROW</v>
          </cell>
        </row>
        <row r="391">
          <cell r="A391" t="str">
            <v>Shipments by Region (mil)</v>
          </cell>
        </row>
        <row r="392">
          <cell r="A392" t="str">
            <v>N America</v>
          </cell>
        </row>
        <row r="393">
          <cell r="A393" t="str">
            <v>W Europe</v>
          </cell>
        </row>
        <row r="394">
          <cell r="A394" t="str">
            <v>APAC</v>
          </cell>
        </row>
        <row r="395">
          <cell r="A395" t="str">
            <v>CALA</v>
          </cell>
        </row>
        <row r="396">
          <cell r="A396" t="str">
            <v>C/E Europe</v>
          </cell>
        </row>
        <row r="397">
          <cell r="A397" t="str">
            <v>ROW</v>
          </cell>
        </row>
        <row r="400">
          <cell r="A400" t="str">
            <v>NA (mln)</v>
          </cell>
        </row>
        <row r="401">
          <cell r="A401" t="str">
            <v>GSM</v>
          </cell>
        </row>
        <row r="402">
          <cell r="A402" t="str">
            <v>UMTS</v>
          </cell>
        </row>
        <row r="403">
          <cell r="A403" t="str">
            <v>CDMA</v>
          </cell>
        </row>
        <row r="404">
          <cell r="A404" t="str">
            <v>Others</v>
          </cell>
        </row>
        <row r="406">
          <cell r="A406" t="str">
            <v>NA  (%)</v>
          </cell>
        </row>
        <row r="407">
          <cell r="A407" t="str">
            <v>GSM</v>
          </cell>
        </row>
        <row r="408">
          <cell r="A408" t="str">
            <v>UMTS</v>
          </cell>
        </row>
        <row r="409">
          <cell r="A409" t="str">
            <v>CDMA</v>
          </cell>
        </row>
        <row r="410">
          <cell r="A410" t="str">
            <v>Others</v>
          </cell>
        </row>
        <row r="412">
          <cell r="A412" t="str">
            <v>WE (mln)</v>
          </cell>
        </row>
        <row r="413">
          <cell r="A413" t="str">
            <v>GSM</v>
          </cell>
        </row>
        <row r="414">
          <cell r="A414" t="str">
            <v>UMTS</v>
          </cell>
        </row>
        <row r="415">
          <cell r="A415" t="str">
            <v>CDMA</v>
          </cell>
        </row>
        <row r="416">
          <cell r="A416" t="str">
            <v>Others</v>
          </cell>
        </row>
        <row r="418">
          <cell r="A418" t="str">
            <v>WE (%)</v>
          </cell>
        </row>
        <row r="419">
          <cell r="A419" t="str">
            <v>GSM</v>
          </cell>
        </row>
        <row r="420">
          <cell r="A420" t="str">
            <v>UMTS</v>
          </cell>
        </row>
        <row r="421">
          <cell r="A421" t="str">
            <v>CDMA</v>
          </cell>
        </row>
        <row r="422">
          <cell r="A422" t="str">
            <v>Others</v>
          </cell>
        </row>
        <row r="424">
          <cell r="A424" t="str">
            <v>APAC (mln)</v>
          </cell>
        </row>
        <row r="425">
          <cell r="A425" t="str">
            <v>GSM</v>
          </cell>
        </row>
        <row r="426">
          <cell r="A426" t="str">
            <v>UMTS</v>
          </cell>
        </row>
        <row r="427">
          <cell r="A427" t="str">
            <v>CDMA</v>
          </cell>
        </row>
        <row r="428">
          <cell r="A428" t="str">
            <v>LTE</v>
          </cell>
        </row>
        <row r="429">
          <cell r="A429" t="str">
            <v>Others</v>
          </cell>
        </row>
        <row r="430">
          <cell r="A430" t="str">
            <v>Total</v>
          </cell>
        </row>
        <row r="431">
          <cell r="A431" t="str">
            <v>APAC  (%)</v>
          </cell>
        </row>
        <row r="432">
          <cell r="A432" t="str">
            <v>GSM</v>
          </cell>
        </row>
        <row r="433">
          <cell r="A433" t="str">
            <v>UMTS</v>
          </cell>
        </row>
        <row r="434">
          <cell r="A434" t="str">
            <v>CDMA</v>
          </cell>
        </row>
        <row r="435">
          <cell r="A435" t="str">
            <v>LTE</v>
          </cell>
        </row>
        <row r="436">
          <cell r="A436" t="str">
            <v>Others</v>
          </cell>
        </row>
        <row r="437">
          <cell r="A437" t="str">
            <v>Total</v>
          </cell>
        </row>
        <row r="438">
          <cell r="A438" t="str">
            <v>CALA</v>
          </cell>
        </row>
        <row r="439">
          <cell r="A439" t="str">
            <v>GSM</v>
          </cell>
        </row>
        <row r="440">
          <cell r="A440" t="str">
            <v>UMTS</v>
          </cell>
        </row>
        <row r="441">
          <cell r="A441" t="str">
            <v>CDMA</v>
          </cell>
        </row>
        <row r="442">
          <cell r="A442" t="str">
            <v>Others</v>
          </cell>
        </row>
        <row r="444">
          <cell r="A444" t="str">
            <v>CALA (%)</v>
          </cell>
        </row>
        <row r="445">
          <cell r="A445" t="str">
            <v>GSM</v>
          </cell>
        </row>
        <row r="446">
          <cell r="A446" t="str">
            <v>UMTS</v>
          </cell>
        </row>
        <row r="447">
          <cell r="A447" t="str">
            <v>CDMA</v>
          </cell>
        </row>
        <row r="448">
          <cell r="A448" t="str">
            <v>Others</v>
          </cell>
        </row>
        <row r="450">
          <cell r="A450" t="str">
            <v>CEE (mln)</v>
          </cell>
        </row>
        <row r="451">
          <cell r="A451" t="str">
            <v>GSM</v>
          </cell>
        </row>
        <row r="452">
          <cell r="A452" t="str">
            <v>UMTS</v>
          </cell>
        </row>
        <row r="453">
          <cell r="A453" t="str">
            <v>CDMA</v>
          </cell>
        </row>
        <row r="454">
          <cell r="A454" t="str">
            <v>Others</v>
          </cell>
        </row>
        <row r="456">
          <cell r="A456" t="str">
            <v>CEE  (%)</v>
          </cell>
        </row>
        <row r="457">
          <cell r="A457" t="str">
            <v>GSM</v>
          </cell>
        </row>
        <row r="458">
          <cell r="A458" t="str">
            <v>UMTS</v>
          </cell>
        </row>
        <row r="459">
          <cell r="A459" t="str">
            <v>CDMA</v>
          </cell>
        </row>
        <row r="460">
          <cell r="A460" t="str">
            <v>Others</v>
          </cell>
        </row>
        <row r="462">
          <cell r="A462" t="str">
            <v>ROW</v>
          </cell>
        </row>
        <row r="463">
          <cell r="A463" t="str">
            <v>GSM</v>
          </cell>
        </row>
        <row r="464">
          <cell r="A464" t="str">
            <v>UMTS</v>
          </cell>
        </row>
        <row r="465">
          <cell r="A465" t="str">
            <v>CDMA</v>
          </cell>
        </row>
        <row r="466">
          <cell r="A466" t="str">
            <v>Others</v>
          </cell>
        </row>
        <row r="468">
          <cell r="A468" t="str">
            <v>ROW (%)</v>
          </cell>
        </row>
        <row r="469">
          <cell r="A469" t="str">
            <v>GSM</v>
          </cell>
        </row>
        <row r="470">
          <cell r="A470" t="str">
            <v>UMTS</v>
          </cell>
        </row>
        <row r="471">
          <cell r="A471" t="str">
            <v>CDMA</v>
          </cell>
        </row>
        <row r="472">
          <cell r="A472" t="str">
            <v>Others</v>
          </cell>
        </row>
        <row r="473">
          <cell r="A473" t="str">
            <v>Smartphone numbers</v>
          </cell>
        </row>
        <row r="474">
          <cell r="A474" t="str">
            <v>Linux (MOAP)</v>
          </cell>
        </row>
        <row r="475">
          <cell r="A475" t="str">
            <v>Japan Total</v>
          </cell>
        </row>
        <row r="476">
          <cell r="A476" t="str">
            <v>Japan - Docomo</v>
          </cell>
        </row>
        <row r="477">
          <cell r="A477" t="str">
            <v>Japan - Softbank</v>
          </cell>
        </row>
        <row r="478">
          <cell r="A478" t="str">
            <v>Japan - Au</v>
          </cell>
        </row>
        <row r="480">
          <cell r="A480" t="str">
            <v>Panasonic</v>
          </cell>
        </row>
        <row r="481">
          <cell r="A481" t="str">
            <v>Shipments, millions</v>
          </cell>
        </row>
        <row r="482">
          <cell r="A482" t="str">
            <v>Net Sales (Billion Yen)</v>
          </cell>
        </row>
        <row r="483">
          <cell r="A483" t="str">
            <v>Operating Income(E)</v>
          </cell>
        </row>
        <row r="484">
          <cell r="A484" t="str">
            <v>Operating Margin (Loss)</v>
          </cell>
        </row>
        <row r="485">
          <cell r="A485" t="str">
            <v>Wholesale ASP</v>
          </cell>
        </row>
        <row r="486">
          <cell r="A486" t="str">
            <v>Wholesale ASP (USD)</v>
          </cell>
        </row>
        <row r="488">
          <cell r="A488" t="str">
            <v>Panasonic Mobile Communications Reported Sales (Billions Yen)</v>
          </cell>
        </row>
        <row r="489">
          <cell r="A489" t="str">
            <v>Reported Operating Income (Billion Yen)</v>
          </cell>
        </row>
        <row r="490">
          <cell r="A490" t="str">
            <v>Operating Margin (Loss) %</v>
          </cell>
        </row>
        <row r="492">
          <cell r="A492" t="str">
            <v>% Shipments by Technology</v>
          </cell>
        </row>
        <row r="493">
          <cell r="A493" t="str">
            <v>CDMA</v>
          </cell>
        </row>
        <row r="494">
          <cell r="A494" t="str">
            <v>GSM</v>
          </cell>
        </row>
        <row r="495">
          <cell r="A495" t="str">
            <v>WCDMA</v>
          </cell>
        </row>
        <row r="496">
          <cell r="A496" t="str">
            <v>PDC</v>
          </cell>
        </row>
        <row r="497">
          <cell r="A497" t="str">
            <v>Total</v>
          </cell>
        </row>
        <row r="499">
          <cell r="A499" t="str">
            <v>Unit Shipments by Technology</v>
          </cell>
        </row>
        <row r="500">
          <cell r="A500" t="str">
            <v>CDMA</v>
          </cell>
        </row>
        <row r="501">
          <cell r="A501" t="str">
            <v>GSM</v>
          </cell>
        </row>
        <row r="502">
          <cell r="A502" t="str">
            <v>WCDMA</v>
          </cell>
        </row>
        <row r="503">
          <cell r="A503" t="str">
            <v>Others</v>
          </cell>
        </row>
        <row r="504">
          <cell r="A504" t="str">
            <v>Total</v>
          </cell>
        </row>
        <row r="507">
          <cell r="A507" t="str">
            <v>% Shipments by Region</v>
          </cell>
        </row>
        <row r="508">
          <cell r="A508" t="str">
            <v>N America</v>
          </cell>
        </row>
        <row r="509">
          <cell r="A509" t="str">
            <v>W Europe</v>
          </cell>
        </row>
        <row r="510">
          <cell r="A510" t="str">
            <v>APAC</v>
          </cell>
        </row>
        <row r="511">
          <cell r="A511" t="str">
            <v>CALA</v>
          </cell>
        </row>
        <row r="512">
          <cell r="A512" t="str">
            <v>C/E Europe</v>
          </cell>
        </row>
        <row r="513">
          <cell r="A513" t="str">
            <v>ROW</v>
          </cell>
          <cell r="AI513">
            <v>0</v>
          </cell>
        </row>
        <row r="516">
          <cell r="A516" t="str">
            <v>Shipments by Region (mil)</v>
          </cell>
        </row>
        <row r="517">
          <cell r="A517" t="str">
            <v>N America</v>
          </cell>
        </row>
        <row r="518">
          <cell r="A518" t="str">
            <v>W Europe</v>
          </cell>
        </row>
        <row r="519">
          <cell r="A519" t="str">
            <v>APAC</v>
          </cell>
        </row>
        <row r="520">
          <cell r="A520" t="str">
            <v>CALA</v>
          </cell>
        </row>
        <row r="521">
          <cell r="A521" t="str">
            <v>C/E Europe</v>
          </cell>
        </row>
        <row r="522">
          <cell r="A522" t="str">
            <v>ROW</v>
          </cell>
        </row>
        <row r="525">
          <cell r="A525" t="str">
            <v>NA (mln)</v>
          </cell>
        </row>
        <row r="526">
          <cell r="A526" t="str">
            <v>GSM</v>
          </cell>
        </row>
        <row r="527">
          <cell r="A527" t="str">
            <v>UMTS</v>
          </cell>
        </row>
        <row r="528">
          <cell r="A528" t="str">
            <v>CDMA</v>
          </cell>
        </row>
        <row r="529">
          <cell r="A529" t="str">
            <v>Others</v>
          </cell>
        </row>
        <row r="531">
          <cell r="A531" t="str">
            <v>NA  (%)</v>
          </cell>
        </row>
        <row r="532">
          <cell r="A532" t="str">
            <v>GSM</v>
          </cell>
        </row>
        <row r="533">
          <cell r="A533" t="str">
            <v>UMTS</v>
          </cell>
        </row>
        <row r="534">
          <cell r="A534" t="str">
            <v>CDMA</v>
          </cell>
        </row>
        <row r="535">
          <cell r="A535" t="str">
            <v>Others</v>
          </cell>
        </row>
        <row r="537">
          <cell r="A537" t="str">
            <v>WE (mln)</v>
          </cell>
        </row>
        <row r="538">
          <cell r="A538" t="str">
            <v>GSM</v>
          </cell>
        </row>
        <row r="539">
          <cell r="A539" t="str">
            <v>UMTS</v>
          </cell>
        </row>
        <row r="540">
          <cell r="A540" t="str">
            <v>CDMA</v>
          </cell>
        </row>
        <row r="541">
          <cell r="A541" t="str">
            <v>Others</v>
          </cell>
        </row>
        <row r="543">
          <cell r="A543" t="str">
            <v>WE (%)</v>
          </cell>
        </row>
        <row r="544">
          <cell r="A544" t="str">
            <v>GSM</v>
          </cell>
        </row>
        <row r="545">
          <cell r="A545" t="str">
            <v>UMTS</v>
          </cell>
        </row>
        <row r="546">
          <cell r="A546" t="str">
            <v>CDMA</v>
          </cell>
        </row>
        <row r="547">
          <cell r="A547" t="str">
            <v>Others</v>
          </cell>
        </row>
        <row r="549">
          <cell r="A549" t="str">
            <v>APAC (mln)</v>
          </cell>
        </row>
        <row r="550">
          <cell r="A550" t="str">
            <v>GSM</v>
          </cell>
        </row>
        <row r="551">
          <cell r="A551" t="str">
            <v>UMTS</v>
          </cell>
        </row>
        <row r="552">
          <cell r="A552" t="str">
            <v>CDMA</v>
          </cell>
        </row>
        <row r="553">
          <cell r="A553" t="str">
            <v>Others</v>
          </cell>
        </row>
        <row r="555">
          <cell r="A555" t="str">
            <v>APAC  (%)</v>
          </cell>
        </row>
        <row r="556">
          <cell r="A556" t="str">
            <v>GSM</v>
          </cell>
        </row>
        <row r="557">
          <cell r="A557" t="str">
            <v>UMTS</v>
          </cell>
        </row>
        <row r="558">
          <cell r="A558" t="str">
            <v>CDMA</v>
          </cell>
        </row>
        <row r="559">
          <cell r="A559" t="str">
            <v>Others</v>
          </cell>
        </row>
        <row r="561">
          <cell r="A561" t="str">
            <v>CALA</v>
          </cell>
        </row>
        <row r="562">
          <cell r="A562" t="str">
            <v>GSM</v>
          </cell>
        </row>
        <row r="563">
          <cell r="A563" t="str">
            <v>UMTS</v>
          </cell>
        </row>
        <row r="564">
          <cell r="A564" t="str">
            <v>CDMA</v>
          </cell>
        </row>
        <row r="565">
          <cell r="A565" t="str">
            <v>Others</v>
          </cell>
        </row>
        <row r="567">
          <cell r="A567" t="str">
            <v>CALA (%)</v>
          </cell>
        </row>
        <row r="568">
          <cell r="A568" t="str">
            <v>GSM</v>
          </cell>
        </row>
        <row r="569">
          <cell r="A569" t="str">
            <v>UMTS</v>
          </cell>
        </row>
        <row r="570">
          <cell r="A570" t="str">
            <v>CDMA</v>
          </cell>
        </row>
        <row r="571">
          <cell r="A571" t="str">
            <v>Others</v>
          </cell>
        </row>
        <row r="573">
          <cell r="A573" t="str">
            <v>CEE (mln)</v>
          </cell>
        </row>
        <row r="574">
          <cell r="A574" t="str">
            <v>GSM</v>
          </cell>
        </row>
        <row r="575">
          <cell r="A575" t="str">
            <v>UMTS</v>
          </cell>
        </row>
        <row r="576">
          <cell r="A576" t="str">
            <v>CDMA</v>
          </cell>
        </row>
        <row r="577">
          <cell r="A577" t="str">
            <v>Others</v>
          </cell>
        </row>
        <row r="579">
          <cell r="A579" t="str">
            <v>CEE  (%)</v>
          </cell>
        </row>
        <row r="580">
          <cell r="A580" t="str">
            <v>GSM</v>
          </cell>
        </row>
        <row r="581">
          <cell r="A581" t="str">
            <v>UMTS</v>
          </cell>
        </row>
        <row r="582">
          <cell r="A582" t="str">
            <v>CDMA</v>
          </cell>
        </row>
        <row r="583">
          <cell r="A583" t="str">
            <v>Others</v>
          </cell>
        </row>
        <row r="585">
          <cell r="A585" t="str">
            <v>ROW</v>
          </cell>
        </row>
        <row r="586">
          <cell r="A586" t="str">
            <v>GSM</v>
          </cell>
        </row>
        <row r="587">
          <cell r="A587" t="str">
            <v>UMTS</v>
          </cell>
        </row>
        <row r="588">
          <cell r="A588" t="str">
            <v>CDMA</v>
          </cell>
        </row>
        <row r="589">
          <cell r="A589" t="str">
            <v>Others</v>
          </cell>
        </row>
        <row r="591">
          <cell r="A591" t="str">
            <v>ROW (%)</v>
          </cell>
        </row>
        <row r="592">
          <cell r="A592" t="str">
            <v>GSM</v>
          </cell>
        </row>
        <row r="593">
          <cell r="A593" t="str">
            <v>UMTS</v>
          </cell>
        </row>
        <row r="594">
          <cell r="A594" t="str">
            <v>CDMA</v>
          </cell>
        </row>
        <row r="595">
          <cell r="A595" t="str">
            <v>Others</v>
          </cell>
        </row>
        <row r="596">
          <cell r="A596" t="str">
            <v>Smartphone numbers</v>
          </cell>
        </row>
        <row r="597">
          <cell r="A597" t="str">
            <v>Linux (MOAP)</v>
          </cell>
        </row>
        <row r="598">
          <cell r="A598" t="str">
            <v>Japan Total</v>
          </cell>
        </row>
        <row r="599">
          <cell r="A599" t="str">
            <v>Japan - Docomo</v>
          </cell>
        </row>
        <row r="600">
          <cell r="A600" t="str">
            <v>Japan - Softbank</v>
          </cell>
        </row>
        <row r="601">
          <cell r="A601" t="str">
            <v>Japan - Au</v>
          </cell>
        </row>
        <row r="603">
          <cell r="A603" t="str">
            <v>Mitsubishi</v>
          </cell>
        </row>
        <row r="604">
          <cell r="A604" t="str">
            <v>Shipments, millions</v>
          </cell>
        </row>
        <row r="605">
          <cell r="A605" t="str">
            <v>Net Sales (Billion Yen)</v>
          </cell>
        </row>
        <row r="606">
          <cell r="A606" t="str">
            <v>Operating Income(E)</v>
          </cell>
        </row>
        <row r="607">
          <cell r="A607" t="str">
            <v>Operating Margin (Loss)</v>
          </cell>
        </row>
        <row r="608">
          <cell r="A608" t="str">
            <v>Wholesale ASP</v>
          </cell>
        </row>
        <row r="609">
          <cell r="A609" t="str">
            <v>Wholesale ASP (USD)</v>
          </cell>
        </row>
        <row r="611">
          <cell r="A611" t="str">
            <v>% Shipments by Technology</v>
          </cell>
        </row>
        <row r="612">
          <cell r="A612" t="str">
            <v>CDMA</v>
          </cell>
        </row>
        <row r="613">
          <cell r="A613" t="str">
            <v>GSM</v>
          </cell>
        </row>
        <row r="614">
          <cell r="A614" t="str">
            <v>WCDMA</v>
          </cell>
        </row>
        <row r="615">
          <cell r="A615" t="str">
            <v>PDC</v>
          </cell>
        </row>
        <row r="616">
          <cell r="A616" t="str">
            <v>Total</v>
          </cell>
        </row>
        <row r="618">
          <cell r="A618" t="str">
            <v>Unit Shipments by Technology</v>
          </cell>
        </row>
        <row r="619">
          <cell r="A619" t="str">
            <v>CDMA</v>
          </cell>
        </row>
        <row r="620">
          <cell r="A620" t="str">
            <v>GSM</v>
          </cell>
        </row>
        <row r="621">
          <cell r="A621" t="str">
            <v>WCDMA</v>
          </cell>
        </row>
        <row r="622">
          <cell r="A622" t="str">
            <v>PDC</v>
          </cell>
        </row>
        <row r="623">
          <cell r="A623" t="str">
            <v>Total</v>
          </cell>
        </row>
        <row r="626">
          <cell r="A626" t="str">
            <v>% Shipments by Region</v>
          </cell>
        </row>
        <row r="627">
          <cell r="A627" t="str">
            <v>N America</v>
          </cell>
        </row>
        <row r="628">
          <cell r="A628" t="str">
            <v>W Europe</v>
          </cell>
        </row>
        <row r="629">
          <cell r="A629" t="str">
            <v>APAC</v>
          </cell>
        </row>
        <row r="630">
          <cell r="A630" t="str">
            <v>CALA</v>
          </cell>
        </row>
        <row r="631">
          <cell r="A631" t="str">
            <v>C/E Europe</v>
          </cell>
        </row>
        <row r="632">
          <cell r="A632" t="str">
            <v>ROW</v>
          </cell>
        </row>
        <row r="635">
          <cell r="A635" t="str">
            <v>Shipments by Region (mil)</v>
          </cell>
        </row>
        <row r="636">
          <cell r="A636" t="str">
            <v>N America</v>
          </cell>
        </row>
        <row r="637">
          <cell r="A637" t="str">
            <v>W Europe</v>
          </cell>
        </row>
        <row r="638">
          <cell r="A638" t="str">
            <v>APAC</v>
          </cell>
        </row>
        <row r="639">
          <cell r="A639" t="str">
            <v>CALA</v>
          </cell>
        </row>
        <row r="640">
          <cell r="A640" t="str">
            <v>C/E Europe</v>
          </cell>
        </row>
        <row r="641">
          <cell r="A641" t="str">
            <v>ROW</v>
          </cell>
        </row>
        <row r="642">
          <cell r="A642" t="str">
            <v>Total</v>
          </cell>
        </row>
        <row r="644">
          <cell r="A644" t="str">
            <v>NA (mln)</v>
          </cell>
        </row>
        <row r="645">
          <cell r="A645" t="str">
            <v>GSM</v>
          </cell>
        </row>
        <row r="646">
          <cell r="A646" t="str">
            <v>UMTS</v>
          </cell>
        </row>
        <row r="647">
          <cell r="A647" t="str">
            <v>CDMA</v>
          </cell>
        </row>
        <row r="648">
          <cell r="A648" t="str">
            <v>Others</v>
          </cell>
        </row>
        <row r="650">
          <cell r="A650" t="str">
            <v>NA  (%)</v>
          </cell>
        </row>
        <row r="651">
          <cell r="A651" t="str">
            <v>GSM</v>
          </cell>
        </row>
        <row r="652">
          <cell r="A652" t="str">
            <v>UMTS</v>
          </cell>
        </row>
        <row r="653">
          <cell r="A653" t="str">
            <v>CDMA</v>
          </cell>
        </row>
        <row r="654">
          <cell r="A654" t="str">
            <v>Others</v>
          </cell>
        </row>
        <row r="656">
          <cell r="A656" t="str">
            <v>WE (mln)</v>
          </cell>
        </row>
        <row r="657">
          <cell r="A657" t="str">
            <v>GSM</v>
          </cell>
        </row>
        <row r="658">
          <cell r="A658" t="str">
            <v>UMTS</v>
          </cell>
        </row>
        <row r="659">
          <cell r="A659" t="str">
            <v>CDMA</v>
          </cell>
        </row>
        <row r="660">
          <cell r="A660" t="str">
            <v>Others</v>
          </cell>
        </row>
        <row r="662">
          <cell r="A662" t="str">
            <v>WE (%)</v>
          </cell>
        </row>
        <row r="663">
          <cell r="A663" t="str">
            <v>GSM</v>
          </cell>
        </row>
        <row r="664">
          <cell r="A664" t="str">
            <v>UMTS</v>
          </cell>
        </row>
        <row r="665">
          <cell r="A665" t="str">
            <v>CDMA</v>
          </cell>
        </row>
        <row r="666">
          <cell r="A666" t="str">
            <v>Others</v>
          </cell>
        </row>
        <row r="668">
          <cell r="A668" t="str">
            <v>APAC (mln)</v>
          </cell>
        </row>
        <row r="669">
          <cell r="A669" t="str">
            <v>GSM</v>
          </cell>
        </row>
        <row r="670">
          <cell r="A670" t="str">
            <v>UMTS</v>
          </cell>
        </row>
        <row r="671">
          <cell r="A671" t="str">
            <v>CDMA</v>
          </cell>
        </row>
        <row r="672">
          <cell r="A672" t="str">
            <v>Others</v>
          </cell>
        </row>
        <row r="674">
          <cell r="A674" t="str">
            <v>APAC  (%)</v>
          </cell>
        </row>
        <row r="675">
          <cell r="A675" t="str">
            <v>GSM</v>
          </cell>
        </row>
        <row r="676">
          <cell r="A676" t="str">
            <v>UMTS</v>
          </cell>
        </row>
        <row r="677">
          <cell r="A677" t="str">
            <v>CDMA</v>
          </cell>
        </row>
        <row r="678">
          <cell r="A678" t="str">
            <v>Others</v>
          </cell>
        </row>
        <row r="680">
          <cell r="A680" t="str">
            <v>CALA</v>
          </cell>
        </row>
        <row r="681">
          <cell r="A681" t="str">
            <v>GSM</v>
          </cell>
        </row>
        <row r="682">
          <cell r="A682" t="str">
            <v>UMTS</v>
          </cell>
        </row>
        <row r="683">
          <cell r="A683" t="str">
            <v>CDMA</v>
          </cell>
        </row>
        <row r="684">
          <cell r="A684" t="str">
            <v>Others</v>
          </cell>
        </row>
        <row r="686">
          <cell r="A686" t="str">
            <v>CALA (%)</v>
          </cell>
        </row>
        <row r="687">
          <cell r="A687" t="str">
            <v>GSM</v>
          </cell>
        </row>
        <row r="688">
          <cell r="A688" t="str">
            <v>UMTS</v>
          </cell>
        </row>
        <row r="689">
          <cell r="A689" t="str">
            <v>CDMA</v>
          </cell>
        </row>
        <row r="690">
          <cell r="A690" t="str">
            <v>Others</v>
          </cell>
        </row>
        <row r="692">
          <cell r="A692" t="str">
            <v>CEE (mln)</v>
          </cell>
        </row>
        <row r="693">
          <cell r="A693" t="str">
            <v>GSM</v>
          </cell>
        </row>
        <row r="694">
          <cell r="A694" t="str">
            <v>UMTS</v>
          </cell>
        </row>
        <row r="695">
          <cell r="A695" t="str">
            <v>CDMA</v>
          </cell>
        </row>
        <row r="696">
          <cell r="A696" t="str">
            <v>Others</v>
          </cell>
        </row>
        <row r="698">
          <cell r="A698" t="str">
            <v>CEE  (%)</v>
          </cell>
        </row>
        <row r="699">
          <cell r="A699" t="str">
            <v>GSM</v>
          </cell>
        </row>
        <row r="700">
          <cell r="A700" t="str">
            <v>UMTS</v>
          </cell>
        </row>
        <row r="701">
          <cell r="A701" t="str">
            <v>CDMA</v>
          </cell>
        </row>
        <row r="702">
          <cell r="A702" t="str">
            <v>Others</v>
          </cell>
        </row>
        <row r="704">
          <cell r="A704" t="str">
            <v>ROW</v>
          </cell>
        </row>
        <row r="705">
          <cell r="A705" t="str">
            <v>GSM</v>
          </cell>
        </row>
        <row r="706">
          <cell r="A706" t="str">
            <v>UMTS</v>
          </cell>
        </row>
        <row r="707">
          <cell r="A707" t="str">
            <v>CDMA</v>
          </cell>
        </row>
      </sheetData>
      <sheetData sheetId="9">
        <row r="115">
          <cell r="A115" t="str">
            <v>Lenovo</v>
          </cell>
        </row>
        <row r="116">
          <cell r="A116" t="str">
            <v>Shipments, millions</v>
          </cell>
        </row>
        <row r="117">
          <cell r="A117" t="str">
            <v>Net Sales (USD)</v>
          </cell>
        </row>
        <row r="118">
          <cell r="A118" t="str">
            <v>Operating Income(E)</v>
          </cell>
        </row>
        <row r="119">
          <cell r="A119" t="str">
            <v>Operating Margin (Loss)</v>
          </cell>
        </row>
        <row r="120">
          <cell r="A120" t="str">
            <v>Wholesale ASP</v>
          </cell>
        </row>
        <row r="121">
          <cell r="A121" t="str">
            <v>Smartphones</v>
          </cell>
        </row>
        <row r="123">
          <cell r="A123" t="str">
            <v>% Shipments by Technology</v>
          </cell>
        </row>
        <row r="124">
          <cell r="A124" t="str">
            <v>CDMA</v>
          </cell>
        </row>
        <row r="125">
          <cell r="A125" t="str">
            <v>GSM</v>
          </cell>
        </row>
        <row r="126">
          <cell r="A126" t="str">
            <v>WCDMA</v>
          </cell>
        </row>
        <row r="127">
          <cell r="A127" t="str">
            <v>TD-SCDMA</v>
          </cell>
        </row>
        <row r="128">
          <cell r="A128" t="str">
            <v>PDC</v>
          </cell>
        </row>
        <row r="129">
          <cell r="A129" t="str">
            <v>Others</v>
          </cell>
        </row>
        <row r="130">
          <cell r="A130" t="str">
            <v>Total</v>
          </cell>
        </row>
        <row r="132">
          <cell r="A132" t="str">
            <v>Unit Shipments by Technology</v>
          </cell>
        </row>
        <row r="133">
          <cell r="A133" t="str">
            <v>CDMA</v>
          </cell>
        </row>
        <row r="134">
          <cell r="A134" t="str">
            <v>GSM</v>
          </cell>
        </row>
        <row r="135">
          <cell r="A135" t="str">
            <v>WCDMA</v>
          </cell>
        </row>
        <row r="136">
          <cell r="A136" t="str">
            <v>TD-SCDMA</v>
          </cell>
        </row>
        <row r="137">
          <cell r="A137" t="str">
            <v>PDC</v>
          </cell>
        </row>
        <row r="138">
          <cell r="A138" t="str">
            <v>Others</v>
          </cell>
        </row>
        <row r="139">
          <cell r="A139" t="str">
            <v>Total</v>
          </cell>
        </row>
        <row r="141">
          <cell r="A141" t="str">
            <v>% Shipments by Region</v>
          </cell>
        </row>
        <row r="142">
          <cell r="A142" t="str">
            <v>N America</v>
          </cell>
        </row>
        <row r="143">
          <cell r="A143" t="str">
            <v>W Europe</v>
          </cell>
        </row>
        <row r="144">
          <cell r="A144" t="str">
            <v>APAC</v>
          </cell>
        </row>
        <row r="145">
          <cell r="A145" t="str">
            <v>CALA</v>
          </cell>
        </row>
        <row r="146">
          <cell r="A146" t="str">
            <v>C/E Europe</v>
          </cell>
        </row>
        <row r="147">
          <cell r="A147" t="str">
            <v>ROW</v>
          </cell>
        </row>
        <row r="148">
          <cell r="A148" t="str">
            <v>Total</v>
          </cell>
        </row>
        <row r="150">
          <cell r="A150" t="str">
            <v>Shipments by Region (mil)</v>
          </cell>
        </row>
        <row r="151">
          <cell r="A151" t="str">
            <v>N America</v>
          </cell>
        </row>
        <row r="152">
          <cell r="A152" t="str">
            <v>W Europe</v>
          </cell>
        </row>
        <row r="153">
          <cell r="A153" t="str">
            <v>APAC</v>
          </cell>
        </row>
        <row r="154">
          <cell r="A154" t="str">
            <v>CALA</v>
          </cell>
        </row>
        <row r="155">
          <cell r="A155" t="str">
            <v>C/E Europe</v>
          </cell>
        </row>
        <row r="156">
          <cell r="A156" t="str">
            <v>ROW</v>
          </cell>
        </row>
        <row r="157">
          <cell r="A157" t="str">
            <v>Total</v>
          </cell>
        </row>
        <row r="159">
          <cell r="A159" t="str">
            <v>NA (mln)</v>
          </cell>
        </row>
        <row r="160">
          <cell r="A160" t="str">
            <v>GSM</v>
          </cell>
        </row>
        <row r="161">
          <cell r="A161" t="str">
            <v>UMTS</v>
          </cell>
        </row>
        <row r="162">
          <cell r="A162" t="str">
            <v>CDMA</v>
          </cell>
        </row>
        <row r="163">
          <cell r="A163" t="str">
            <v>Others</v>
          </cell>
        </row>
        <row r="165">
          <cell r="A165" t="str">
            <v>NA  (%)</v>
          </cell>
        </row>
        <row r="166">
          <cell r="A166" t="str">
            <v>GSM</v>
          </cell>
        </row>
        <row r="167">
          <cell r="A167" t="str">
            <v>UMTS</v>
          </cell>
        </row>
        <row r="168">
          <cell r="A168" t="str">
            <v>CDMA</v>
          </cell>
        </row>
        <row r="169">
          <cell r="A169" t="str">
            <v>Others</v>
          </cell>
        </row>
        <row r="171">
          <cell r="A171" t="str">
            <v>WE (mln)</v>
          </cell>
        </row>
        <row r="172">
          <cell r="A172" t="str">
            <v>GSM</v>
          </cell>
        </row>
        <row r="173">
          <cell r="A173" t="str">
            <v>UMTS</v>
          </cell>
        </row>
        <row r="174">
          <cell r="A174" t="str">
            <v>CDMA</v>
          </cell>
        </row>
        <row r="175">
          <cell r="A175" t="str">
            <v>Others</v>
          </cell>
        </row>
        <row r="177">
          <cell r="A177" t="str">
            <v>WE (%)</v>
          </cell>
        </row>
        <row r="178">
          <cell r="A178" t="str">
            <v>GSM</v>
          </cell>
        </row>
        <row r="179">
          <cell r="A179" t="str">
            <v>UMTS</v>
          </cell>
        </row>
        <row r="180">
          <cell r="A180" t="str">
            <v>CDMA</v>
          </cell>
        </row>
        <row r="181">
          <cell r="A181" t="str">
            <v>Others</v>
          </cell>
        </row>
        <row r="183">
          <cell r="A183" t="str">
            <v>APAC (mln)</v>
          </cell>
        </row>
        <row r="184">
          <cell r="A184" t="str">
            <v>GSM</v>
          </cell>
        </row>
        <row r="185">
          <cell r="A185" t="str">
            <v>UMTS</v>
          </cell>
        </row>
        <row r="186">
          <cell r="A186" t="str">
            <v>CDMA</v>
          </cell>
        </row>
        <row r="187">
          <cell r="A187" t="str">
            <v>Others</v>
          </cell>
        </row>
        <row r="189">
          <cell r="A189" t="str">
            <v>APAC  (%)</v>
          </cell>
        </row>
        <row r="190">
          <cell r="A190" t="str">
            <v>GSM</v>
          </cell>
        </row>
        <row r="191">
          <cell r="A191" t="str">
            <v>UMTS</v>
          </cell>
        </row>
        <row r="192">
          <cell r="A192" t="str">
            <v>CDMA</v>
          </cell>
        </row>
        <row r="193">
          <cell r="A193" t="str">
            <v>Others</v>
          </cell>
        </row>
        <row r="195">
          <cell r="A195" t="str">
            <v>CALA</v>
          </cell>
        </row>
        <row r="196">
          <cell r="A196" t="str">
            <v>GSM</v>
          </cell>
        </row>
        <row r="197">
          <cell r="A197" t="str">
            <v>UMTS</v>
          </cell>
        </row>
        <row r="198">
          <cell r="A198" t="str">
            <v>CDMA</v>
          </cell>
        </row>
        <row r="199">
          <cell r="A199" t="str">
            <v>Others</v>
          </cell>
        </row>
        <row r="201">
          <cell r="A201" t="str">
            <v>CALA (%)</v>
          </cell>
        </row>
        <row r="202">
          <cell r="A202" t="str">
            <v>GSM</v>
          </cell>
        </row>
        <row r="203">
          <cell r="A203" t="str">
            <v>UMTS</v>
          </cell>
        </row>
        <row r="204">
          <cell r="A204" t="str">
            <v>CDMA</v>
          </cell>
        </row>
        <row r="205">
          <cell r="A205" t="str">
            <v>Others</v>
          </cell>
        </row>
        <row r="207">
          <cell r="A207" t="str">
            <v>CEE (mln)</v>
          </cell>
        </row>
        <row r="208">
          <cell r="A208" t="str">
            <v>GSM</v>
          </cell>
        </row>
        <row r="209">
          <cell r="A209" t="str">
            <v>UMTS</v>
          </cell>
        </row>
        <row r="210">
          <cell r="A210" t="str">
            <v>CDMA</v>
          </cell>
        </row>
        <row r="211">
          <cell r="A211" t="str">
            <v>Others</v>
          </cell>
        </row>
        <row r="213">
          <cell r="A213" t="str">
            <v>CEE  (%)</v>
          </cell>
        </row>
        <row r="214">
          <cell r="A214" t="str">
            <v>GSM</v>
          </cell>
        </row>
        <row r="215">
          <cell r="A215" t="str">
            <v>UMTS</v>
          </cell>
        </row>
        <row r="216">
          <cell r="A216" t="str">
            <v>CDMA</v>
          </cell>
        </row>
        <row r="217">
          <cell r="A217" t="str">
            <v>Others</v>
          </cell>
        </row>
        <row r="219">
          <cell r="A219" t="str">
            <v>ROW</v>
          </cell>
        </row>
        <row r="220">
          <cell r="A220" t="str">
            <v>GSM</v>
          </cell>
        </row>
        <row r="221">
          <cell r="A221" t="str">
            <v>UMTS</v>
          </cell>
        </row>
        <row r="222">
          <cell r="A222" t="str">
            <v>CDMA</v>
          </cell>
        </row>
        <row r="223">
          <cell r="A223" t="str">
            <v>Others</v>
          </cell>
        </row>
        <row r="225">
          <cell r="A225" t="str">
            <v>ROW (%)</v>
          </cell>
        </row>
        <row r="226">
          <cell r="A226" t="str">
            <v>GSM</v>
          </cell>
        </row>
        <row r="227">
          <cell r="A227" t="str">
            <v>UMTS</v>
          </cell>
        </row>
        <row r="228">
          <cell r="A228" t="str">
            <v>CDMA</v>
          </cell>
        </row>
        <row r="229">
          <cell r="A229" t="str">
            <v>Others</v>
          </cell>
        </row>
        <row r="231">
          <cell r="A231" t="str">
            <v>UTStarcom/PCD</v>
          </cell>
        </row>
        <row r="232">
          <cell r="A232" t="str">
            <v>Shipments, millions</v>
          </cell>
        </row>
        <row r="233">
          <cell r="A233" t="str">
            <v>Net Sales (Billion Yen)</v>
          </cell>
        </row>
        <row r="234">
          <cell r="A234" t="str">
            <v>Operating Income(E)</v>
          </cell>
        </row>
        <row r="235">
          <cell r="A235" t="str">
            <v>Operating Margin (Loss)</v>
          </cell>
        </row>
        <row r="236">
          <cell r="A236" t="str">
            <v>Wholesale ASP</v>
          </cell>
        </row>
        <row r="237">
          <cell r="A237" t="str">
            <v>Seasonality</v>
          </cell>
        </row>
        <row r="239">
          <cell r="A239" t="str">
            <v>% Shipments by Technology</v>
          </cell>
        </row>
        <row r="240">
          <cell r="A240" t="str">
            <v>CDMA</v>
          </cell>
        </row>
        <row r="241">
          <cell r="A241" t="str">
            <v>GSM</v>
          </cell>
        </row>
        <row r="242">
          <cell r="A242" t="str">
            <v>WCDMA</v>
          </cell>
        </row>
        <row r="243">
          <cell r="A243" t="str">
            <v>PDC</v>
          </cell>
        </row>
        <row r="244">
          <cell r="A244" t="str">
            <v>Total</v>
          </cell>
        </row>
        <row r="246">
          <cell r="A246" t="str">
            <v>Unit Shipments by Technology</v>
          </cell>
        </row>
        <row r="247">
          <cell r="A247" t="str">
            <v>CDMA</v>
          </cell>
        </row>
        <row r="248">
          <cell r="A248" t="str">
            <v>GSM</v>
          </cell>
        </row>
        <row r="249">
          <cell r="A249" t="str">
            <v>WCDMA</v>
          </cell>
        </row>
        <row r="250">
          <cell r="A250" t="str">
            <v>Others</v>
          </cell>
        </row>
        <row r="251">
          <cell r="A251" t="str">
            <v>Total</v>
          </cell>
        </row>
        <row r="254">
          <cell r="A254" t="str">
            <v>% Shipments by Region</v>
          </cell>
        </row>
        <row r="255">
          <cell r="A255" t="str">
            <v>N America</v>
          </cell>
        </row>
        <row r="256">
          <cell r="A256" t="str">
            <v>W Europe</v>
          </cell>
        </row>
        <row r="257">
          <cell r="A257" t="str">
            <v>APAC</v>
          </cell>
        </row>
        <row r="258">
          <cell r="A258" t="str">
            <v>CALA</v>
          </cell>
        </row>
        <row r="259">
          <cell r="A259" t="str">
            <v>C/E Europe</v>
          </cell>
        </row>
        <row r="260">
          <cell r="A260" t="str">
            <v>ROW</v>
          </cell>
        </row>
        <row r="263">
          <cell r="A263" t="str">
            <v>Shipments by Region (mil)</v>
          </cell>
        </row>
        <row r="264">
          <cell r="A264" t="str">
            <v>N America</v>
          </cell>
        </row>
        <row r="265">
          <cell r="A265" t="str">
            <v>W Europe</v>
          </cell>
        </row>
        <row r="266">
          <cell r="A266" t="str">
            <v>APAC</v>
          </cell>
        </row>
        <row r="267">
          <cell r="A267" t="str">
            <v>CALA</v>
          </cell>
        </row>
        <row r="268">
          <cell r="A268" t="str">
            <v>C/E Europe</v>
          </cell>
        </row>
        <row r="269">
          <cell r="A269" t="str">
            <v>ROW</v>
          </cell>
        </row>
        <row r="272">
          <cell r="A272" t="str">
            <v>NA (mln)</v>
          </cell>
        </row>
        <row r="273">
          <cell r="A273" t="str">
            <v>GSM</v>
          </cell>
        </row>
        <row r="274">
          <cell r="A274" t="str">
            <v>UMTS</v>
          </cell>
        </row>
        <row r="275">
          <cell r="A275" t="str">
            <v>CDMA</v>
          </cell>
        </row>
        <row r="276">
          <cell r="A276" t="str">
            <v>Others</v>
          </cell>
        </row>
        <row r="278">
          <cell r="A278" t="str">
            <v>NA  (%)</v>
          </cell>
        </row>
        <row r="279">
          <cell r="A279" t="str">
            <v>GSM</v>
          </cell>
        </row>
        <row r="280">
          <cell r="A280" t="str">
            <v>UMTS</v>
          </cell>
        </row>
        <row r="281">
          <cell r="A281" t="str">
            <v>CDMA</v>
          </cell>
        </row>
        <row r="282">
          <cell r="A282" t="str">
            <v>Others</v>
          </cell>
        </row>
        <row r="284">
          <cell r="A284" t="str">
            <v>WE (mln)</v>
          </cell>
        </row>
        <row r="285">
          <cell r="A285" t="str">
            <v>GSM</v>
          </cell>
        </row>
        <row r="286">
          <cell r="A286" t="str">
            <v>UMTS</v>
          </cell>
        </row>
        <row r="287">
          <cell r="A287" t="str">
            <v>CDMA</v>
          </cell>
        </row>
        <row r="288">
          <cell r="A288" t="str">
            <v>Others</v>
          </cell>
        </row>
        <row r="290">
          <cell r="A290" t="str">
            <v>WE (%)</v>
          </cell>
        </row>
        <row r="291">
          <cell r="A291" t="str">
            <v>GSM</v>
          </cell>
        </row>
        <row r="292">
          <cell r="A292" t="str">
            <v>UMTS</v>
          </cell>
        </row>
        <row r="293">
          <cell r="A293" t="str">
            <v>CDMA</v>
          </cell>
        </row>
        <row r="294">
          <cell r="A294" t="str">
            <v>Others</v>
          </cell>
        </row>
        <row r="296">
          <cell r="A296" t="str">
            <v>APAC (mln)</v>
          </cell>
        </row>
        <row r="297">
          <cell r="A297" t="str">
            <v>GSM</v>
          </cell>
        </row>
        <row r="298">
          <cell r="A298" t="str">
            <v>UMTS</v>
          </cell>
        </row>
        <row r="299">
          <cell r="A299" t="str">
            <v>CDMA</v>
          </cell>
        </row>
        <row r="300">
          <cell r="A300" t="str">
            <v>Others</v>
          </cell>
        </row>
        <row r="302">
          <cell r="A302" t="str">
            <v>APAC  (%)</v>
          </cell>
        </row>
        <row r="303">
          <cell r="A303" t="str">
            <v>GSM</v>
          </cell>
        </row>
        <row r="304">
          <cell r="A304" t="str">
            <v>UMTS</v>
          </cell>
        </row>
        <row r="305">
          <cell r="A305" t="str">
            <v>CDMA</v>
          </cell>
        </row>
        <row r="306">
          <cell r="A306" t="str">
            <v>Others</v>
          </cell>
        </row>
        <row r="308">
          <cell r="A308" t="str">
            <v>CALA</v>
          </cell>
        </row>
        <row r="309">
          <cell r="A309" t="str">
            <v>GSM</v>
          </cell>
        </row>
        <row r="310">
          <cell r="A310" t="str">
            <v>UMTS</v>
          </cell>
        </row>
        <row r="311">
          <cell r="A311" t="str">
            <v>CDMA</v>
          </cell>
        </row>
        <row r="312">
          <cell r="A312" t="str">
            <v>Others</v>
          </cell>
        </row>
        <row r="314">
          <cell r="A314" t="str">
            <v>CALA (%)</v>
          </cell>
        </row>
        <row r="315">
          <cell r="A315" t="str">
            <v>GSM</v>
          </cell>
        </row>
        <row r="316">
          <cell r="A316" t="str">
            <v>UMTS</v>
          </cell>
        </row>
        <row r="317">
          <cell r="A317" t="str">
            <v>CDMA</v>
          </cell>
        </row>
        <row r="318">
          <cell r="A318" t="str">
            <v>Others</v>
          </cell>
        </row>
        <row r="320">
          <cell r="A320" t="str">
            <v>CEE (mln)</v>
          </cell>
        </row>
        <row r="321">
          <cell r="A321" t="str">
            <v>GSM</v>
          </cell>
        </row>
        <row r="322">
          <cell r="A322" t="str">
            <v>UMTS</v>
          </cell>
        </row>
        <row r="323">
          <cell r="A323" t="str">
            <v>CDMA</v>
          </cell>
        </row>
        <row r="324">
          <cell r="A324" t="str">
            <v>Others</v>
          </cell>
        </row>
        <row r="326">
          <cell r="A326" t="str">
            <v>CEE  (%)</v>
          </cell>
        </row>
        <row r="327">
          <cell r="A327" t="str">
            <v>GSM</v>
          </cell>
        </row>
        <row r="328">
          <cell r="A328" t="str">
            <v>UMTS</v>
          </cell>
        </row>
        <row r="329">
          <cell r="A329" t="str">
            <v>CDMA</v>
          </cell>
        </row>
        <row r="330">
          <cell r="A330" t="str">
            <v>Others</v>
          </cell>
        </row>
        <row r="332">
          <cell r="A332" t="str">
            <v>ROW</v>
          </cell>
        </row>
        <row r="333">
          <cell r="A333" t="str">
            <v>GSM</v>
          </cell>
        </row>
        <row r="334">
          <cell r="A334" t="str">
            <v>UMTS</v>
          </cell>
        </row>
        <row r="335">
          <cell r="A335" t="str">
            <v>CDMA</v>
          </cell>
        </row>
        <row r="336">
          <cell r="A336" t="str">
            <v>Others</v>
          </cell>
        </row>
        <row r="338">
          <cell r="A338" t="str">
            <v>ROW (%)</v>
          </cell>
        </row>
        <row r="339">
          <cell r="A339" t="str">
            <v>GSM</v>
          </cell>
        </row>
        <row r="340">
          <cell r="A340" t="str">
            <v>UMTS</v>
          </cell>
        </row>
        <row r="341">
          <cell r="A341" t="str">
            <v>CDMA</v>
          </cell>
        </row>
        <row r="342">
          <cell r="A342" t="str">
            <v>Others</v>
          </cell>
        </row>
        <row r="344">
          <cell r="A344" t="str">
            <v>Alcatel/TCL</v>
          </cell>
        </row>
        <row r="345">
          <cell r="A345" t="str">
            <v>Shipments, millions</v>
          </cell>
        </row>
        <row r="346">
          <cell r="A346" t="str">
            <v>Net Sales (HK US$, Millions)</v>
          </cell>
        </row>
        <row r="347">
          <cell r="A347" t="str">
            <v>Net Sales (US$, Millions)</v>
          </cell>
        </row>
        <row r="348">
          <cell r="A348" t="str">
            <v>Operating Income (%)</v>
          </cell>
        </row>
        <row r="349">
          <cell r="A349" t="str">
            <v>Operating Margin (Loss) (HK$, Millions</v>
          </cell>
        </row>
        <row r="350">
          <cell r="A350" t="str">
            <v>Operating Margin (Loss) (US$, Millions</v>
          </cell>
        </row>
        <row r="351">
          <cell r="A351" t="str">
            <v>Wholesale ASP (HK$)</v>
          </cell>
        </row>
        <row r="352">
          <cell r="A352" t="str">
            <v>Wholesale ASP (US$)</v>
          </cell>
        </row>
        <row r="353">
          <cell r="A353" t="str">
            <v>Seasonality</v>
          </cell>
        </row>
        <row r="355">
          <cell r="A355" t="str">
            <v>% Shipments by Technology</v>
          </cell>
        </row>
        <row r="356">
          <cell r="A356" t="str">
            <v>CDMA</v>
          </cell>
        </row>
        <row r="357">
          <cell r="A357" t="str">
            <v>GSM</v>
          </cell>
        </row>
        <row r="358">
          <cell r="A358" t="str">
            <v>WCDMA</v>
          </cell>
        </row>
        <row r="359">
          <cell r="A359" t="str">
            <v>PDC</v>
          </cell>
        </row>
        <row r="360">
          <cell r="A360" t="str">
            <v>Total</v>
          </cell>
        </row>
        <row r="362">
          <cell r="A362" t="str">
            <v>Unit Shipments by Technology</v>
          </cell>
        </row>
        <row r="363">
          <cell r="A363" t="str">
            <v>CDMA</v>
          </cell>
        </row>
        <row r="364">
          <cell r="A364" t="str">
            <v>GSM</v>
          </cell>
        </row>
        <row r="365">
          <cell r="A365" t="str">
            <v>WCDMA</v>
          </cell>
        </row>
        <row r="366">
          <cell r="A366" t="str">
            <v>TD-SCDMA</v>
          </cell>
        </row>
        <row r="367">
          <cell r="A367" t="str">
            <v>Total</v>
          </cell>
        </row>
        <row r="370">
          <cell r="A370" t="str">
            <v>% Shipments by Region</v>
          </cell>
        </row>
        <row r="371">
          <cell r="A371" t="str">
            <v>N America</v>
          </cell>
        </row>
        <row r="372">
          <cell r="A372" t="str">
            <v>W Europe</v>
          </cell>
        </row>
        <row r="373">
          <cell r="A373" t="str">
            <v>APAC</v>
          </cell>
        </row>
        <row r="374">
          <cell r="A374" t="str">
            <v>CALA</v>
          </cell>
        </row>
        <row r="375">
          <cell r="A375" t="str">
            <v>C/E Europe</v>
          </cell>
        </row>
        <row r="376">
          <cell r="A376" t="str">
            <v>ROW</v>
          </cell>
        </row>
        <row r="379">
          <cell r="A379" t="str">
            <v>Shipments by Region (mil)</v>
          </cell>
        </row>
        <row r="380">
          <cell r="A380" t="str">
            <v>N America</v>
          </cell>
        </row>
        <row r="381">
          <cell r="A381" t="str">
            <v>W Europe</v>
          </cell>
        </row>
        <row r="382">
          <cell r="A382" t="str">
            <v>APAC</v>
          </cell>
        </row>
        <row r="383">
          <cell r="A383" t="str">
            <v>CALA</v>
          </cell>
        </row>
        <row r="384">
          <cell r="A384" t="str">
            <v>C/E Europe</v>
          </cell>
        </row>
        <row r="385">
          <cell r="A385" t="str">
            <v>ROW</v>
          </cell>
        </row>
        <row r="386">
          <cell r="A386" t="str">
            <v>Total</v>
          </cell>
        </row>
        <row r="387">
          <cell r="A387" t="str">
            <v>China</v>
          </cell>
        </row>
        <row r="389">
          <cell r="A389" t="str">
            <v>NA (mln)</v>
          </cell>
        </row>
        <row r="390">
          <cell r="A390" t="str">
            <v>GSM</v>
          </cell>
        </row>
        <row r="391">
          <cell r="A391" t="str">
            <v>UMTS</v>
          </cell>
        </row>
        <row r="392">
          <cell r="A392" t="str">
            <v>CDMA</v>
          </cell>
        </row>
        <row r="393">
          <cell r="A393" t="str">
            <v>Others</v>
          </cell>
        </row>
        <row r="394">
          <cell r="A394" t="str">
            <v>Total</v>
          </cell>
        </row>
        <row r="395">
          <cell r="A395" t="str">
            <v>NA  (%)</v>
          </cell>
        </row>
        <row r="396">
          <cell r="A396" t="str">
            <v>GSM</v>
          </cell>
        </row>
        <row r="397">
          <cell r="A397" t="str">
            <v>UMTS</v>
          </cell>
        </row>
        <row r="398">
          <cell r="A398" t="str">
            <v>CDMA</v>
          </cell>
        </row>
        <row r="399">
          <cell r="A399" t="str">
            <v>Others</v>
          </cell>
        </row>
        <row r="400">
          <cell r="A400" t="str">
            <v>Total</v>
          </cell>
        </row>
        <row r="401">
          <cell r="A401" t="str">
            <v>WE (mln)</v>
          </cell>
        </row>
        <row r="402">
          <cell r="A402" t="str">
            <v>GSM</v>
          </cell>
        </row>
        <row r="403">
          <cell r="A403" t="str">
            <v>UMTS</v>
          </cell>
        </row>
        <row r="404">
          <cell r="A404" t="str">
            <v>CDMA</v>
          </cell>
        </row>
        <row r="405">
          <cell r="A405" t="str">
            <v>Others</v>
          </cell>
        </row>
        <row r="406">
          <cell r="A406" t="str">
            <v>Total</v>
          </cell>
        </row>
        <row r="407">
          <cell r="A407" t="str">
            <v>WE (%)</v>
          </cell>
        </row>
        <row r="408">
          <cell r="A408" t="str">
            <v>GSM</v>
          </cell>
        </row>
        <row r="409">
          <cell r="A409" t="str">
            <v>UMTS</v>
          </cell>
        </row>
        <row r="410">
          <cell r="A410" t="str">
            <v>CDMA</v>
          </cell>
        </row>
        <row r="411">
          <cell r="A411" t="str">
            <v>Others</v>
          </cell>
        </row>
        <row r="412">
          <cell r="A412" t="str">
            <v>Total</v>
          </cell>
        </row>
        <row r="413">
          <cell r="A413" t="str">
            <v>APAC (mln)</v>
          </cell>
        </row>
        <row r="414">
          <cell r="A414" t="str">
            <v>GSM</v>
          </cell>
        </row>
        <row r="415">
          <cell r="A415" t="str">
            <v>UMTS</v>
          </cell>
        </row>
        <row r="416">
          <cell r="A416" t="str">
            <v>CDMA</v>
          </cell>
        </row>
        <row r="417">
          <cell r="A417" t="str">
            <v>TD-SCDMA</v>
          </cell>
        </row>
        <row r="418">
          <cell r="A418" t="str">
            <v>Total</v>
          </cell>
        </row>
        <row r="419">
          <cell r="A419" t="str">
            <v>APAC  (%)</v>
          </cell>
        </row>
        <row r="420">
          <cell r="A420" t="str">
            <v>GSM</v>
          </cell>
        </row>
        <row r="421">
          <cell r="A421" t="str">
            <v>UMTS</v>
          </cell>
        </row>
        <row r="422">
          <cell r="A422" t="str">
            <v>CDMA</v>
          </cell>
        </row>
        <row r="423">
          <cell r="A423" t="str">
            <v>TD-SCDMA</v>
          </cell>
        </row>
        <row r="424">
          <cell r="A424" t="str">
            <v>Total</v>
          </cell>
        </row>
        <row r="425">
          <cell r="A425" t="str">
            <v>CALA</v>
          </cell>
        </row>
        <row r="426">
          <cell r="A426" t="str">
            <v>GSM</v>
          </cell>
        </row>
        <row r="427">
          <cell r="A427" t="str">
            <v>UMTS</v>
          </cell>
        </row>
        <row r="428">
          <cell r="A428" t="str">
            <v>CDMA</v>
          </cell>
        </row>
        <row r="429">
          <cell r="A429" t="str">
            <v>Others</v>
          </cell>
        </row>
        <row r="430">
          <cell r="A430" t="str">
            <v>Total</v>
          </cell>
        </row>
        <row r="431">
          <cell r="A431" t="str">
            <v>CALA (%)</v>
          </cell>
        </row>
        <row r="432">
          <cell r="A432" t="str">
            <v>GSM</v>
          </cell>
        </row>
        <row r="433">
          <cell r="A433" t="str">
            <v>UMTS</v>
          </cell>
        </row>
        <row r="434">
          <cell r="A434" t="str">
            <v>CDMA</v>
          </cell>
        </row>
        <row r="435">
          <cell r="A435" t="str">
            <v>Others</v>
          </cell>
        </row>
        <row r="436">
          <cell r="A436" t="str">
            <v>Total</v>
          </cell>
        </row>
        <row r="437">
          <cell r="A437" t="str">
            <v>CEE (mln)</v>
          </cell>
        </row>
        <row r="438">
          <cell r="A438" t="str">
            <v>GSM</v>
          </cell>
        </row>
        <row r="439">
          <cell r="A439" t="str">
            <v>UMTS</v>
          </cell>
        </row>
        <row r="440">
          <cell r="A440" t="str">
            <v>CDMA</v>
          </cell>
        </row>
        <row r="441">
          <cell r="A441" t="str">
            <v>Others</v>
          </cell>
        </row>
        <row r="442">
          <cell r="A442" t="str">
            <v>Total</v>
          </cell>
        </row>
        <row r="443">
          <cell r="A443" t="str">
            <v>CEE  (%)</v>
          </cell>
        </row>
        <row r="444">
          <cell r="A444" t="str">
            <v>GSM</v>
          </cell>
        </row>
        <row r="445">
          <cell r="A445" t="str">
            <v>UMTS</v>
          </cell>
        </row>
        <row r="446">
          <cell r="A446" t="str">
            <v>CDMA</v>
          </cell>
        </row>
        <row r="447">
          <cell r="A447" t="str">
            <v>Others</v>
          </cell>
        </row>
        <row r="448">
          <cell r="A448" t="str">
            <v>Total</v>
          </cell>
        </row>
        <row r="449">
          <cell r="A449" t="str">
            <v>ROW</v>
          </cell>
        </row>
        <row r="450">
          <cell r="A450" t="str">
            <v>GSM</v>
          </cell>
        </row>
        <row r="451">
          <cell r="A451" t="str">
            <v>UMTS</v>
          </cell>
        </row>
        <row r="452">
          <cell r="A452" t="str">
            <v>CDMA</v>
          </cell>
        </row>
        <row r="453">
          <cell r="A453" t="str">
            <v>Others</v>
          </cell>
        </row>
        <row r="454">
          <cell r="A454" t="str">
            <v>Total</v>
          </cell>
        </row>
        <row r="455">
          <cell r="A455" t="str">
            <v>ROW (%)</v>
          </cell>
        </row>
        <row r="456">
          <cell r="A456" t="str">
            <v>GSM</v>
          </cell>
        </row>
        <row r="457">
          <cell r="A457" t="str">
            <v>UMTS</v>
          </cell>
        </row>
        <row r="458">
          <cell r="A458" t="str">
            <v>CDMA</v>
          </cell>
        </row>
        <row r="459">
          <cell r="A459" t="str">
            <v>Others</v>
          </cell>
        </row>
        <row r="460">
          <cell r="A460" t="str">
            <v>Total</v>
          </cell>
        </row>
        <row r="463">
          <cell r="A463" t="str">
            <v>GSM</v>
          </cell>
        </row>
        <row r="464">
          <cell r="A464" t="str">
            <v>UMTS</v>
          </cell>
        </row>
        <row r="465">
          <cell r="A465" t="str">
            <v>CDMA</v>
          </cell>
        </row>
        <row r="466">
          <cell r="A466" t="str">
            <v>Others</v>
          </cell>
        </row>
        <row r="467">
          <cell r="A467" t="str">
            <v>Total</v>
          </cell>
        </row>
        <row r="468">
          <cell r="A468" t="str">
            <v>Smartphones AS (HK$)</v>
          </cell>
        </row>
        <row r="469">
          <cell r="A469" t="str">
            <v>Smartphones</v>
          </cell>
        </row>
        <row r="470">
          <cell r="A470" t="str">
            <v>Smartphones Revenue (Millions, HK$)</v>
          </cell>
        </row>
        <row r="472">
          <cell r="A472" t="str">
            <v>Shipments by Region (mil)</v>
          </cell>
        </row>
        <row r="473">
          <cell r="A473" t="str">
            <v>N America</v>
          </cell>
        </row>
        <row r="474">
          <cell r="A474" t="str">
            <v>W Europe</v>
          </cell>
        </row>
        <row r="475">
          <cell r="A475" t="str">
            <v>APAC</v>
          </cell>
        </row>
        <row r="476">
          <cell r="A476" t="str">
            <v>CALA</v>
          </cell>
        </row>
        <row r="477">
          <cell r="A477" t="str">
            <v>C/E Europe</v>
          </cell>
        </row>
        <row r="478">
          <cell r="A478" t="str">
            <v>ROW</v>
          </cell>
        </row>
        <row r="479">
          <cell r="A479" t="str">
            <v>Total</v>
          </cell>
        </row>
        <row r="480">
          <cell r="A480" t="str">
            <v>China</v>
          </cell>
        </row>
        <row r="483">
          <cell r="A483" t="str">
            <v>Shipments by Region (mil)</v>
          </cell>
        </row>
        <row r="484">
          <cell r="A484" t="str">
            <v>N America</v>
          </cell>
        </row>
        <row r="485">
          <cell r="A485" t="str">
            <v>W Europe</v>
          </cell>
        </row>
        <row r="486">
          <cell r="A486" t="str">
            <v>APAC</v>
          </cell>
        </row>
        <row r="487">
          <cell r="A487" t="str">
            <v>CALA</v>
          </cell>
        </row>
        <row r="488">
          <cell r="A488" t="str">
            <v>C/E Europe</v>
          </cell>
        </row>
        <row r="489">
          <cell r="A489" t="str">
            <v>ROW</v>
          </cell>
        </row>
        <row r="490">
          <cell r="A490" t="str">
            <v>Total</v>
          </cell>
        </row>
        <row r="491">
          <cell r="A491" t="str">
            <v>China</v>
          </cell>
        </row>
        <row r="496">
          <cell r="A496" t="str">
            <v>Philips</v>
          </cell>
        </row>
        <row r="497">
          <cell r="A497" t="str">
            <v>Shipments, millions</v>
          </cell>
        </row>
        <row r="498">
          <cell r="A498" t="str">
            <v>Net Sales (Billion Yen)</v>
          </cell>
        </row>
        <row r="499">
          <cell r="A499" t="str">
            <v>Operating Income(E)</v>
          </cell>
        </row>
        <row r="500">
          <cell r="A500" t="str">
            <v>Operating Margin (Loss)</v>
          </cell>
        </row>
        <row r="501">
          <cell r="A501" t="str">
            <v>Wholesale ASP</v>
          </cell>
        </row>
        <row r="502">
          <cell r="A502" t="str">
            <v>Seasonality</v>
          </cell>
        </row>
        <row r="504">
          <cell r="A504" t="str">
            <v>% Shipments by Technology</v>
          </cell>
        </row>
        <row r="505">
          <cell r="A505" t="str">
            <v>CDMA</v>
          </cell>
        </row>
        <row r="506">
          <cell r="A506" t="str">
            <v>GSM</v>
          </cell>
        </row>
        <row r="507">
          <cell r="A507" t="str">
            <v>WCDMA</v>
          </cell>
        </row>
        <row r="508">
          <cell r="A508" t="str">
            <v>PDC</v>
          </cell>
        </row>
        <row r="509">
          <cell r="A509" t="str">
            <v>Total</v>
          </cell>
        </row>
        <row r="511">
          <cell r="A511" t="str">
            <v>Unit Shipments by Technology</v>
          </cell>
        </row>
        <row r="512">
          <cell r="A512" t="str">
            <v>CDMA</v>
          </cell>
        </row>
        <row r="513">
          <cell r="A513" t="str">
            <v>GSM</v>
          </cell>
        </row>
        <row r="514">
          <cell r="A514" t="str">
            <v>WCDMA</v>
          </cell>
        </row>
        <row r="515">
          <cell r="A515" t="str">
            <v>TD-SCDMA</v>
          </cell>
        </row>
        <row r="516">
          <cell r="A516" t="str">
            <v>Total</v>
          </cell>
        </row>
        <row r="519">
          <cell r="A519" t="str">
            <v>% Shipments by Region</v>
          </cell>
        </row>
        <row r="520">
          <cell r="A520" t="str">
            <v>N America</v>
          </cell>
        </row>
        <row r="521">
          <cell r="A521" t="str">
            <v>W Europe</v>
          </cell>
        </row>
        <row r="522">
          <cell r="A522" t="str">
            <v>APAC</v>
          </cell>
        </row>
        <row r="523">
          <cell r="A523" t="str">
            <v>CALA</v>
          </cell>
        </row>
        <row r="524">
          <cell r="A524" t="str">
            <v>C/E Europe</v>
          </cell>
        </row>
        <row r="525">
          <cell r="A525" t="str">
            <v>ROW</v>
          </cell>
        </row>
        <row r="528">
          <cell r="A528" t="str">
            <v>Shipments by Region (mil)</v>
          </cell>
        </row>
        <row r="529">
          <cell r="A529" t="str">
            <v>N America</v>
          </cell>
        </row>
        <row r="530">
          <cell r="A530" t="str">
            <v>W Europe</v>
          </cell>
        </row>
        <row r="531">
          <cell r="A531" t="str">
            <v>APAC</v>
          </cell>
        </row>
        <row r="532">
          <cell r="A532" t="str">
            <v>CALA</v>
          </cell>
        </row>
        <row r="533">
          <cell r="A533" t="str">
            <v>C/E Europe</v>
          </cell>
        </row>
        <row r="534">
          <cell r="A534" t="str">
            <v>ROW</v>
          </cell>
        </row>
        <row r="535">
          <cell r="A535" t="str">
            <v>Total</v>
          </cell>
        </row>
        <row r="537">
          <cell r="A537" t="str">
            <v>NA (mln)</v>
          </cell>
        </row>
        <row r="538">
          <cell r="A538" t="str">
            <v>GSM</v>
          </cell>
        </row>
        <row r="539">
          <cell r="A539" t="str">
            <v>UMTS</v>
          </cell>
        </row>
        <row r="540">
          <cell r="A540" t="str">
            <v>CDMA</v>
          </cell>
        </row>
        <row r="541">
          <cell r="A541" t="str">
            <v>Others</v>
          </cell>
        </row>
        <row r="543">
          <cell r="A543" t="str">
            <v>NA  (%)</v>
          </cell>
        </row>
        <row r="544">
          <cell r="A544" t="str">
            <v>GSM</v>
          </cell>
        </row>
        <row r="545">
          <cell r="A545" t="str">
            <v>UMTS</v>
          </cell>
        </row>
        <row r="546">
          <cell r="A546" t="str">
            <v>CDMA</v>
          </cell>
        </row>
        <row r="547">
          <cell r="A547" t="str">
            <v>Others</v>
          </cell>
        </row>
        <row r="549">
          <cell r="A549" t="str">
            <v>WE (mln)</v>
          </cell>
        </row>
        <row r="550">
          <cell r="A550" t="str">
            <v>GSM</v>
          </cell>
        </row>
        <row r="551">
          <cell r="A551" t="str">
            <v>UMTS</v>
          </cell>
        </row>
        <row r="552">
          <cell r="A552" t="str">
            <v>CDMA</v>
          </cell>
        </row>
        <row r="553">
          <cell r="A553" t="str">
            <v>Others</v>
          </cell>
        </row>
        <row r="555">
          <cell r="A555" t="str">
            <v>WE (%)</v>
          </cell>
        </row>
        <row r="556">
          <cell r="A556" t="str">
            <v>GSM</v>
          </cell>
        </row>
        <row r="557">
          <cell r="A557" t="str">
            <v>UMTS</v>
          </cell>
        </row>
        <row r="558">
          <cell r="A558" t="str">
            <v>CDMA</v>
          </cell>
        </row>
        <row r="559">
          <cell r="A559" t="str">
            <v>Others</v>
          </cell>
        </row>
        <row r="561">
          <cell r="A561" t="str">
            <v>APAC (mln)</v>
          </cell>
        </row>
        <row r="562">
          <cell r="A562" t="str">
            <v>GSM</v>
          </cell>
        </row>
        <row r="563">
          <cell r="A563" t="str">
            <v>UMTS</v>
          </cell>
        </row>
        <row r="564">
          <cell r="A564" t="str">
            <v>CDMA</v>
          </cell>
        </row>
        <row r="565">
          <cell r="A565" t="str">
            <v>Others</v>
          </cell>
        </row>
        <row r="567">
          <cell r="A567" t="str">
            <v>APAC  (%)</v>
          </cell>
        </row>
        <row r="568">
          <cell r="A568" t="str">
            <v>GSM</v>
          </cell>
        </row>
        <row r="569">
          <cell r="A569" t="str">
            <v>UMTS</v>
          </cell>
        </row>
        <row r="570">
          <cell r="A570" t="str">
            <v>CDMA</v>
          </cell>
        </row>
        <row r="571">
          <cell r="A571" t="str">
            <v>Others</v>
          </cell>
        </row>
        <row r="573">
          <cell r="A573" t="str">
            <v>CALA</v>
          </cell>
        </row>
        <row r="574">
          <cell r="A574" t="str">
            <v>GSM</v>
          </cell>
        </row>
        <row r="575">
          <cell r="A575" t="str">
            <v>UMTS</v>
          </cell>
        </row>
        <row r="576">
          <cell r="A576" t="str">
            <v>CDMA</v>
          </cell>
        </row>
        <row r="577">
          <cell r="A577" t="str">
            <v>Others</v>
          </cell>
        </row>
        <row r="579">
          <cell r="A579" t="str">
            <v>CALA (%)</v>
          </cell>
        </row>
        <row r="580">
          <cell r="A580" t="str">
            <v>GSM</v>
          </cell>
        </row>
        <row r="581">
          <cell r="A581" t="str">
            <v>UMTS</v>
          </cell>
        </row>
        <row r="582">
          <cell r="A582" t="str">
            <v>CDMA</v>
          </cell>
        </row>
        <row r="583">
          <cell r="A583" t="str">
            <v>Others</v>
          </cell>
        </row>
        <row r="585">
          <cell r="A585" t="str">
            <v>CEE (mln)</v>
          </cell>
        </row>
        <row r="586">
          <cell r="A586" t="str">
            <v>GSM</v>
          </cell>
        </row>
        <row r="587">
          <cell r="A587" t="str">
            <v>UMTS</v>
          </cell>
        </row>
        <row r="588">
          <cell r="A588" t="str">
            <v>CDMA</v>
          </cell>
        </row>
        <row r="589">
          <cell r="A589" t="str">
            <v>Others</v>
          </cell>
        </row>
        <row r="591">
          <cell r="A591" t="str">
            <v>CEE  (%)</v>
          </cell>
        </row>
        <row r="592">
          <cell r="A592" t="str">
            <v>GSM</v>
          </cell>
        </row>
        <row r="593">
          <cell r="A593" t="str">
            <v>UMTS</v>
          </cell>
        </row>
        <row r="594">
          <cell r="A594" t="str">
            <v>CDMA</v>
          </cell>
        </row>
        <row r="595">
          <cell r="A595" t="str">
            <v>Others</v>
          </cell>
        </row>
        <row r="597">
          <cell r="A597" t="str">
            <v>ROW</v>
          </cell>
        </row>
        <row r="598">
          <cell r="A598" t="str">
            <v>GSM</v>
          </cell>
        </row>
        <row r="599">
          <cell r="A599" t="str">
            <v>UMTS</v>
          </cell>
        </row>
        <row r="600">
          <cell r="A600" t="str">
            <v>CDMA</v>
          </cell>
        </row>
        <row r="601">
          <cell r="A601" t="str">
            <v>Others</v>
          </cell>
        </row>
        <row r="603">
          <cell r="A603" t="str">
            <v>ROW (%)</v>
          </cell>
        </row>
        <row r="604">
          <cell r="A604" t="str">
            <v>GSM</v>
          </cell>
        </row>
        <row r="605">
          <cell r="A605" t="str">
            <v>UMTS</v>
          </cell>
        </row>
        <row r="606">
          <cell r="A606" t="str">
            <v>CDMA</v>
          </cell>
        </row>
        <row r="607">
          <cell r="A607" t="str">
            <v>Others</v>
          </cell>
        </row>
        <row r="609">
          <cell r="A609" t="str">
            <v>TCL</v>
          </cell>
        </row>
        <row r="610">
          <cell r="A610" t="str">
            <v>Shipments, millions</v>
          </cell>
        </row>
        <row r="611">
          <cell r="A611" t="str">
            <v>Net Sales (Billion Yen)</v>
          </cell>
        </row>
        <row r="612">
          <cell r="A612" t="str">
            <v>Operating Income(E)</v>
          </cell>
        </row>
        <row r="613">
          <cell r="A613" t="str">
            <v>Operating Margin (Loss)</v>
          </cell>
        </row>
        <row r="614">
          <cell r="A614" t="str">
            <v>Wholesale ASP</v>
          </cell>
        </row>
        <row r="615">
          <cell r="A615" t="str">
            <v>Seasonality</v>
          </cell>
        </row>
        <row r="617">
          <cell r="A617" t="str">
            <v>% Shipments by Technology</v>
          </cell>
        </row>
        <row r="618">
          <cell r="A618" t="str">
            <v>CDMA</v>
          </cell>
        </row>
        <row r="619">
          <cell r="A619" t="str">
            <v>GSM</v>
          </cell>
        </row>
        <row r="620">
          <cell r="A620" t="str">
            <v>WCDMA</v>
          </cell>
        </row>
        <row r="621">
          <cell r="A621" t="str">
            <v>PDC</v>
          </cell>
        </row>
        <row r="622">
          <cell r="A622" t="str">
            <v>Total</v>
          </cell>
        </row>
        <row r="624">
          <cell r="A624" t="str">
            <v>Unit Shipments by Technology</v>
          </cell>
        </row>
        <row r="625">
          <cell r="A625" t="str">
            <v>CDMA</v>
          </cell>
        </row>
        <row r="626">
          <cell r="A626" t="str">
            <v>GSM</v>
          </cell>
        </row>
        <row r="627">
          <cell r="A627" t="str">
            <v>WCDMA</v>
          </cell>
        </row>
        <row r="628">
          <cell r="A628" t="str">
            <v>PDC</v>
          </cell>
        </row>
        <row r="629">
          <cell r="A629" t="str">
            <v>Total</v>
          </cell>
        </row>
        <row r="632">
          <cell r="A632" t="str">
            <v>% Shipments by Region</v>
          </cell>
        </row>
        <row r="633">
          <cell r="A633" t="str">
            <v>N America</v>
          </cell>
        </row>
        <row r="634">
          <cell r="A634" t="str">
            <v>W Europe</v>
          </cell>
        </row>
        <row r="635">
          <cell r="A635" t="str">
            <v>APAC</v>
          </cell>
        </row>
        <row r="636">
          <cell r="A636" t="str">
            <v>CALA</v>
          </cell>
        </row>
        <row r="637">
          <cell r="A637" t="str">
            <v>C/E Europe</v>
          </cell>
        </row>
        <row r="638">
          <cell r="A638" t="str">
            <v>ROW</v>
          </cell>
        </row>
        <row r="641">
          <cell r="A641" t="str">
            <v>Shipments by Region (mil)</v>
          </cell>
        </row>
        <row r="642">
          <cell r="A642" t="str">
            <v>N America</v>
          </cell>
        </row>
        <row r="643">
          <cell r="A643" t="str">
            <v>W Europe</v>
          </cell>
        </row>
        <row r="644">
          <cell r="A644" t="str">
            <v>APAC</v>
          </cell>
        </row>
        <row r="645">
          <cell r="A645" t="str">
            <v>CALA</v>
          </cell>
        </row>
        <row r="646">
          <cell r="A646" t="str">
            <v>C/E Europe</v>
          </cell>
        </row>
        <row r="647">
          <cell r="A647" t="str">
            <v>ROW</v>
          </cell>
        </row>
        <row r="648">
          <cell r="A648" t="str">
            <v>Total</v>
          </cell>
        </row>
        <row r="650">
          <cell r="A650" t="str">
            <v>NA (mln)</v>
          </cell>
        </row>
        <row r="651">
          <cell r="A651" t="str">
            <v>GSM</v>
          </cell>
        </row>
        <row r="652">
          <cell r="A652" t="str">
            <v>UMTS</v>
          </cell>
        </row>
        <row r="653">
          <cell r="A653" t="str">
            <v>CDMA</v>
          </cell>
        </row>
        <row r="654">
          <cell r="A654" t="str">
            <v>Others</v>
          </cell>
        </row>
        <row r="655">
          <cell r="A655" t="str">
            <v>Total</v>
          </cell>
        </row>
        <row r="656">
          <cell r="A656" t="str">
            <v>NA  (%)</v>
          </cell>
        </row>
        <row r="657">
          <cell r="A657" t="str">
            <v>GSM</v>
          </cell>
        </row>
        <row r="658">
          <cell r="A658" t="str">
            <v>UMTS</v>
          </cell>
        </row>
        <row r="659">
          <cell r="A659" t="str">
            <v>CDMA</v>
          </cell>
        </row>
        <row r="660">
          <cell r="A660" t="str">
            <v>Others</v>
          </cell>
        </row>
        <row r="661">
          <cell r="A661" t="str">
            <v>Total</v>
          </cell>
        </row>
        <row r="662">
          <cell r="A662" t="str">
            <v>WE (mln)</v>
          </cell>
        </row>
        <row r="663">
          <cell r="A663" t="str">
            <v>GSM</v>
          </cell>
        </row>
        <row r="664">
          <cell r="A664" t="str">
            <v>UMTS</v>
          </cell>
        </row>
        <row r="665">
          <cell r="A665" t="str">
            <v>CDMA</v>
          </cell>
        </row>
        <row r="666">
          <cell r="A666" t="str">
            <v>Others</v>
          </cell>
        </row>
        <row r="667">
          <cell r="A667" t="str">
            <v>Total</v>
          </cell>
        </row>
        <row r="668">
          <cell r="A668" t="str">
            <v>WE (%)</v>
          </cell>
        </row>
        <row r="669">
          <cell r="A669" t="str">
            <v>GSM</v>
          </cell>
        </row>
        <row r="670">
          <cell r="A670" t="str">
            <v>UMTS</v>
          </cell>
        </row>
        <row r="671">
          <cell r="A671" t="str">
            <v>CDMA</v>
          </cell>
        </row>
        <row r="672">
          <cell r="A672" t="str">
            <v>Others</v>
          </cell>
        </row>
        <row r="673">
          <cell r="A673" t="str">
            <v>Total</v>
          </cell>
        </row>
        <row r="674">
          <cell r="A674" t="str">
            <v>APAC (mln)</v>
          </cell>
        </row>
        <row r="675">
          <cell r="A675" t="str">
            <v>GSM</v>
          </cell>
        </row>
        <row r="676">
          <cell r="A676" t="str">
            <v>UMTS</v>
          </cell>
        </row>
        <row r="677">
          <cell r="A677" t="str">
            <v>CDMA</v>
          </cell>
        </row>
        <row r="678">
          <cell r="A678" t="str">
            <v>Others</v>
          </cell>
        </row>
        <row r="679">
          <cell r="A679" t="str">
            <v>Total</v>
          </cell>
        </row>
        <row r="680">
          <cell r="A680" t="str">
            <v>APAC  (%)</v>
          </cell>
        </row>
      </sheetData>
      <sheetData sheetId="10">
        <row r="2">
          <cell r="A2" t="str">
            <v xml:space="preserve">Mobiwire (Sagem) </v>
          </cell>
        </row>
        <row r="3">
          <cell r="A3" t="str">
            <v>Shipments, millions</v>
          </cell>
          <cell r="Y3">
            <v>3.2</v>
          </cell>
          <cell r="Z3">
            <v>3.1</v>
          </cell>
          <cell r="AA3">
            <v>4.0999999999999996</v>
          </cell>
          <cell r="AB3">
            <v>4.5</v>
          </cell>
          <cell r="AC3">
            <v>14.9</v>
          </cell>
          <cell r="AD3">
            <v>3.3</v>
          </cell>
          <cell r="AE3">
            <v>4.2</v>
          </cell>
          <cell r="AF3">
            <v>4.3</v>
          </cell>
          <cell r="AG3">
            <v>5</v>
          </cell>
          <cell r="AH3">
            <v>16.8</v>
          </cell>
          <cell r="AI3">
            <v>4.0999999999999996</v>
          </cell>
          <cell r="AJ3">
            <v>4.7</v>
          </cell>
          <cell r="AK3">
            <v>4.5</v>
          </cell>
          <cell r="AL3">
            <v>5.0999999999999996</v>
          </cell>
          <cell r="AM3">
            <v>18.399999999999999</v>
          </cell>
          <cell r="AN3">
            <v>2.8</v>
          </cell>
          <cell r="AO3">
            <v>1.6</v>
          </cell>
          <cell r="AP3">
            <v>2.7</v>
          </cell>
          <cell r="AQ3">
            <v>3.5</v>
          </cell>
          <cell r="AR3">
            <v>10.600000000000001</v>
          </cell>
          <cell r="AS3">
            <v>2.1</v>
          </cell>
          <cell r="AT3">
            <v>1.8</v>
          </cell>
          <cell r="AU3">
            <v>1.4</v>
          </cell>
          <cell r="AV3">
            <v>1</v>
          </cell>
          <cell r="AW3">
            <v>6.3000000000000007</v>
          </cell>
          <cell r="AX3">
            <v>1</v>
          </cell>
          <cell r="AY3">
            <v>0.62</v>
          </cell>
          <cell r="AZ3">
            <v>0.7</v>
          </cell>
          <cell r="BA3">
            <v>0.35</v>
          </cell>
          <cell r="BB3">
            <v>2.6700000000000004</v>
          </cell>
          <cell r="BC3">
            <v>0.2</v>
          </cell>
          <cell r="BD3">
            <v>0.55000000000000004</v>
          </cell>
          <cell r="BE3">
            <v>0.4</v>
          </cell>
          <cell r="BF3">
            <v>0.2</v>
          </cell>
          <cell r="BG3">
            <v>1.3499999999999999</v>
          </cell>
          <cell r="BH3">
            <v>0.2</v>
          </cell>
          <cell r="BI3">
            <v>0.05</v>
          </cell>
          <cell r="BJ3">
            <v>0</v>
          </cell>
          <cell r="BK3">
            <v>0</v>
          </cell>
          <cell r="BL3">
            <v>0.25</v>
          </cell>
        </row>
        <row r="4">
          <cell r="A4" t="str">
            <v>Net Sales (Billion Yen)</v>
          </cell>
        </row>
        <row r="5">
          <cell r="A5" t="str">
            <v>Operating Income(E)</v>
          </cell>
        </row>
        <row r="6">
          <cell r="A6" t="str">
            <v>Operating Margin (Loss)</v>
          </cell>
        </row>
        <row r="7">
          <cell r="A7" t="str">
            <v>Wholesale ASP</v>
          </cell>
          <cell r="AC7">
            <v>92.274542389210012</v>
          </cell>
          <cell r="AH7">
            <v>97.980769346923353</v>
          </cell>
          <cell r="AM7">
            <v>91.122115492638713</v>
          </cell>
          <cell r="AR7">
            <v>82.009903943374852</v>
          </cell>
          <cell r="BB7">
            <v>72.431147162788676</v>
          </cell>
          <cell r="BC7">
            <v>71.706835691160776</v>
          </cell>
        </row>
        <row r="8">
          <cell r="A8" t="str">
            <v>Seasonality</v>
          </cell>
          <cell r="AC8">
            <v>115.52225211510918</v>
          </cell>
          <cell r="AH8">
            <v>122.66610969670013</v>
          </cell>
          <cell r="AM8">
            <v>114.07948201793111</v>
          </cell>
          <cell r="AR8">
            <v>102.67153381613802</v>
          </cell>
          <cell r="BB8">
            <v>90.67949866641311</v>
          </cell>
          <cell r="BC8">
            <v>89.772703679748957</v>
          </cell>
        </row>
        <row r="10">
          <cell r="A10" t="str">
            <v>% Shipments by Technology</v>
          </cell>
        </row>
        <row r="11">
          <cell r="A11" t="str">
            <v>CDMA</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t="e">
            <v>#DIV/0!</v>
          </cell>
          <cell r="BK11" t="e">
            <v>#DIV/0!</v>
          </cell>
          <cell r="BL11">
            <v>0</v>
          </cell>
        </row>
        <row r="12">
          <cell r="A12" t="str">
            <v>GSM</v>
          </cell>
          <cell r="Y12">
            <v>1</v>
          </cell>
          <cell r="Z12">
            <v>1</v>
          </cell>
          <cell r="AA12">
            <v>1</v>
          </cell>
          <cell r="AB12">
            <v>1</v>
          </cell>
          <cell r="AC12">
            <v>1</v>
          </cell>
          <cell r="AD12">
            <v>1</v>
          </cell>
          <cell r="AE12">
            <v>1</v>
          </cell>
          <cell r="AF12">
            <v>1</v>
          </cell>
          <cell r="AG12">
            <v>1</v>
          </cell>
          <cell r="AH12">
            <v>1</v>
          </cell>
          <cell r="AI12">
            <v>1</v>
          </cell>
          <cell r="AJ12">
            <v>1</v>
          </cell>
          <cell r="AK12">
            <v>1</v>
          </cell>
          <cell r="AL12">
            <v>1</v>
          </cell>
          <cell r="AM12">
            <v>1</v>
          </cell>
          <cell r="AN12">
            <v>1</v>
          </cell>
          <cell r="AO12">
            <v>1</v>
          </cell>
          <cell r="AP12">
            <v>1</v>
          </cell>
          <cell r="AQ12">
            <v>1</v>
          </cell>
          <cell r="AR12">
            <v>1</v>
          </cell>
          <cell r="AS12">
            <v>1</v>
          </cell>
          <cell r="AT12">
            <v>1</v>
          </cell>
          <cell r="AU12">
            <v>1</v>
          </cell>
          <cell r="AV12">
            <v>0.9</v>
          </cell>
          <cell r="AW12">
            <v>0.82539682539682546</v>
          </cell>
          <cell r="AX12">
            <v>0.9</v>
          </cell>
          <cell r="AY12">
            <v>0.9838709677419355</v>
          </cell>
          <cell r="AZ12">
            <v>0.97183098591549288</v>
          </cell>
          <cell r="BA12">
            <v>0.94444444444444442</v>
          </cell>
          <cell r="BB12">
            <v>0.94423791821561354</v>
          </cell>
          <cell r="BC12">
            <v>1</v>
          </cell>
          <cell r="BD12">
            <v>0.63636363636363635</v>
          </cell>
          <cell r="BE12">
            <v>0.5</v>
          </cell>
          <cell r="BF12">
            <v>0.5</v>
          </cell>
          <cell r="BG12">
            <v>0.62962962962962954</v>
          </cell>
          <cell r="BH12">
            <v>0.5</v>
          </cell>
          <cell r="BI12">
            <v>0</v>
          </cell>
          <cell r="BJ12" t="e">
            <v>#DIV/0!</v>
          </cell>
          <cell r="BK12" t="e">
            <v>#DIV/0!</v>
          </cell>
          <cell r="BL12">
            <v>0.39999999999999991</v>
          </cell>
        </row>
        <row r="13">
          <cell r="A13" t="str">
            <v>WCDMA</v>
          </cell>
          <cell r="Y13">
            <v>0</v>
          </cell>
          <cell r="Z13">
            <v>0</v>
          </cell>
          <cell r="AA13">
            <v>0</v>
          </cell>
          <cell r="AB13">
            <v>0</v>
          </cell>
          <cell r="AC13">
            <v>0</v>
          </cell>
          <cell r="AD13">
            <v>0</v>
          </cell>
          <cell r="AE13">
            <v>0</v>
          </cell>
          <cell r="AF13">
            <v>0</v>
          </cell>
          <cell r="AG13">
            <v>0</v>
          </cell>
          <cell r="AH13">
            <v>0</v>
          </cell>
          <cell r="AI13">
            <v>0</v>
          </cell>
          <cell r="AJ13">
            <v>0</v>
          </cell>
          <cell r="AK13">
            <v>1.1111111111111112E-2</v>
          </cell>
          <cell r="AL13">
            <v>9.8039215686274526E-3</v>
          </cell>
          <cell r="AM13">
            <v>5.4347826086956529E-3</v>
          </cell>
          <cell r="AN13">
            <v>7.1428571428571438E-2</v>
          </cell>
          <cell r="AO13">
            <v>0.125</v>
          </cell>
          <cell r="AP13">
            <v>7.407407407407407E-2</v>
          </cell>
          <cell r="AQ13">
            <v>0.1142857142857143</v>
          </cell>
          <cell r="AR13">
            <v>9.4339622641509427E-2</v>
          </cell>
          <cell r="AS13">
            <v>0.14285714285714285</v>
          </cell>
          <cell r="AT13">
            <v>0.22222222222222224</v>
          </cell>
          <cell r="AU13">
            <v>0.2142857142857143</v>
          </cell>
          <cell r="AV13">
            <v>0.1</v>
          </cell>
          <cell r="AW13">
            <v>0.17460317460317459</v>
          </cell>
          <cell r="AX13">
            <v>0.1</v>
          </cell>
          <cell r="AY13">
            <v>1.6129032258064516E-2</v>
          </cell>
          <cell r="AZ13">
            <v>1.4285714285714287E-2</v>
          </cell>
          <cell r="BA13">
            <v>2.8571428571428574E-2</v>
          </cell>
          <cell r="BB13">
            <v>4.868913857677902E-2</v>
          </cell>
          <cell r="BC13">
            <v>0</v>
          </cell>
          <cell r="BD13">
            <v>0.36363636363636365</v>
          </cell>
          <cell r="BE13">
            <v>0.5</v>
          </cell>
          <cell r="BF13">
            <v>0.5</v>
          </cell>
          <cell r="BG13">
            <v>0.37037037037037041</v>
          </cell>
          <cell r="BH13">
            <v>0.5</v>
          </cell>
          <cell r="BI13">
            <v>1</v>
          </cell>
          <cell r="BJ13" t="e">
            <v>#DIV/0!</v>
          </cell>
          <cell r="BK13" t="e">
            <v>#DIV/0!</v>
          </cell>
          <cell r="BL13">
            <v>0.60000000000000009</v>
          </cell>
        </row>
        <row r="14">
          <cell r="A14" t="str">
            <v>Others</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t="e">
            <v>#DIV/0!</v>
          </cell>
          <cell r="BK14" t="e">
            <v>#DIV/0!</v>
          </cell>
          <cell r="BL14">
            <v>0</v>
          </cell>
        </row>
        <row r="15">
          <cell r="A15" t="str">
            <v>Total</v>
          </cell>
          <cell r="Y15">
            <v>1</v>
          </cell>
          <cell r="Z15">
            <v>1</v>
          </cell>
          <cell r="AA15">
            <v>1</v>
          </cell>
          <cell r="AB15">
            <v>1</v>
          </cell>
          <cell r="AC15">
            <v>1</v>
          </cell>
          <cell r="AD15">
            <v>1</v>
          </cell>
          <cell r="AE15">
            <v>1</v>
          </cell>
          <cell r="AF15">
            <v>1</v>
          </cell>
          <cell r="AG15">
            <v>1</v>
          </cell>
          <cell r="AH15">
            <v>1</v>
          </cell>
          <cell r="AI15">
            <v>1</v>
          </cell>
          <cell r="AJ15">
            <v>1</v>
          </cell>
          <cell r="AK15">
            <v>1</v>
          </cell>
          <cell r="AL15">
            <v>1</v>
          </cell>
          <cell r="AM15">
            <v>1</v>
          </cell>
          <cell r="AN15">
            <v>1</v>
          </cell>
          <cell r="AO15">
            <v>1</v>
          </cell>
          <cell r="AP15">
            <v>1</v>
          </cell>
          <cell r="AQ15">
            <v>1</v>
          </cell>
          <cell r="AR15">
            <v>1</v>
          </cell>
          <cell r="AS15">
            <v>1</v>
          </cell>
          <cell r="AT15">
            <v>1</v>
          </cell>
          <cell r="AU15">
            <v>1</v>
          </cell>
          <cell r="AV15">
            <v>1</v>
          </cell>
          <cell r="AW15">
            <v>1</v>
          </cell>
          <cell r="AX15">
            <v>1</v>
          </cell>
          <cell r="AY15">
            <v>1</v>
          </cell>
          <cell r="AZ15">
            <v>0.98611670020120712</v>
          </cell>
          <cell r="BA15">
            <v>0.973015873015873</v>
          </cell>
          <cell r="BB15">
            <v>0.99292705679239257</v>
          </cell>
          <cell r="BC15">
            <v>1</v>
          </cell>
          <cell r="BD15">
            <v>1</v>
          </cell>
          <cell r="BE15">
            <v>1</v>
          </cell>
          <cell r="BF15">
            <v>1</v>
          </cell>
          <cell r="BG15">
            <v>1</v>
          </cell>
          <cell r="BH15">
            <v>1</v>
          </cell>
          <cell r="BI15">
            <v>1</v>
          </cell>
          <cell r="BJ15" t="e">
            <v>#DIV/0!</v>
          </cell>
          <cell r="BK15" t="e">
            <v>#DIV/0!</v>
          </cell>
          <cell r="BL15">
            <v>1</v>
          </cell>
        </row>
        <row r="17">
          <cell r="A17" t="str">
            <v>Unit Shipments by Technology</v>
          </cell>
        </row>
        <row r="18">
          <cell r="A18" t="str">
            <v>CDMA</v>
          </cell>
        </row>
        <row r="19">
          <cell r="A19" t="str">
            <v>GSM (includes WCDMA)</v>
          </cell>
          <cell r="Y19">
            <v>3.2</v>
          </cell>
          <cell r="Z19">
            <v>3.1</v>
          </cell>
          <cell r="AA19">
            <v>4.0999999999999996</v>
          </cell>
          <cell r="AB19">
            <v>4.5</v>
          </cell>
          <cell r="AC19">
            <v>14.9</v>
          </cell>
          <cell r="AD19">
            <v>3.3</v>
          </cell>
          <cell r="AE19">
            <v>4.2</v>
          </cell>
          <cell r="AF19">
            <v>4.3</v>
          </cell>
          <cell r="AG19">
            <v>5</v>
          </cell>
          <cell r="AH19">
            <v>16.8</v>
          </cell>
          <cell r="AI19">
            <v>4.0999999999999996</v>
          </cell>
          <cell r="AJ19">
            <v>4.7</v>
          </cell>
          <cell r="AK19">
            <v>4.5</v>
          </cell>
          <cell r="AL19">
            <v>5.0999999999999996</v>
          </cell>
          <cell r="AM19">
            <v>18.399999999999999</v>
          </cell>
          <cell r="AN19">
            <v>2.8</v>
          </cell>
          <cell r="AO19">
            <v>1.6</v>
          </cell>
          <cell r="AP19">
            <v>2.7</v>
          </cell>
          <cell r="AQ19">
            <v>3.5</v>
          </cell>
          <cell r="AR19">
            <v>10.600000000000001</v>
          </cell>
          <cell r="AS19">
            <v>2.1</v>
          </cell>
          <cell r="AT19">
            <v>1.8</v>
          </cell>
          <cell r="AU19">
            <v>1.4</v>
          </cell>
          <cell r="AV19">
            <v>1</v>
          </cell>
          <cell r="AW19">
            <v>6.3000000000000007</v>
          </cell>
          <cell r="AX19">
            <v>1</v>
          </cell>
          <cell r="AY19">
            <v>0.62</v>
          </cell>
          <cell r="AZ19">
            <v>0.7</v>
          </cell>
          <cell r="BA19">
            <v>0.35</v>
          </cell>
          <cell r="BB19">
            <v>2.6700000000000004</v>
          </cell>
          <cell r="BC19">
            <v>0.2</v>
          </cell>
          <cell r="BD19">
            <v>0.55000000000000004</v>
          </cell>
          <cell r="BE19">
            <v>0.4</v>
          </cell>
          <cell r="BF19">
            <v>0.2</v>
          </cell>
          <cell r="BG19">
            <v>1.3499999999999999</v>
          </cell>
          <cell r="BH19">
            <v>0.2</v>
          </cell>
          <cell r="BI19">
            <v>0.05</v>
          </cell>
          <cell r="BJ19">
            <v>0</v>
          </cell>
          <cell r="BK19">
            <v>0</v>
          </cell>
          <cell r="BL19">
            <v>0.25</v>
          </cell>
        </row>
        <row r="20">
          <cell r="A20" t="str">
            <v>WCDMA</v>
          </cell>
          <cell r="Y20">
            <v>0</v>
          </cell>
          <cell r="Z20">
            <v>0</v>
          </cell>
          <cell r="AA20">
            <v>0</v>
          </cell>
          <cell r="AB20">
            <v>0</v>
          </cell>
          <cell r="AC20">
            <v>0</v>
          </cell>
          <cell r="AD20">
            <v>0</v>
          </cell>
          <cell r="AE20">
            <v>0</v>
          </cell>
          <cell r="AF20">
            <v>0</v>
          </cell>
          <cell r="AG20">
            <v>0</v>
          </cell>
          <cell r="AH20">
            <v>0</v>
          </cell>
          <cell r="AI20">
            <v>0</v>
          </cell>
          <cell r="AJ20">
            <v>0</v>
          </cell>
          <cell r="AK20">
            <v>0.05</v>
          </cell>
          <cell r="AL20">
            <v>0.05</v>
          </cell>
          <cell r="AM20">
            <v>0.1</v>
          </cell>
          <cell r="AN20">
            <v>0.2</v>
          </cell>
          <cell r="AO20">
            <v>0.2</v>
          </cell>
          <cell r="AP20">
            <v>0.2</v>
          </cell>
          <cell r="AQ20">
            <v>0.4</v>
          </cell>
          <cell r="AR20">
            <v>1</v>
          </cell>
          <cell r="AS20">
            <v>0.3</v>
          </cell>
          <cell r="AT20">
            <v>0.4</v>
          </cell>
          <cell r="AU20">
            <v>0.3</v>
          </cell>
          <cell r="AV20">
            <v>0.1</v>
          </cell>
          <cell r="AW20">
            <v>1.1000000000000001</v>
          </cell>
          <cell r="AX20">
            <v>0.1</v>
          </cell>
          <cell r="AY20">
            <v>0.01</v>
          </cell>
          <cell r="AZ20">
            <v>0.01</v>
          </cell>
          <cell r="BA20">
            <v>0.01</v>
          </cell>
          <cell r="BB20">
            <v>0.13</v>
          </cell>
          <cell r="BC20">
            <v>0</v>
          </cell>
          <cell r="BD20">
            <v>0.2</v>
          </cell>
          <cell r="BE20">
            <v>0.2</v>
          </cell>
          <cell r="BF20">
            <v>0.1</v>
          </cell>
          <cell r="BG20">
            <v>0.5</v>
          </cell>
          <cell r="BH20">
            <v>0.1</v>
          </cell>
          <cell r="BI20">
            <v>0.05</v>
          </cell>
          <cell r="BJ20">
            <v>0</v>
          </cell>
          <cell r="BK20">
            <v>0</v>
          </cell>
          <cell r="BL20">
            <v>0.15000000000000002</v>
          </cell>
        </row>
        <row r="21">
          <cell r="A21" t="str">
            <v>Others</v>
          </cell>
          <cell r="BG21">
            <v>0</v>
          </cell>
          <cell r="BL21">
            <v>0</v>
          </cell>
        </row>
        <row r="22">
          <cell r="A22" t="str">
            <v>Total</v>
          </cell>
          <cell r="Y22">
            <v>3.2</v>
          </cell>
          <cell r="Z22">
            <v>3.1</v>
          </cell>
          <cell r="AA22">
            <v>4.0999999999999996</v>
          </cell>
          <cell r="AB22">
            <v>4.5</v>
          </cell>
          <cell r="AC22">
            <v>14.9</v>
          </cell>
          <cell r="AD22">
            <v>3.3</v>
          </cell>
          <cell r="AE22">
            <v>4.2</v>
          </cell>
          <cell r="AF22">
            <v>4.3</v>
          </cell>
          <cell r="AG22">
            <v>5</v>
          </cell>
          <cell r="AH22">
            <v>16.8</v>
          </cell>
          <cell r="AI22">
            <v>4.0999999999999996</v>
          </cell>
          <cell r="AJ22">
            <v>4.7</v>
          </cell>
          <cell r="AK22">
            <v>4.5</v>
          </cell>
          <cell r="AL22">
            <v>5.0999999999999996</v>
          </cell>
          <cell r="AM22">
            <v>18.399999999999999</v>
          </cell>
          <cell r="AN22">
            <v>2.8</v>
          </cell>
          <cell r="AO22">
            <v>1.6</v>
          </cell>
          <cell r="AP22">
            <v>2.7</v>
          </cell>
          <cell r="AQ22">
            <v>3.5</v>
          </cell>
          <cell r="AR22">
            <v>10.600000000000001</v>
          </cell>
          <cell r="AS22">
            <v>2.1</v>
          </cell>
          <cell r="AT22">
            <v>1.8</v>
          </cell>
          <cell r="AU22">
            <v>1.4</v>
          </cell>
          <cell r="AV22">
            <v>1</v>
          </cell>
          <cell r="AW22">
            <v>6.3000000000000007</v>
          </cell>
          <cell r="AX22">
            <v>1</v>
          </cell>
          <cell r="AY22">
            <v>0.62</v>
          </cell>
          <cell r="AZ22">
            <v>0.71</v>
          </cell>
          <cell r="BA22">
            <v>0.36</v>
          </cell>
          <cell r="BB22">
            <v>2.69</v>
          </cell>
          <cell r="BC22">
            <v>0.2</v>
          </cell>
          <cell r="BD22">
            <v>0.55000000000000004</v>
          </cell>
          <cell r="BE22">
            <v>0.4</v>
          </cell>
          <cell r="BF22">
            <v>0.2</v>
          </cell>
          <cell r="BG22">
            <v>1.3499999999999999</v>
          </cell>
          <cell r="BH22">
            <v>0.2</v>
          </cell>
          <cell r="BI22">
            <v>0.05</v>
          </cell>
          <cell r="BJ22">
            <v>0</v>
          </cell>
          <cell r="BK22">
            <v>0</v>
          </cell>
          <cell r="BL22">
            <v>0.25</v>
          </cell>
        </row>
        <row r="23">
          <cell r="BC23" t="b">
            <v>1</v>
          </cell>
          <cell r="BD23" t="b">
            <v>1</v>
          </cell>
          <cell r="BE23" t="b">
            <v>1</v>
          </cell>
          <cell r="BF23" t="b">
            <v>1</v>
          </cell>
          <cell r="BG23" t="b">
            <v>1</v>
          </cell>
          <cell r="BH23" t="b">
            <v>1</v>
          </cell>
          <cell r="BI23" t="b">
            <v>1</v>
          </cell>
          <cell r="BJ23" t="b">
            <v>1</v>
          </cell>
          <cell r="BK23" t="b">
            <v>1</v>
          </cell>
          <cell r="BL23" t="b">
            <v>1</v>
          </cell>
        </row>
        <row r="25">
          <cell r="A25" t="str">
            <v>% Shipments by Region</v>
          </cell>
        </row>
        <row r="26">
          <cell r="A26" t="str">
            <v>N America</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t="e">
            <v>#DIV/0!</v>
          </cell>
          <cell r="BK26" t="e">
            <v>#DIV/0!</v>
          </cell>
          <cell r="BL26">
            <v>0</v>
          </cell>
        </row>
        <row r="27">
          <cell r="A27" t="str">
            <v>W Europe</v>
          </cell>
          <cell r="Y27">
            <v>0.59374999999999989</v>
          </cell>
          <cell r="Z27">
            <v>0.67741935483870974</v>
          </cell>
          <cell r="AA27">
            <v>0.60975609756097571</v>
          </cell>
          <cell r="AB27">
            <v>0.62222222222222223</v>
          </cell>
          <cell r="AC27">
            <v>0.62416107382550334</v>
          </cell>
          <cell r="AD27">
            <v>0.60606060606060608</v>
          </cell>
          <cell r="AE27">
            <v>0.5714285714285714</v>
          </cell>
          <cell r="AF27">
            <v>0.60465116279069775</v>
          </cell>
          <cell r="AG27">
            <v>0.62465116279069799</v>
          </cell>
          <cell r="AH27">
            <v>0.60257475083056489</v>
          </cell>
          <cell r="AI27">
            <v>0.60975609756097571</v>
          </cell>
          <cell r="AJ27">
            <v>0.57446808510638303</v>
          </cell>
          <cell r="AK27">
            <v>0.57777777777777783</v>
          </cell>
          <cell r="AL27">
            <v>0.58823529411764708</v>
          </cell>
          <cell r="AM27">
            <v>0.58695652173913049</v>
          </cell>
          <cell r="AN27">
            <v>0.57142857142857151</v>
          </cell>
          <cell r="AO27">
            <v>0.625</v>
          </cell>
          <cell r="AP27">
            <v>0.48148148148148145</v>
          </cell>
          <cell r="AQ27">
            <v>0.48571428571428571</v>
          </cell>
          <cell r="AR27">
            <v>0.52830188679245282</v>
          </cell>
          <cell r="AS27">
            <v>0.52380952380952384</v>
          </cell>
          <cell r="AT27">
            <v>0.5</v>
          </cell>
          <cell r="AU27">
            <v>0.4285714285714286</v>
          </cell>
          <cell r="AV27">
            <v>0.5</v>
          </cell>
          <cell r="AW27">
            <v>0.49206349206349204</v>
          </cell>
          <cell r="AX27">
            <v>0.5</v>
          </cell>
          <cell r="AY27">
            <v>0.80645161290322587</v>
          </cell>
          <cell r="AZ27">
            <v>0.85714285714285721</v>
          </cell>
          <cell r="BA27">
            <v>0.82857142857142851</v>
          </cell>
          <cell r="BB27">
            <v>0.7078651685393258</v>
          </cell>
          <cell r="BC27">
            <v>1</v>
          </cell>
          <cell r="BD27">
            <v>0.63636363636363624</v>
          </cell>
          <cell r="BE27">
            <v>0.5</v>
          </cell>
          <cell r="BF27">
            <v>0.5</v>
          </cell>
          <cell r="BG27">
            <v>0.62962962962962965</v>
          </cell>
          <cell r="BH27">
            <v>0.5</v>
          </cell>
          <cell r="BI27">
            <v>1</v>
          </cell>
          <cell r="BJ27" t="e">
            <v>#DIV/0!</v>
          </cell>
          <cell r="BK27" t="e">
            <v>#DIV/0!</v>
          </cell>
          <cell r="BL27">
            <v>0.60000000000000009</v>
          </cell>
        </row>
        <row r="28">
          <cell r="A28" t="str">
            <v>APAC</v>
          </cell>
          <cell r="Y28">
            <v>0.12499999999999997</v>
          </cell>
          <cell r="Z28">
            <v>9.6774193548387094E-2</v>
          </cell>
          <cell r="AA28">
            <v>9.7560975609756115E-2</v>
          </cell>
          <cell r="AB28">
            <v>8.8888888888888892E-2</v>
          </cell>
          <cell r="AC28">
            <v>0.10067114093959731</v>
          </cell>
          <cell r="AD28">
            <v>9.0909090909090912E-2</v>
          </cell>
          <cell r="AE28">
            <v>9.5238095238095233E-2</v>
          </cell>
          <cell r="AF28">
            <v>9.3023255813953501E-2</v>
          </cell>
          <cell r="AG28">
            <v>8.3023255813953395E-2</v>
          </cell>
          <cell r="AH28">
            <v>9.0185492801771849E-2</v>
          </cell>
          <cell r="AI28">
            <v>7.3170731707317083E-2</v>
          </cell>
          <cell r="AJ28">
            <v>6.3829787234042548E-2</v>
          </cell>
          <cell r="AK28">
            <v>8.8888888888888892E-2</v>
          </cell>
          <cell r="AL28">
            <v>9.8039215686274522E-2</v>
          </cell>
          <cell r="AM28">
            <v>8.1521739130434784E-2</v>
          </cell>
          <cell r="AN28">
            <v>0.10714285714285715</v>
          </cell>
          <cell r="AO28">
            <v>6.25E-2</v>
          </cell>
          <cell r="AP28">
            <v>0.14814814814814814</v>
          </cell>
          <cell r="AQ28">
            <v>0.14285714285714285</v>
          </cell>
          <cell r="AR28">
            <v>0.12264150943396225</v>
          </cell>
          <cell r="AS28">
            <v>0.19047619047619047</v>
          </cell>
          <cell r="AT28">
            <v>0.27777777777777779</v>
          </cell>
          <cell r="AU28">
            <v>0.28571428571428575</v>
          </cell>
          <cell r="AV28">
            <v>0.25</v>
          </cell>
          <cell r="AW28">
            <v>0.24603174603174602</v>
          </cell>
          <cell r="AX28">
            <v>0.25</v>
          </cell>
          <cell r="AY28">
            <v>6.4516129032258063E-2</v>
          </cell>
          <cell r="AZ28">
            <v>7.1428571428571438E-2</v>
          </cell>
          <cell r="BA28">
            <v>2.8571428571428574E-2</v>
          </cell>
          <cell r="BB28">
            <v>0.13108614232209737</v>
          </cell>
          <cell r="BC28">
            <v>0</v>
          </cell>
          <cell r="BD28">
            <v>0</v>
          </cell>
          <cell r="BE28">
            <v>0</v>
          </cell>
          <cell r="BF28">
            <v>0</v>
          </cell>
          <cell r="BG28">
            <v>0</v>
          </cell>
          <cell r="BH28">
            <v>0</v>
          </cell>
          <cell r="BI28">
            <v>0</v>
          </cell>
          <cell r="BJ28" t="e">
            <v>#DIV/0!</v>
          </cell>
          <cell r="BK28" t="e">
            <v>#DIV/0!</v>
          </cell>
          <cell r="BL28">
            <v>0</v>
          </cell>
        </row>
        <row r="29">
          <cell r="A29" t="str">
            <v>CALA</v>
          </cell>
          <cell r="Y29">
            <v>9.3749999999999972E-2</v>
          </cell>
          <cell r="Z29">
            <v>9.6774193548387094E-2</v>
          </cell>
          <cell r="AA29">
            <v>9.7560975609756115E-2</v>
          </cell>
          <cell r="AB29">
            <v>0.1111111111111111</v>
          </cell>
          <cell r="AC29">
            <v>0.10067114093959731</v>
          </cell>
          <cell r="AD29">
            <v>0.12121212121212123</v>
          </cell>
          <cell r="AE29">
            <v>0.14285714285714285</v>
          </cell>
          <cell r="AF29">
            <v>9.3023255813953501E-2</v>
          </cell>
          <cell r="AG29">
            <v>9.3023255813953501E-2</v>
          </cell>
          <cell r="AH29">
            <v>0.11101882613510519</v>
          </cell>
          <cell r="AI29">
            <v>0.17073170731707318</v>
          </cell>
          <cell r="AJ29">
            <v>0.19148936170212766</v>
          </cell>
          <cell r="AK29">
            <v>0.17777777777777778</v>
          </cell>
          <cell r="AL29">
            <v>0.17647058823529413</v>
          </cell>
          <cell r="AM29">
            <v>0.17934782608695651</v>
          </cell>
          <cell r="AN29">
            <v>0.17857142857142858</v>
          </cell>
          <cell r="AO29">
            <v>0.125</v>
          </cell>
          <cell r="AP29">
            <v>0.14814814814814814</v>
          </cell>
          <cell r="AQ29">
            <v>0.14285714285714285</v>
          </cell>
          <cell r="AR29">
            <v>0.15094339622641509</v>
          </cell>
          <cell r="AS29">
            <v>9.5238095238095233E-2</v>
          </cell>
          <cell r="AT29">
            <v>0.11111111111111112</v>
          </cell>
          <cell r="AU29">
            <v>0.14285714285714288</v>
          </cell>
          <cell r="AV29">
            <v>0.05</v>
          </cell>
          <cell r="AW29">
            <v>0.10317460317460318</v>
          </cell>
          <cell r="AX29">
            <v>0.05</v>
          </cell>
          <cell r="AY29">
            <v>3.2258064516129031E-2</v>
          </cell>
          <cell r="AZ29">
            <v>1.4285714285714287E-2</v>
          </cell>
          <cell r="BA29">
            <v>0</v>
          </cell>
          <cell r="BB29">
            <v>2.9962546816479398E-2</v>
          </cell>
          <cell r="BC29">
            <v>0</v>
          </cell>
          <cell r="BD29">
            <v>0</v>
          </cell>
          <cell r="BE29">
            <v>0</v>
          </cell>
          <cell r="BF29">
            <v>0</v>
          </cell>
          <cell r="BG29">
            <v>0</v>
          </cell>
          <cell r="BH29">
            <v>0</v>
          </cell>
          <cell r="BI29">
            <v>0</v>
          </cell>
          <cell r="BJ29" t="e">
            <v>#DIV/0!</v>
          </cell>
          <cell r="BK29" t="e">
            <v>#DIV/0!</v>
          </cell>
          <cell r="BL29">
            <v>0</v>
          </cell>
        </row>
        <row r="30">
          <cell r="A30" t="str">
            <v>C/E Europe</v>
          </cell>
          <cell r="Y30">
            <v>0.18750000000000003</v>
          </cell>
          <cell r="Z30">
            <v>6.4516129032258063E-2</v>
          </cell>
          <cell r="AA30">
            <v>0.12195121951219513</v>
          </cell>
          <cell r="AB30">
            <v>0.1111111111111111</v>
          </cell>
          <cell r="AC30">
            <v>0.12080536912751678</v>
          </cell>
          <cell r="AD30">
            <v>0.12121212121212123</v>
          </cell>
          <cell r="AE30">
            <v>0.14285714285714285</v>
          </cell>
          <cell r="AF30">
            <v>0.13953488372093023</v>
          </cell>
          <cell r="AG30">
            <v>0.13953488372093023</v>
          </cell>
          <cell r="AH30">
            <v>0.13676633444075303</v>
          </cell>
          <cell r="AI30">
            <v>9.7560975609756115E-2</v>
          </cell>
          <cell r="AJ30">
            <v>0.10638297872340426</v>
          </cell>
          <cell r="AK30">
            <v>0.1111111111111111</v>
          </cell>
          <cell r="AL30">
            <v>9.8039215686274522E-2</v>
          </cell>
          <cell r="AM30">
            <v>0.10326086956521739</v>
          </cell>
          <cell r="AN30">
            <v>0.10714285714285715</v>
          </cell>
          <cell r="AO30">
            <v>6.25E-2</v>
          </cell>
          <cell r="AP30">
            <v>0.1111111111111111</v>
          </cell>
          <cell r="AQ30">
            <v>0.1142857142857143</v>
          </cell>
          <cell r="AR30">
            <v>0.10377358490566037</v>
          </cell>
          <cell r="AS30">
            <v>9.5238095238095233E-2</v>
          </cell>
          <cell r="AT30">
            <v>5.5555555555555559E-2</v>
          </cell>
          <cell r="AU30">
            <v>7.1428571428571438E-2</v>
          </cell>
          <cell r="AV30">
            <v>0.1</v>
          </cell>
          <cell r="AW30">
            <v>7.9365079365079361E-2</v>
          </cell>
          <cell r="AX30">
            <v>0.1</v>
          </cell>
          <cell r="AY30">
            <v>9.6774193548387094E-2</v>
          </cell>
          <cell r="AZ30">
            <v>5.7142857142857148E-2</v>
          </cell>
          <cell r="BA30">
            <v>0.14285714285714288</v>
          </cell>
          <cell r="BB30">
            <v>9.363295880149812E-2</v>
          </cell>
          <cell r="BC30">
            <v>0</v>
          </cell>
          <cell r="BD30">
            <v>0.18181818181818182</v>
          </cell>
          <cell r="BE30">
            <v>0.25</v>
          </cell>
          <cell r="BF30">
            <v>0.25</v>
          </cell>
          <cell r="BG30">
            <v>0.1851851851851852</v>
          </cell>
          <cell r="BH30">
            <v>0.25</v>
          </cell>
          <cell r="BI30">
            <v>0</v>
          </cell>
          <cell r="BJ30" t="e">
            <v>#DIV/0!</v>
          </cell>
          <cell r="BK30" t="e">
            <v>#DIV/0!</v>
          </cell>
          <cell r="BL30">
            <v>0.2</v>
          </cell>
        </row>
        <row r="31">
          <cell r="A31" t="str">
            <v>ROW</v>
          </cell>
          <cell r="Y31">
            <v>0</v>
          </cell>
          <cell r="Z31">
            <v>6.4516129032258063E-2</v>
          </cell>
          <cell r="AA31">
            <v>7.3170731707317083E-2</v>
          </cell>
          <cell r="AB31">
            <v>6.6666666666666666E-2</v>
          </cell>
          <cell r="AC31">
            <v>5.3691275167785234E-2</v>
          </cell>
          <cell r="AD31">
            <v>6.0606060606060615E-2</v>
          </cell>
          <cell r="AE31">
            <v>4.7619047619047616E-2</v>
          </cell>
          <cell r="AF31">
            <v>6.9767441860465115E-2</v>
          </cell>
          <cell r="AG31">
            <v>5.9767441860465197E-2</v>
          </cell>
          <cell r="AH31">
            <v>5.9454595791805107E-2</v>
          </cell>
          <cell r="AI31">
            <v>4.8780487804878057E-2</v>
          </cell>
          <cell r="AJ31">
            <v>6.3829787234042548E-2</v>
          </cell>
          <cell r="AK31">
            <v>4.4444444444444446E-2</v>
          </cell>
          <cell r="AL31">
            <v>3.921568627450981E-2</v>
          </cell>
          <cell r="AM31">
            <v>4.8913043478260872E-2</v>
          </cell>
          <cell r="AN31">
            <v>3.5714285714285719E-2</v>
          </cell>
          <cell r="AO31">
            <v>0.125</v>
          </cell>
          <cell r="AP31">
            <v>0.11111111111111129</v>
          </cell>
          <cell r="AQ31">
            <v>0.1142857142857143</v>
          </cell>
          <cell r="AR31">
            <v>9.4339622641509469E-2</v>
          </cell>
          <cell r="AS31">
            <v>9.5238095238095233E-2</v>
          </cell>
          <cell r="AT31">
            <v>5.5555555555555559E-2</v>
          </cell>
          <cell r="AU31">
            <v>7.1428571428571438E-2</v>
          </cell>
          <cell r="AV31">
            <v>0.1</v>
          </cell>
          <cell r="AW31">
            <v>7.9365079365079361E-2</v>
          </cell>
          <cell r="AX31">
            <v>0.1</v>
          </cell>
          <cell r="AY31">
            <v>0</v>
          </cell>
          <cell r="AZ31">
            <v>0</v>
          </cell>
          <cell r="BA31">
            <v>0</v>
          </cell>
          <cell r="BB31">
            <v>3.7453183520599245E-2</v>
          </cell>
          <cell r="BC31">
            <v>0</v>
          </cell>
          <cell r="BD31">
            <v>0.18181818181818182</v>
          </cell>
          <cell r="BE31">
            <v>0.25</v>
          </cell>
          <cell r="BF31">
            <v>0.25</v>
          </cell>
          <cell r="BG31">
            <v>0.1851851851851852</v>
          </cell>
          <cell r="BH31">
            <v>0.25</v>
          </cell>
          <cell r="BI31">
            <v>0</v>
          </cell>
          <cell r="BJ31" t="e">
            <v>#DIV/0!</v>
          </cell>
          <cell r="BK31" t="e">
            <v>#DIV/0!</v>
          </cell>
          <cell r="BL31">
            <v>0.2</v>
          </cell>
        </row>
        <row r="32">
          <cell r="A32" t="str">
            <v>Total</v>
          </cell>
          <cell r="Y32">
            <v>0.99999999999999989</v>
          </cell>
          <cell r="Z32">
            <v>1</v>
          </cell>
          <cell r="AA32">
            <v>1</v>
          </cell>
          <cell r="AB32">
            <v>1</v>
          </cell>
          <cell r="AC32">
            <v>1</v>
          </cell>
          <cell r="AD32">
            <v>1</v>
          </cell>
          <cell r="AE32">
            <v>1</v>
          </cell>
          <cell r="AF32">
            <v>1.0000000000000002</v>
          </cell>
          <cell r="AG32">
            <v>1.0000000000000004</v>
          </cell>
          <cell r="AH32">
            <v>1</v>
          </cell>
          <cell r="AI32">
            <v>1.0000000000000002</v>
          </cell>
          <cell r="AJ32">
            <v>1</v>
          </cell>
          <cell r="AK32">
            <v>1.0000000000000002</v>
          </cell>
          <cell r="AL32">
            <v>1</v>
          </cell>
          <cell r="AM32">
            <v>1.0000000000000002</v>
          </cell>
          <cell r="AN32">
            <v>1.0000000000000002</v>
          </cell>
          <cell r="AO32">
            <v>1</v>
          </cell>
          <cell r="AP32">
            <v>1.0000000000000002</v>
          </cell>
          <cell r="AQ32">
            <v>1</v>
          </cell>
          <cell r="AR32">
            <v>1</v>
          </cell>
          <cell r="AS32">
            <v>1</v>
          </cell>
          <cell r="AT32">
            <v>1</v>
          </cell>
          <cell r="AU32">
            <v>1.0000000000000002</v>
          </cell>
          <cell r="AV32">
            <v>1</v>
          </cell>
          <cell r="AW32">
            <v>0.99999999999999978</v>
          </cell>
          <cell r="AX32">
            <v>1</v>
          </cell>
          <cell r="AY32">
            <v>1</v>
          </cell>
          <cell r="AZ32">
            <v>1</v>
          </cell>
          <cell r="BA32">
            <v>1</v>
          </cell>
          <cell r="BB32">
            <v>0.99999999999999989</v>
          </cell>
          <cell r="BC32">
            <v>1</v>
          </cell>
          <cell r="BD32">
            <v>1</v>
          </cell>
          <cell r="BE32">
            <v>1</v>
          </cell>
          <cell r="BF32">
            <v>1</v>
          </cell>
          <cell r="BG32">
            <v>1</v>
          </cell>
          <cell r="BH32">
            <v>1</v>
          </cell>
          <cell r="BI32">
            <v>1</v>
          </cell>
          <cell r="BJ32" t="e">
            <v>#DIV/0!</v>
          </cell>
          <cell r="BK32" t="e">
            <v>#DIV/0!</v>
          </cell>
          <cell r="BL32">
            <v>1</v>
          </cell>
        </row>
        <row r="34">
          <cell r="A34" t="str">
            <v>Shipments by Region (mil)</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row>
        <row r="35">
          <cell r="A35" t="str">
            <v>N America</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row>
        <row r="36">
          <cell r="A36" t="str">
            <v>W Europe</v>
          </cell>
          <cell r="Y36">
            <v>1.9</v>
          </cell>
          <cell r="Z36">
            <v>2.1</v>
          </cell>
          <cell r="AA36">
            <v>2.5</v>
          </cell>
          <cell r="AB36">
            <v>2.8</v>
          </cell>
          <cell r="AC36">
            <v>9.3000000000000007</v>
          </cell>
          <cell r="AD36">
            <v>2</v>
          </cell>
          <cell r="AE36">
            <v>2.4</v>
          </cell>
          <cell r="AF36">
            <v>2.6</v>
          </cell>
          <cell r="AG36">
            <v>3.1232558139534898</v>
          </cell>
          <cell r="AH36">
            <v>10.12325581395349</v>
          </cell>
          <cell r="AI36">
            <v>2.5</v>
          </cell>
          <cell r="AJ36">
            <v>2.7</v>
          </cell>
          <cell r="AK36">
            <v>2.6</v>
          </cell>
          <cell r="AL36">
            <v>3</v>
          </cell>
          <cell r="AM36">
            <v>10.8</v>
          </cell>
          <cell r="AN36">
            <v>1.6</v>
          </cell>
          <cell r="AO36">
            <v>1</v>
          </cell>
          <cell r="AP36">
            <v>1.3</v>
          </cell>
          <cell r="AQ36">
            <v>1.7</v>
          </cell>
          <cell r="AR36">
            <v>5.6000000000000005</v>
          </cell>
          <cell r="AS36">
            <v>1.1000000000000001</v>
          </cell>
          <cell r="AT36">
            <v>0.9</v>
          </cell>
          <cell r="AU36">
            <v>0.6</v>
          </cell>
          <cell r="AV36">
            <v>0.5</v>
          </cell>
          <cell r="AW36">
            <v>3.1</v>
          </cell>
          <cell r="AX36">
            <v>0.5</v>
          </cell>
          <cell r="AY36">
            <v>0.5</v>
          </cell>
          <cell r="AZ36">
            <v>0.6</v>
          </cell>
          <cell r="BA36">
            <v>0.28999999999999998</v>
          </cell>
          <cell r="BB36">
            <v>1.8900000000000001</v>
          </cell>
          <cell r="BC36">
            <v>0.2</v>
          </cell>
          <cell r="BD36">
            <v>0.35</v>
          </cell>
          <cell r="BE36">
            <v>0.2</v>
          </cell>
          <cell r="BF36">
            <v>0.1</v>
          </cell>
          <cell r="BG36">
            <v>0.85</v>
          </cell>
          <cell r="BH36">
            <v>0.1</v>
          </cell>
          <cell r="BI36">
            <v>0.05</v>
          </cell>
          <cell r="BJ36">
            <v>0</v>
          </cell>
          <cell r="BK36">
            <v>0</v>
          </cell>
          <cell r="BL36">
            <v>0.15000000000000002</v>
          </cell>
        </row>
        <row r="37">
          <cell r="A37" t="str">
            <v>APAC</v>
          </cell>
          <cell r="Y37">
            <v>0.39999999999999991</v>
          </cell>
          <cell r="Z37">
            <v>0.3</v>
          </cell>
          <cell r="AA37">
            <v>0.4</v>
          </cell>
          <cell r="AB37">
            <v>0.4</v>
          </cell>
          <cell r="AC37">
            <v>1.5</v>
          </cell>
          <cell r="AD37">
            <v>0.3</v>
          </cell>
          <cell r="AE37">
            <v>0.4</v>
          </cell>
          <cell r="AF37">
            <v>0.4</v>
          </cell>
          <cell r="AG37">
            <v>0.415116279069767</v>
          </cell>
          <cell r="AH37">
            <v>1.5151162790697672</v>
          </cell>
          <cell r="AI37">
            <v>0.3</v>
          </cell>
          <cell r="AJ37">
            <v>0.3</v>
          </cell>
          <cell r="AK37">
            <v>0.4</v>
          </cell>
          <cell r="AL37">
            <v>0.5</v>
          </cell>
          <cell r="AM37">
            <v>1.5</v>
          </cell>
          <cell r="AN37">
            <v>0.3</v>
          </cell>
          <cell r="AO37">
            <v>0.1</v>
          </cell>
          <cell r="AP37">
            <v>0.4</v>
          </cell>
          <cell r="AQ37">
            <v>0.5</v>
          </cell>
          <cell r="AR37">
            <v>1.3</v>
          </cell>
          <cell r="AS37">
            <v>0.4</v>
          </cell>
          <cell r="AT37">
            <v>0.5</v>
          </cell>
          <cell r="AU37">
            <v>0.4</v>
          </cell>
          <cell r="AV37">
            <v>0.25</v>
          </cell>
          <cell r="AW37">
            <v>1.55</v>
          </cell>
          <cell r="AX37">
            <v>0.25</v>
          </cell>
          <cell r="AY37">
            <v>0.04</v>
          </cell>
          <cell r="AZ37">
            <v>0.05</v>
          </cell>
          <cell r="BA37">
            <v>0.01</v>
          </cell>
          <cell r="BB37">
            <v>0.35</v>
          </cell>
          <cell r="BC37">
            <v>0</v>
          </cell>
          <cell r="BD37">
            <v>0</v>
          </cell>
          <cell r="BE37">
            <v>0</v>
          </cell>
          <cell r="BF37">
            <v>0</v>
          </cell>
          <cell r="BG37">
            <v>0</v>
          </cell>
          <cell r="BH37">
            <v>0</v>
          </cell>
          <cell r="BI37">
            <v>0</v>
          </cell>
          <cell r="BJ37">
            <v>0</v>
          </cell>
          <cell r="BK37">
            <v>0</v>
          </cell>
          <cell r="BL37">
            <v>0</v>
          </cell>
        </row>
        <row r="38">
          <cell r="A38" t="str">
            <v>CALA</v>
          </cell>
          <cell r="Y38">
            <v>0.29999999999999993</v>
          </cell>
          <cell r="Z38">
            <v>0.3</v>
          </cell>
          <cell r="AA38">
            <v>0.4</v>
          </cell>
          <cell r="AB38">
            <v>0.5</v>
          </cell>
          <cell r="AC38">
            <v>1.5</v>
          </cell>
          <cell r="AD38">
            <v>0.4</v>
          </cell>
          <cell r="AE38">
            <v>0.6</v>
          </cell>
          <cell r="AF38">
            <v>0.4</v>
          </cell>
          <cell r="AG38">
            <v>0.46511627906976749</v>
          </cell>
          <cell r="AH38">
            <v>1.8651162790697673</v>
          </cell>
          <cell r="AI38">
            <v>0.7</v>
          </cell>
          <cell r="AJ38">
            <v>0.9</v>
          </cell>
          <cell r="AK38">
            <v>0.8</v>
          </cell>
          <cell r="AL38">
            <v>0.9</v>
          </cell>
          <cell r="AM38">
            <v>3.3</v>
          </cell>
          <cell r="AN38">
            <v>0.5</v>
          </cell>
          <cell r="AO38">
            <v>0.2</v>
          </cell>
          <cell r="AP38">
            <v>0.4</v>
          </cell>
          <cell r="AQ38">
            <v>0.5</v>
          </cell>
          <cell r="AR38">
            <v>1.6</v>
          </cell>
          <cell r="AS38">
            <v>0.2</v>
          </cell>
          <cell r="AT38">
            <v>0.2</v>
          </cell>
          <cell r="AU38">
            <v>0.2</v>
          </cell>
          <cell r="AV38">
            <v>0.05</v>
          </cell>
          <cell r="AW38">
            <v>0.65000000000000013</v>
          </cell>
          <cell r="AX38">
            <v>0.05</v>
          </cell>
          <cell r="AY38">
            <v>0.02</v>
          </cell>
          <cell r="AZ38">
            <v>0.01</v>
          </cell>
          <cell r="BA38">
            <v>0</v>
          </cell>
          <cell r="BB38">
            <v>0.08</v>
          </cell>
          <cell r="BC38">
            <v>0</v>
          </cell>
          <cell r="BD38">
            <v>0</v>
          </cell>
          <cell r="BE38">
            <v>0</v>
          </cell>
          <cell r="BF38">
            <v>0</v>
          </cell>
          <cell r="BG38">
            <v>0</v>
          </cell>
          <cell r="BH38">
            <v>0</v>
          </cell>
          <cell r="BI38">
            <v>0</v>
          </cell>
          <cell r="BJ38">
            <v>0</v>
          </cell>
          <cell r="BK38">
            <v>0</v>
          </cell>
          <cell r="BL38">
            <v>0</v>
          </cell>
        </row>
        <row r="39">
          <cell r="A39" t="str">
            <v>C/E Europe</v>
          </cell>
          <cell r="Y39">
            <v>0.60000000000000009</v>
          </cell>
          <cell r="Z39">
            <v>0.2</v>
          </cell>
          <cell r="AA39">
            <v>0.5</v>
          </cell>
          <cell r="AB39">
            <v>0.5</v>
          </cell>
          <cell r="AC39">
            <v>1.8</v>
          </cell>
          <cell r="AD39">
            <v>0.4</v>
          </cell>
          <cell r="AE39">
            <v>0.6</v>
          </cell>
          <cell r="AF39">
            <v>0.6</v>
          </cell>
          <cell r="AG39">
            <v>0.69767441860465118</v>
          </cell>
          <cell r="AH39">
            <v>2.2976744186046512</v>
          </cell>
          <cell r="AI39">
            <v>0.4</v>
          </cell>
          <cell r="AJ39">
            <v>0.5</v>
          </cell>
          <cell r="AK39">
            <v>0.5</v>
          </cell>
          <cell r="AL39">
            <v>0.5</v>
          </cell>
          <cell r="AM39">
            <v>1.9</v>
          </cell>
          <cell r="AN39">
            <v>0.3</v>
          </cell>
          <cell r="AO39">
            <v>0.1</v>
          </cell>
          <cell r="AP39">
            <v>0.3</v>
          </cell>
          <cell r="AQ39">
            <v>0.4</v>
          </cell>
          <cell r="AR39">
            <v>1.1000000000000001</v>
          </cell>
          <cell r="AS39">
            <v>0.2</v>
          </cell>
          <cell r="AT39">
            <v>0.1</v>
          </cell>
          <cell r="AU39">
            <v>0.1</v>
          </cell>
          <cell r="AV39">
            <v>0.1</v>
          </cell>
          <cell r="AW39">
            <v>0.5</v>
          </cell>
          <cell r="AX39">
            <v>0.1</v>
          </cell>
          <cell r="AY39">
            <v>0.06</v>
          </cell>
          <cell r="AZ39">
            <v>0.04</v>
          </cell>
          <cell r="BA39">
            <v>0.05</v>
          </cell>
          <cell r="BB39">
            <v>0.25</v>
          </cell>
          <cell r="BC39">
            <v>0</v>
          </cell>
          <cell r="BD39">
            <v>0.1</v>
          </cell>
          <cell r="BE39">
            <v>0.1</v>
          </cell>
          <cell r="BF39">
            <v>0.05</v>
          </cell>
          <cell r="BG39">
            <v>0.25</v>
          </cell>
          <cell r="BH39">
            <v>0.05</v>
          </cell>
          <cell r="BI39">
            <v>0</v>
          </cell>
          <cell r="BJ39">
            <v>0</v>
          </cell>
          <cell r="BK39">
            <v>0</v>
          </cell>
          <cell r="BL39">
            <v>0.05</v>
          </cell>
        </row>
        <row r="40">
          <cell r="A40" t="str">
            <v>ROW</v>
          </cell>
          <cell r="Y40">
            <v>0</v>
          </cell>
          <cell r="Z40">
            <v>0.2</v>
          </cell>
          <cell r="AA40">
            <v>0.3</v>
          </cell>
          <cell r="AB40">
            <v>0.3</v>
          </cell>
          <cell r="AC40">
            <v>0.8</v>
          </cell>
          <cell r="AD40">
            <v>0.2</v>
          </cell>
          <cell r="AE40">
            <v>0.2</v>
          </cell>
          <cell r="AF40">
            <v>0.3</v>
          </cell>
          <cell r="AG40">
            <v>0.29883720930232599</v>
          </cell>
          <cell r="AH40">
            <v>0.99883720930232589</v>
          </cell>
          <cell r="AI40">
            <v>0.2</v>
          </cell>
          <cell r="AJ40">
            <v>0.3</v>
          </cell>
          <cell r="AK40">
            <v>0.2</v>
          </cell>
          <cell r="AL40">
            <v>0.2</v>
          </cell>
          <cell r="AM40">
            <v>0.9</v>
          </cell>
          <cell r="AN40">
            <v>0.1</v>
          </cell>
          <cell r="AO40">
            <v>0.2</v>
          </cell>
          <cell r="AP40">
            <v>0.30000000000000049</v>
          </cell>
          <cell r="AQ40">
            <v>0.4</v>
          </cell>
          <cell r="AR40">
            <v>1.0000000000000004</v>
          </cell>
          <cell r="AS40">
            <v>0.2</v>
          </cell>
          <cell r="AT40">
            <v>0.1</v>
          </cell>
          <cell r="AU40">
            <v>0.1</v>
          </cell>
          <cell r="AV40">
            <v>0.1</v>
          </cell>
          <cell r="AW40">
            <v>0.5</v>
          </cell>
          <cell r="AX40">
            <v>0.1</v>
          </cell>
          <cell r="AY40">
            <v>0</v>
          </cell>
          <cell r="AZ40">
            <v>0</v>
          </cell>
          <cell r="BA40">
            <v>0</v>
          </cell>
          <cell r="BB40">
            <v>0.1</v>
          </cell>
          <cell r="BC40">
            <v>0</v>
          </cell>
          <cell r="BD40">
            <v>0.1</v>
          </cell>
          <cell r="BE40">
            <v>0.1</v>
          </cell>
          <cell r="BF40">
            <v>0.05</v>
          </cell>
          <cell r="BG40">
            <v>0.25</v>
          </cell>
          <cell r="BH40">
            <v>0.05</v>
          </cell>
          <cell r="BI40">
            <v>0</v>
          </cell>
          <cell r="BJ40">
            <v>0</v>
          </cell>
          <cell r="BK40">
            <v>0</v>
          </cell>
          <cell r="BL40">
            <v>0.05</v>
          </cell>
        </row>
        <row r="41">
          <cell r="Y41">
            <v>3.2</v>
          </cell>
          <cell r="Z41">
            <v>3.1</v>
          </cell>
          <cell r="AA41">
            <v>4.0999999999999996</v>
          </cell>
          <cell r="AB41">
            <v>4.5</v>
          </cell>
          <cell r="AC41">
            <v>14.9</v>
          </cell>
          <cell r="AD41">
            <v>3.3</v>
          </cell>
          <cell r="AE41">
            <v>4.2</v>
          </cell>
          <cell r="AF41">
            <v>4.3</v>
          </cell>
          <cell r="AG41">
            <v>5</v>
          </cell>
          <cell r="AH41">
            <v>16.8</v>
          </cell>
          <cell r="AI41">
            <v>4.0999999999999996</v>
          </cell>
          <cell r="AJ41">
            <v>4.7</v>
          </cell>
          <cell r="AK41">
            <v>4.5</v>
          </cell>
          <cell r="AL41">
            <v>5.0999999999999996</v>
          </cell>
          <cell r="AM41">
            <v>18.399999999999999</v>
          </cell>
          <cell r="AN41">
            <v>2.8</v>
          </cell>
          <cell r="AO41">
            <v>1.6</v>
          </cell>
          <cell r="AP41">
            <v>2.7</v>
          </cell>
          <cell r="AQ41">
            <v>3.5</v>
          </cell>
          <cell r="AR41">
            <v>10.600000000000001</v>
          </cell>
          <cell r="AS41">
            <v>2.1</v>
          </cell>
          <cell r="AT41">
            <v>1.8</v>
          </cell>
          <cell r="AU41">
            <v>1.4</v>
          </cell>
          <cell r="AV41">
            <v>1</v>
          </cell>
          <cell r="AW41">
            <v>6.3000000000000007</v>
          </cell>
          <cell r="AX41">
            <v>1</v>
          </cell>
          <cell r="AY41">
            <v>0.62000000000000011</v>
          </cell>
          <cell r="AZ41">
            <v>0.70000000000000007</v>
          </cell>
          <cell r="BA41">
            <v>0.35</v>
          </cell>
          <cell r="BB41">
            <v>2.6700000000000004</v>
          </cell>
          <cell r="BC41">
            <v>0.2</v>
          </cell>
          <cell r="BD41">
            <v>0.54999999999999993</v>
          </cell>
          <cell r="BE41">
            <v>0.4</v>
          </cell>
          <cell r="BF41">
            <v>0.2</v>
          </cell>
          <cell r="BG41">
            <v>1.3499999999999999</v>
          </cell>
          <cell r="BH41">
            <v>0.2</v>
          </cell>
          <cell r="BI41">
            <v>0.05</v>
          </cell>
          <cell r="BJ41">
            <v>0</v>
          </cell>
          <cell r="BK41">
            <v>0</v>
          </cell>
          <cell r="BL41">
            <v>0.25</v>
          </cell>
        </row>
        <row r="42">
          <cell r="BC42" t="b">
            <v>1</v>
          </cell>
          <cell r="BD42" t="b">
            <v>1</v>
          </cell>
          <cell r="BE42" t="b">
            <v>1</v>
          </cell>
          <cell r="BF42" t="b">
            <v>1</v>
          </cell>
          <cell r="BG42" t="b">
            <v>1</v>
          </cell>
          <cell r="BH42" t="b">
            <v>1</v>
          </cell>
          <cell r="BI42" t="b">
            <v>1</v>
          </cell>
          <cell r="BJ42" t="b">
            <v>1</v>
          </cell>
          <cell r="BK42" t="b">
            <v>1</v>
          </cell>
          <cell r="BL42" t="b">
            <v>1</v>
          </cell>
        </row>
        <row r="43">
          <cell r="A43" t="str">
            <v>NA (mln)</v>
          </cell>
        </row>
        <row r="44">
          <cell r="A44" t="str">
            <v>GSM</v>
          </cell>
        </row>
        <row r="45">
          <cell r="A45" t="str">
            <v>UMTS</v>
          </cell>
        </row>
        <row r="46">
          <cell r="A46" t="str">
            <v>CDMA</v>
          </cell>
        </row>
        <row r="47">
          <cell r="A47" t="str">
            <v>Others</v>
          </cell>
        </row>
        <row r="49">
          <cell r="A49" t="str">
            <v>NA  (%)</v>
          </cell>
        </row>
        <row r="50">
          <cell r="A50" t="str">
            <v>GSM</v>
          </cell>
        </row>
        <row r="51">
          <cell r="A51" t="str">
            <v>UMTS</v>
          </cell>
        </row>
        <row r="52">
          <cell r="A52" t="str">
            <v>CDMA</v>
          </cell>
        </row>
        <row r="53">
          <cell r="A53" t="str">
            <v>Others</v>
          </cell>
        </row>
        <row r="55">
          <cell r="A55" t="str">
            <v>WE (mln)</v>
          </cell>
        </row>
        <row r="56">
          <cell r="A56" t="str">
            <v>GSM</v>
          </cell>
          <cell r="AC56">
            <v>9.3000000000000007</v>
          </cell>
          <cell r="AH56">
            <v>10.12325581395349</v>
          </cell>
          <cell r="AM56">
            <v>10.700000000000001</v>
          </cell>
          <cell r="AR56">
            <v>4.6000000000000014</v>
          </cell>
          <cell r="AW56">
            <v>2.0000000000000009</v>
          </cell>
          <cell r="BB56">
            <v>1.8225000000000002</v>
          </cell>
          <cell r="BC56">
            <v>0.2</v>
          </cell>
          <cell r="BD56">
            <v>0.15</v>
          </cell>
          <cell r="BE56">
            <v>0.1</v>
          </cell>
          <cell r="BF56">
            <v>0.05</v>
          </cell>
          <cell r="BG56">
            <v>2.3225000000000002</v>
          </cell>
          <cell r="BH56">
            <v>0.05</v>
          </cell>
          <cell r="BI56">
            <v>0</v>
          </cell>
          <cell r="BJ56">
            <v>0</v>
          </cell>
        </row>
        <row r="57">
          <cell r="A57" t="str">
            <v>UMTS</v>
          </cell>
          <cell r="AM57">
            <v>0.1</v>
          </cell>
          <cell r="AR57">
            <v>1</v>
          </cell>
          <cell r="AW57">
            <v>1.1000000000000001</v>
          </cell>
          <cell r="BB57">
            <v>6.7500000000000004E-2</v>
          </cell>
          <cell r="BC57">
            <v>0</v>
          </cell>
          <cell r="BD57">
            <v>0.2</v>
          </cell>
          <cell r="BE57">
            <v>0.1</v>
          </cell>
          <cell r="BF57">
            <v>0.05</v>
          </cell>
          <cell r="BG57">
            <v>0.41750000000000004</v>
          </cell>
          <cell r="BH57">
            <v>0.05</v>
          </cell>
          <cell r="BI57">
            <v>0.05</v>
          </cell>
          <cell r="BJ57">
            <v>0</v>
          </cell>
        </row>
        <row r="58">
          <cell r="A58" t="str">
            <v>CDMA</v>
          </cell>
          <cell r="BD58">
            <v>0</v>
          </cell>
          <cell r="BE58">
            <v>0</v>
          </cell>
          <cell r="BG58">
            <v>0</v>
          </cell>
        </row>
        <row r="59">
          <cell r="A59" t="str">
            <v>Others</v>
          </cell>
          <cell r="BG59">
            <v>0</v>
          </cell>
        </row>
        <row r="60">
          <cell r="AC60">
            <v>9.3000000000000007</v>
          </cell>
          <cell r="AH60">
            <v>10.12325581395349</v>
          </cell>
          <cell r="AM60">
            <v>10.8</v>
          </cell>
          <cell r="AR60">
            <v>5.6000000000000005</v>
          </cell>
          <cell r="AW60">
            <v>3.1</v>
          </cell>
          <cell r="BB60">
            <v>1.8900000000000001</v>
          </cell>
          <cell r="BC60">
            <v>0.2</v>
          </cell>
          <cell r="BD60">
            <v>0.35</v>
          </cell>
          <cell r="BE60">
            <v>0.2</v>
          </cell>
          <cell r="BF60">
            <v>0.1</v>
          </cell>
          <cell r="BG60">
            <v>2.7400000000000007</v>
          </cell>
          <cell r="BH60">
            <v>0.1</v>
          </cell>
          <cell r="BI60">
            <v>0.05</v>
          </cell>
          <cell r="BJ60">
            <v>0</v>
          </cell>
        </row>
        <row r="61">
          <cell r="A61" t="str">
            <v>WE (%)</v>
          </cell>
        </row>
        <row r="62">
          <cell r="A62" t="str">
            <v>GSM</v>
          </cell>
          <cell r="AC62">
            <v>1</v>
          </cell>
          <cell r="AH62">
            <v>1</v>
          </cell>
          <cell r="AM62">
            <v>0.99074074074074081</v>
          </cell>
          <cell r="AR62">
            <v>0.82142857142857162</v>
          </cell>
          <cell r="AW62">
            <v>0.64516129032258096</v>
          </cell>
          <cell r="BB62">
            <v>0.9642857142857143</v>
          </cell>
          <cell r="BC62">
            <v>1</v>
          </cell>
          <cell r="BD62">
            <v>0.4285714285714286</v>
          </cell>
          <cell r="BE62">
            <v>0.5</v>
          </cell>
          <cell r="BF62">
            <v>0.5</v>
          </cell>
          <cell r="BG62">
            <v>0.84762773722627727</v>
          </cell>
          <cell r="BH62">
            <v>0.5</v>
          </cell>
          <cell r="BI62">
            <v>0</v>
          </cell>
          <cell r="BJ62" t="e">
            <v>#DIV/0!</v>
          </cell>
        </row>
        <row r="63">
          <cell r="A63" t="str">
            <v>UMTS</v>
          </cell>
          <cell r="AC63">
            <v>0</v>
          </cell>
          <cell r="AH63">
            <v>0</v>
          </cell>
          <cell r="AM63">
            <v>9.2592592592592587E-3</v>
          </cell>
          <cell r="AR63">
            <v>0.17857142857142855</v>
          </cell>
          <cell r="AW63">
            <v>0.35483870967741937</v>
          </cell>
          <cell r="BB63">
            <v>3.5714285714285712E-2</v>
          </cell>
          <cell r="BC63">
            <v>0</v>
          </cell>
          <cell r="BD63">
            <v>0.57142857142857151</v>
          </cell>
          <cell r="BE63">
            <v>0.5</v>
          </cell>
          <cell r="BF63">
            <v>0.5</v>
          </cell>
          <cell r="BG63">
            <v>0.15237226277372259</v>
          </cell>
          <cell r="BH63">
            <v>0.5</v>
          </cell>
          <cell r="BI63">
            <v>1</v>
          </cell>
          <cell r="BJ63" t="e">
            <v>#DIV/0!</v>
          </cell>
        </row>
        <row r="64">
          <cell r="A64" t="str">
            <v>CDMA</v>
          </cell>
          <cell r="AC64">
            <v>0</v>
          </cell>
          <cell r="AH64">
            <v>0</v>
          </cell>
          <cell r="AM64">
            <v>0</v>
          </cell>
        </row>
        <row r="65">
          <cell r="A65" t="str">
            <v>Others</v>
          </cell>
          <cell r="AC65">
            <v>0</v>
          </cell>
          <cell r="AH65">
            <v>0</v>
          </cell>
          <cell r="AM65">
            <v>0</v>
          </cell>
        </row>
        <row r="66">
          <cell r="AC66">
            <v>1</v>
          </cell>
          <cell r="AH66">
            <v>1</v>
          </cell>
          <cell r="AM66">
            <v>1</v>
          </cell>
          <cell r="AR66">
            <v>1.0000000000000002</v>
          </cell>
          <cell r="AW66">
            <v>1</v>
          </cell>
          <cell r="BB66">
            <v>1</v>
          </cell>
          <cell r="BC66">
            <v>1</v>
          </cell>
          <cell r="BD66">
            <v>1</v>
          </cell>
          <cell r="BE66">
            <v>1</v>
          </cell>
          <cell r="BF66">
            <v>1</v>
          </cell>
          <cell r="BG66">
            <v>0.99999999999999989</v>
          </cell>
          <cell r="BH66">
            <v>1</v>
          </cell>
          <cell r="BI66">
            <v>1</v>
          </cell>
          <cell r="BJ66" t="e">
            <v>#DIV/0!</v>
          </cell>
        </row>
        <row r="67">
          <cell r="A67" t="str">
            <v>APAC (mln)</v>
          </cell>
        </row>
        <row r="68">
          <cell r="A68" t="str">
            <v>GSM</v>
          </cell>
          <cell r="AC68">
            <v>1.5</v>
          </cell>
          <cell r="AH68">
            <v>1.5151162790697672</v>
          </cell>
          <cell r="AM68">
            <v>1.5</v>
          </cell>
          <cell r="AR68">
            <v>1.3</v>
          </cell>
          <cell r="AW68">
            <v>1.55</v>
          </cell>
          <cell r="BB68">
            <v>0.35</v>
          </cell>
          <cell r="BC68">
            <v>0</v>
          </cell>
        </row>
        <row r="69">
          <cell r="A69" t="str">
            <v>UMTS</v>
          </cell>
          <cell r="AR69">
            <v>0</v>
          </cell>
          <cell r="AW69">
            <v>0</v>
          </cell>
          <cell r="BB69">
            <v>0</v>
          </cell>
          <cell r="BC69">
            <v>0</v>
          </cell>
        </row>
        <row r="70">
          <cell r="A70" t="str">
            <v>CDMA</v>
          </cell>
        </row>
        <row r="71">
          <cell r="A71" t="str">
            <v>Others</v>
          </cell>
        </row>
        <row r="72">
          <cell r="AC72">
            <v>1.5</v>
          </cell>
          <cell r="AH72">
            <v>1.5151162790697672</v>
          </cell>
          <cell r="AM72">
            <v>1.5</v>
          </cell>
          <cell r="AR72">
            <v>1.3</v>
          </cell>
          <cell r="AW72">
            <v>1.55</v>
          </cell>
          <cell r="BB72">
            <v>0.35</v>
          </cell>
          <cell r="BC72">
            <v>0</v>
          </cell>
        </row>
        <row r="73">
          <cell r="A73" t="str">
            <v>APAC  (%)</v>
          </cell>
        </row>
        <row r="74">
          <cell r="A74" t="str">
            <v>GSM</v>
          </cell>
          <cell r="AC74">
            <v>1</v>
          </cell>
          <cell r="AH74">
            <v>1</v>
          </cell>
          <cell r="AM74">
            <v>1</v>
          </cell>
          <cell r="AR74">
            <v>1</v>
          </cell>
          <cell r="AW74">
            <v>1</v>
          </cell>
          <cell r="BB74">
            <v>1</v>
          </cell>
          <cell r="BC74">
            <v>0.25</v>
          </cell>
        </row>
        <row r="75">
          <cell r="A75" t="str">
            <v>UMTS</v>
          </cell>
          <cell r="AC75">
            <v>0</v>
          </cell>
          <cell r="AH75">
            <v>0</v>
          </cell>
          <cell r="AM75">
            <v>0</v>
          </cell>
          <cell r="AR75">
            <v>0</v>
          </cell>
          <cell r="AW75">
            <v>0</v>
          </cell>
          <cell r="BB75">
            <v>0</v>
          </cell>
          <cell r="BC75">
            <v>0.75</v>
          </cell>
        </row>
        <row r="76">
          <cell r="A76" t="str">
            <v>CDMA</v>
          </cell>
          <cell r="AC76">
            <v>0</v>
          </cell>
          <cell r="AH76">
            <v>0</v>
          </cell>
          <cell r="AM76">
            <v>0</v>
          </cell>
        </row>
        <row r="77">
          <cell r="A77" t="str">
            <v>Others</v>
          </cell>
          <cell r="AC77">
            <v>0</v>
          </cell>
          <cell r="AH77">
            <v>0</v>
          </cell>
          <cell r="AM77">
            <v>0</v>
          </cell>
        </row>
        <row r="78">
          <cell r="AC78">
            <v>1</v>
          </cell>
          <cell r="AH78">
            <v>1</v>
          </cell>
          <cell r="AM78">
            <v>1</v>
          </cell>
          <cell r="AR78">
            <v>1</v>
          </cell>
          <cell r="AW78">
            <v>1</v>
          </cell>
          <cell r="BB78">
            <v>1</v>
          </cell>
          <cell r="BC78">
            <v>1</v>
          </cell>
        </row>
        <row r="79">
          <cell r="A79" t="str">
            <v>CALA</v>
          </cell>
        </row>
        <row r="80">
          <cell r="A80" t="str">
            <v>GSM</v>
          </cell>
          <cell r="AC80">
            <v>1.5</v>
          </cell>
          <cell r="AH80">
            <v>1.8651162790697673</v>
          </cell>
          <cell r="AM80">
            <v>3.3</v>
          </cell>
          <cell r="AR80">
            <v>1.6</v>
          </cell>
          <cell r="AW80">
            <v>0.65000000000000013</v>
          </cell>
          <cell r="BB80">
            <v>0.08</v>
          </cell>
          <cell r="BC80">
            <v>0</v>
          </cell>
        </row>
        <row r="81">
          <cell r="A81" t="str">
            <v>UMTS</v>
          </cell>
          <cell r="AR81">
            <v>0</v>
          </cell>
          <cell r="AW81">
            <v>0</v>
          </cell>
          <cell r="BB81">
            <v>0</v>
          </cell>
          <cell r="BC81">
            <v>0</v>
          </cell>
        </row>
        <row r="82">
          <cell r="A82" t="str">
            <v>CDMA</v>
          </cell>
        </row>
        <row r="83">
          <cell r="A83" t="str">
            <v>Others</v>
          </cell>
        </row>
        <row r="84">
          <cell r="AC84">
            <v>1.5</v>
          </cell>
          <cell r="AH84">
            <v>1.8651162790697673</v>
          </cell>
          <cell r="AM84">
            <v>3.3</v>
          </cell>
          <cell r="AR84">
            <v>1.6</v>
          </cell>
          <cell r="AW84">
            <v>0.65000000000000013</v>
          </cell>
          <cell r="BB84">
            <v>0.08</v>
          </cell>
          <cell r="BC84">
            <v>0</v>
          </cell>
        </row>
        <row r="85">
          <cell r="A85" t="str">
            <v>CALA (%)</v>
          </cell>
        </row>
        <row r="86">
          <cell r="A86" t="str">
            <v>GSM</v>
          </cell>
          <cell r="AC86">
            <v>1</v>
          </cell>
          <cell r="AH86">
            <v>1</v>
          </cell>
          <cell r="AM86">
            <v>1</v>
          </cell>
          <cell r="AR86">
            <v>1</v>
          </cell>
          <cell r="AW86">
            <v>1</v>
          </cell>
          <cell r="BB86">
            <v>1</v>
          </cell>
          <cell r="BC86">
            <v>1</v>
          </cell>
        </row>
        <row r="87">
          <cell r="A87" t="str">
            <v>UMTS</v>
          </cell>
          <cell r="AC87">
            <v>0</v>
          </cell>
          <cell r="AH87">
            <v>0</v>
          </cell>
          <cell r="AM87">
            <v>0</v>
          </cell>
          <cell r="AR87">
            <v>0</v>
          </cell>
          <cell r="AW87">
            <v>0</v>
          </cell>
          <cell r="BB87">
            <v>0</v>
          </cell>
          <cell r="BC87">
            <v>0</v>
          </cell>
        </row>
        <row r="88">
          <cell r="A88" t="str">
            <v>CDMA</v>
          </cell>
          <cell r="AC88">
            <v>0</v>
          </cell>
          <cell r="AH88">
            <v>0</v>
          </cell>
          <cell r="AM88">
            <v>0</v>
          </cell>
        </row>
        <row r="89">
          <cell r="A89" t="str">
            <v>Others</v>
          </cell>
          <cell r="AC89">
            <v>0</v>
          </cell>
          <cell r="AH89">
            <v>0</v>
          </cell>
          <cell r="AM89">
            <v>0</v>
          </cell>
        </row>
        <row r="90">
          <cell r="AC90">
            <v>1</v>
          </cell>
          <cell r="AH90">
            <v>1</v>
          </cell>
          <cell r="AM90">
            <v>1</v>
          </cell>
          <cell r="AR90">
            <v>1</v>
          </cell>
          <cell r="AW90">
            <v>1</v>
          </cell>
          <cell r="BB90">
            <v>1</v>
          </cell>
          <cell r="BC90">
            <v>1</v>
          </cell>
        </row>
        <row r="91">
          <cell r="A91" t="str">
            <v>CEE (mln)</v>
          </cell>
        </row>
        <row r="92">
          <cell r="A92" t="str">
            <v>GSM</v>
          </cell>
          <cell r="AC92">
            <v>1.8</v>
          </cell>
          <cell r="AH92">
            <v>2.2976744186046512</v>
          </cell>
          <cell r="AM92">
            <v>1.9</v>
          </cell>
          <cell r="AR92">
            <v>1.1000000000000001</v>
          </cell>
          <cell r="AW92">
            <v>0.5</v>
          </cell>
          <cell r="BB92">
            <v>0.1875</v>
          </cell>
          <cell r="BC92">
            <v>0</v>
          </cell>
          <cell r="BD92">
            <v>0.05</v>
          </cell>
          <cell r="BE92">
            <v>0.05</v>
          </cell>
          <cell r="BF92">
            <v>0.02</v>
          </cell>
          <cell r="BG92">
            <v>0.3075</v>
          </cell>
          <cell r="BH92">
            <v>0.02</v>
          </cell>
          <cell r="BI92">
            <v>0</v>
          </cell>
          <cell r="BJ92">
            <v>0</v>
          </cell>
        </row>
        <row r="93">
          <cell r="A93" t="str">
            <v>UMTS</v>
          </cell>
          <cell r="AR93">
            <v>0</v>
          </cell>
          <cell r="AW93">
            <v>0</v>
          </cell>
          <cell r="BB93">
            <v>6.25E-2</v>
          </cell>
          <cell r="BC93">
            <v>0</v>
          </cell>
          <cell r="BD93">
            <v>0.05</v>
          </cell>
          <cell r="BE93">
            <v>0.05</v>
          </cell>
          <cell r="BF93">
            <v>0.03</v>
          </cell>
          <cell r="BG93">
            <v>0.1925</v>
          </cell>
          <cell r="BH93">
            <v>0.03</v>
          </cell>
          <cell r="BI93">
            <v>0</v>
          </cell>
          <cell r="BJ93">
            <v>0</v>
          </cell>
        </row>
        <row r="94">
          <cell r="A94" t="str">
            <v>CDMA</v>
          </cell>
          <cell r="BF94">
            <v>0</v>
          </cell>
          <cell r="BG94">
            <v>0</v>
          </cell>
          <cell r="BH94">
            <v>0</v>
          </cell>
          <cell r="BI94">
            <v>0</v>
          </cell>
          <cell r="BJ94">
            <v>0</v>
          </cell>
        </row>
        <row r="95">
          <cell r="A95" t="str">
            <v>Others</v>
          </cell>
          <cell r="BF95">
            <v>0</v>
          </cell>
          <cell r="BG95">
            <v>0</v>
          </cell>
          <cell r="BH95">
            <v>0</v>
          </cell>
          <cell r="BI95">
            <v>0</v>
          </cell>
          <cell r="BJ95">
            <v>0</v>
          </cell>
        </row>
        <row r="96">
          <cell r="AC96">
            <v>1.8</v>
          </cell>
          <cell r="AH96">
            <v>2.2976744186046512</v>
          </cell>
          <cell r="AM96">
            <v>1.9</v>
          </cell>
          <cell r="AR96">
            <v>1.1000000000000001</v>
          </cell>
          <cell r="AW96">
            <v>0.5</v>
          </cell>
          <cell r="BB96">
            <v>0.25</v>
          </cell>
          <cell r="BC96">
            <v>0</v>
          </cell>
          <cell r="BD96">
            <v>0.1</v>
          </cell>
          <cell r="BE96">
            <v>0.1</v>
          </cell>
          <cell r="BF96">
            <v>0.05</v>
          </cell>
          <cell r="BG96">
            <v>0.49999999999999994</v>
          </cell>
          <cell r="BH96">
            <v>0.05</v>
          </cell>
          <cell r="BI96">
            <v>0</v>
          </cell>
          <cell r="BJ96">
            <v>0</v>
          </cell>
        </row>
        <row r="97">
          <cell r="A97" t="str">
            <v>CEE  (%)</v>
          </cell>
        </row>
        <row r="98">
          <cell r="A98" t="str">
            <v>GSM</v>
          </cell>
          <cell r="AC98">
            <v>1</v>
          </cell>
          <cell r="AH98">
            <v>1</v>
          </cell>
          <cell r="AM98">
            <v>1</v>
          </cell>
          <cell r="AR98">
            <v>1</v>
          </cell>
          <cell r="AW98">
            <v>1</v>
          </cell>
          <cell r="BB98">
            <v>0.75</v>
          </cell>
          <cell r="BC98">
            <v>0.5625</v>
          </cell>
          <cell r="BD98">
            <v>0.5</v>
          </cell>
          <cell r="BE98">
            <v>0.5</v>
          </cell>
          <cell r="BF98">
            <v>0.39999999999999997</v>
          </cell>
          <cell r="BG98">
            <v>0.6150000000000001</v>
          </cell>
          <cell r="BH98">
            <v>0.39999999999999997</v>
          </cell>
          <cell r="BI98" t="e">
            <v>#DIV/0!</v>
          </cell>
          <cell r="BJ98" t="e">
            <v>#DIV/0!</v>
          </cell>
        </row>
        <row r="99">
          <cell r="A99" t="str">
            <v>UMTS</v>
          </cell>
          <cell r="AC99">
            <v>0</v>
          </cell>
          <cell r="AH99">
            <v>0</v>
          </cell>
          <cell r="AM99">
            <v>0</v>
          </cell>
          <cell r="AR99">
            <v>0</v>
          </cell>
          <cell r="AW99">
            <v>0</v>
          </cell>
          <cell r="BB99">
            <v>0.25</v>
          </cell>
          <cell r="BC99">
            <v>0.4375</v>
          </cell>
          <cell r="BD99">
            <v>0.5</v>
          </cell>
          <cell r="BE99">
            <v>0.5</v>
          </cell>
          <cell r="BF99">
            <v>0.6</v>
          </cell>
          <cell r="BG99">
            <v>0.38500000000000006</v>
          </cell>
          <cell r="BH99">
            <v>0.6</v>
          </cell>
          <cell r="BI99" t="e">
            <v>#DIV/0!</v>
          </cell>
          <cell r="BJ99" t="e">
            <v>#DIV/0!</v>
          </cell>
        </row>
        <row r="100">
          <cell r="A100" t="str">
            <v>CDMA</v>
          </cell>
          <cell r="AC100">
            <v>0</v>
          </cell>
          <cell r="AH100">
            <v>0</v>
          </cell>
          <cell r="AM100">
            <v>0</v>
          </cell>
        </row>
        <row r="101">
          <cell r="A101" t="str">
            <v>Others</v>
          </cell>
          <cell r="AC101">
            <v>0</v>
          </cell>
          <cell r="AH101">
            <v>0</v>
          </cell>
          <cell r="AM101">
            <v>0</v>
          </cell>
        </row>
        <row r="102">
          <cell r="AC102">
            <v>1</v>
          </cell>
          <cell r="AH102">
            <v>1</v>
          </cell>
          <cell r="AM102">
            <v>1</v>
          </cell>
          <cell r="AR102">
            <v>1</v>
          </cell>
          <cell r="AW102">
            <v>1</v>
          </cell>
          <cell r="BB102">
            <v>1</v>
          </cell>
          <cell r="BC102">
            <v>1</v>
          </cell>
          <cell r="BD102">
            <v>1</v>
          </cell>
          <cell r="BE102">
            <v>1</v>
          </cell>
          <cell r="BF102">
            <v>1</v>
          </cell>
          <cell r="BG102">
            <v>1.0000000000000002</v>
          </cell>
          <cell r="BH102">
            <v>1</v>
          </cell>
          <cell r="BI102" t="e">
            <v>#DIV/0!</v>
          </cell>
          <cell r="BJ102" t="e">
            <v>#DIV/0!</v>
          </cell>
        </row>
        <row r="103">
          <cell r="A103" t="str">
            <v>ROW</v>
          </cell>
        </row>
        <row r="104">
          <cell r="A104" t="str">
            <v>GSM</v>
          </cell>
          <cell r="AC104">
            <v>0.8</v>
          </cell>
          <cell r="AH104">
            <v>0.99883720930232589</v>
          </cell>
          <cell r="AM104">
            <v>0.9</v>
          </cell>
          <cell r="AR104">
            <v>1.0000000000000004</v>
          </cell>
          <cell r="AW104">
            <v>0.5</v>
          </cell>
          <cell r="BB104">
            <v>0.1</v>
          </cell>
          <cell r="BC104">
            <v>0</v>
          </cell>
          <cell r="BD104">
            <v>0</v>
          </cell>
          <cell r="BE104">
            <v>0</v>
          </cell>
          <cell r="BF104">
            <v>0.03</v>
          </cell>
          <cell r="BG104">
            <v>0.13</v>
          </cell>
          <cell r="BH104">
            <v>0.03</v>
          </cell>
          <cell r="BI104">
            <v>0</v>
          </cell>
          <cell r="BJ104">
            <v>0</v>
          </cell>
        </row>
        <row r="105">
          <cell r="A105" t="str">
            <v>UMTS</v>
          </cell>
          <cell r="AR105">
            <v>0</v>
          </cell>
          <cell r="AW105">
            <v>0</v>
          </cell>
          <cell r="BB105">
            <v>0</v>
          </cell>
          <cell r="BC105">
            <v>0</v>
          </cell>
          <cell r="BD105">
            <v>0.1</v>
          </cell>
          <cell r="BE105">
            <v>0.1</v>
          </cell>
          <cell r="BF105">
            <v>0.02</v>
          </cell>
          <cell r="BG105">
            <v>0.22</v>
          </cell>
          <cell r="BH105">
            <v>0.02</v>
          </cell>
          <cell r="BI105">
            <v>0</v>
          </cell>
          <cell r="BJ105">
            <v>0</v>
          </cell>
        </row>
        <row r="106">
          <cell r="A106" t="str">
            <v>CDMA</v>
          </cell>
          <cell r="BF106">
            <v>0</v>
          </cell>
          <cell r="BG106">
            <v>0</v>
          </cell>
          <cell r="BH106">
            <v>0</v>
          </cell>
          <cell r="BI106">
            <v>0</v>
          </cell>
          <cell r="BJ106">
            <v>0</v>
          </cell>
        </row>
        <row r="107">
          <cell r="A107" t="str">
            <v>Others</v>
          </cell>
          <cell r="BF107">
            <v>0</v>
          </cell>
          <cell r="BG107">
            <v>0</v>
          </cell>
          <cell r="BH107">
            <v>0</v>
          </cell>
          <cell r="BI107">
            <v>0</v>
          </cell>
          <cell r="BJ107">
            <v>0</v>
          </cell>
        </row>
        <row r="108">
          <cell r="AC108">
            <v>0.8</v>
          </cell>
          <cell r="AH108">
            <v>0.99883720930232589</v>
          </cell>
          <cell r="AM108">
            <v>0.9</v>
          </cell>
          <cell r="AR108">
            <v>1.0000000000000004</v>
          </cell>
          <cell r="AW108">
            <v>0.5</v>
          </cell>
          <cell r="BB108">
            <v>0.1</v>
          </cell>
          <cell r="BC108">
            <v>0</v>
          </cell>
          <cell r="BD108">
            <v>0.1</v>
          </cell>
          <cell r="BE108">
            <v>0.1</v>
          </cell>
          <cell r="BF108">
            <v>0.05</v>
          </cell>
          <cell r="BG108">
            <v>0.35000000000000003</v>
          </cell>
          <cell r="BH108">
            <v>0.05</v>
          </cell>
          <cell r="BI108">
            <v>0</v>
          </cell>
          <cell r="BJ108">
            <v>0</v>
          </cell>
        </row>
        <row r="109">
          <cell r="A109" t="str">
            <v>ROW (%)</v>
          </cell>
        </row>
        <row r="110">
          <cell r="A110" t="str">
            <v>GSM</v>
          </cell>
          <cell r="AC110">
            <v>1</v>
          </cell>
          <cell r="AH110">
            <v>1</v>
          </cell>
          <cell r="AM110">
            <v>1</v>
          </cell>
          <cell r="AR110">
            <v>1</v>
          </cell>
          <cell r="AW110">
            <v>1</v>
          </cell>
          <cell r="BB110">
            <v>1</v>
          </cell>
          <cell r="BC110">
            <v>1</v>
          </cell>
          <cell r="BD110">
            <v>0</v>
          </cell>
          <cell r="BE110">
            <v>0</v>
          </cell>
          <cell r="BF110">
            <v>0.6</v>
          </cell>
          <cell r="BG110">
            <v>0.37142857142857139</v>
          </cell>
          <cell r="BH110">
            <v>0.6</v>
          </cell>
          <cell r="BI110" t="e">
            <v>#DIV/0!</v>
          </cell>
          <cell r="BJ110" t="e">
            <v>#DIV/0!</v>
          </cell>
        </row>
        <row r="111">
          <cell r="A111" t="str">
            <v>UMTS</v>
          </cell>
          <cell r="AC111">
            <v>0</v>
          </cell>
          <cell r="AH111">
            <v>0</v>
          </cell>
          <cell r="AM111">
            <v>0</v>
          </cell>
          <cell r="AR111">
            <v>0</v>
          </cell>
          <cell r="AW111">
            <v>0</v>
          </cell>
          <cell r="BB111">
            <v>0</v>
          </cell>
          <cell r="BC111">
            <v>0</v>
          </cell>
          <cell r="BD111">
            <v>1</v>
          </cell>
          <cell r="BE111">
            <v>1</v>
          </cell>
          <cell r="BF111">
            <v>0.39999999999999997</v>
          </cell>
          <cell r="BG111">
            <v>0.62857142857142856</v>
          </cell>
          <cell r="BH111">
            <v>0.39999999999999997</v>
          </cell>
          <cell r="BI111" t="e">
            <v>#DIV/0!</v>
          </cell>
          <cell r="BJ111" t="e">
            <v>#DIV/0!</v>
          </cell>
        </row>
        <row r="112">
          <cell r="A112" t="str">
            <v>CDMA</v>
          </cell>
          <cell r="AC112">
            <v>0</v>
          </cell>
          <cell r="AH112">
            <v>0</v>
          </cell>
          <cell r="AM112">
            <v>0</v>
          </cell>
        </row>
        <row r="113">
          <cell r="A113" t="str">
            <v>Others</v>
          </cell>
          <cell r="AC113">
            <v>0</v>
          </cell>
          <cell r="AH113">
            <v>0</v>
          </cell>
          <cell r="AM113">
            <v>0</v>
          </cell>
        </row>
        <row r="114">
          <cell r="AC114">
            <v>1</v>
          </cell>
          <cell r="AH114">
            <v>1</v>
          </cell>
          <cell r="AM114">
            <v>1</v>
          </cell>
          <cell r="AR114">
            <v>1</v>
          </cell>
          <cell r="AW114">
            <v>1</v>
          </cell>
          <cell r="BB114">
            <v>1</v>
          </cell>
          <cell r="BC114">
            <v>1</v>
          </cell>
          <cell r="BD114">
            <v>1</v>
          </cell>
          <cell r="BE114">
            <v>1</v>
          </cell>
          <cell r="BF114">
            <v>1</v>
          </cell>
          <cell r="BG114">
            <v>1</v>
          </cell>
          <cell r="BH114">
            <v>1</v>
          </cell>
          <cell r="BI114" t="e">
            <v>#DIV/0!</v>
          </cell>
          <cell r="BJ114" t="e">
            <v>#DIV/0!</v>
          </cell>
        </row>
        <row r="118">
          <cell r="A118" t="str">
            <v>Shipments, millions</v>
          </cell>
        </row>
        <row r="119">
          <cell r="A119" t="str">
            <v>Net Sales (Billion Yen)</v>
          </cell>
        </row>
        <row r="120">
          <cell r="A120" t="str">
            <v>Operating Income(E)</v>
          </cell>
        </row>
        <row r="121">
          <cell r="A121" t="str">
            <v>Operating Margin (Loss)</v>
          </cell>
        </row>
        <row r="122">
          <cell r="A122" t="str">
            <v>Wholesale ASP</v>
          </cell>
        </row>
        <row r="123">
          <cell r="A123" t="str">
            <v>Seasonality</v>
          </cell>
        </row>
        <row r="125">
          <cell r="A125" t="str">
            <v>% Shipments by Technology</v>
          </cell>
        </row>
        <row r="126">
          <cell r="A126" t="str">
            <v>CDMA</v>
          </cell>
        </row>
        <row r="127">
          <cell r="A127" t="str">
            <v>GSM</v>
          </cell>
        </row>
        <row r="128">
          <cell r="A128" t="str">
            <v>WCDMA</v>
          </cell>
        </row>
        <row r="129">
          <cell r="A129" t="str">
            <v>PDC</v>
          </cell>
        </row>
        <row r="130">
          <cell r="A130" t="str">
            <v>Total</v>
          </cell>
        </row>
        <row r="132">
          <cell r="A132" t="str">
            <v>Unit Shipments by Technology</v>
          </cell>
        </row>
        <row r="133">
          <cell r="A133" t="str">
            <v>CDMA</v>
          </cell>
        </row>
        <row r="134">
          <cell r="A134" t="str">
            <v>GSM</v>
          </cell>
        </row>
        <row r="135">
          <cell r="A135" t="str">
            <v>WCDMA</v>
          </cell>
        </row>
        <row r="136">
          <cell r="A136" t="str">
            <v>Others</v>
          </cell>
        </row>
        <row r="137">
          <cell r="A137" t="str">
            <v>Total</v>
          </cell>
        </row>
        <row r="140">
          <cell r="A140" t="str">
            <v>% Shipments by Region</v>
          </cell>
        </row>
        <row r="141">
          <cell r="A141" t="str">
            <v>N America</v>
          </cell>
        </row>
        <row r="142">
          <cell r="A142" t="str">
            <v>W Europe</v>
          </cell>
        </row>
        <row r="143">
          <cell r="A143" t="str">
            <v>APAC</v>
          </cell>
        </row>
        <row r="144">
          <cell r="A144" t="str">
            <v>CALA</v>
          </cell>
        </row>
        <row r="145">
          <cell r="A145" t="str">
            <v>C/E Europe</v>
          </cell>
        </row>
        <row r="146">
          <cell r="A146" t="str">
            <v>ROW</v>
          </cell>
        </row>
        <row r="147">
          <cell r="A147" t="str">
            <v>Total</v>
          </cell>
        </row>
        <row r="149">
          <cell r="A149" t="str">
            <v>Shipments by Region (mil)</v>
          </cell>
        </row>
        <row r="150">
          <cell r="A150" t="str">
            <v>N America</v>
          </cell>
        </row>
        <row r="151">
          <cell r="A151" t="str">
            <v>W Europe</v>
          </cell>
        </row>
        <row r="152">
          <cell r="A152" t="str">
            <v>APAC</v>
          </cell>
        </row>
        <row r="153">
          <cell r="A153" t="str">
            <v>CALA</v>
          </cell>
        </row>
        <row r="154">
          <cell r="A154" t="str">
            <v>C/E Europe</v>
          </cell>
        </row>
        <row r="155">
          <cell r="A155" t="str">
            <v>ROW</v>
          </cell>
        </row>
        <row r="156">
          <cell r="A156" t="str">
            <v>Total</v>
          </cell>
        </row>
        <row r="158">
          <cell r="A158" t="str">
            <v>NA (mln)</v>
          </cell>
        </row>
        <row r="159">
          <cell r="A159" t="str">
            <v>GSM</v>
          </cell>
        </row>
        <row r="160">
          <cell r="A160" t="str">
            <v>UMTS</v>
          </cell>
        </row>
        <row r="161">
          <cell r="A161" t="str">
            <v>CDMA</v>
          </cell>
        </row>
        <row r="162">
          <cell r="A162" t="str">
            <v>Others</v>
          </cell>
        </row>
        <row r="164">
          <cell r="A164" t="str">
            <v>NA  (%)</v>
          </cell>
        </row>
        <row r="165">
          <cell r="A165" t="str">
            <v>GSM</v>
          </cell>
        </row>
        <row r="166">
          <cell r="A166" t="str">
            <v>UMTS</v>
          </cell>
        </row>
        <row r="167">
          <cell r="A167" t="str">
            <v>CDMA</v>
          </cell>
        </row>
        <row r="168">
          <cell r="A168" t="str">
            <v>Others</v>
          </cell>
        </row>
        <row r="170">
          <cell r="A170" t="str">
            <v>WE (mln)</v>
          </cell>
        </row>
        <row r="171">
          <cell r="A171" t="str">
            <v>GSM</v>
          </cell>
        </row>
        <row r="172">
          <cell r="A172" t="str">
            <v>UMTS</v>
          </cell>
        </row>
        <row r="173">
          <cell r="A173" t="str">
            <v>CDMA</v>
          </cell>
        </row>
        <row r="174">
          <cell r="A174" t="str">
            <v>Others</v>
          </cell>
        </row>
        <row r="176">
          <cell r="A176" t="str">
            <v>WE (%)</v>
          </cell>
        </row>
        <row r="177">
          <cell r="A177" t="str">
            <v>GSM</v>
          </cell>
        </row>
        <row r="178">
          <cell r="A178" t="str">
            <v>UMTS</v>
          </cell>
        </row>
        <row r="179">
          <cell r="A179" t="str">
            <v>CDMA</v>
          </cell>
        </row>
        <row r="180">
          <cell r="A180" t="str">
            <v>Others</v>
          </cell>
        </row>
        <row r="182">
          <cell r="A182" t="str">
            <v>APAC (mln)</v>
          </cell>
        </row>
        <row r="183">
          <cell r="A183" t="str">
            <v>GSM</v>
          </cell>
        </row>
        <row r="184">
          <cell r="A184" t="str">
            <v>UMTS</v>
          </cell>
        </row>
        <row r="185">
          <cell r="A185" t="str">
            <v>CDMA</v>
          </cell>
        </row>
        <row r="186">
          <cell r="A186" t="str">
            <v>Others</v>
          </cell>
        </row>
        <row r="188">
          <cell r="A188" t="str">
            <v>APAC  (%)</v>
          </cell>
        </row>
        <row r="189">
          <cell r="A189" t="str">
            <v>GSM</v>
          </cell>
        </row>
        <row r="190">
          <cell r="A190" t="str">
            <v>UMTS</v>
          </cell>
        </row>
        <row r="191">
          <cell r="A191" t="str">
            <v>CDMA</v>
          </cell>
        </row>
        <row r="192">
          <cell r="A192" t="str">
            <v>Others</v>
          </cell>
        </row>
        <row r="194">
          <cell r="A194" t="str">
            <v>CALA</v>
          </cell>
        </row>
        <row r="195">
          <cell r="A195" t="str">
            <v>GSM</v>
          </cell>
        </row>
        <row r="196">
          <cell r="A196" t="str">
            <v>UMTS</v>
          </cell>
        </row>
        <row r="197">
          <cell r="A197" t="str">
            <v>CDMA</v>
          </cell>
        </row>
        <row r="198">
          <cell r="A198" t="str">
            <v>Others</v>
          </cell>
        </row>
        <row r="200">
          <cell r="A200" t="str">
            <v>CALA (%)</v>
          </cell>
        </row>
        <row r="201">
          <cell r="A201" t="str">
            <v>GSM</v>
          </cell>
        </row>
        <row r="202">
          <cell r="A202" t="str">
            <v>UMTS</v>
          </cell>
        </row>
        <row r="203">
          <cell r="A203" t="str">
            <v>CDMA</v>
          </cell>
        </row>
        <row r="204">
          <cell r="A204" t="str">
            <v>Others</v>
          </cell>
        </row>
        <row r="206">
          <cell r="A206" t="str">
            <v>CEE (mln)</v>
          </cell>
        </row>
        <row r="207">
          <cell r="A207" t="str">
            <v>GSM</v>
          </cell>
        </row>
        <row r="208">
          <cell r="A208" t="str">
            <v>UMTS</v>
          </cell>
        </row>
        <row r="209">
          <cell r="A209" t="str">
            <v>CDMA</v>
          </cell>
        </row>
        <row r="210">
          <cell r="A210" t="str">
            <v>Others</v>
          </cell>
        </row>
        <row r="212">
          <cell r="A212" t="str">
            <v>CEE  (%)</v>
          </cell>
        </row>
        <row r="213">
          <cell r="A213" t="str">
            <v>GSM</v>
          </cell>
        </row>
        <row r="214">
          <cell r="A214" t="str">
            <v>UMTS</v>
          </cell>
        </row>
        <row r="215">
          <cell r="A215" t="str">
            <v>CDMA</v>
          </cell>
        </row>
        <row r="216">
          <cell r="A216" t="str">
            <v>Others</v>
          </cell>
        </row>
        <row r="218">
          <cell r="A218" t="str">
            <v>ROW</v>
          </cell>
        </row>
        <row r="219">
          <cell r="A219" t="str">
            <v>GSM</v>
          </cell>
        </row>
        <row r="220">
          <cell r="A220" t="str">
            <v>UMTS</v>
          </cell>
        </row>
        <row r="221">
          <cell r="A221" t="str">
            <v>CDMA</v>
          </cell>
        </row>
        <row r="222">
          <cell r="A222" t="str">
            <v>Others</v>
          </cell>
        </row>
        <row r="224">
          <cell r="A224" t="str">
            <v>ROW (%)</v>
          </cell>
        </row>
        <row r="225">
          <cell r="A225" t="str">
            <v>GSM</v>
          </cell>
        </row>
        <row r="226">
          <cell r="A226" t="str">
            <v>UMTS</v>
          </cell>
        </row>
        <row r="227">
          <cell r="A227" t="str">
            <v>CDMA</v>
          </cell>
        </row>
        <row r="228">
          <cell r="A228" t="str">
            <v>Others</v>
          </cell>
        </row>
        <row r="230">
          <cell r="A230" t="str">
            <v>Vodafone</v>
          </cell>
        </row>
        <row r="231">
          <cell r="A231" t="str">
            <v>Shipments, millions</v>
          </cell>
          <cell r="AS231">
            <v>3</v>
          </cell>
          <cell r="AT231">
            <v>3.1</v>
          </cell>
          <cell r="AU231">
            <v>3</v>
          </cell>
        </row>
        <row r="232">
          <cell r="A232" t="str">
            <v>Net Sales (Billion Yen)</v>
          </cell>
        </row>
        <row r="233">
          <cell r="A233" t="str">
            <v>Operating Income(E)</v>
          </cell>
        </row>
        <row r="234">
          <cell r="A234" t="str">
            <v>Operating Margin (Loss)</v>
          </cell>
        </row>
        <row r="235">
          <cell r="A235" t="str">
            <v>Wholesale ASP</v>
          </cell>
        </row>
        <row r="236">
          <cell r="A236" t="str">
            <v>Seasonality</v>
          </cell>
        </row>
        <row r="238">
          <cell r="A238" t="str">
            <v>% Shipments by Technology</v>
          </cell>
        </row>
        <row r="239">
          <cell r="A239" t="str">
            <v>CDMA</v>
          </cell>
        </row>
        <row r="240">
          <cell r="A240" t="str">
            <v>GSM</v>
          </cell>
          <cell r="AS240">
            <v>1</v>
          </cell>
          <cell r="AT240">
            <v>1</v>
          </cell>
          <cell r="AU240">
            <v>1</v>
          </cell>
        </row>
        <row r="241">
          <cell r="A241" t="str">
            <v>WCDMA</v>
          </cell>
        </row>
        <row r="242">
          <cell r="A242" t="str">
            <v>PDC</v>
          </cell>
        </row>
        <row r="243">
          <cell r="A243" t="str">
            <v>Total</v>
          </cell>
          <cell r="AS243">
            <v>1</v>
          </cell>
          <cell r="AT243">
            <v>1</v>
          </cell>
          <cell r="AU243">
            <v>1</v>
          </cell>
        </row>
        <row r="245">
          <cell r="A245" t="str">
            <v>Unit Shipments by Technology</v>
          </cell>
        </row>
        <row r="246">
          <cell r="A246" t="str">
            <v>CDMA</v>
          </cell>
        </row>
        <row r="247">
          <cell r="A247" t="str">
            <v>GSM</v>
          </cell>
          <cell r="AS247">
            <v>3</v>
          </cell>
          <cell r="AT247">
            <v>3.1</v>
          </cell>
          <cell r="AU247">
            <v>3</v>
          </cell>
        </row>
        <row r="248">
          <cell r="A248" t="str">
            <v>WCDMA</v>
          </cell>
        </row>
        <row r="249">
          <cell r="A249" t="str">
            <v>PDC</v>
          </cell>
        </row>
        <row r="250">
          <cell r="A250" t="str">
            <v>Total</v>
          </cell>
          <cell r="AS250">
            <v>3</v>
          </cell>
          <cell r="AT250">
            <v>3.1</v>
          </cell>
          <cell r="AU250">
            <v>3</v>
          </cell>
        </row>
        <row r="253">
          <cell r="A253" t="str">
            <v>% Shipments by Region</v>
          </cell>
        </row>
        <row r="254">
          <cell r="A254" t="str">
            <v>N America</v>
          </cell>
        </row>
        <row r="255">
          <cell r="A255" t="str">
            <v>W Europe</v>
          </cell>
        </row>
        <row r="256">
          <cell r="A256" t="str">
            <v>APAC</v>
          </cell>
        </row>
        <row r="257">
          <cell r="A257" t="str">
            <v>CALA</v>
          </cell>
        </row>
        <row r="258">
          <cell r="A258" t="str">
            <v>C/E Europe</v>
          </cell>
        </row>
        <row r="259">
          <cell r="A259" t="str">
            <v>ROW</v>
          </cell>
        </row>
        <row r="260">
          <cell r="A260" t="str">
            <v>Total</v>
          </cell>
        </row>
        <row r="262">
          <cell r="A262" t="str">
            <v>Shipments by Region (mil)</v>
          </cell>
        </row>
        <row r="263">
          <cell r="A263" t="str">
            <v>N America</v>
          </cell>
        </row>
        <row r="264">
          <cell r="A264" t="str">
            <v>W Europe</v>
          </cell>
        </row>
        <row r="265">
          <cell r="A265" t="str">
            <v>APAC</v>
          </cell>
        </row>
        <row r="266">
          <cell r="A266" t="str">
            <v>CALA</v>
          </cell>
        </row>
        <row r="267">
          <cell r="A267" t="str">
            <v>C/E Europe</v>
          </cell>
        </row>
        <row r="268">
          <cell r="A268" t="str">
            <v>ROW</v>
          </cell>
        </row>
        <row r="269">
          <cell r="A269" t="str">
            <v>Total</v>
          </cell>
        </row>
        <row r="271">
          <cell r="A271" t="str">
            <v>NA (mln)</v>
          </cell>
        </row>
        <row r="272">
          <cell r="A272" t="str">
            <v>GSM</v>
          </cell>
        </row>
        <row r="273">
          <cell r="A273" t="str">
            <v>UMTS</v>
          </cell>
        </row>
        <row r="274">
          <cell r="A274" t="str">
            <v>CDMA</v>
          </cell>
        </row>
        <row r="275">
          <cell r="A275" t="str">
            <v>Others</v>
          </cell>
        </row>
        <row r="277">
          <cell r="A277" t="str">
            <v>NA  (%)</v>
          </cell>
        </row>
        <row r="278">
          <cell r="A278" t="str">
            <v>GSM</v>
          </cell>
        </row>
        <row r="279">
          <cell r="A279" t="str">
            <v>UMTS</v>
          </cell>
        </row>
        <row r="280">
          <cell r="A280" t="str">
            <v>CDMA</v>
          </cell>
        </row>
        <row r="281">
          <cell r="A281" t="str">
            <v>Others</v>
          </cell>
        </row>
        <row r="283">
          <cell r="A283" t="str">
            <v>WE (mln)</v>
          </cell>
        </row>
        <row r="284">
          <cell r="A284" t="str">
            <v>GSM</v>
          </cell>
        </row>
        <row r="285">
          <cell r="A285" t="str">
            <v>UMTS</v>
          </cell>
        </row>
        <row r="286">
          <cell r="A286" t="str">
            <v>CDMA</v>
          </cell>
        </row>
        <row r="287">
          <cell r="A287" t="str">
            <v>Others</v>
          </cell>
        </row>
        <row r="289">
          <cell r="A289" t="str">
            <v>WE (%)</v>
          </cell>
        </row>
        <row r="290">
          <cell r="A290" t="str">
            <v>GSM</v>
          </cell>
        </row>
        <row r="291">
          <cell r="A291" t="str">
            <v>UMTS</v>
          </cell>
        </row>
        <row r="292">
          <cell r="A292" t="str">
            <v>CDMA</v>
          </cell>
        </row>
        <row r="293">
          <cell r="A293" t="str">
            <v>Others</v>
          </cell>
        </row>
        <row r="295">
          <cell r="A295" t="str">
            <v>APAC (mln)</v>
          </cell>
        </row>
        <row r="296">
          <cell r="A296" t="str">
            <v>GSM</v>
          </cell>
        </row>
        <row r="297">
          <cell r="A297" t="str">
            <v>UMTS</v>
          </cell>
        </row>
        <row r="298">
          <cell r="A298" t="str">
            <v>CDMA</v>
          </cell>
        </row>
        <row r="299">
          <cell r="A299" t="str">
            <v>Others</v>
          </cell>
        </row>
        <row r="301">
          <cell r="A301" t="str">
            <v>APAC  (%)</v>
          </cell>
        </row>
        <row r="302">
          <cell r="A302" t="str">
            <v>GSM</v>
          </cell>
        </row>
        <row r="303">
          <cell r="A303" t="str">
            <v>UMTS</v>
          </cell>
        </row>
        <row r="304">
          <cell r="A304" t="str">
            <v>CDMA</v>
          </cell>
        </row>
        <row r="305">
          <cell r="A305" t="str">
            <v>Others</v>
          </cell>
        </row>
        <row r="307">
          <cell r="A307" t="str">
            <v>CALA</v>
          </cell>
        </row>
        <row r="308">
          <cell r="A308" t="str">
            <v>GSM</v>
          </cell>
        </row>
        <row r="309">
          <cell r="A309" t="str">
            <v>UMTS</v>
          </cell>
        </row>
        <row r="310">
          <cell r="A310" t="str">
            <v>CDMA</v>
          </cell>
        </row>
        <row r="311">
          <cell r="A311" t="str">
            <v>Others</v>
          </cell>
        </row>
        <row r="313">
          <cell r="A313" t="str">
            <v>CALA (%)</v>
          </cell>
        </row>
        <row r="314">
          <cell r="A314" t="str">
            <v>GSM</v>
          </cell>
        </row>
        <row r="315">
          <cell r="A315" t="str">
            <v>UMTS</v>
          </cell>
        </row>
        <row r="316">
          <cell r="A316" t="str">
            <v>CDMA</v>
          </cell>
        </row>
        <row r="317">
          <cell r="A317" t="str">
            <v>Others</v>
          </cell>
        </row>
        <row r="319">
          <cell r="A319" t="str">
            <v>CEE (mln)</v>
          </cell>
        </row>
        <row r="320">
          <cell r="A320" t="str">
            <v>GSM</v>
          </cell>
        </row>
        <row r="321">
          <cell r="A321" t="str">
            <v>UMTS</v>
          </cell>
        </row>
        <row r="322">
          <cell r="A322" t="str">
            <v>CDMA</v>
          </cell>
        </row>
        <row r="323">
          <cell r="A323" t="str">
            <v>Others</v>
          </cell>
        </row>
        <row r="325">
          <cell r="A325" t="str">
            <v>CEE  (%)</v>
          </cell>
        </row>
        <row r="326">
          <cell r="A326" t="str">
            <v>GSM</v>
          </cell>
        </row>
        <row r="327">
          <cell r="A327" t="str">
            <v>UMTS</v>
          </cell>
        </row>
        <row r="328">
          <cell r="A328" t="str">
            <v>CDMA</v>
          </cell>
        </row>
        <row r="329">
          <cell r="A329" t="str">
            <v>Others</v>
          </cell>
        </row>
        <row r="331">
          <cell r="A331" t="str">
            <v>ROW</v>
          </cell>
        </row>
        <row r="332">
          <cell r="A332" t="str">
            <v>GSM</v>
          </cell>
        </row>
        <row r="333">
          <cell r="A333" t="str">
            <v>UMTS</v>
          </cell>
        </row>
        <row r="334">
          <cell r="A334" t="str">
            <v>CDMA</v>
          </cell>
        </row>
        <row r="335">
          <cell r="A335" t="str">
            <v>Others</v>
          </cell>
        </row>
        <row r="337">
          <cell r="A337" t="str">
            <v>ROW (%)</v>
          </cell>
        </row>
        <row r="338">
          <cell r="A338" t="str">
            <v>GSM</v>
          </cell>
        </row>
        <row r="339">
          <cell r="A339" t="str">
            <v>UMTS</v>
          </cell>
        </row>
        <row r="340">
          <cell r="A340" t="str">
            <v>CDMA</v>
          </cell>
        </row>
        <row r="341">
          <cell r="A341" t="str">
            <v>Others</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Box Office Rankings"/>
      <sheetName val="TV Rankings"/>
      <sheetName val="Music Rankings"/>
      <sheetName val="TV Index"/>
      <sheetName val="Film Index"/>
      <sheetName val="Music Index"/>
      <sheetName val="Media Index"/>
      <sheetName val="__FDSCACHE__"/>
      <sheetName val="Digital Index"/>
      <sheetName val="#REF"/>
      <sheetName val="Demand"/>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ow r="3">
          <cell r="A3"/>
        </row>
      </sheetData>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Data Sources"/>
      <sheetName val="GDP"/>
      <sheetName val="Unemp by Edu"/>
      <sheetName val="Willingness"/>
      <sheetName val="Debt Burden"/>
      <sheetName val="ConsCredit"/>
      <sheetName val="Prime&amp;LIBOR"/>
      <sheetName val="Annual BF"/>
      <sheetName val="QuarterlyB"/>
      <sheetName val="Monthly BF"/>
      <sheetName val="Weekly BF"/>
      <sheetName val="Cons Confid"/>
      <sheetName val="Receivables"/>
      <sheetName val="Unemp by Occ"/>
      <sheetName val="Moody"/>
      <sheetName val="still need to fix&amp;update--&gt;"/>
      <sheetName val="Cons Conf Qs"/>
      <sheetName val="Ausubel"/>
      <sheetName val="S&amp;P"/>
      <sheetName val="Charge Offs"/>
      <sheetName val="DLQ"/>
      <sheetName val="Auto Sales BBG"/>
      <sheetName val="US Popul"/>
      <sheetName val="Bankruptcy (BBG)"/>
      <sheetName val="DH where is this from"/>
      <sheetName val="Revolving"/>
      <sheetName val="Nonrevolving"/>
      <sheetName val="Auto Sales"/>
      <sheetName val="FAME Persistence"/>
      <sheetName val="Sheet1"/>
      <sheetName val="MasterStats"/>
      <sheetName val="Beauty Spec retailers mark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row r="15">
          <cell r="A15">
            <v>34730</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Data Sources"/>
      <sheetName val="FHA Delinq"/>
      <sheetName val="GDP"/>
      <sheetName val="Unemp total and by Edu"/>
      <sheetName val="Willingness"/>
      <sheetName val="Debt Burden"/>
      <sheetName val="ConsCredit"/>
      <sheetName val="prime, fed funds, LIBOR"/>
      <sheetName val="Annual BF"/>
      <sheetName val="QuarterlyB"/>
      <sheetName val="Monthly BF"/>
      <sheetName val="Weekly BF"/>
      <sheetName val="Cons Confid"/>
      <sheetName val="Receivables"/>
      <sheetName val="Unemp by Occ"/>
      <sheetName val="Moody"/>
      <sheetName val="S&amp;P"/>
      <sheetName val="Cons Conf Qs"/>
      <sheetName val="historical charge-offs"/>
      <sheetName val="still need to fix&amp;update--&gt;"/>
      <sheetName val="Ausubel"/>
      <sheetName val="Charge Offs"/>
      <sheetName val="DLQ"/>
      <sheetName val="Auto Sales BBG"/>
      <sheetName val="US Popul"/>
      <sheetName val="Bankruptcy (BBG)"/>
      <sheetName val="DH where is this from"/>
      <sheetName val="Revolving"/>
      <sheetName val="Nonrevolving"/>
      <sheetName val="Auto Sales"/>
      <sheetName val="FAME Persistence"/>
      <sheetName val="__FDSCACHE__"/>
      <sheetName val="DISCLOSURE"/>
      <sheetName val="Contents"/>
      <sheetName val="Data"/>
      <sheetName val="IS"/>
      <sheetName val="BS"/>
      <sheetName val="CF"/>
      <sheetName val="Sector Sales Hist"/>
      <sheetName val="Sector Sales Fcst"/>
      <sheetName val="Sector Op Profit"/>
      <sheetName val="Other Line Items"/>
      <sheetName val="ROIC"/>
      <sheetName val="Links"/>
      <sheetName val="Cheat Sheet"/>
      <sheetName val="BYND"/>
      <sheetName val="SPX"/>
      <sheetName val="Op Leverag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over"/>
      <sheetName val="__FDSCACHE__"/>
      <sheetName val="DCF"/>
      <sheetName val="Price_Bands"/>
      <sheetName val="IS"/>
      <sheetName val="BS"/>
      <sheetName val="CF"/>
      <sheetName val="Sales_&amp;_Costs"/>
      <sheetName val="Other_Items"/>
      <sheetName val="Depreciation"/>
      <sheetName val="NWC"/>
      <sheetName val="Equity"/>
      <sheetName val="IFRS"/>
      <sheetName val="Financials_DART"/>
    </sheetNames>
    <sheetDataSet>
      <sheetData sheetId="0"/>
      <sheetData sheetId="1"/>
      <sheetData sheetId="2">
        <row r="60">
          <cell r="B60">
            <v>1</v>
          </cell>
        </row>
      </sheetData>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OnePager"/>
    </sheetNames>
    <sheetDataSet>
      <sheetData sheetId="0"/>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contents"/>
      <sheetName val="CONVENTIONS"/>
      <sheetName val="TOTAL"/>
      <sheetName val="PROVP"/>
      <sheetName val="PROVUL"/>
      <sheetName val="PROVI"/>
      <sheetName val="PROBC"/>
      <sheetName val="COMMENTS"/>
      <sheetName val="BASEPROTOTAL"/>
      <sheetName val="LAST QUARTERS"/>
      <sheetName val="BASEPROVP"/>
      <sheetName val="BASEPROVUL"/>
      <sheetName val="BASEPROVI"/>
      <sheetName val="BASEPROBC"/>
      <sheetName val="GLOBAL CHART"/>
      <sheetName val="DETAILED CHART"/>
      <sheetName val="COUNTRYRANKBASE"/>
      <sheetName val="COUNTRYRANK CHARTS"/>
    </sheetNames>
    <sheetDataSet>
      <sheetData sheetId="0"/>
      <sheetData sheetId="1"/>
      <sheetData sheetId="2"/>
      <sheetData sheetId="3">
        <row r="1">
          <cell r="A1" t="str">
            <v>PROVP</v>
          </cell>
        </row>
        <row r="2">
          <cell r="A2" t="str">
            <v> </v>
          </cell>
        </row>
        <row r="4">
          <cell r="A4" t="str">
            <v>UNITS</v>
          </cell>
        </row>
        <row r="5">
          <cell r="A5" t="str">
            <v>CARS</v>
          </cell>
          <cell r="B5" t="str">
            <v>Q1</v>
          </cell>
        </row>
        <row r="6">
          <cell r="A6" t="str">
            <v xml:space="preserve"> EUROPE</v>
          </cell>
          <cell r="B6">
            <v>4451379</v>
          </cell>
        </row>
        <row r="7">
          <cell r="A7" t="str">
            <v xml:space="preserve"> - EUROPEAN UNION 27 countries</v>
          </cell>
          <cell r="B7">
            <v>4054679</v>
          </cell>
        </row>
        <row r="8">
          <cell r="A8" t="str">
            <v xml:space="preserve"> - EUROPEAN UNION 15 countries</v>
          </cell>
          <cell r="B8">
            <v>3649293</v>
          </cell>
        </row>
        <row r="9">
          <cell r="A9" t="str">
            <v>Double Counts Austria / Germany</v>
          </cell>
          <cell r="B9">
            <v>-4962</v>
          </cell>
        </row>
        <row r="10">
          <cell r="A10" t="str">
            <v>Double Counts Austria / Japan</v>
          </cell>
          <cell r="B10">
            <v>0</v>
          </cell>
        </row>
        <row r="11">
          <cell r="A11" t="str">
            <v>Double Counts Belgium / Germany</v>
          </cell>
          <cell r="B11">
            <v>-72139</v>
          </cell>
        </row>
        <row r="12">
          <cell r="A12" t="str">
            <v>Double Counts Italy / EU</v>
          </cell>
          <cell r="B12">
            <v>-1470</v>
          </cell>
        </row>
        <row r="13">
          <cell r="A13" t="str">
            <v>Double Counts Portugal / Japan</v>
          </cell>
          <cell r="B13">
            <v>0</v>
          </cell>
        </row>
        <row r="14">
          <cell r="A14" t="str">
            <v>Double Counts Portugal / Spain</v>
          </cell>
          <cell r="B14">
            <v>-5976</v>
          </cell>
        </row>
        <row r="15">
          <cell r="A15" t="str">
            <v>AUSTRIA</v>
          </cell>
          <cell r="B15">
            <v>47682</v>
          </cell>
        </row>
        <row r="16">
          <cell r="A16" t="str">
            <v>BELGIUM</v>
          </cell>
          <cell r="B16">
            <v>255014</v>
          </cell>
        </row>
        <row r="17">
          <cell r="A17" t="str">
            <v>FINLAND</v>
          </cell>
          <cell r="B17">
            <v>4657</v>
          </cell>
        </row>
        <row r="18">
          <cell r="A18" t="str">
            <v xml:space="preserve">FRANCE  </v>
          </cell>
          <cell r="B18">
            <v>800452</v>
          </cell>
        </row>
        <row r="19">
          <cell r="A19" t="str">
            <v xml:space="preserve">GERMANY(1) </v>
          </cell>
          <cell r="B19">
            <v>1317607</v>
          </cell>
        </row>
        <row r="20">
          <cell r="A20" t="str">
            <v>ITALY</v>
          </cell>
          <cell r="B20">
            <v>185919</v>
          </cell>
        </row>
        <row r="21">
          <cell r="A21" t="str">
            <v xml:space="preserve">NETHERLANDS </v>
          </cell>
          <cell r="B21">
            <v>36903</v>
          </cell>
        </row>
        <row r="22">
          <cell r="A22" t="str">
            <v>PORTUGAL</v>
          </cell>
          <cell r="B22">
            <v>37439</v>
          </cell>
        </row>
        <row r="23">
          <cell r="A23" t="str">
            <v>SPAIN</v>
          </cell>
          <cell r="B23">
            <v>540545</v>
          </cell>
        </row>
        <row r="24">
          <cell r="A24" t="str">
            <v>SWEDEN (2)</v>
          </cell>
          <cell r="B24">
            <v>74662</v>
          </cell>
        </row>
        <row r="25">
          <cell r="A25" t="str">
            <v xml:space="preserve">UNITED KINGDOM  </v>
          </cell>
          <cell r="B25">
            <v>432960</v>
          </cell>
        </row>
        <row r="26">
          <cell r="A26" t="str">
            <v xml:space="preserve"> - EUROPEAN UNION New Members</v>
          </cell>
          <cell r="B26">
            <v>405386</v>
          </cell>
        </row>
        <row r="27">
          <cell r="A27" t="str">
            <v>Double Counts Slovakia / Czech republic</v>
          </cell>
          <cell r="B27">
            <v>0</v>
          </cell>
        </row>
        <row r="28">
          <cell r="A28" t="str">
            <v>Double Counts Slovakia/ / Germany</v>
          </cell>
          <cell r="B28">
            <v>-9750</v>
          </cell>
        </row>
        <row r="29">
          <cell r="A29" t="str">
            <v>CZECH REPUBLIC</v>
          </cell>
          <cell r="B29">
            <v>122270</v>
          </cell>
        </row>
        <row r="30">
          <cell r="A30" t="str">
            <v>HUNGARY</v>
          </cell>
          <cell r="B30">
            <v>28450</v>
          </cell>
        </row>
        <row r="31">
          <cell r="A31" t="str">
            <v>POLAND</v>
          </cell>
          <cell r="B31">
            <v>134200</v>
          </cell>
        </row>
        <row r="32">
          <cell r="A32" t="str">
            <v>ROMANIA</v>
          </cell>
          <cell r="B32">
            <v>42958</v>
          </cell>
        </row>
        <row r="33">
          <cell r="A33" t="str">
            <v>SLOVAKIA</v>
          </cell>
          <cell r="B33">
            <v>50479</v>
          </cell>
        </row>
        <row r="34">
          <cell r="A34" t="str">
            <v>SLOVENIA</v>
          </cell>
          <cell r="B34">
            <v>36779</v>
          </cell>
        </row>
        <row r="35">
          <cell r="A35" t="str">
            <v xml:space="preserve"> - OTHER EUROPE</v>
          </cell>
          <cell r="B35">
            <v>296700</v>
          </cell>
        </row>
        <row r="36">
          <cell r="A36" t="str">
            <v>SERBIA</v>
          </cell>
          <cell r="B36">
            <v>1700</v>
          </cell>
        </row>
        <row r="37">
          <cell r="A37" t="str">
            <v>CIS</v>
          </cell>
          <cell r="B37">
            <v>295000</v>
          </cell>
        </row>
        <row r="38">
          <cell r="A38" t="str">
            <v>Double Counts Ukraine / World</v>
          </cell>
          <cell r="B38">
            <v>0</v>
          </cell>
        </row>
        <row r="39">
          <cell r="A39" t="str">
            <v>RUSSIA</v>
          </cell>
          <cell r="B39">
            <v>230000</v>
          </cell>
        </row>
        <row r="40">
          <cell r="A40" t="str">
            <v>BELARUS</v>
          </cell>
          <cell r="B40">
            <v>0</v>
          </cell>
        </row>
        <row r="41">
          <cell r="A41" t="str">
            <v>UKRAINE</v>
          </cell>
          <cell r="B41">
            <v>40000</v>
          </cell>
        </row>
        <row r="42">
          <cell r="A42" t="str">
            <v xml:space="preserve">UZBEKISTAN </v>
          </cell>
          <cell r="B42">
            <v>25000</v>
          </cell>
        </row>
        <row r="43">
          <cell r="A43" t="str">
            <v>TURKEY</v>
          </cell>
          <cell r="B43">
            <v>100000</v>
          </cell>
        </row>
        <row r="44">
          <cell r="A44" t="str">
            <v>AMERICA</v>
          </cell>
          <cell r="B44">
            <v>2148829</v>
          </cell>
        </row>
        <row r="45">
          <cell r="A45" t="str">
            <v xml:space="preserve"> - NAFTA</v>
          </cell>
          <cell r="B45">
            <v>1628511</v>
          </cell>
        </row>
        <row r="46">
          <cell r="A46" t="str">
            <v xml:space="preserve">CANADA  </v>
          </cell>
          <cell r="B46">
            <v>331992</v>
          </cell>
        </row>
        <row r="47">
          <cell r="A47" t="str">
            <v>MEXICO</v>
          </cell>
          <cell r="B47">
            <v>181878</v>
          </cell>
        </row>
        <row r="48">
          <cell r="A48" t="str">
            <v>USA</v>
          </cell>
          <cell r="B48">
            <v>1114641</v>
          </cell>
        </row>
        <row r="49">
          <cell r="A49" t="str">
            <v xml:space="preserve"> - SOUTH AMERICA</v>
          </cell>
          <cell r="B49">
            <v>520318</v>
          </cell>
        </row>
        <row r="50">
          <cell r="A50" t="str">
            <v>Double counts Venezuela / World</v>
          </cell>
          <cell r="B50">
            <v>-24420</v>
          </cell>
        </row>
        <row r="51">
          <cell r="A51" t="str">
            <v>ARGENTINA</v>
          </cell>
          <cell r="B51">
            <v>38247</v>
          </cell>
        </row>
        <row r="52">
          <cell r="A52" t="str">
            <v>BRAZIL</v>
          </cell>
          <cell r="B52">
            <v>469881</v>
          </cell>
        </row>
        <row r="53">
          <cell r="A53" t="str">
            <v>CHILE</v>
          </cell>
        </row>
        <row r="54">
          <cell r="A54" t="str">
            <v>COLOMBIA</v>
          </cell>
          <cell r="B54" t="str">
            <v> </v>
          </cell>
        </row>
        <row r="55">
          <cell r="A55" t="str">
            <v>ECUADOR</v>
          </cell>
        </row>
        <row r="56">
          <cell r="A56" t="str">
            <v>PERU</v>
          </cell>
        </row>
        <row r="57">
          <cell r="A57" t="str">
            <v>URUGUAY</v>
          </cell>
        </row>
        <row r="58">
          <cell r="A58" t="str">
            <v>VENEZUELA</v>
          </cell>
          <cell r="B58">
            <v>36610</v>
          </cell>
        </row>
        <row r="59">
          <cell r="A59" t="str">
            <v>ASIA-OCEANIA</v>
          </cell>
          <cell r="B59">
            <v>4792605</v>
          </cell>
        </row>
        <row r="60">
          <cell r="A60" t="str">
            <v>Double Counts Asia / world</v>
          </cell>
          <cell r="B60">
            <v>-22750</v>
          </cell>
        </row>
        <row r="61">
          <cell r="A61" t="str">
            <v>Double Counts China / world</v>
          </cell>
          <cell r="B61">
            <v>0</v>
          </cell>
        </row>
        <row r="62">
          <cell r="A62" t="str">
            <v>Double Counts Thailand / world</v>
          </cell>
          <cell r="B62">
            <v>0</v>
          </cell>
        </row>
        <row r="63">
          <cell r="A63" t="str">
            <v>AUSTRALIA</v>
          </cell>
          <cell r="B63">
            <v>72000</v>
          </cell>
        </row>
        <row r="64">
          <cell r="A64" t="str">
            <v>CHINA</v>
          </cell>
          <cell r="B64">
            <v>825847</v>
          </cell>
        </row>
        <row r="65">
          <cell r="A65" t="str">
            <v>INDIA</v>
          </cell>
          <cell r="B65">
            <v>322385</v>
          </cell>
        </row>
        <row r="66">
          <cell r="A66" t="str">
            <v>INDONESIA</v>
          </cell>
          <cell r="B66">
            <v>99000</v>
          </cell>
        </row>
        <row r="67">
          <cell r="A67" t="str">
            <v>IRAN</v>
          </cell>
        </row>
        <row r="68">
          <cell r="A68" t="str">
            <v>JAPAN</v>
          </cell>
          <cell r="B68">
            <v>2410695</v>
          </cell>
        </row>
        <row r="69">
          <cell r="A69" t="str">
            <v>MALAYSIA</v>
          </cell>
          <cell r="B69">
            <v>101856</v>
          </cell>
        </row>
        <row r="70">
          <cell r="A70" t="str">
            <v xml:space="preserve">PAKISTAN </v>
          </cell>
        </row>
        <row r="71">
          <cell r="A71" t="str">
            <v>PHILIPPINES</v>
          </cell>
        </row>
        <row r="72">
          <cell r="A72" t="str">
            <v>SOUTH KOREA</v>
          </cell>
          <cell r="B72">
            <v>819060</v>
          </cell>
        </row>
        <row r="73">
          <cell r="A73" t="str">
            <v xml:space="preserve">TAIWAN </v>
          </cell>
          <cell r="B73">
            <v>82256</v>
          </cell>
        </row>
        <row r="74">
          <cell r="A74" t="str">
            <v>THAILAND</v>
          </cell>
          <cell r="B74">
            <v>82256</v>
          </cell>
        </row>
        <row r="75">
          <cell r="A75" t="str">
            <v>VIETNAM</v>
          </cell>
        </row>
        <row r="76">
          <cell r="A76" t="str">
            <v>AFRICA</v>
          </cell>
          <cell r="B76">
            <v>64270</v>
          </cell>
        </row>
        <row r="77">
          <cell r="A77" t="str">
            <v>Double Counts Egypt / world</v>
          </cell>
          <cell r="B77">
            <v>-3500</v>
          </cell>
        </row>
        <row r="78">
          <cell r="A78" t="str">
            <v>Double Counts South Africa / world</v>
          </cell>
          <cell r="B78">
            <v>-12500</v>
          </cell>
        </row>
        <row r="79">
          <cell r="A79" t="str">
            <v>BOTSWANA</v>
          </cell>
          <cell r="B79">
            <v>270</v>
          </cell>
        </row>
        <row r="80">
          <cell r="A80" t="str">
            <v xml:space="preserve"> EGYPT</v>
          </cell>
          <cell r="B80">
            <v>10000</v>
          </cell>
        </row>
        <row r="81">
          <cell r="A81" t="str">
            <v>KENYA</v>
          </cell>
        </row>
        <row r="82">
          <cell r="A82" t="str">
            <v>LIBYA</v>
          </cell>
        </row>
        <row r="83">
          <cell r="A83" t="str">
            <v>MOROCCO</v>
          </cell>
        </row>
        <row r="84">
          <cell r="A84" t="str">
            <v>NIGERIA</v>
          </cell>
          <cell r="B84" t="str">
            <v> </v>
          </cell>
        </row>
        <row r="85">
          <cell r="A85" t="str">
            <v>SUDAN</v>
          </cell>
        </row>
        <row r="86">
          <cell r="A86" t="str">
            <v>SOUTH AFRICA</v>
          </cell>
          <cell r="B86">
            <v>70000</v>
          </cell>
        </row>
        <row r="87">
          <cell r="A87" t="str">
            <v>TUNISIA</v>
          </cell>
        </row>
        <row r="88">
          <cell r="A88" t="str">
            <v>ZIMBABWE</v>
          </cell>
        </row>
        <row r="89">
          <cell r="A89" t="str">
            <v>OTHERS</v>
          </cell>
        </row>
        <row r="90">
          <cell r="A90" t="str">
            <v xml:space="preserve">TOTAL </v>
          </cell>
          <cell r="B90">
            <v>11457083</v>
          </cell>
        </row>
        <row r="91">
          <cell r="A91" t="str">
            <v>(1)  Official car figures include Belgian GM assembly.</v>
          </cell>
        </row>
        <row r="92">
          <cell r="A92" t="str">
            <v>(2) Official figures  take account  of Swedish manufacturers world production; in this report, we only use the vehicles produced in Sweden, and the vehicles for which Volvo Trucks does not specify the country of production..</v>
          </cell>
        </row>
        <row r="93">
          <cell r="A93" t="str">
            <v>Estimate</v>
          </cell>
        </row>
      </sheetData>
      <sheetData sheetId="4"/>
      <sheetData sheetId="5"/>
      <sheetData sheetId="6"/>
      <sheetData sheetId="7"/>
      <sheetData sheetId="8">
        <row r="55">
          <cell r="H55" t="str">
            <v>2006q1</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Jan 2001"/>
      <sheetName val="Feb 2001"/>
      <sheetName val="Mar2001"/>
      <sheetName val="Apr 2001"/>
      <sheetName val="May 2001"/>
      <sheetName val="Jun 2001"/>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Musak"/>
      <sheetName val="__FDSCACHE__"/>
      <sheetName val="WACC"/>
      <sheetName val="PV Graph Data"/>
      <sheetName val="Contents"/>
      <sheetName val="1. Total_AMS"/>
      <sheetName val="2. AMS-vs-Device"/>
      <sheetName val="3. AMS-vs-EndMarket"/>
      <sheetName val="4. EndMarket_Overview"/>
      <sheetName val="5. Glossary_of_Term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Guide"/>
      <sheetName val="Cover"/>
      <sheetName val="Control_Panel"/>
      <sheetName val="Std Dev"/>
      <sheetName val="Qtrly_Fin&amp;Est"/>
      <sheetName val="Annual_Fin&amp;Est"/>
      <sheetName val="Guidance"/>
      <sheetName val="Charts"/>
      <sheetName val="DCF"/>
      <sheetName val="Raw_Data"/>
    </sheetNames>
    <sheetDataSet>
      <sheetData sheetId="0"/>
      <sheetData sheetId="1"/>
      <sheetData sheetId="2"/>
      <sheetData sheetId="3"/>
      <sheetData sheetId="4">
        <row r="22">
          <cell r="AQ22">
            <v>35789.714999999997</v>
          </cell>
        </row>
        <row r="517">
          <cell r="C517">
            <v>22</v>
          </cell>
        </row>
        <row r="518">
          <cell r="C518">
            <v>1.55</v>
          </cell>
        </row>
      </sheetData>
      <sheetData sheetId="5"/>
      <sheetData sheetId="6"/>
      <sheetData sheetId="7"/>
      <sheetData sheetId="8"/>
      <sheetData sheetId="9"/>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GC"/>
      <sheetName val="Corning"/>
      <sheetName val="Summary"/>
      <sheetName val="AUO"/>
      <sheetName val="_CIQHiddenCacheSheet"/>
      <sheetName val="CMI"/>
      <sheetName val="LGD"/>
      <sheetName val="HonHai"/>
      <sheetName val="Quanta"/>
      <sheetName val="Acer"/>
      <sheetName val="ASUS"/>
      <sheetName val="Lenovo"/>
      <sheetName val="Compal"/>
      <sheetName val="Wistron"/>
      <sheetName val="Flextronics"/>
      <sheetName val="Jabil"/>
      <sheetName val="Dell"/>
      <sheetName val="HP"/>
      <sheetName val="Apple"/>
      <sheetName val="Sharp"/>
      <sheetName val="NEG"/>
      <sheetName val="INX"/>
    </sheetNames>
    <sheetDataSet>
      <sheetData sheetId="0" refreshError="1"/>
      <sheetData sheetId="1">
        <row r="4">
          <cell r="D4" t="str">
            <v>NEG</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94Q2"/>
      <sheetName val="CF-94Q2"/>
      <sheetName val="IS-仟元"/>
      <sheetName val="BS-仟元"/>
      <sheetName val="固定資產"/>
      <sheetName val="固定資產變動彙總表"/>
      <sheetName val="遞延費用"/>
      <sheetName val="遞延費用變動彙總表"/>
      <sheetName val="Sheet2"/>
      <sheetName val="IS "/>
      <sheetName val="ES"/>
      <sheetName val="CF "/>
      <sheetName val="CF-93-WP "/>
      <sheetName val="CF-92-WP"/>
      <sheetName val="CF-91-WP"/>
      <sheetName val="....."/>
      <sheetName val="CF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0.xml><?xml version="1.0" encoding="utf-8"?>
<externalLink xmlns="http://schemas.openxmlformats.org/spreadsheetml/2006/main">
  <externalBook xmlns:r="http://schemas.openxmlformats.org/officeDocument/2006/relationships" r:id="rId1">
    <sheetNames>
      <sheetName val="Balance Checks"/>
      <sheetName val="Assumptions"/>
      <sheetName val="Ratio Analysis"/>
      <sheetName val="Income Statement"/>
      <sheetName val="Balance Sheet"/>
      <sheetName val="Cash Flow Statement"/>
      <sheetName val="Shareholders' Equity"/>
      <sheetName val="Balance Sheet Drivers"/>
      <sheetName val="Net Interest"/>
      <sheetName val="Debt Detail"/>
      <sheetName val="Corp. Held Assets"/>
      <sheetName val="Offshore"/>
      <sheetName val="PP&amp;E"/>
      <sheetName val="S&amp;U Statement"/>
      <sheetName val="Profit Sharing"/>
      <sheetName val="Module1"/>
      <sheetName val="Module2"/>
      <sheetName val="SLIDE"/>
      <sheetName val="A"/>
      <sheetName val="Community Bank"/>
      <sheetName val="Prototype23"/>
      <sheetName val="RevChart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xml><?xml version="1.0" encoding="utf-8"?>
<externalLink xmlns="http://schemas.openxmlformats.org/spreadsheetml/2006/main">
  <externalBook xmlns:r="http://schemas.openxmlformats.org/officeDocument/2006/relationships" r:id="rId1">
    <sheetNames>
      <sheetName val="Price_Perf."/>
    </sheetNames>
    <sheetDataSet>
      <sheetData sheetId="0">
        <row r="15">
          <cell r="AG15" t="str">
            <v>YYMMDD</v>
          </cell>
          <cell r="AH15" t="str">
            <v>Foreign Invest.%-TSE</v>
          </cell>
        </row>
        <row r="16">
          <cell r="AG16">
            <v>38355</v>
          </cell>
          <cell r="AH16">
            <v>58.02</v>
          </cell>
        </row>
        <row r="17">
          <cell r="AG17">
            <v>38356</v>
          </cell>
          <cell r="AH17">
            <v>58</v>
          </cell>
        </row>
        <row r="18">
          <cell r="AG18">
            <v>38357</v>
          </cell>
          <cell r="AH18">
            <v>57.95</v>
          </cell>
        </row>
        <row r="19">
          <cell r="AG19">
            <v>38358</v>
          </cell>
          <cell r="AH19">
            <v>57.89</v>
          </cell>
        </row>
        <row r="20">
          <cell r="AG20">
            <v>38359</v>
          </cell>
          <cell r="AH20">
            <v>57.8</v>
          </cell>
        </row>
        <row r="21">
          <cell r="AG21">
            <v>38362</v>
          </cell>
          <cell r="AH21">
            <v>57.78</v>
          </cell>
        </row>
        <row r="22">
          <cell r="AG22">
            <v>38363</v>
          </cell>
          <cell r="AH22">
            <v>57.76</v>
          </cell>
        </row>
        <row r="23">
          <cell r="AG23">
            <v>38364</v>
          </cell>
          <cell r="AH23">
            <v>57.65</v>
          </cell>
        </row>
        <row r="24">
          <cell r="AG24">
            <v>38365</v>
          </cell>
          <cell r="AH24">
            <v>57.58</v>
          </cell>
        </row>
        <row r="25">
          <cell r="AG25">
            <v>38366</v>
          </cell>
          <cell r="AH25">
            <v>57.49</v>
          </cell>
        </row>
        <row r="26">
          <cell r="AG26">
            <v>38369</v>
          </cell>
          <cell r="AH26">
            <v>57.57</v>
          </cell>
        </row>
        <row r="27">
          <cell r="AG27">
            <v>38370</v>
          </cell>
          <cell r="AH27">
            <v>57.59</v>
          </cell>
        </row>
        <row r="28">
          <cell r="AG28">
            <v>38371</v>
          </cell>
          <cell r="AH28">
            <v>57.57</v>
          </cell>
        </row>
        <row r="29">
          <cell r="AG29">
            <v>38372</v>
          </cell>
          <cell r="AH29">
            <v>57.52</v>
          </cell>
        </row>
        <row r="30">
          <cell r="AG30">
            <v>38373</v>
          </cell>
          <cell r="AH30">
            <v>57.48</v>
          </cell>
        </row>
        <row r="31">
          <cell r="AG31">
            <v>38376</v>
          </cell>
          <cell r="AH31">
            <v>57.44</v>
          </cell>
        </row>
        <row r="32">
          <cell r="AG32">
            <v>38377</v>
          </cell>
          <cell r="AH32">
            <v>57.39</v>
          </cell>
        </row>
        <row r="33">
          <cell r="AG33">
            <v>38378</v>
          </cell>
          <cell r="AH33">
            <v>57.53</v>
          </cell>
        </row>
        <row r="34">
          <cell r="AG34">
            <v>38379</v>
          </cell>
          <cell r="AH34">
            <v>57.59</v>
          </cell>
        </row>
        <row r="35">
          <cell r="AG35">
            <v>38380</v>
          </cell>
          <cell r="AH35">
            <v>57.76</v>
          </cell>
        </row>
        <row r="36">
          <cell r="AG36">
            <v>38383</v>
          </cell>
          <cell r="AH36">
            <v>58.05</v>
          </cell>
        </row>
        <row r="37">
          <cell r="AG37">
            <v>38384</v>
          </cell>
          <cell r="AH37">
            <v>58.3</v>
          </cell>
        </row>
        <row r="38">
          <cell r="AG38">
            <v>38385</v>
          </cell>
          <cell r="AH38">
            <v>58.67</v>
          </cell>
        </row>
        <row r="39">
          <cell r="AG39">
            <v>38386</v>
          </cell>
          <cell r="AH39">
            <v>58.88</v>
          </cell>
        </row>
        <row r="40">
          <cell r="AG40">
            <v>38397</v>
          </cell>
          <cell r="AH40">
            <v>59.09</v>
          </cell>
        </row>
        <row r="41">
          <cell r="AG41">
            <v>38398</v>
          </cell>
          <cell r="AH41">
            <v>59.24</v>
          </cell>
        </row>
        <row r="42">
          <cell r="AG42">
            <v>38399</v>
          </cell>
          <cell r="AH42">
            <v>59.29</v>
          </cell>
        </row>
        <row r="43">
          <cell r="AG43">
            <v>38400</v>
          </cell>
          <cell r="AH43">
            <v>59.31</v>
          </cell>
        </row>
        <row r="44">
          <cell r="AG44">
            <v>38401</v>
          </cell>
          <cell r="AH44">
            <v>59.35</v>
          </cell>
        </row>
        <row r="45">
          <cell r="AG45">
            <v>38404</v>
          </cell>
          <cell r="AH45">
            <v>59.43</v>
          </cell>
        </row>
        <row r="46">
          <cell r="AG46">
            <v>38405</v>
          </cell>
          <cell r="AH46">
            <v>59.45</v>
          </cell>
        </row>
        <row r="47">
          <cell r="AG47">
            <v>38406</v>
          </cell>
          <cell r="AH47">
            <v>59.46</v>
          </cell>
        </row>
        <row r="48">
          <cell r="AG48">
            <v>38407</v>
          </cell>
          <cell r="AH48">
            <v>59.46</v>
          </cell>
        </row>
        <row r="49">
          <cell r="AG49">
            <v>38408</v>
          </cell>
          <cell r="AH49">
            <v>59.69</v>
          </cell>
        </row>
        <row r="50">
          <cell r="AG50">
            <v>38412</v>
          </cell>
          <cell r="AH50">
            <v>59.69</v>
          </cell>
        </row>
        <row r="51">
          <cell r="AG51">
            <v>38413</v>
          </cell>
          <cell r="AH51">
            <v>59.7</v>
          </cell>
        </row>
        <row r="52">
          <cell r="AG52">
            <v>38414</v>
          </cell>
          <cell r="AH52">
            <v>59.71</v>
          </cell>
        </row>
        <row r="53">
          <cell r="AG53">
            <v>38415</v>
          </cell>
          <cell r="AH53">
            <v>59.65</v>
          </cell>
        </row>
        <row r="54">
          <cell r="AG54">
            <v>38418</v>
          </cell>
          <cell r="AH54">
            <v>59.67</v>
          </cell>
        </row>
        <row r="55">
          <cell r="AG55">
            <v>38419</v>
          </cell>
          <cell r="AH55">
            <v>59.71</v>
          </cell>
        </row>
        <row r="56">
          <cell r="AG56">
            <v>38420</v>
          </cell>
          <cell r="AH56">
            <v>59.73</v>
          </cell>
        </row>
        <row r="57">
          <cell r="AG57">
            <v>38421</v>
          </cell>
          <cell r="AH57">
            <v>59.68</v>
          </cell>
        </row>
        <row r="58">
          <cell r="AG58">
            <v>38422</v>
          </cell>
          <cell r="AH58">
            <v>59.67</v>
          </cell>
        </row>
        <row r="59">
          <cell r="AG59">
            <v>38425</v>
          </cell>
          <cell r="AH59">
            <v>59.63</v>
          </cell>
        </row>
        <row r="60">
          <cell r="AG60">
            <v>38426</v>
          </cell>
          <cell r="AH60">
            <v>59.62</v>
          </cell>
        </row>
        <row r="61">
          <cell r="AG61">
            <v>38427</v>
          </cell>
          <cell r="AH61">
            <v>59.61</v>
          </cell>
        </row>
        <row r="62">
          <cell r="AG62">
            <v>38428</v>
          </cell>
          <cell r="AH62">
            <v>59.5</v>
          </cell>
        </row>
        <row r="63">
          <cell r="AG63">
            <v>38429</v>
          </cell>
          <cell r="AH63">
            <v>59.51</v>
          </cell>
        </row>
        <row r="64">
          <cell r="AG64">
            <v>38432</v>
          </cell>
          <cell r="AH64">
            <v>59.47</v>
          </cell>
        </row>
        <row r="65">
          <cell r="AG65">
            <v>38433</v>
          </cell>
          <cell r="AH65">
            <v>59.45</v>
          </cell>
        </row>
        <row r="66">
          <cell r="AG66">
            <v>38434</v>
          </cell>
          <cell r="AH66">
            <v>59.39</v>
          </cell>
        </row>
        <row r="67">
          <cell r="AG67">
            <v>38435</v>
          </cell>
          <cell r="AH67">
            <v>59.37</v>
          </cell>
        </row>
        <row r="68">
          <cell r="AG68">
            <v>38436</v>
          </cell>
          <cell r="AH68">
            <v>59.36</v>
          </cell>
        </row>
        <row r="69">
          <cell r="AG69">
            <v>38439</v>
          </cell>
          <cell r="AH69">
            <v>59.38</v>
          </cell>
        </row>
        <row r="70">
          <cell r="AG70">
            <v>38440</v>
          </cell>
          <cell r="AH70">
            <v>59.39</v>
          </cell>
        </row>
        <row r="71">
          <cell r="AG71">
            <v>38441</v>
          </cell>
          <cell r="AH71">
            <v>59.35</v>
          </cell>
        </row>
        <row r="72">
          <cell r="AG72">
            <v>38442</v>
          </cell>
          <cell r="AH72">
            <v>59.15</v>
          </cell>
        </row>
        <row r="73">
          <cell r="AG73">
            <v>38443</v>
          </cell>
          <cell r="AH73">
            <v>59.18</v>
          </cell>
        </row>
        <row r="74">
          <cell r="AG74">
            <v>38446</v>
          </cell>
          <cell r="AH74">
            <v>59.2</v>
          </cell>
        </row>
        <row r="75">
          <cell r="AG75">
            <v>38448</v>
          </cell>
          <cell r="AH75">
            <v>59.2</v>
          </cell>
        </row>
        <row r="76">
          <cell r="AG76">
            <v>38449</v>
          </cell>
          <cell r="AH76">
            <v>59.21</v>
          </cell>
        </row>
        <row r="77">
          <cell r="AG77">
            <v>38450</v>
          </cell>
          <cell r="AH77">
            <v>59.24</v>
          </cell>
        </row>
        <row r="78">
          <cell r="AG78">
            <v>38453</v>
          </cell>
          <cell r="AH78">
            <v>59.25</v>
          </cell>
        </row>
        <row r="79">
          <cell r="AG79">
            <v>38454</v>
          </cell>
          <cell r="AH79">
            <v>59.27</v>
          </cell>
        </row>
        <row r="80">
          <cell r="AG80">
            <v>38455</v>
          </cell>
          <cell r="AH80">
            <v>59.28</v>
          </cell>
        </row>
        <row r="81">
          <cell r="AG81">
            <v>38456</v>
          </cell>
          <cell r="AH81">
            <v>59.19</v>
          </cell>
        </row>
        <row r="82">
          <cell r="AG82">
            <v>38457</v>
          </cell>
          <cell r="AH82">
            <v>59.13</v>
          </cell>
        </row>
        <row r="83">
          <cell r="AG83">
            <v>38460</v>
          </cell>
          <cell r="AH83">
            <v>59.08</v>
          </cell>
        </row>
        <row r="84">
          <cell r="AG84">
            <v>38461</v>
          </cell>
          <cell r="AH84">
            <v>59.05</v>
          </cell>
        </row>
        <row r="85">
          <cell r="AG85">
            <v>38462</v>
          </cell>
          <cell r="AH85">
            <v>59.04</v>
          </cell>
        </row>
        <row r="86">
          <cell r="AG86">
            <v>38463</v>
          </cell>
          <cell r="AH86">
            <v>58.91</v>
          </cell>
        </row>
        <row r="87">
          <cell r="AG87">
            <v>38464</v>
          </cell>
          <cell r="AH87">
            <v>58.86</v>
          </cell>
        </row>
        <row r="88">
          <cell r="AG88">
            <v>38467</v>
          </cell>
          <cell r="AH88">
            <v>58.84</v>
          </cell>
        </row>
        <row r="89">
          <cell r="AG89">
            <v>38468</v>
          </cell>
          <cell r="AH89">
            <v>58.89</v>
          </cell>
        </row>
        <row r="90">
          <cell r="AG90">
            <v>38469</v>
          </cell>
          <cell r="AH90">
            <v>58.95</v>
          </cell>
        </row>
        <row r="91">
          <cell r="AG91">
            <v>38470</v>
          </cell>
          <cell r="AH91">
            <v>59</v>
          </cell>
        </row>
        <row r="92">
          <cell r="AG92">
            <v>38471</v>
          </cell>
          <cell r="AH92">
            <v>58.96</v>
          </cell>
        </row>
        <row r="93">
          <cell r="AG93">
            <v>38475</v>
          </cell>
          <cell r="AH93">
            <v>59.04</v>
          </cell>
        </row>
        <row r="94">
          <cell r="AG94">
            <v>38476</v>
          </cell>
          <cell r="AH94">
            <v>59.08</v>
          </cell>
        </row>
        <row r="95">
          <cell r="AG95">
            <v>38477</v>
          </cell>
          <cell r="AH95">
            <v>59.21</v>
          </cell>
        </row>
        <row r="96">
          <cell r="AG96">
            <v>38478</v>
          </cell>
          <cell r="AH96">
            <v>59.35</v>
          </cell>
        </row>
        <row r="97">
          <cell r="AG97">
            <v>38481</v>
          </cell>
          <cell r="AH97">
            <v>59.46</v>
          </cell>
        </row>
        <row r="98">
          <cell r="AG98">
            <v>38482</v>
          </cell>
          <cell r="AH98">
            <v>59.55</v>
          </cell>
        </row>
        <row r="99">
          <cell r="AG99">
            <v>38483</v>
          </cell>
          <cell r="AH99">
            <v>59.56</v>
          </cell>
        </row>
        <row r="100">
          <cell r="AG100">
            <v>38484</v>
          </cell>
          <cell r="AH100">
            <v>59.66</v>
          </cell>
        </row>
        <row r="101">
          <cell r="AG101">
            <v>38485</v>
          </cell>
          <cell r="AH101">
            <v>59.77</v>
          </cell>
        </row>
        <row r="102">
          <cell r="AG102">
            <v>38488</v>
          </cell>
          <cell r="AH102">
            <v>59.85</v>
          </cell>
        </row>
        <row r="103">
          <cell r="AG103">
            <v>38489</v>
          </cell>
          <cell r="AH103">
            <v>59.92</v>
          </cell>
        </row>
        <row r="104">
          <cell r="AG104">
            <v>38490</v>
          </cell>
          <cell r="AH104">
            <v>60</v>
          </cell>
        </row>
        <row r="105">
          <cell r="AG105">
            <v>38491</v>
          </cell>
          <cell r="AH105">
            <v>60.21</v>
          </cell>
        </row>
        <row r="106">
          <cell r="AG106">
            <v>38492</v>
          </cell>
          <cell r="AH106">
            <v>60.32</v>
          </cell>
        </row>
        <row r="107">
          <cell r="AG107">
            <v>38495</v>
          </cell>
          <cell r="AH107">
            <v>60.34</v>
          </cell>
        </row>
        <row r="108">
          <cell r="AG108">
            <v>38496</v>
          </cell>
          <cell r="AH108">
            <v>60.49</v>
          </cell>
        </row>
        <row r="109">
          <cell r="AG109">
            <v>38497</v>
          </cell>
          <cell r="AH109">
            <v>60.57</v>
          </cell>
        </row>
        <row r="110">
          <cell r="AG110">
            <v>38498</v>
          </cell>
          <cell r="AH110">
            <v>60.6</v>
          </cell>
        </row>
        <row r="111">
          <cell r="AG111">
            <v>38499</v>
          </cell>
          <cell r="AH111">
            <v>60.7</v>
          </cell>
        </row>
        <row r="112">
          <cell r="AG112">
            <v>38502</v>
          </cell>
          <cell r="AH112">
            <v>60.74</v>
          </cell>
        </row>
        <row r="113">
          <cell r="AG113">
            <v>38503</v>
          </cell>
          <cell r="AH113">
            <v>60.91</v>
          </cell>
        </row>
        <row r="114">
          <cell r="AG114">
            <v>38504</v>
          </cell>
          <cell r="AH114">
            <v>60.93</v>
          </cell>
        </row>
        <row r="115">
          <cell r="AG115">
            <v>38505</v>
          </cell>
          <cell r="AH115">
            <v>60.95</v>
          </cell>
        </row>
        <row r="116">
          <cell r="AG116">
            <v>38506</v>
          </cell>
          <cell r="AH116">
            <v>61.04</v>
          </cell>
        </row>
        <row r="117">
          <cell r="AG117">
            <v>38509</v>
          </cell>
          <cell r="AH117">
            <v>61.09</v>
          </cell>
        </row>
        <row r="118">
          <cell r="AG118">
            <v>38510</v>
          </cell>
          <cell r="AH118">
            <v>61.03</v>
          </cell>
        </row>
        <row r="119">
          <cell r="AG119">
            <v>38511</v>
          </cell>
          <cell r="AH119">
            <v>61.2</v>
          </cell>
        </row>
        <row r="120">
          <cell r="AG120">
            <v>38512</v>
          </cell>
          <cell r="AH120">
            <v>61.27</v>
          </cell>
        </row>
        <row r="121">
          <cell r="AG121">
            <v>38513</v>
          </cell>
          <cell r="AH121">
            <v>61.42</v>
          </cell>
        </row>
        <row r="122">
          <cell r="AG122">
            <v>38516</v>
          </cell>
          <cell r="AH122">
            <v>61.42</v>
          </cell>
        </row>
        <row r="123">
          <cell r="AG123">
            <v>38517</v>
          </cell>
          <cell r="AH123">
            <v>61.47</v>
          </cell>
        </row>
        <row r="124">
          <cell r="AG124">
            <v>38518</v>
          </cell>
          <cell r="AH124">
            <v>61.55</v>
          </cell>
        </row>
        <row r="125">
          <cell r="AG125">
            <v>38519</v>
          </cell>
          <cell r="AH125">
            <v>61.64</v>
          </cell>
        </row>
        <row r="126">
          <cell r="AG126">
            <v>38520</v>
          </cell>
          <cell r="AH126">
            <v>61.77</v>
          </cell>
        </row>
        <row r="127">
          <cell r="AG127">
            <v>38523</v>
          </cell>
          <cell r="AH127">
            <v>61.81</v>
          </cell>
        </row>
        <row r="128">
          <cell r="AG128">
            <v>38524</v>
          </cell>
          <cell r="AH128">
            <v>61.82</v>
          </cell>
        </row>
        <row r="129">
          <cell r="AG129">
            <v>38525</v>
          </cell>
          <cell r="AH129">
            <v>61.89</v>
          </cell>
        </row>
        <row r="130">
          <cell r="AG130">
            <v>38526</v>
          </cell>
          <cell r="AH130">
            <v>62</v>
          </cell>
        </row>
        <row r="131">
          <cell r="AG131">
            <v>38527</v>
          </cell>
          <cell r="AH131">
            <v>62.06</v>
          </cell>
        </row>
        <row r="132">
          <cell r="AG132">
            <v>38530</v>
          </cell>
          <cell r="AH132">
            <v>62.08</v>
          </cell>
        </row>
        <row r="133">
          <cell r="AG133">
            <v>38531</v>
          </cell>
          <cell r="AH133">
            <v>62.11</v>
          </cell>
        </row>
        <row r="134">
          <cell r="AG134">
            <v>38532</v>
          </cell>
          <cell r="AH134">
            <v>62.06</v>
          </cell>
        </row>
        <row r="135">
          <cell r="AG135">
            <v>38533</v>
          </cell>
          <cell r="AH135">
            <v>62.07</v>
          </cell>
        </row>
        <row r="136">
          <cell r="AG136">
            <v>38534</v>
          </cell>
          <cell r="AH136">
            <v>62.07</v>
          </cell>
        </row>
        <row r="137">
          <cell r="AG137">
            <v>38537</v>
          </cell>
          <cell r="AH137">
            <v>60.58</v>
          </cell>
        </row>
        <row r="138">
          <cell r="AG138">
            <v>38538</v>
          </cell>
          <cell r="AH138">
            <v>60.56</v>
          </cell>
        </row>
        <row r="139">
          <cell r="AG139">
            <v>38539</v>
          </cell>
          <cell r="AH139">
            <v>60.58</v>
          </cell>
        </row>
        <row r="140">
          <cell r="AG140">
            <v>38540</v>
          </cell>
          <cell r="AH140">
            <v>60.57</v>
          </cell>
        </row>
        <row r="141">
          <cell r="AG141">
            <v>38541</v>
          </cell>
          <cell r="AH141">
            <v>61.2</v>
          </cell>
        </row>
        <row r="142">
          <cell r="AG142">
            <v>38544</v>
          </cell>
          <cell r="AH142">
            <v>61.3</v>
          </cell>
        </row>
        <row r="143">
          <cell r="AG143">
            <v>38545</v>
          </cell>
          <cell r="AH143">
            <v>61.42</v>
          </cell>
        </row>
        <row r="144">
          <cell r="AG144">
            <v>38546</v>
          </cell>
          <cell r="AH144">
            <v>61.45</v>
          </cell>
        </row>
        <row r="145">
          <cell r="AG145">
            <v>38547</v>
          </cell>
          <cell r="AH145">
            <v>61.47</v>
          </cell>
        </row>
        <row r="146">
          <cell r="AG146">
            <v>38548</v>
          </cell>
          <cell r="AH146">
            <v>61.51</v>
          </cell>
        </row>
        <row r="147">
          <cell r="AG147">
            <v>38552</v>
          </cell>
          <cell r="AH147">
            <v>61.52</v>
          </cell>
        </row>
        <row r="148">
          <cell r="AG148">
            <v>38553</v>
          </cell>
          <cell r="AH148">
            <v>61.58</v>
          </cell>
        </row>
        <row r="149">
          <cell r="AG149">
            <v>38554</v>
          </cell>
          <cell r="AH149">
            <v>61.61</v>
          </cell>
        </row>
        <row r="150">
          <cell r="AG150">
            <v>38555</v>
          </cell>
          <cell r="AH150">
            <v>61.63</v>
          </cell>
        </row>
        <row r="151">
          <cell r="AG151">
            <v>38558</v>
          </cell>
          <cell r="AH151">
            <v>61.62</v>
          </cell>
        </row>
        <row r="152">
          <cell r="AG152">
            <v>38559</v>
          </cell>
          <cell r="AH152">
            <v>61.55</v>
          </cell>
        </row>
        <row r="153">
          <cell r="AG153">
            <v>38560</v>
          </cell>
          <cell r="AH153">
            <v>61.33</v>
          </cell>
        </row>
        <row r="154">
          <cell r="AG154">
            <v>38561</v>
          </cell>
          <cell r="AH154">
            <v>61.3</v>
          </cell>
        </row>
        <row r="155">
          <cell r="AG155">
            <v>38562</v>
          </cell>
          <cell r="AH155">
            <v>61.28</v>
          </cell>
        </row>
        <row r="156">
          <cell r="AG156">
            <v>38565</v>
          </cell>
          <cell r="AH156">
            <v>61.29</v>
          </cell>
        </row>
        <row r="157">
          <cell r="AG157">
            <v>38566</v>
          </cell>
          <cell r="AH157">
            <v>61.36</v>
          </cell>
        </row>
        <row r="158">
          <cell r="AG158">
            <v>38567</v>
          </cell>
          <cell r="AH158">
            <v>61.44</v>
          </cell>
        </row>
        <row r="159">
          <cell r="AG159">
            <v>38568</v>
          </cell>
          <cell r="AH159">
            <v>61.44</v>
          </cell>
        </row>
        <row r="160">
          <cell r="AG160">
            <v>38572</v>
          </cell>
          <cell r="AH160">
            <v>61.37</v>
          </cell>
        </row>
        <row r="161">
          <cell r="AG161">
            <v>38573</v>
          </cell>
          <cell r="AH161">
            <v>61.28</v>
          </cell>
        </row>
        <row r="162">
          <cell r="AG162">
            <v>38574</v>
          </cell>
          <cell r="AH162">
            <v>61.26</v>
          </cell>
        </row>
        <row r="163">
          <cell r="AG163">
            <v>38575</v>
          </cell>
          <cell r="AH163">
            <v>61.3</v>
          </cell>
        </row>
        <row r="164">
          <cell r="AG164">
            <v>38576</v>
          </cell>
          <cell r="AH164">
            <v>64.39</v>
          </cell>
        </row>
        <row r="165">
          <cell r="AG165">
            <v>38579</v>
          </cell>
          <cell r="AH165">
            <v>64.400000000000006</v>
          </cell>
        </row>
        <row r="166">
          <cell r="AG166">
            <v>38580</v>
          </cell>
          <cell r="AH166">
            <v>64.400000000000006</v>
          </cell>
        </row>
        <row r="167">
          <cell r="AG167">
            <v>38581</v>
          </cell>
          <cell r="AH167">
            <v>64.37</v>
          </cell>
        </row>
        <row r="168">
          <cell r="AG168">
            <v>38582</v>
          </cell>
          <cell r="AH168">
            <v>64.319999999999993</v>
          </cell>
        </row>
        <row r="169">
          <cell r="AG169">
            <v>38583</v>
          </cell>
          <cell r="AH169">
            <v>64.25</v>
          </cell>
        </row>
        <row r="170">
          <cell r="AG170">
            <v>38586</v>
          </cell>
          <cell r="AH170">
            <v>64.25</v>
          </cell>
        </row>
        <row r="171">
          <cell r="AG171">
            <v>38587</v>
          </cell>
          <cell r="AH171">
            <v>64.25</v>
          </cell>
        </row>
        <row r="172">
          <cell r="AG172">
            <v>38588</v>
          </cell>
          <cell r="AH172">
            <v>64.23</v>
          </cell>
        </row>
        <row r="173">
          <cell r="AG173">
            <v>38589</v>
          </cell>
          <cell r="AH173">
            <v>64.239999999999995</v>
          </cell>
        </row>
        <row r="174">
          <cell r="AG174">
            <v>38590</v>
          </cell>
          <cell r="AH174">
            <v>64.239999999999995</v>
          </cell>
        </row>
        <row r="175">
          <cell r="AG175">
            <v>38593</v>
          </cell>
          <cell r="AH175">
            <v>64.19</v>
          </cell>
        </row>
        <row r="176">
          <cell r="AG176">
            <v>38594</v>
          </cell>
          <cell r="AH176">
            <v>64.12</v>
          </cell>
        </row>
        <row r="177">
          <cell r="AG177">
            <v>38595</v>
          </cell>
          <cell r="AH177">
            <v>64.209999999999994</v>
          </cell>
        </row>
        <row r="178">
          <cell r="AG178">
            <v>38597</v>
          </cell>
          <cell r="AH178">
            <v>64.209999999999994</v>
          </cell>
        </row>
        <row r="179">
          <cell r="AG179">
            <v>38600</v>
          </cell>
          <cell r="AH179">
            <v>64.2</v>
          </cell>
        </row>
        <row r="180">
          <cell r="AG180">
            <v>38601</v>
          </cell>
          <cell r="AH180">
            <v>64.2</v>
          </cell>
        </row>
        <row r="181">
          <cell r="AG181">
            <v>38602</v>
          </cell>
          <cell r="AH181">
            <v>64.209999999999994</v>
          </cell>
        </row>
        <row r="182">
          <cell r="AG182">
            <v>38603</v>
          </cell>
          <cell r="AH182">
            <v>64.22</v>
          </cell>
        </row>
        <row r="183">
          <cell r="AG183">
            <v>38604</v>
          </cell>
          <cell r="AH183">
            <v>64.180000000000007</v>
          </cell>
        </row>
        <row r="184">
          <cell r="AG184">
            <v>38607</v>
          </cell>
          <cell r="AH184">
            <v>64.44</v>
          </cell>
        </row>
        <row r="185">
          <cell r="AG185">
            <v>38608</v>
          </cell>
          <cell r="AH185">
            <v>64.459999999999994</v>
          </cell>
        </row>
        <row r="186">
          <cell r="AG186">
            <v>38609</v>
          </cell>
          <cell r="AH186">
            <v>64.53</v>
          </cell>
        </row>
        <row r="187">
          <cell r="AG187">
            <v>38610</v>
          </cell>
          <cell r="AH187">
            <v>64.599999999999994</v>
          </cell>
        </row>
        <row r="188">
          <cell r="AG188">
            <v>38611</v>
          </cell>
          <cell r="AH188">
            <v>64.55</v>
          </cell>
        </row>
        <row r="189">
          <cell r="AG189">
            <v>38614</v>
          </cell>
          <cell r="AH189">
            <v>64.56</v>
          </cell>
        </row>
        <row r="190">
          <cell r="AG190">
            <v>38615</v>
          </cell>
          <cell r="AH190">
            <v>64.599999999999994</v>
          </cell>
        </row>
        <row r="191">
          <cell r="AG191">
            <v>38616</v>
          </cell>
          <cell r="AH191">
            <v>64.61</v>
          </cell>
        </row>
        <row r="192">
          <cell r="AG192">
            <v>38617</v>
          </cell>
          <cell r="AH192">
            <v>64.489999999999995</v>
          </cell>
        </row>
        <row r="193">
          <cell r="AG193">
            <v>38618</v>
          </cell>
          <cell r="AH193">
            <v>64.42</v>
          </cell>
        </row>
        <row r="194">
          <cell r="AG194">
            <v>38621</v>
          </cell>
          <cell r="AH194">
            <v>64.33</v>
          </cell>
        </row>
        <row r="195">
          <cell r="AG195">
            <v>38622</v>
          </cell>
          <cell r="AH195">
            <v>64.33</v>
          </cell>
        </row>
        <row r="196">
          <cell r="AG196">
            <v>38623</v>
          </cell>
          <cell r="AH196">
            <v>64.319999999999993</v>
          </cell>
        </row>
        <row r="197">
          <cell r="AG197">
            <v>38624</v>
          </cell>
          <cell r="AH197">
            <v>64.349999999999994</v>
          </cell>
        </row>
        <row r="198">
          <cell r="AG198">
            <v>38625</v>
          </cell>
          <cell r="AH198">
            <v>64.41</v>
          </cell>
        </row>
        <row r="199">
          <cell r="AG199">
            <v>38628</v>
          </cell>
          <cell r="AH199">
            <v>64.42</v>
          </cell>
        </row>
        <row r="200">
          <cell r="AG200">
            <v>38629</v>
          </cell>
          <cell r="AH200">
            <v>64.569999999999993</v>
          </cell>
        </row>
        <row r="201">
          <cell r="AG201">
            <v>38630</v>
          </cell>
          <cell r="AH201">
            <v>64.739999999999995</v>
          </cell>
        </row>
        <row r="202">
          <cell r="AG202">
            <v>38631</v>
          </cell>
          <cell r="AH202">
            <v>64.75</v>
          </cell>
        </row>
        <row r="203">
          <cell r="AG203">
            <v>38632</v>
          </cell>
          <cell r="AH203">
            <v>64.790000000000006</v>
          </cell>
        </row>
        <row r="204">
          <cell r="AG204">
            <v>38636</v>
          </cell>
          <cell r="AH204">
            <v>64.77</v>
          </cell>
        </row>
        <row r="205">
          <cell r="AG205">
            <v>38637</v>
          </cell>
          <cell r="AH205">
            <v>64.69</v>
          </cell>
        </row>
        <row r="206">
          <cell r="AG206">
            <v>38638</v>
          </cell>
          <cell r="AH206">
            <v>64.61</v>
          </cell>
        </row>
        <row r="207">
          <cell r="AG207">
            <v>38639</v>
          </cell>
          <cell r="AH207">
            <v>64.52</v>
          </cell>
        </row>
        <row r="208">
          <cell r="AG208">
            <v>38642</v>
          </cell>
          <cell r="AH208">
            <v>64.45</v>
          </cell>
        </row>
        <row r="209">
          <cell r="AG209">
            <v>38643</v>
          </cell>
          <cell r="AH209">
            <v>64.45</v>
          </cell>
        </row>
        <row r="210">
          <cell r="AG210">
            <v>38644</v>
          </cell>
          <cell r="AH210">
            <v>64.36</v>
          </cell>
        </row>
        <row r="211">
          <cell r="AG211">
            <v>38645</v>
          </cell>
          <cell r="AH211">
            <v>64.27</v>
          </cell>
        </row>
        <row r="212">
          <cell r="AG212">
            <v>38646</v>
          </cell>
          <cell r="AH212">
            <v>64.239999999999995</v>
          </cell>
        </row>
        <row r="213">
          <cell r="AG213">
            <v>38649</v>
          </cell>
          <cell r="AH213">
            <v>64.28</v>
          </cell>
        </row>
        <row r="214">
          <cell r="AG214">
            <v>38650</v>
          </cell>
          <cell r="AH214">
            <v>64.33</v>
          </cell>
        </row>
        <row r="215">
          <cell r="AG215">
            <v>38651</v>
          </cell>
          <cell r="AH215">
            <v>64.38</v>
          </cell>
        </row>
        <row r="216">
          <cell r="AG216">
            <v>38652</v>
          </cell>
          <cell r="AH216">
            <v>64.36</v>
          </cell>
        </row>
        <row r="217">
          <cell r="AG217">
            <v>38653</v>
          </cell>
          <cell r="AH217">
            <v>64.349999999999994</v>
          </cell>
        </row>
        <row r="218">
          <cell r="AG218">
            <v>38656</v>
          </cell>
          <cell r="AH218">
            <v>64.47</v>
          </cell>
        </row>
        <row r="219">
          <cell r="AG219">
            <v>38657</v>
          </cell>
          <cell r="AH219">
            <v>64.510000000000005</v>
          </cell>
        </row>
        <row r="220">
          <cell r="AG220">
            <v>38658</v>
          </cell>
          <cell r="AH220">
            <v>64.569999999999993</v>
          </cell>
        </row>
        <row r="221">
          <cell r="AG221">
            <v>38659</v>
          </cell>
          <cell r="AH221">
            <v>64.7</v>
          </cell>
        </row>
        <row r="222">
          <cell r="AG222">
            <v>38660</v>
          </cell>
          <cell r="AH222">
            <v>64.89</v>
          </cell>
        </row>
        <row r="223">
          <cell r="AG223">
            <v>38663</v>
          </cell>
          <cell r="AH223">
            <v>64.989999999999995</v>
          </cell>
        </row>
        <row r="224">
          <cell r="AG224">
            <v>38664</v>
          </cell>
          <cell r="AH224">
            <v>65.09</v>
          </cell>
        </row>
        <row r="225">
          <cell r="AG225">
            <v>38665</v>
          </cell>
          <cell r="AH225">
            <v>65.28</v>
          </cell>
        </row>
        <row r="226">
          <cell r="AG226">
            <v>38666</v>
          </cell>
          <cell r="AH226">
            <v>65.459999999999994</v>
          </cell>
        </row>
        <row r="227">
          <cell r="AG227">
            <v>38667</v>
          </cell>
          <cell r="AH227">
            <v>65.73</v>
          </cell>
        </row>
        <row r="228">
          <cell r="AG228">
            <v>38670</v>
          </cell>
          <cell r="AH228">
            <v>65.87</v>
          </cell>
        </row>
        <row r="229">
          <cell r="AG229">
            <v>38671</v>
          </cell>
          <cell r="AH229">
            <v>65.98</v>
          </cell>
        </row>
        <row r="230">
          <cell r="AG230">
            <v>38672</v>
          </cell>
          <cell r="AH230">
            <v>66.069999999999993</v>
          </cell>
        </row>
        <row r="231">
          <cell r="AG231">
            <v>38673</v>
          </cell>
          <cell r="AH231">
            <v>66.08</v>
          </cell>
        </row>
        <row r="232">
          <cell r="AG232">
            <v>38674</v>
          </cell>
          <cell r="AH232">
            <v>66.23</v>
          </cell>
        </row>
        <row r="233">
          <cell r="AG233">
            <v>38677</v>
          </cell>
          <cell r="AH233">
            <v>66.430000000000007</v>
          </cell>
        </row>
        <row r="234">
          <cell r="AG234">
            <v>38678</v>
          </cell>
          <cell r="AH234">
            <v>66.510000000000005</v>
          </cell>
        </row>
        <row r="235">
          <cell r="AG235">
            <v>38679</v>
          </cell>
          <cell r="AH235">
            <v>66.760000000000005</v>
          </cell>
        </row>
        <row r="236">
          <cell r="AG236">
            <v>38680</v>
          </cell>
          <cell r="AH236">
            <v>66.930000000000007</v>
          </cell>
        </row>
        <row r="237">
          <cell r="AG237">
            <v>38681</v>
          </cell>
          <cell r="AH237">
            <v>66.95</v>
          </cell>
        </row>
        <row r="238">
          <cell r="AG238">
            <v>38684</v>
          </cell>
          <cell r="AH238">
            <v>67.02</v>
          </cell>
        </row>
        <row r="239">
          <cell r="AG239">
            <v>38685</v>
          </cell>
          <cell r="AH239">
            <v>67.03</v>
          </cell>
        </row>
        <row r="240">
          <cell r="AG240">
            <v>38686</v>
          </cell>
          <cell r="AH240">
            <v>67.09</v>
          </cell>
        </row>
        <row r="241">
          <cell r="AG241">
            <v>38687</v>
          </cell>
          <cell r="AH241">
            <v>67.16</v>
          </cell>
        </row>
        <row r="242">
          <cell r="AG242">
            <v>38688</v>
          </cell>
          <cell r="AH242">
            <v>67.31</v>
          </cell>
        </row>
        <row r="243">
          <cell r="AG243">
            <v>38691</v>
          </cell>
          <cell r="AH243">
            <v>67.41</v>
          </cell>
        </row>
        <row r="244">
          <cell r="AG244">
            <v>38692</v>
          </cell>
          <cell r="AH244">
            <v>67.540000000000006</v>
          </cell>
        </row>
        <row r="245">
          <cell r="AG245">
            <v>38693</v>
          </cell>
          <cell r="AH245">
            <v>67.58</v>
          </cell>
        </row>
        <row r="246">
          <cell r="AG246">
            <v>38694</v>
          </cell>
          <cell r="AH246">
            <v>67.63</v>
          </cell>
        </row>
        <row r="247">
          <cell r="AG247">
            <v>38695</v>
          </cell>
          <cell r="AH247">
            <v>67.59</v>
          </cell>
        </row>
        <row r="248">
          <cell r="AG248">
            <v>38698</v>
          </cell>
          <cell r="AH248">
            <v>67.58</v>
          </cell>
        </row>
        <row r="249">
          <cell r="AG249">
            <v>38699</v>
          </cell>
          <cell r="AH249">
            <v>67.62</v>
          </cell>
        </row>
        <row r="250">
          <cell r="AG250">
            <v>38700</v>
          </cell>
          <cell r="AH250">
            <v>67.650000000000006</v>
          </cell>
        </row>
        <row r="251">
          <cell r="AG251">
            <v>38701</v>
          </cell>
          <cell r="AH251">
            <v>67.650000000000006</v>
          </cell>
        </row>
        <row r="252">
          <cell r="AG252">
            <v>38702</v>
          </cell>
          <cell r="AH252">
            <v>67.73</v>
          </cell>
        </row>
        <row r="253">
          <cell r="AG253">
            <v>38705</v>
          </cell>
          <cell r="AH253">
            <v>67.78</v>
          </cell>
        </row>
        <row r="254">
          <cell r="AG254">
            <v>38706</v>
          </cell>
          <cell r="AH254">
            <v>67.819999999999993</v>
          </cell>
        </row>
        <row r="255">
          <cell r="AG255">
            <v>38707</v>
          </cell>
          <cell r="AH255">
            <v>67.89</v>
          </cell>
        </row>
        <row r="256">
          <cell r="AG256">
            <v>38708</v>
          </cell>
          <cell r="AH256">
            <v>67.91</v>
          </cell>
        </row>
        <row r="257">
          <cell r="AG257">
            <v>38709</v>
          </cell>
          <cell r="AH257">
            <v>67.98</v>
          </cell>
        </row>
        <row r="258">
          <cell r="AG258">
            <v>38712</v>
          </cell>
          <cell r="AH258">
            <v>68</v>
          </cell>
        </row>
        <row r="259">
          <cell r="AG259">
            <v>38713</v>
          </cell>
          <cell r="AH259">
            <v>68.05</v>
          </cell>
        </row>
        <row r="260">
          <cell r="AG260">
            <v>38714</v>
          </cell>
          <cell r="AH260">
            <v>75.87</v>
          </cell>
        </row>
        <row r="261">
          <cell r="AG261">
            <v>38715</v>
          </cell>
          <cell r="AH261">
            <v>75.88</v>
          </cell>
        </row>
        <row r="262">
          <cell r="AG262">
            <v>38716</v>
          </cell>
          <cell r="AH262">
            <v>75.88</v>
          </cell>
        </row>
        <row r="263">
          <cell r="AG263">
            <v>38719</v>
          </cell>
          <cell r="AH263">
            <v>75.88</v>
          </cell>
        </row>
        <row r="264">
          <cell r="AG264">
            <v>38720</v>
          </cell>
          <cell r="AH264">
            <v>75.88</v>
          </cell>
        </row>
        <row r="265">
          <cell r="AG265">
            <v>38721</v>
          </cell>
          <cell r="AH265">
            <v>75.97</v>
          </cell>
        </row>
        <row r="266">
          <cell r="AG266">
            <v>38722</v>
          </cell>
          <cell r="AH266">
            <v>76.02</v>
          </cell>
        </row>
        <row r="267">
          <cell r="AG267">
            <v>38723</v>
          </cell>
          <cell r="AH267">
            <v>76.11</v>
          </cell>
        </row>
        <row r="268">
          <cell r="AG268">
            <v>38726</v>
          </cell>
          <cell r="AH268">
            <v>76.2</v>
          </cell>
        </row>
        <row r="269">
          <cell r="AG269">
            <v>38727</v>
          </cell>
          <cell r="AH269">
            <v>76.180000000000007</v>
          </cell>
        </row>
        <row r="270">
          <cell r="AG270">
            <v>38728</v>
          </cell>
          <cell r="AH270">
            <v>76.12</v>
          </cell>
        </row>
        <row r="271">
          <cell r="AG271">
            <v>38729</v>
          </cell>
          <cell r="AH271">
            <v>76.180000000000007</v>
          </cell>
        </row>
        <row r="272">
          <cell r="AG272">
            <v>38730</v>
          </cell>
          <cell r="AH272">
            <v>76.13</v>
          </cell>
        </row>
        <row r="273">
          <cell r="AG273">
            <v>38733</v>
          </cell>
          <cell r="AH273">
            <v>76.08</v>
          </cell>
        </row>
        <row r="274">
          <cell r="AG274">
            <v>38734</v>
          </cell>
          <cell r="AH274">
            <v>76.11</v>
          </cell>
        </row>
        <row r="275">
          <cell r="AG275">
            <v>38735</v>
          </cell>
          <cell r="AH275">
            <v>75.98</v>
          </cell>
        </row>
        <row r="276">
          <cell r="AG276">
            <v>38736</v>
          </cell>
          <cell r="AH276">
            <v>75.97</v>
          </cell>
        </row>
        <row r="277">
          <cell r="AG277">
            <v>38737</v>
          </cell>
          <cell r="AH277">
            <v>75.98</v>
          </cell>
        </row>
        <row r="278">
          <cell r="AG278">
            <v>38740</v>
          </cell>
          <cell r="AH278">
            <v>75.94</v>
          </cell>
        </row>
        <row r="279">
          <cell r="AG279">
            <v>38741</v>
          </cell>
          <cell r="AH279">
            <v>75.900000000000006</v>
          </cell>
        </row>
        <row r="280">
          <cell r="AG280">
            <v>38742</v>
          </cell>
          <cell r="AH280">
            <v>75.95</v>
          </cell>
        </row>
        <row r="281">
          <cell r="AG281">
            <v>38751</v>
          </cell>
          <cell r="AH281">
            <v>75.930000000000007</v>
          </cell>
        </row>
        <row r="282">
          <cell r="AG282">
            <v>38754</v>
          </cell>
          <cell r="AH282">
            <v>75.92</v>
          </cell>
        </row>
        <row r="283">
          <cell r="AG283">
            <v>38755</v>
          </cell>
          <cell r="AH283">
            <v>76</v>
          </cell>
        </row>
        <row r="284">
          <cell r="AG284">
            <v>38756</v>
          </cell>
          <cell r="AH284">
            <v>76.010000000000005</v>
          </cell>
        </row>
        <row r="285">
          <cell r="AG285">
            <v>38757</v>
          </cell>
          <cell r="AH285">
            <v>76.010000000000005</v>
          </cell>
        </row>
        <row r="286">
          <cell r="AG286">
            <v>38758</v>
          </cell>
          <cell r="AH286">
            <v>75.989999999999995</v>
          </cell>
        </row>
        <row r="287">
          <cell r="AG287">
            <v>38761</v>
          </cell>
          <cell r="AH287">
            <v>75.989999999999995</v>
          </cell>
        </row>
        <row r="288">
          <cell r="AG288">
            <v>38762</v>
          </cell>
          <cell r="AH288">
            <v>75.900000000000006</v>
          </cell>
        </row>
        <row r="289">
          <cell r="AG289">
            <v>38763</v>
          </cell>
          <cell r="AH289">
            <v>75.83</v>
          </cell>
        </row>
        <row r="290">
          <cell r="AG290">
            <v>38764</v>
          </cell>
          <cell r="AH290">
            <v>75.8</v>
          </cell>
        </row>
        <row r="291">
          <cell r="AG291">
            <v>38765</v>
          </cell>
          <cell r="AH291">
            <v>75.75</v>
          </cell>
        </row>
        <row r="292">
          <cell r="AG292">
            <v>38768</v>
          </cell>
          <cell r="AH292">
            <v>75.760000000000005</v>
          </cell>
        </row>
        <row r="293">
          <cell r="AG293">
            <v>38769</v>
          </cell>
          <cell r="AH293">
            <v>75.73</v>
          </cell>
        </row>
        <row r="294">
          <cell r="AG294">
            <v>38770</v>
          </cell>
          <cell r="AH294">
            <v>75.709999999999994</v>
          </cell>
        </row>
        <row r="295">
          <cell r="AG295">
            <v>38771</v>
          </cell>
          <cell r="AH295">
            <v>75.650000000000006</v>
          </cell>
        </row>
        <row r="296">
          <cell r="AG296">
            <v>38772</v>
          </cell>
          <cell r="AH296">
            <v>75.64</v>
          </cell>
        </row>
        <row r="297">
          <cell r="AG297">
            <v>38775</v>
          </cell>
          <cell r="AH297">
            <v>75.599999999999994</v>
          </cell>
        </row>
        <row r="298">
          <cell r="AG298">
            <v>38777</v>
          </cell>
          <cell r="AH298">
            <v>75.5</v>
          </cell>
        </row>
        <row r="299">
          <cell r="AG299">
            <v>38778</v>
          </cell>
          <cell r="AH299">
            <v>75.62</v>
          </cell>
        </row>
        <row r="300">
          <cell r="AG300">
            <v>38779</v>
          </cell>
          <cell r="AH300">
            <v>75.63</v>
          </cell>
        </row>
        <row r="301">
          <cell r="AG301">
            <v>38782</v>
          </cell>
          <cell r="AH301">
            <v>75.61</v>
          </cell>
        </row>
        <row r="302">
          <cell r="AG302">
            <v>38783</v>
          </cell>
          <cell r="AH302">
            <v>75.510000000000005</v>
          </cell>
        </row>
        <row r="303">
          <cell r="AG303">
            <v>38784</v>
          </cell>
          <cell r="AH303">
            <v>75.400000000000006</v>
          </cell>
        </row>
        <row r="304">
          <cell r="AG304">
            <v>38785</v>
          </cell>
          <cell r="AH304">
            <v>75.400000000000006</v>
          </cell>
        </row>
        <row r="305">
          <cell r="AG305">
            <v>38786</v>
          </cell>
          <cell r="AH305">
            <v>75.47</v>
          </cell>
        </row>
        <row r="306">
          <cell r="AG306">
            <v>38789</v>
          </cell>
          <cell r="AH306">
            <v>75.47</v>
          </cell>
        </row>
        <row r="307">
          <cell r="AG307">
            <v>38790</v>
          </cell>
          <cell r="AH307">
            <v>75.400000000000006</v>
          </cell>
        </row>
        <row r="308">
          <cell r="AG308">
            <v>38791</v>
          </cell>
          <cell r="AH308">
            <v>75.430000000000007</v>
          </cell>
        </row>
        <row r="309">
          <cell r="AG309">
            <v>38792</v>
          </cell>
          <cell r="AH309">
            <v>75.459999999999994</v>
          </cell>
        </row>
        <row r="310">
          <cell r="AG310">
            <v>38793</v>
          </cell>
          <cell r="AH310">
            <v>75.400000000000006</v>
          </cell>
        </row>
        <row r="311">
          <cell r="AG311">
            <v>38796</v>
          </cell>
          <cell r="AH311">
            <v>75.36</v>
          </cell>
        </row>
        <row r="312">
          <cell r="AG312">
            <v>38797</v>
          </cell>
          <cell r="AH312">
            <v>75.33</v>
          </cell>
        </row>
        <row r="313">
          <cell r="AG313">
            <v>38798</v>
          </cell>
          <cell r="AH313">
            <v>75.25</v>
          </cell>
        </row>
        <row r="314">
          <cell r="AG314">
            <v>38799</v>
          </cell>
          <cell r="AH314">
            <v>75.2</v>
          </cell>
        </row>
        <row r="315">
          <cell r="AG315">
            <v>38800</v>
          </cell>
          <cell r="AH315">
            <v>75.19</v>
          </cell>
        </row>
        <row r="316">
          <cell r="AG316">
            <v>38803</v>
          </cell>
          <cell r="AH316">
            <v>75.209999999999994</v>
          </cell>
        </row>
        <row r="317">
          <cell r="AG317">
            <v>38804</v>
          </cell>
          <cell r="AH317">
            <v>75.28</v>
          </cell>
        </row>
        <row r="318">
          <cell r="AG318">
            <v>38805</v>
          </cell>
          <cell r="AH318">
            <v>75.31</v>
          </cell>
        </row>
        <row r="319">
          <cell r="AG319">
            <v>38806</v>
          </cell>
          <cell r="AH319">
            <v>75.45</v>
          </cell>
        </row>
        <row r="320">
          <cell r="AG320">
            <v>38807</v>
          </cell>
          <cell r="AH320">
            <v>75.67</v>
          </cell>
        </row>
        <row r="321">
          <cell r="AG321">
            <v>38810</v>
          </cell>
          <cell r="AH321">
            <v>75.739999999999995</v>
          </cell>
        </row>
        <row r="322">
          <cell r="AG322">
            <v>38811</v>
          </cell>
          <cell r="AH322">
            <v>75.77</v>
          </cell>
        </row>
        <row r="323">
          <cell r="AG323">
            <v>38813</v>
          </cell>
          <cell r="AH323">
            <v>75.87</v>
          </cell>
        </row>
        <row r="324">
          <cell r="AG324">
            <v>38814</v>
          </cell>
          <cell r="AH324">
            <v>76.06</v>
          </cell>
        </row>
        <row r="325">
          <cell r="AG325">
            <v>38817</v>
          </cell>
          <cell r="AH325">
            <v>76.150000000000006</v>
          </cell>
        </row>
        <row r="326">
          <cell r="AG326">
            <v>38818</v>
          </cell>
          <cell r="AH326">
            <v>76.150000000000006</v>
          </cell>
        </row>
        <row r="327">
          <cell r="AG327">
            <v>38819</v>
          </cell>
          <cell r="AH327">
            <v>76.2</v>
          </cell>
        </row>
        <row r="328">
          <cell r="AG328">
            <v>38820</v>
          </cell>
          <cell r="AH328">
            <v>76.23</v>
          </cell>
        </row>
        <row r="329">
          <cell r="AG329">
            <v>38821</v>
          </cell>
          <cell r="AH329">
            <v>76.33</v>
          </cell>
        </row>
        <row r="330">
          <cell r="AG330">
            <v>38824</v>
          </cell>
          <cell r="AH330">
            <v>76.400000000000006</v>
          </cell>
        </row>
        <row r="331">
          <cell r="AG331">
            <v>38825</v>
          </cell>
          <cell r="AH331">
            <v>76.459999999999994</v>
          </cell>
        </row>
        <row r="332">
          <cell r="AG332">
            <v>38826</v>
          </cell>
          <cell r="AH332">
            <v>76.61</v>
          </cell>
        </row>
        <row r="333">
          <cell r="AG333">
            <v>38827</v>
          </cell>
          <cell r="AH333">
            <v>76.680000000000007</v>
          </cell>
        </row>
        <row r="334">
          <cell r="AG334">
            <v>38828</v>
          </cell>
          <cell r="AH334">
            <v>76.69</v>
          </cell>
        </row>
        <row r="335">
          <cell r="AG335">
            <v>38831</v>
          </cell>
          <cell r="AH335">
            <v>76.650000000000006</v>
          </cell>
        </row>
        <row r="336">
          <cell r="AG336">
            <v>38832</v>
          </cell>
          <cell r="AH336">
            <v>76.62</v>
          </cell>
        </row>
        <row r="337">
          <cell r="AG337">
            <v>38833</v>
          </cell>
          <cell r="AH337">
            <v>76.62</v>
          </cell>
        </row>
        <row r="338">
          <cell r="AG338">
            <v>38834</v>
          </cell>
          <cell r="AH338">
            <v>76.569999999999993</v>
          </cell>
        </row>
        <row r="339">
          <cell r="AG339">
            <v>38835</v>
          </cell>
          <cell r="AH339">
            <v>76.569999999999993</v>
          </cell>
        </row>
        <row r="340">
          <cell r="AG340">
            <v>38839</v>
          </cell>
          <cell r="AH340">
            <v>76.53</v>
          </cell>
        </row>
        <row r="341">
          <cell r="AG341">
            <v>38840</v>
          </cell>
          <cell r="AH341">
            <v>76.52</v>
          </cell>
        </row>
        <row r="342">
          <cell r="AG342">
            <v>38841</v>
          </cell>
          <cell r="AH342">
            <v>76.55</v>
          </cell>
        </row>
        <row r="343">
          <cell r="AG343">
            <v>38842</v>
          </cell>
          <cell r="AH343">
            <v>76.56</v>
          </cell>
        </row>
        <row r="344">
          <cell r="AG344">
            <v>38845</v>
          </cell>
          <cell r="AH344">
            <v>76.59</v>
          </cell>
        </row>
        <row r="345">
          <cell r="AG345">
            <v>38846</v>
          </cell>
          <cell r="AH345">
            <v>76.59</v>
          </cell>
        </row>
        <row r="346">
          <cell r="AG346">
            <v>38847</v>
          </cell>
          <cell r="AH346">
            <v>76.47</v>
          </cell>
        </row>
        <row r="347">
          <cell r="AG347">
            <v>38848</v>
          </cell>
          <cell r="AH347">
            <v>76.430000000000007</v>
          </cell>
        </row>
        <row r="348">
          <cell r="AG348">
            <v>38849</v>
          </cell>
          <cell r="AH348">
            <v>73.930000000000007</v>
          </cell>
        </row>
        <row r="349">
          <cell r="AG349">
            <v>38852</v>
          </cell>
          <cell r="AH349">
            <v>73.77</v>
          </cell>
        </row>
        <row r="350">
          <cell r="AG350">
            <v>38853</v>
          </cell>
          <cell r="AH350">
            <v>73.61</v>
          </cell>
        </row>
        <row r="351">
          <cell r="AG351">
            <v>38854</v>
          </cell>
          <cell r="AH351">
            <v>73.58</v>
          </cell>
        </row>
        <row r="352">
          <cell r="AG352">
            <v>38855</v>
          </cell>
          <cell r="AH352">
            <v>73.45</v>
          </cell>
        </row>
        <row r="353">
          <cell r="AG353">
            <v>38856</v>
          </cell>
          <cell r="AH353">
            <v>73.39</v>
          </cell>
        </row>
        <row r="354">
          <cell r="AG354">
            <v>38859</v>
          </cell>
          <cell r="AH354">
            <v>73.25</v>
          </cell>
        </row>
        <row r="355">
          <cell r="AG355">
            <v>38860</v>
          </cell>
          <cell r="AH355">
            <v>73.19</v>
          </cell>
        </row>
        <row r="356">
          <cell r="AG356">
            <v>38861</v>
          </cell>
          <cell r="AH356">
            <v>73.150000000000006</v>
          </cell>
        </row>
        <row r="357">
          <cell r="AG357">
            <v>38862</v>
          </cell>
          <cell r="AH357">
            <v>73.040000000000006</v>
          </cell>
        </row>
        <row r="358">
          <cell r="AG358">
            <v>38863</v>
          </cell>
          <cell r="AH358">
            <v>72.89</v>
          </cell>
        </row>
        <row r="359">
          <cell r="AG359">
            <v>38866</v>
          </cell>
          <cell r="AH359">
            <v>72.88</v>
          </cell>
        </row>
        <row r="360">
          <cell r="AG360">
            <v>38867</v>
          </cell>
          <cell r="AH360">
            <v>72.849999999999994</v>
          </cell>
        </row>
        <row r="361">
          <cell r="AG361">
            <v>38869</v>
          </cell>
          <cell r="AH361">
            <v>72.89</v>
          </cell>
        </row>
        <row r="362">
          <cell r="AG362">
            <v>38870</v>
          </cell>
          <cell r="AH362">
            <v>72.91</v>
          </cell>
        </row>
        <row r="363">
          <cell r="AG363">
            <v>38873</v>
          </cell>
          <cell r="AH363">
            <v>72.91</v>
          </cell>
        </row>
        <row r="364">
          <cell r="AG364">
            <v>38874</v>
          </cell>
          <cell r="AH364">
            <v>72.87</v>
          </cell>
        </row>
        <row r="365">
          <cell r="AG365">
            <v>38875</v>
          </cell>
          <cell r="AH365">
            <v>72.83</v>
          </cell>
        </row>
        <row r="366">
          <cell r="AG366">
            <v>38876</v>
          </cell>
          <cell r="AH366">
            <v>72.650000000000006</v>
          </cell>
        </row>
        <row r="367">
          <cell r="AG367">
            <v>38877</v>
          </cell>
          <cell r="AH367">
            <v>72.58</v>
          </cell>
        </row>
        <row r="368">
          <cell r="AG368">
            <v>38880</v>
          </cell>
          <cell r="AH368">
            <v>72.52</v>
          </cell>
        </row>
        <row r="369">
          <cell r="AG369">
            <v>38881</v>
          </cell>
          <cell r="AH369">
            <v>72.400000000000006</v>
          </cell>
        </row>
        <row r="370">
          <cell r="AG370">
            <v>38882</v>
          </cell>
          <cell r="AH370">
            <v>72.400000000000006</v>
          </cell>
        </row>
        <row r="371">
          <cell r="AG371">
            <v>38883</v>
          </cell>
          <cell r="AH371">
            <v>72.34</v>
          </cell>
        </row>
        <row r="372">
          <cell r="AG372">
            <v>38884</v>
          </cell>
          <cell r="AH372">
            <v>72.47</v>
          </cell>
        </row>
        <row r="373">
          <cell r="AG373">
            <v>38887</v>
          </cell>
          <cell r="AH373">
            <v>72.58</v>
          </cell>
        </row>
        <row r="374">
          <cell r="AG374">
            <v>38888</v>
          </cell>
          <cell r="AH374">
            <v>72.430000000000007</v>
          </cell>
        </row>
        <row r="375">
          <cell r="AG375">
            <v>38889</v>
          </cell>
          <cell r="AH375">
            <v>72.42</v>
          </cell>
        </row>
        <row r="376">
          <cell r="AG376">
            <v>38890</v>
          </cell>
          <cell r="AH376">
            <v>72.47</v>
          </cell>
        </row>
        <row r="377">
          <cell r="AG377">
            <v>38891</v>
          </cell>
          <cell r="AH377">
            <v>72.430000000000007</v>
          </cell>
        </row>
        <row r="378">
          <cell r="AG378">
            <v>38894</v>
          </cell>
          <cell r="AH378">
            <v>72.44</v>
          </cell>
        </row>
        <row r="379">
          <cell r="AG379">
            <v>38895</v>
          </cell>
          <cell r="AH379">
            <v>72.44</v>
          </cell>
        </row>
        <row r="380">
          <cell r="AG380">
            <v>38896</v>
          </cell>
          <cell r="AH380">
            <v>72.34</v>
          </cell>
        </row>
        <row r="381">
          <cell r="AG381">
            <v>38897</v>
          </cell>
          <cell r="AH381">
            <v>72.36</v>
          </cell>
        </row>
        <row r="382">
          <cell r="AG382">
            <v>38898</v>
          </cell>
          <cell r="AH382">
            <v>72.569999999999993</v>
          </cell>
        </row>
        <row r="383">
          <cell r="AG383">
            <v>38901</v>
          </cell>
          <cell r="AH383">
            <v>72.63</v>
          </cell>
        </row>
        <row r="384">
          <cell r="AG384">
            <v>38902</v>
          </cell>
          <cell r="AH384">
            <v>72.7</v>
          </cell>
        </row>
        <row r="385">
          <cell r="AG385">
            <v>38903</v>
          </cell>
          <cell r="AH385">
            <v>72.709999999999994</v>
          </cell>
        </row>
        <row r="386">
          <cell r="AG386">
            <v>38904</v>
          </cell>
          <cell r="AH386">
            <v>72.66</v>
          </cell>
        </row>
        <row r="387">
          <cell r="AG387">
            <v>38905</v>
          </cell>
          <cell r="AH387">
            <v>72.62</v>
          </cell>
        </row>
        <row r="388">
          <cell r="AG388">
            <v>38908</v>
          </cell>
          <cell r="AH388">
            <v>71.209999999999994</v>
          </cell>
        </row>
        <row r="389">
          <cell r="AG389">
            <v>38909</v>
          </cell>
          <cell r="AH389">
            <v>71.2</v>
          </cell>
        </row>
        <row r="390">
          <cell r="AG390">
            <v>38910</v>
          </cell>
          <cell r="AH390">
            <v>71.290000000000006</v>
          </cell>
        </row>
        <row r="391">
          <cell r="AG391">
            <v>38911</v>
          </cell>
          <cell r="AH391">
            <v>71.25</v>
          </cell>
        </row>
        <row r="392">
          <cell r="AG392">
            <v>38912</v>
          </cell>
          <cell r="AH392">
            <v>71.17</v>
          </cell>
        </row>
        <row r="393">
          <cell r="AG393">
            <v>38915</v>
          </cell>
          <cell r="AH393">
            <v>71.62</v>
          </cell>
        </row>
        <row r="394">
          <cell r="AG394">
            <v>38916</v>
          </cell>
          <cell r="AH394">
            <v>71.599999999999994</v>
          </cell>
        </row>
        <row r="395">
          <cell r="AG395">
            <v>38917</v>
          </cell>
          <cell r="AH395">
            <v>71.569999999999993</v>
          </cell>
        </row>
        <row r="396">
          <cell r="AG396">
            <v>38918</v>
          </cell>
          <cell r="AH396">
            <v>71.7</v>
          </cell>
        </row>
        <row r="397">
          <cell r="AG397">
            <v>38919</v>
          </cell>
          <cell r="AH397">
            <v>71.67</v>
          </cell>
        </row>
        <row r="398">
          <cell r="AG398">
            <v>38922</v>
          </cell>
          <cell r="AH398">
            <v>71.53</v>
          </cell>
        </row>
        <row r="399">
          <cell r="AG399">
            <v>38923</v>
          </cell>
          <cell r="AH399">
            <v>71.569999999999993</v>
          </cell>
        </row>
        <row r="400">
          <cell r="AG400">
            <v>38924</v>
          </cell>
          <cell r="AH400">
            <v>71.569999999999993</v>
          </cell>
        </row>
        <row r="401">
          <cell r="AG401">
            <v>38925</v>
          </cell>
          <cell r="AH401">
            <v>71.56</v>
          </cell>
        </row>
        <row r="402">
          <cell r="AG402">
            <v>38926</v>
          </cell>
          <cell r="AH402">
            <v>71.58</v>
          </cell>
        </row>
        <row r="403">
          <cell r="AG403">
            <v>38929</v>
          </cell>
          <cell r="AH403">
            <v>71.61</v>
          </cell>
        </row>
        <row r="404">
          <cell r="AG404">
            <v>38930</v>
          </cell>
          <cell r="AH404">
            <v>71.63</v>
          </cell>
        </row>
        <row r="405">
          <cell r="AG405">
            <v>38931</v>
          </cell>
          <cell r="AH405">
            <v>71.63</v>
          </cell>
        </row>
        <row r="406">
          <cell r="AG406">
            <v>38932</v>
          </cell>
          <cell r="AH406">
            <v>71.650000000000006</v>
          </cell>
        </row>
        <row r="407">
          <cell r="AG407">
            <v>38933</v>
          </cell>
          <cell r="AH407">
            <v>71.66</v>
          </cell>
        </row>
        <row r="408">
          <cell r="AG408">
            <v>38936</v>
          </cell>
          <cell r="AH408">
            <v>71.66</v>
          </cell>
        </row>
        <row r="409">
          <cell r="AG409">
            <v>38937</v>
          </cell>
          <cell r="AH409">
            <v>71.69</v>
          </cell>
        </row>
        <row r="410">
          <cell r="AG410">
            <v>38938</v>
          </cell>
          <cell r="AH410">
            <v>71.67</v>
          </cell>
        </row>
        <row r="411">
          <cell r="AG411">
            <v>38939</v>
          </cell>
          <cell r="AH411">
            <v>71.760000000000005</v>
          </cell>
        </row>
        <row r="412">
          <cell r="AG412">
            <v>38940</v>
          </cell>
          <cell r="AH412">
            <v>71.849999999999994</v>
          </cell>
        </row>
        <row r="413">
          <cell r="AG413">
            <v>38943</v>
          </cell>
          <cell r="AH413">
            <v>71.89</v>
          </cell>
        </row>
        <row r="414">
          <cell r="AG414">
            <v>38944</v>
          </cell>
          <cell r="AH414">
            <v>71.92</v>
          </cell>
        </row>
        <row r="415">
          <cell r="AG415">
            <v>38945</v>
          </cell>
          <cell r="AH415">
            <v>72.069999999999993</v>
          </cell>
        </row>
        <row r="416">
          <cell r="AG416">
            <v>38946</v>
          </cell>
          <cell r="AH416">
            <v>72.25</v>
          </cell>
        </row>
        <row r="417">
          <cell r="AG417">
            <v>38947</v>
          </cell>
          <cell r="AH417">
            <v>72.36</v>
          </cell>
        </row>
        <row r="418">
          <cell r="AG418">
            <v>38950</v>
          </cell>
          <cell r="AH418">
            <v>72.430000000000007</v>
          </cell>
        </row>
        <row r="419">
          <cell r="AG419">
            <v>38951</v>
          </cell>
          <cell r="AH419">
            <v>72.459999999999994</v>
          </cell>
        </row>
        <row r="420">
          <cell r="AG420">
            <v>38952</v>
          </cell>
          <cell r="AH420">
            <v>72.45</v>
          </cell>
        </row>
        <row r="421">
          <cell r="AG421">
            <v>38953</v>
          </cell>
          <cell r="AH421">
            <v>72.41</v>
          </cell>
        </row>
        <row r="422">
          <cell r="AG422">
            <v>38954</v>
          </cell>
          <cell r="AH422">
            <v>72.44</v>
          </cell>
        </row>
        <row r="423">
          <cell r="AG423">
            <v>38957</v>
          </cell>
          <cell r="AH423">
            <v>72.400000000000006</v>
          </cell>
        </row>
        <row r="424">
          <cell r="AG424">
            <v>38958</v>
          </cell>
          <cell r="AH424">
            <v>72.41</v>
          </cell>
        </row>
        <row r="425">
          <cell r="AG425">
            <v>38959</v>
          </cell>
          <cell r="AH425">
            <v>72.44</v>
          </cell>
        </row>
        <row r="426">
          <cell r="AG426">
            <v>38960</v>
          </cell>
          <cell r="AH426">
            <v>72.52</v>
          </cell>
        </row>
        <row r="427">
          <cell r="AG427">
            <v>38961</v>
          </cell>
          <cell r="AH427">
            <v>72.58</v>
          </cell>
        </row>
        <row r="428">
          <cell r="AG428">
            <v>38964</v>
          </cell>
          <cell r="AH428">
            <v>72.650000000000006</v>
          </cell>
        </row>
        <row r="429">
          <cell r="AG429">
            <v>38965</v>
          </cell>
          <cell r="AH429">
            <v>72.66</v>
          </cell>
        </row>
        <row r="430">
          <cell r="AG430">
            <v>38966</v>
          </cell>
          <cell r="AH430">
            <v>72.66</v>
          </cell>
        </row>
        <row r="431">
          <cell r="AG431">
            <v>38967</v>
          </cell>
          <cell r="AH431">
            <v>72.62</v>
          </cell>
        </row>
        <row r="432">
          <cell r="AG432">
            <v>38968</v>
          </cell>
          <cell r="AH432">
            <v>72.569999999999993</v>
          </cell>
        </row>
        <row r="433">
          <cell r="AG433">
            <v>38971</v>
          </cell>
          <cell r="AH433">
            <v>72.52</v>
          </cell>
        </row>
        <row r="434">
          <cell r="AG434">
            <v>38972</v>
          </cell>
          <cell r="AH434">
            <v>72.510000000000005</v>
          </cell>
        </row>
        <row r="435">
          <cell r="AG435">
            <v>38973</v>
          </cell>
          <cell r="AH435">
            <v>72.62</v>
          </cell>
        </row>
        <row r="436">
          <cell r="AG436">
            <v>38974</v>
          </cell>
          <cell r="AH436">
            <v>72.7</v>
          </cell>
        </row>
        <row r="437">
          <cell r="AG437">
            <v>38975</v>
          </cell>
          <cell r="AH437">
            <v>72.81</v>
          </cell>
        </row>
        <row r="438">
          <cell r="AG438">
            <v>38978</v>
          </cell>
          <cell r="AH438">
            <v>72.98</v>
          </cell>
        </row>
        <row r="439">
          <cell r="AG439">
            <v>38979</v>
          </cell>
          <cell r="AH439">
            <v>73.14</v>
          </cell>
        </row>
        <row r="440">
          <cell r="AG440">
            <v>38980</v>
          </cell>
          <cell r="AH440">
            <v>73.180000000000007</v>
          </cell>
        </row>
        <row r="441">
          <cell r="AG441">
            <v>38981</v>
          </cell>
          <cell r="AH441">
            <v>73.27</v>
          </cell>
        </row>
        <row r="442">
          <cell r="AG442">
            <v>38982</v>
          </cell>
          <cell r="AH442">
            <v>73.27</v>
          </cell>
        </row>
        <row r="443">
          <cell r="AG443">
            <v>38985</v>
          </cell>
          <cell r="AH443">
            <v>73.290000000000006</v>
          </cell>
        </row>
        <row r="444">
          <cell r="AG444">
            <v>38986</v>
          </cell>
          <cell r="AH444">
            <v>73.36</v>
          </cell>
        </row>
        <row r="445">
          <cell r="AG445">
            <v>38987</v>
          </cell>
          <cell r="AH445">
            <v>73.42</v>
          </cell>
        </row>
        <row r="446">
          <cell r="AG446">
            <v>38988</v>
          </cell>
          <cell r="AH446">
            <v>73.55</v>
          </cell>
        </row>
        <row r="447">
          <cell r="AG447">
            <v>38989</v>
          </cell>
          <cell r="AH447">
            <v>73.52</v>
          </cell>
        </row>
        <row r="448">
          <cell r="AG448">
            <v>38992</v>
          </cell>
          <cell r="AH448">
            <v>73.569999999999993</v>
          </cell>
        </row>
        <row r="449">
          <cell r="AG449">
            <v>38993</v>
          </cell>
          <cell r="AH449">
            <v>73.61</v>
          </cell>
        </row>
        <row r="450">
          <cell r="AG450">
            <v>38994</v>
          </cell>
          <cell r="AH450">
            <v>73.59</v>
          </cell>
        </row>
        <row r="451">
          <cell r="AG451">
            <v>38995</v>
          </cell>
          <cell r="AH451">
            <v>73.7</v>
          </cell>
        </row>
        <row r="452">
          <cell r="AG452">
            <v>39001</v>
          </cell>
          <cell r="AH452">
            <v>73.73</v>
          </cell>
        </row>
        <row r="453">
          <cell r="AG453">
            <v>39002</v>
          </cell>
          <cell r="AH453">
            <v>73.790000000000006</v>
          </cell>
        </row>
        <row r="454">
          <cell r="AG454">
            <v>39003</v>
          </cell>
          <cell r="AH454">
            <v>74.03</v>
          </cell>
        </row>
        <row r="455">
          <cell r="AG455">
            <v>39004</v>
          </cell>
          <cell r="AH455">
            <v>74.06</v>
          </cell>
        </row>
        <row r="456">
          <cell r="AG456">
            <v>39006</v>
          </cell>
          <cell r="AH456">
            <v>74.28</v>
          </cell>
        </row>
        <row r="457">
          <cell r="AG457">
            <v>39007</v>
          </cell>
          <cell r="AH457">
            <v>74.25</v>
          </cell>
        </row>
        <row r="458">
          <cell r="AG458">
            <v>39008</v>
          </cell>
          <cell r="AH458">
            <v>74.2</v>
          </cell>
        </row>
        <row r="459">
          <cell r="AG459">
            <v>39009</v>
          </cell>
          <cell r="AH459">
            <v>74.13</v>
          </cell>
        </row>
        <row r="460">
          <cell r="AG460">
            <v>39010</v>
          </cell>
          <cell r="AH460">
            <v>74.14</v>
          </cell>
        </row>
        <row r="461">
          <cell r="AG461">
            <v>39013</v>
          </cell>
          <cell r="AH461">
            <v>74.12</v>
          </cell>
        </row>
        <row r="462">
          <cell r="AG462">
            <v>39014</v>
          </cell>
          <cell r="AH462">
            <v>74.239999999999995</v>
          </cell>
        </row>
        <row r="463">
          <cell r="AG463">
            <v>39015</v>
          </cell>
          <cell r="AH463">
            <v>74.23</v>
          </cell>
        </row>
        <row r="464">
          <cell r="AG464">
            <v>39016</v>
          </cell>
          <cell r="AH464">
            <v>74.23</v>
          </cell>
        </row>
        <row r="465">
          <cell r="AG465">
            <v>39017</v>
          </cell>
          <cell r="AH465">
            <v>74.260000000000005</v>
          </cell>
        </row>
        <row r="466">
          <cell r="AG466">
            <v>39020</v>
          </cell>
          <cell r="AH466">
            <v>74.13</v>
          </cell>
        </row>
        <row r="467">
          <cell r="AG467">
            <v>39021</v>
          </cell>
          <cell r="AH467">
            <v>74.12</v>
          </cell>
        </row>
        <row r="468">
          <cell r="AG468">
            <v>39022</v>
          </cell>
          <cell r="AH468">
            <v>74.05</v>
          </cell>
        </row>
        <row r="469">
          <cell r="AG469">
            <v>39023</v>
          </cell>
          <cell r="AH469">
            <v>74.03</v>
          </cell>
        </row>
        <row r="470">
          <cell r="AG470">
            <v>39024</v>
          </cell>
          <cell r="AH470">
            <v>73.98</v>
          </cell>
        </row>
        <row r="471">
          <cell r="AG471">
            <v>39027</v>
          </cell>
          <cell r="AH471">
            <v>73.930000000000007</v>
          </cell>
        </row>
        <row r="472">
          <cell r="AG472">
            <v>39028</v>
          </cell>
          <cell r="AH472">
            <v>73.88</v>
          </cell>
        </row>
        <row r="473">
          <cell r="AG473">
            <v>39029</v>
          </cell>
          <cell r="AH473">
            <v>73.83</v>
          </cell>
        </row>
        <row r="474">
          <cell r="AG474">
            <v>39030</v>
          </cell>
          <cell r="AH474">
            <v>73.849999999999994</v>
          </cell>
        </row>
        <row r="475">
          <cell r="AG475">
            <v>39031</v>
          </cell>
          <cell r="AH475">
            <v>73.81</v>
          </cell>
        </row>
        <row r="476">
          <cell r="AG476">
            <v>39034</v>
          </cell>
          <cell r="AH476">
            <v>73.77</v>
          </cell>
        </row>
        <row r="477">
          <cell r="AG477">
            <v>39035</v>
          </cell>
          <cell r="AH477">
            <v>73.77</v>
          </cell>
        </row>
        <row r="478">
          <cell r="AG478">
            <v>39036</v>
          </cell>
          <cell r="AH478">
            <v>73.81</v>
          </cell>
        </row>
        <row r="479">
          <cell r="AG479">
            <v>39037</v>
          </cell>
          <cell r="AH479">
            <v>73.87</v>
          </cell>
        </row>
        <row r="480">
          <cell r="AG480">
            <v>39038</v>
          </cell>
          <cell r="AH480">
            <v>73.89</v>
          </cell>
        </row>
        <row r="481">
          <cell r="AG481">
            <v>39041</v>
          </cell>
          <cell r="AH481">
            <v>73.91</v>
          </cell>
        </row>
        <row r="482">
          <cell r="AG482">
            <v>39042</v>
          </cell>
          <cell r="AH482">
            <v>73.97</v>
          </cell>
        </row>
        <row r="483">
          <cell r="AG483">
            <v>39043</v>
          </cell>
          <cell r="AH483">
            <v>74.02</v>
          </cell>
        </row>
        <row r="484">
          <cell r="AG484">
            <v>39044</v>
          </cell>
          <cell r="AH484">
            <v>74.11</v>
          </cell>
        </row>
        <row r="485">
          <cell r="AG485">
            <v>39045</v>
          </cell>
          <cell r="AH485">
            <v>74.14</v>
          </cell>
        </row>
        <row r="486">
          <cell r="AG486">
            <v>39048</v>
          </cell>
          <cell r="AH486">
            <v>74.23</v>
          </cell>
        </row>
        <row r="487">
          <cell r="AG487">
            <v>39049</v>
          </cell>
          <cell r="AH487">
            <v>74.28</v>
          </cell>
        </row>
        <row r="488">
          <cell r="AG488">
            <v>39050</v>
          </cell>
          <cell r="AH488">
            <v>74.36</v>
          </cell>
        </row>
        <row r="489">
          <cell r="AG489">
            <v>39051</v>
          </cell>
          <cell r="AH489">
            <v>74.510000000000005</v>
          </cell>
        </row>
        <row r="490">
          <cell r="AG490">
            <v>39052</v>
          </cell>
          <cell r="AH490">
            <v>74.680000000000007</v>
          </cell>
        </row>
        <row r="491">
          <cell r="AG491">
            <v>39055</v>
          </cell>
          <cell r="AH491">
            <v>74.78</v>
          </cell>
        </row>
        <row r="492">
          <cell r="AG492">
            <v>39056</v>
          </cell>
          <cell r="AH492">
            <v>74.86</v>
          </cell>
        </row>
        <row r="493">
          <cell r="AG493">
            <v>39057</v>
          </cell>
          <cell r="AH493">
            <v>74.98</v>
          </cell>
        </row>
        <row r="494">
          <cell r="AG494">
            <v>39058</v>
          </cell>
          <cell r="AH494">
            <v>74.989999999999995</v>
          </cell>
        </row>
        <row r="495">
          <cell r="AG495">
            <v>39059</v>
          </cell>
          <cell r="AH495">
            <v>74.97</v>
          </cell>
        </row>
        <row r="496">
          <cell r="AG496">
            <v>39062</v>
          </cell>
          <cell r="AH496">
            <v>75.010000000000005</v>
          </cell>
        </row>
        <row r="497">
          <cell r="AG497">
            <v>39063</v>
          </cell>
          <cell r="AH497">
            <v>74.97</v>
          </cell>
        </row>
        <row r="498">
          <cell r="AG498">
            <v>39064</v>
          </cell>
          <cell r="AH498">
            <v>74.989999999999995</v>
          </cell>
        </row>
        <row r="499">
          <cell r="AG499">
            <v>39065</v>
          </cell>
          <cell r="AH499">
            <v>75</v>
          </cell>
        </row>
        <row r="500">
          <cell r="AG500">
            <v>39066</v>
          </cell>
          <cell r="AH500">
            <v>75.02</v>
          </cell>
        </row>
        <row r="501">
          <cell r="AG501">
            <v>39069</v>
          </cell>
          <cell r="AH501">
            <v>75.11</v>
          </cell>
        </row>
        <row r="502">
          <cell r="AG502">
            <v>39070</v>
          </cell>
          <cell r="AH502">
            <v>75.040000000000006</v>
          </cell>
        </row>
        <row r="503">
          <cell r="AG503">
            <v>39071</v>
          </cell>
          <cell r="AH503">
            <v>74.989999999999995</v>
          </cell>
        </row>
        <row r="504">
          <cell r="AG504">
            <v>39072</v>
          </cell>
          <cell r="AH504">
            <v>75.010000000000005</v>
          </cell>
        </row>
        <row r="505">
          <cell r="AG505">
            <v>39073</v>
          </cell>
          <cell r="AH505">
            <v>75.03</v>
          </cell>
        </row>
        <row r="506">
          <cell r="AG506">
            <v>39076</v>
          </cell>
          <cell r="AH506">
            <v>75.040000000000006</v>
          </cell>
        </row>
        <row r="507">
          <cell r="AG507">
            <v>39077</v>
          </cell>
          <cell r="AH507">
            <v>75.06</v>
          </cell>
        </row>
        <row r="508">
          <cell r="AG508">
            <v>39078</v>
          </cell>
          <cell r="AH508">
            <v>75.09</v>
          </cell>
        </row>
        <row r="509">
          <cell r="AG509">
            <v>39079</v>
          </cell>
          <cell r="AH509">
            <v>75.099999999999994</v>
          </cell>
        </row>
        <row r="510">
          <cell r="AG510">
            <v>39080</v>
          </cell>
          <cell r="AH510">
            <v>75.150000000000006</v>
          </cell>
        </row>
        <row r="511">
          <cell r="AG511">
            <v>39084</v>
          </cell>
          <cell r="AH511">
            <v>75.19</v>
          </cell>
        </row>
        <row r="512">
          <cell r="AG512">
            <v>39085</v>
          </cell>
          <cell r="AH512">
            <v>75.290000000000006</v>
          </cell>
        </row>
        <row r="513">
          <cell r="AG513">
            <v>39086</v>
          </cell>
          <cell r="AH513">
            <v>75.3</v>
          </cell>
        </row>
        <row r="514">
          <cell r="AG514">
            <v>39087</v>
          </cell>
          <cell r="AH514">
            <v>75.3</v>
          </cell>
        </row>
        <row r="515">
          <cell r="AG515">
            <v>39090</v>
          </cell>
          <cell r="AH515">
            <v>75.27</v>
          </cell>
        </row>
        <row r="516">
          <cell r="AG516">
            <v>39091</v>
          </cell>
          <cell r="AH516">
            <v>75.290000000000006</v>
          </cell>
        </row>
        <row r="517">
          <cell r="AG517">
            <v>39092</v>
          </cell>
          <cell r="AH517">
            <v>75.14</v>
          </cell>
        </row>
        <row r="518">
          <cell r="AG518">
            <v>39093</v>
          </cell>
          <cell r="AH518">
            <v>75.28</v>
          </cell>
        </row>
        <row r="519">
          <cell r="AG519">
            <v>39094</v>
          </cell>
          <cell r="AH519">
            <v>75.56</v>
          </cell>
        </row>
        <row r="520">
          <cell r="AG520">
            <v>39097</v>
          </cell>
          <cell r="AH520">
            <v>75.59</v>
          </cell>
        </row>
        <row r="521">
          <cell r="AG521">
            <v>39098</v>
          </cell>
          <cell r="AH521">
            <v>75.72</v>
          </cell>
        </row>
        <row r="522">
          <cell r="AG522">
            <v>39099</v>
          </cell>
          <cell r="AH522">
            <v>75.790000000000006</v>
          </cell>
        </row>
        <row r="523">
          <cell r="AG523">
            <v>39100</v>
          </cell>
          <cell r="AH523">
            <v>75.849999999999994</v>
          </cell>
        </row>
        <row r="524">
          <cell r="AG524">
            <v>39101</v>
          </cell>
          <cell r="AH524">
            <v>75.83</v>
          </cell>
        </row>
        <row r="525">
          <cell r="AG525">
            <v>39104</v>
          </cell>
          <cell r="AH525">
            <v>75.790000000000006</v>
          </cell>
        </row>
        <row r="526">
          <cell r="AG526">
            <v>39105</v>
          </cell>
          <cell r="AH526">
            <v>75.739999999999995</v>
          </cell>
        </row>
        <row r="527">
          <cell r="AG527">
            <v>39106</v>
          </cell>
          <cell r="AH527">
            <v>75.77</v>
          </cell>
        </row>
        <row r="528">
          <cell r="AG528">
            <v>39107</v>
          </cell>
          <cell r="AH528">
            <v>75.8</v>
          </cell>
        </row>
        <row r="529">
          <cell r="AG529">
            <v>39108</v>
          </cell>
          <cell r="AH529">
            <v>75.58</v>
          </cell>
        </row>
        <row r="530">
          <cell r="AG530">
            <v>39111</v>
          </cell>
          <cell r="AH530">
            <v>75.599999999999994</v>
          </cell>
        </row>
        <row r="531">
          <cell r="AG531">
            <v>39112</v>
          </cell>
          <cell r="AH531">
            <v>75.55</v>
          </cell>
        </row>
        <row r="532">
          <cell r="AG532">
            <v>39113</v>
          </cell>
          <cell r="AH532">
            <v>75.45</v>
          </cell>
        </row>
        <row r="533">
          <cell r="AG533">
            <v>39114</v>
          </cell>
          <cell r="AH533">
            <v>75.44</v>
          </cell>
        </row>
        <row r="534">
          <cell r="AG534">
            <v>39115</v>
          </cell>
          <cell r="AH534">
            <v>75.44</v>
          </cell>
        </row>
        <row r="535">
          <cell r="AG535">
            <v>39118</v>
          </cell>
          <cell r="AH535">
            <v>75.430000000000007</v>
          </cell>
        </row>
        <row r="536">
          <cell r="AG536">
            <v>39119</v>
          </cell>
          <cell r="AH536">
            <v>75.41</v>
          </cell>
        </row>
        <row r="537">
          <cell r="AG537">
            <v>39120</v>
          </cell>
          <cell r="AH537">
            <v>75.42</v>
          </cell>
        </row>
        <row r="538">
          <cell r="AG538">
            <v>39121</v>
          </cell>
          <cell r="AH538">
            <v>75.41</v>
          </cell>
        </row>
        <row r="539">
          <cell r="AG539">
            <v>39122</v>
          </cell>
          <cell r="AH539">
            <v>75.37</v>
          </cell>
        </row>
        <row r="540">
          <cell r="AG540">
            <v>39125</v>
          </cell>
          <cell r="AH540">
            <v>75.239999999999995</v>
          </cell>
        </row>
        <row r="541">
          <cell r="AG541">
            <v>39126</v>
          </cell>
          <cell r="AH541">
            <v>75.08</v>
          </cell>
        </row>
        <row r="542">
          <cell r="AG542">
            <v>39127</v>
          </cell>
          <cell r="AH542">
            <v>75.09</v>
          </cell>
        </row>
        <row r="543">
          <cell r="AG543">
            <v>39139</v>
          </cell>
          <cell r="AH543">
            <v>75.180000000000007</v>
          </cell>
        </row>
        <row r="544">
          <cell r="AG544">
            <v>39140</v>
          </cell>
          <cell r="AH544">
            <v>75.28</v>
          </cell>
        </row>
        <row r="545">
          <cell r="AG545">
            <v>39142</v>
          </cell>
          <cell r="AH545">
            <v>75.06</v>
          </cell>
        </row>
        <row r="546">
          <cell r="AG546">
            <v>39143</v>
          </cell>
          <cell r="AH546">
            <v>74.98</v>
          </cell>
        </row>
        <row r="547">
          <cell r="AG547">
            <v>39144</v>
          </cell>
          <cell r="AH547">
            <v>74.91</v>
          </cell>
        </row>
        <row r="548">
          <cell r="AG548">
            <v>39146</v>
          </cell>
          <cell r="AH548">
            <v>74.709999999999994</v>
          </cell>
        </row>
        <row r="549">
          <cell r="AG549">
            <v>39147</v>
          </cell>
          <cell r="AH549">
            <v>74.67</v>
          </cell>
        </row>
        <row r="550">
          <cell r="AG550">
            <v>39148</v>
          </cell>
          <cell r="AH550">
            <v>74.680000000000007</v>
          </cell>
        </row>
        <row r="551">
          <cell r="AG551">
            <v>39149</v>
          </cell>
          <cell r="AH551">
            <v>74.650000000000006</v>
          </cell>
        </row>
        <row r="552">
          <cell r="AG552">
            <v>39150</v>
          </cell>
          <cell r="AH552">
            <v>74.67</v>
          </cell>
        </row>
        <row r="553">
          <cell r="AG553">
            <v>39153</v>
          </cell>
          <cell r="AH553">
            <v>71.28</v>
          </cell>
        </row>
        <row r="554">
          <cell r="AG554">
            <v>39154</v>
          </cell>
          <cell r="AH554">
            <v>71.459999999999994</v>
          </cell>
        </row>
        <row r="555">
          <cell r="AG555">
            <v>39155</v>
          </cell>
          <cell r="AH555">
            <v>71.430000000000007</v>
          </cell>
        </row>
        <row r="556">
          <cell r="AG556">
            <v>39156</v>
          </cell>
          <cell r="AH556">
            <v>71.5</v>
          </cell>
        </row>
        <row r="557">
          <cell r="AG557">
            <v>39157</v>
          </cell>
          <cell r="AH557">
            <v>71.55</v>
          </cell>
        </row>
        <row r="558">
          <cell r="AG558">
            <v>39160</v>
          </cell>
          <cell r="AH558">
            <v>71.569999999999993</v>
          </cell>
        </row>
        <row r="559">
          <cell r="AG559">
            <v>39161</v>
          </cell>
          <cell r="AH559">
            <v>71.61</v>
          </cell>
        </row>
        <row r="560">
          <cell r="AG560">
            <v>39162</v>
          </cell>
          <cell r="AH560">
            <v>71.67</v>
          </cell>
        </row>
        <row r="561">
          <cell r="AG561">
            <v>39163</v>
          </cell>
          <cell r="AH561">
            <v>71.84</v>
          </cell>
        </row>
        <row r="562">
          <cell r="AG562">
            <v>39164</v>
          </cell>
          <cell r="AH562">
            <v>71.900000000000006</v>
          </cell>
        </row>
        <row r="563">
          <cell r="AG563">
            <v>39167</v>
          </cell>
          <cell r="AH563">
            <v>71.92</v>
          </cell>
        </row>
        <row r="564">
          <cell r="AG564">
            <v>39168</v>
          </cell>
          <cell r="AH564">
            <v>71.959999999999994</v>
          </cell>
        </row>
        <row r="565">
          <cell r="AG565">
            <v>39169</v>
          </cell>
          <cell r="AH565">
            <v>71.92</v>
          </cell>
        </row>
        <row r="566">
          <cell r="AG566">
            <v>39170</v>
          </cell>
          <cell r="AH566">
            <v>71.91</v>
          </cell>
        </row>
        <row r="567">
          <cell r="AG567">
            <v>39171</v>
          </cell>
          <cell r="AH567">
            <v>71.86</v>
          </cell>
        </row>
        <row r="568">
          <cell r="AG568">
            <v>39174</v>
          </cell>
          <cell r="AH568">
            <v>71.84</v>
          </cell>
        </row>
        <row r="569">
          <cell r="AG569">
            <v>39175</v>
          </cell>
          <cell r="AH569">
            <v>71.819999999999993</v>
          </cell>
        </row>
        <row r="570">
          <cell r="AG570">
            <v>39176</v>
          </cell>
          <cell r="AH570">
            <v>71.83</v>
          </cell>
        </row>
        <row r="571">
          <cell r="AG571">
            <v>39181</v>
          </cell>
          <cell r="AH571">
            <v>71.849999999999994</v>
          </cell>
        </row>
        <row r="572">
          <cell r="AG572">
            <v>39182</v>
          </cell>
          <cell r="AH572">
            <v>71.86</v>
          </cell>
        </row>
        <row r="573">
          <cell r="AG573">
            <v>39183</v>
          </cell>
          <cell r="AH573">
            <v>71.88</v>
          </cell>
        </row>
        <row r="574">
          <cell r="AG574">
            <v>39184</v>
          </cell>
          <cell r="AH574">
            <v>71.87</v>
          </cell>
        </row>
        <row r="575">
          <cell r="AG575">
            <v>39185</v>
          </cell>
          <cell r="AH575">
            <v>71.87</v>
          </cell>
        </row>
        <row r="576">
          <cell r="AG576">
            <v>39186</v>
          </cell>
          <cell r="AH576">
            <v>71.87</v>
          </cell>
        </row>
        <row r="577">
          <cell r="AG577">
            <v>39188</v>
          </cell>
          <cell r="AH577">
            <v>71.89</v>
          </cell>
        </row>
        <row r="578">
          <cell r="AG578">
            <v>39189</v>
          </cell>
          <cell r="AH578">
            <v>71.88</v>
          </cell>
        </row>
        <row r="579">
          <cell r="AG579">
            <v>39190</v>
          </cell>
          <cell r="AH579">
            <v>71.900000000000006</v>
          </cell>
        </row>
        <row r="580">
          <cell r="AG580">
            <v>39191</v>
          </cell>
          <cell r="AH580">
            <v>71.81</v>
          </cell>
        </row>
        <row r="581">
          <cell r="AG581">
            <v>39192</v>
          </cell>
          <cell r="AH581">
            <v>71.819999999999993</v>
          </cell>
        </row>
        <row r="582">
          <cell r="AG582">
            <v>39195</v>
          </cell>
          <cell r="AH582">
            <v>71.88</v>
          </cell>
        </row>
        <row r="583">
          <cell r="AG583">
            <v>39196</v>
          </cell>
          <cell r="AH583">
            <v>72.02</v>
          </cell>
        </row>
        <row r="584">
          <cell r="AG584">
            <v>39197</v>
          </cell>
          <cell r="AH584">
            <v>72.02</v>
          </cell>
        </row>
        <row r="585">
          <cell r="AG585">
            <v>39198</v>
          </cell>
          <cell r="AH585">
            <v>72.12</v>
          </cell>
        </row>
        <row r="586">
          <cell r="AG586">
            <v>39199</v>
          </cell>
          <cell r="AH586">
            <v>72.11</v>
          </cell>
        </row>
        <row r="587">
          <cell r="AG587">
            <v>39202</v>
          </cell>
          <cell r="AH587">
            <v>72.02</v>
          </cell>
        </row>
        <row r="588">
          <cell r="AG588">
            <v>39204</v>
          </cell>
          <cell r="AH588">
            <v>71.989999999999995</v>
          </cell>
        </row>
        <row r="589">
          <cell r="AG589">
            <v>39205</v>
          </cell>
          <cell r="AH589">
            <v>71.959999999999994</v>
          </cell>
        </row>
        <row r="590">
          <cell r="AG590">
            <v>39206</v>
          </cell>
          <cell r="AH590">
            <v>71.95</v>
          </cell>
        </row>
        <row r="591">
          <cell r="AG591">
            <v>39209</v>
          </cell>
          <cell r="AH591">
            <v>71.94</v>
          </cell>
        </row>
        <row r="592">
          <cell r="AG592">
            <v>39210</v>
          </cell>
          <cell r="AH592">
            <v>71.88</v>
          </cell>
        </row>
        <row r="593">
          <cell r="AG593">
            <v>39211</v>
          </cell>
          <cell r="AH593">
            <v>71.87</v>
          </cell>
        </row>
        <row r="594">
          <cell r="AG594">
            <v>39212</v>
          </cell>
          <cell r="AH594">
            <v>71.87</v>
          </cell>
        </row>
        <row r="595">
          <cell r="AG595">
            <v>39213</v>
          </cell>
          <cell r="AH595">
            <v>71.75</v>
          </cell>
        </row>
        <row r="596">
          <cell r="AG596">
            <v>39216</v>
          </cell>
          <cell r="AH596">
            <v>71.69</v>
          </cell>
        </row>
        <row r="597">
          <cell r="AG597">
            <v>39217</v>
          </cell>
          <cell r="AH597">
            <v>71.53</v>
          </cell>
        </row>
        <row r="598">
          <cell r="AG598">
            <v>39218</v>
          </cell>
          <cell r="AH598">
            <v>71.45</v>
          </cell>
        </row>
        <row r="599">
          <cell r="AG599">
            <v>39219</v>
          </cell>
          <cell r="AH599">
            <v>71.44</v>
          </cell>
        </row>
        <row r="600">
          <cell r="AG600">
            <v>39220</v>
          </cell>
          <cell r="AH600">
            <v>71.52</v>
          </cell>
        </row>
        <row r="601">
          <cell r="AG601">
            <v>39223</v>
          </cell>
          <cell r="AH601">
            <v>71.61</v>
          </cell>
        </row>
        <row r="602">
          <cell r="AG602">
            <v>39224</v>
          </cell>
          <cell r="AH602">
            <v>71.599999999999994</v>
          </cell>
        </row>
        <row r="603">
          <cell r="AG603">
            <v>39225</v>
          </cell>
          <cell r="AH603">
            <v>71.59</v>
          </cell>
        </row>
        <row r="604">
          <cell r="AG604">
            <v>39226</v>
          </cell>
          <cell r="AH604">
            <v>76.19</v>
          </cell>
        </row>
        <row r="605">
          <cell r="AG605">
            <v>39227</v>
          </cell>
          <cell r="AH605">
            <v>71.38</v>
          </cell>
        </row>
        <row r="606">
          <cell r="AG606">
            <v>39230</v>
          </cell>
          <cell r="AH606">
            <v>71.37</v>
          </cell>
        </row>
        <row r="607">
          <cell r="AG607">
            <v>39231</v>
          </cell>
          <cell r="AH607">
            <v>71.430000000000007</v>
          </cell>
        </row>
        <row r="608">
          <cell r="AG608">
            <v>39232</v>
          </cell>
          <cell r="AH608">
            <v>71.39</v>
          </cell>
        </row>
        <row r="609">
          <cell r="AG609">
            <v>39233</v>
          </cell>
          <cell r="AH609">
            <v>71.400000000000006</v>
          </cell>
        </row>
        <row r="610">
          <cell r="AG610">
            <v>39234</v>
          </cell>
          <cell r="AH610">
            <v>71.430000000000007</v>
          </cell>
        </row>
        <row r="611">
          <cell r="AG611">
            <v>39237</v>
          </cell>
          <cell r="AH611">
            <v>71.41</v>
          </cell>
        </row>
        <row r="612">
          <cell r="AG612">
            <v>39238</v>
          </cell>
          <cell r="AH612">
            <v>71.42</v>
          </cell>
        </row>
        <row r="613">
          <cell r="AG613">
            <v>39239</v>
          </cell>
          <cell r="AH613">
            <v>71.39</v>
          </cell>
        </row>
        <row r="614">
          <cell r="AG614">
            <v>39240</v>
          </cell>
          <cell r="AH614">
            <v>71.39</v>
          </cell>
        </row>
        <row r="615">
          <cell r="AG615">
            <v>39241</v>
          </cell>
          <cell r="AH615">
            <v>71.099999999999994</v>
          </cell>
        </row>
        <row r="616">
          <cell r="AG616">
            <v>39244</v>
          </cell>
          <cell r="AH616">
            <v>71.069999999999993</v>
          </cell>
        </row>
        <row r="617">
          <cell r="AG617">
            <v>39245</v>
          </cell>
          <cell r="AH617">
            <v>70.989999999999995</v>
          </cell>
        </row>
        <row r="618">
          <cell r="AG618">
            <v>39246</v>
          </cell>
          <cell r="AH618">
            <v>70.87</v>
          </cell>
        </row>
        <row r="619">
          <cell r="AG619">
            <v>39247</v>
          </cell>
          <cell r="AH619">
            <v>70.89</v>
          </cell>
        </row>
        <row r="620">
          <cell r="AG620">
            <v>39248</v>
          </cell>
          <cell r="AH620">
            <v>70.959999999999994</v>
          </cell>
        </row>
        <row r="621">
          <cell r="AG621">
            <v>39253</v>
          </cell>
          <cell r="AH621">
            <v>71.37</v>
          </cell>
        </row>
        <row r="622">
          <cell r="AG622">
            <v>39254</v>
          </cell>
          <cell r="AH622">
            <v>71.790000000000006</v>
          </cell>
        </row>
        <row r="623">
          <cell r="AG623">
            <v>39255</v>
          </cell>
          <cell r="AH623">
            <v>71.930000000000007</v>
          </cell>
        </row>
        <row r="624">
          <cell r="AG624">
            <v>39256</v>
          </cell>
          <cell r="AH624">
            <v>71.930000000000007</v>
          </cell>
        </row>
        <row r="625">
          <cell r="AG625">
            <v>39258</v>
          </cell>
          <cell r="AH625">
            <v>72.09</v>
          </cell>
        </row>
        <row r="626">
          <cell r="AG626">
            <v>39259</v>
          </cell>
          <cell r="AH626">
            <v>72.14</v>
          </cell>
        </row>
        <row r="627">
          <cell r="AG627">
            <v>39260</v>
          </cell>
          <cell r="AH627">
            <v>72.209999999999994</v>
          </cell>
        </row>
        <row r="628">
          <cell r="AG628">
            <v>39261</v>
          </cell>
          <cell r="AH628">
            <v>72.37</v>
          </cell>
        </row>
        <row r="629">
          <cell r="AG629">
            <v>39262</v>
          </cell>
          <cell r="AH629">
            <v>71.12</v>
          </cell>
        </row>
        <row r="630">
          <cell r="AG630">
            <v>39265</v>
          </cell>
          <cell r="AH630">
            <v>71.16</v>
          </cell>
        </row>
        <row r="631">
          <cell r="AG631">
            <v>39266</v>
          </cell>
          <cell r="AH631">
            <v>71.260000000000005</v>
          </cell>
        </row>
        <row r="632">
          <cell r="AG632">
            <v>39267</v>
          </cell>
          <cell r="AH632">
            <v>71.36</v>
          </cell>
        </row>
        <row r="633">
          <cell r="AG633">
            <v>39268</v>
          </cell>
          <cell r="AH633">
            <v>71.41</v>
          </cell>
        </row>
        <row r="634">
          <cell r="AG634">
            <v>39269</v>
          </cell>
          <cell r="AH634">
            <v>71.41</v>
          </cell>
        </row>
        <row r="635">
          <cell r="AG635">
            <v>39272</v>
          </cell>
          <cell r="AH635">
            <v>71.61</v>
          </cell>
        </row>
        <row r="636">
          <cell r="AG636">
            <v>39273</v>
          </cell>
          <cell r="AH636">
            <v>71.75</v>
          </cell>
        </row>
        <row r="637">
          <cell r="AG637">
            <v>39274</v>
          </cell>
          <cell r="AH637">
            <v>71.87</v>
          </cell>
        </row>
        <row r="638">
          <cell r="AG638">
            <v>39275</v>
          </cell>
          <cell r="AH638">
            <v>71.94</v>
          </cell>
        </row>
        <row r="639">
          <cell r="AG639">
            <v>39276</v>
          </cell>
          <cell r="AH639">
            <v>72.13</v>
          </cell>
        </row>
        <row r="640">
          <cell r="AG640">
            <v>39279</v>
          </cell>
          <cell r="AH640">
            <v>72.19</v>
          </cell>
        </row>
        <row r="641">
          <cell r="AG641">
            <v>39280</v>
          </cell>
          <cell r="AH641">
            <v>72.209999999999994</v>
          </cell>
        </row>
        <row r="642">
          <cell r="AG642">
            <v>39281</v>
          </cell>
          <cell r="AH642">
            <v>72.19</v>
          </cell>
        </row>
        <row r="643">
          <cell r="AG643">
            <v>39282</v>
          </cell>
          <cell r="AH643">
            <v>72.13</v>
          </cell>
        </row>
        <row r="644">
          <cell r="AG644">
            <v>39283</v>
          </cell>
          <cell r="AH644">
            <v>72.099999999999994</v>
          </cell>
        </row>
        <row r="645">
          <cell r="AG645">
            <v>39286</v>
          </cell>
          <cell r="AH645">
            <v>72.06</v>
          </cell>
        </row>
        <row r="646">
          <cell r="AG646">
            <v>39287</v>
          </cell>
          <cell r="AH646">
            <v>72.180000000000007</v>
          </cell>
        </row>
        <row r="647">
          <cell r="AG647">
            <v>39288</v>
          </cell>
          <cell r="AH647">
            <v>72.16</v>
          </cell>
        </row>
        <row r="648">
          <cell r="AG648">
            <v>39289</v>
          </cell>
          <cell r="AH648">
            <v>72.099999999999994</v>
          </cell>
        </row>
        <row r="649">
          <cell r="AG649">
            <v>39290</v>
          </cell>
          <cell r="AH649">
            <v>71.34</v>
          </cell>
        </row>
        <row r="650">
          <cell r="AG650">
            <v>39293</v>
          </cell>
          <cell r="AH650">
            <v>71.260000000000005</v>
          </cell>
        </row>
        <row r="651">
          <cell r="AG651">
            <v>39294</v>
          </cell>
          <cell r="AH651">
            <v>71.180000000000007</v>
          </cell>
        </row>
        <row r="652">
          <cell r="AG652">
            <v>39295</v>
          </cell>
          <cell r="AH652">
            <v>70.790000000000006</v>
          </cell>
        </row>
        <row r="653">
          <cell r="AG653">
            <v>39296</v>
          </cell>
          <cell r="AH653">
            <v>70.760000000000005</v>
          </cell>
        </row>
        <row r="654">
          <cell r="AG654">
            <v>39297</v>
          </cell>
          <cell r="AH654">
            <v>70.760000000000005</v>
          </cell>
        </row>
        <row r="655">
          <cell r="AG655">
            <v>39300</v>
          </cell>
          <cell r="AH655">
            <v>70.72</v>
          </cell>
        </row>
        <row r="656">
          <cell r="AG656">
            <v>39301</v>
          </cell>
          <cell r="AH656">
            <v>70.58</v>
          </cell>
        </row>
        <row r="657">
          <cell r="AG657">
            <v>39302</v>
          </cell>
          <cell r="AH657">
            <v>70.52</v>
          </cell>
        </row>
        <row r="658">
          <cell r="AG658">
            <v>39303</v>
          </cell>
          <cell r="AH658">
            <v>70.599999999999994</v>
          </cell>
        </row>
        <row r="659">
          <cell r="AG659">
            <v>39304</v>
          </cell>
          <cell r="AH659">
            <v>70.510000000000005</v>
          </cell>
        </row>
        <row r="660">
          <cell r="AG660">
            <v>39307</v>
          </cell>
          <cell r="AH660">
            <v>70.5</v>
          </cell>
        </row>
        <row r="661">
          <cell r="AG661">
            <v>39308</v>
          </cell>
          <cell r="AH661">
            <v>70.5</v>
          </cell>
        </row>
        <row r="662">
          <cell r="AG662">
            <v>39309</v>
          </cell>
          <cell r="AH662">
            <v>70.400000000000006</v>
          </cell>
        </row>
        <row r="663">
          <cell r="AG663">
            <v>39310</v>
          </cell>
          <cell r="AH663">
            <v>70.209999999999994</v>
          </cell>
        </row>
        <row r="664">
          <cell r="AG664">
            <v>39311</v>
          </cell>
          <cell r="AH664">
            <v>70.17</v>
          </cell>
        </row>
        <row r="665">
          <cell r="AG665">
            <v>39314</v>
          </cell>
          <cell r="AH665">
            <v>70.2</v>
          </cell>
        </row>
        <row r="666">
          <cell r="AG666">
            <v>39315</v>
          </cell>
          <cell r="AH666">
            <v>70.19</v>
          </cell>
        </row>
        <row r="667">
          <cell r="AG667">
            <v>39316</v>
          </cell>
          <cell r="AH667">
            <v>70.150000000000006</v>
          </cell>
        </row>
        <row r="668">
          <cell r="AG668">
            <v>39317</v>
          </cell>
          <cell r="AH668">
            <v>70.290000000000006</v>
          </cell>
        </row>
        <row r="669">
          <cell r="AG669">
            <v>39318</v>
          </cell>
          <cell r="AH669">
            <v>70.239999999999995</v>
          </cell>
        </row>
        <row r="670">
          <cell r="AG670">
            <v>39321</v>
          </cell>
          <cell r="AH670">
            <v>70.27</v>
          </cell>
        </row>
        <row r="671">
          <cell r="AG671">
            <v>39322</v>
          </cell>
          <cell r="AH671">
            <v>70.23</v>
          </cell>
        </row>
        <row r="672">
          <cell r="AG672">
            <v>39323</v>
          </cell>
          <cell r="AH672">
            <v>70.12</v>
          </cell>
        </row>
        <row r="673">
          <cell r="AG673">
            <v>39324</v>
          </cell>
          <cell r="AH673">
            <v>70.13</v>
          </cell>
        </row>
        <row r="674">
          <cell r="AG674">
            <v>39325</v>
          </cell>
          <cell r="AH674">
            <v>70.27</v>
          </cell>
        </row>
        <row r="675">
          <cell r="AG675">
            <v>39328</v>
          </cell>
          <cell r="AH675">
            <v>70.290000000000006</v>
          </cell>
        </row>
        <row r="676">
          <cell r="AG676">
            <v>39329</v>
          </cell>
          <cell r="AH676">
            <v>70.28</v>
          </cell>
        </row>
        <row r="677">
          <cell r="AG677">
            <v>39330</v>
          </cell>
          <cell r="AH677">
            <v>70.3</v>
          </cell>
        </row>
        <row r="678">
          <cell r="AG678">
            <v>39331</v>
          </cell>
          <cell r="AH678">
            <v>70.319999999999993</v>
          </cell>
        </row>
        <row r="679">
          <cell r="AG679">
            <v>39332</v>
          </cell>
          <cell r="AH679">
            <v>70.319999999999993</v>
          </cell>
        </row>
        <row r="680">
          <cell r="AG680">
            <v>39335</v>
          </cell>
          <cell r="AH680">
            <v>70.28</v>
          </cell>
        </row>
        <row r="681">
          <cell r="AG681">
            <v>39336</v>
          </cell>
          <cell r="AH681">
            <v>70.27</v>
          </cell>
        </row>
        <row r="682">
          <cell r="AG682">
            <v>39337</v>
          </cell>
          <cell r="AH682">
            <v>70.260000000000005</v>
          </cell>
        </row>
        <row r="683">
          <cell r="AG683">
            <v>39338</v>
          </cell>
          <cell r="AH683">
            <v>70.2</v>
          </cell>
        </row>
        <row r="684">
          <cell r="AG684">
            <v>39339</v>
          </cell>
          <cell r="AH684">
            <v>70.260000000000005</v>
          </cell>
        </row>
        <row r="685">
          <cell r="AG685">
            <v>39342</v>
          </cell>
          <cell r="AH685">
            <v>70.239999999999995</v>
          </cell>
        </row>
        <row r="686">
          <cell r="AG686">
            <v>39344</v>
          </cell>
          <cell r="AH686">
            <v>70.34</v>
          </cell>
        </row>
        <row r="687">
          <cell r="AG687">
            <v>39345</v>
          </cell>
          <cell r="AH687">
            <v>70.33</v>
          </cell>
        </row>
        <row r="688">
          <cell r="AG688">
            <v>39346</v>
          </cell>
          <cell r="AH688">
            <v>70.33</v>
          </cell>
        </row>
        <row r="689">
          <cell r="AG689">
            <v>39351</v>
          </cell>
          <cell r="AH689">
            <v>70.290000000000006</v>
          </cell>
        </row>
        <row r="690">
          <cell r="AG690">
            <v>39352</v>
          </cell>
          <cell r="AH690">
            <v>70.430000000000007</v>
          </cell>
        </row>
        <row r="691">
          <cell r="AG691">
            <v>39353</v>
          </cell>
          <cell r="AH691">
            <v>70.5</v>
          </cell>
        </row>
        <row r="692">
          <cell r="AG692">
            <v>39354</v>
          </cell>
          <cell r="AH692">
            <v>70.5</v>
          </cell>
        </row>
        <row r="693">
          <cell r="AG693">
            <v>39356</v>
          </cell>
          <cell r="AH693">
            <v>70.56</v>
          </cell>
        </row>
        <row r="694">
          <cell r="AG694">
            <v>39357</v>
          </cell>
          <cell r="AH694">
            <v>70.88</v>
          </cell>
        </row>
        <row r="695">
          <cell r="AG695">
            <v>39358</v>
          </cell>
          <cell r="AH695">
            <v>71.040000000000006</v>
          </cell>
        </row>
        <row r="696">
          <cell r="AG696">
            <v>39359</v>
          </cell>
          <cell r="AH696">
            <v>71.03</v>
          </cell>
        </row>
        <row r="697">
          <cell r="AG697">
            <v>39360</v>
          </cell>
          <cell r="AH697">
            <v>71.06</v>
          </cell>
        </row>
        <row r="698">
          <cell r="AG698">
            <v>39363</v>
          </cell>
          <cell r="AH698">
            <v>71.150000000000006</v>
          </cell>
        </row>
        <row r="699">
          <cell r="AG699">
            <v>39364</v>
          </cell>
          <cell r="AH699">
            <v>71.12</v>
          </cell>
        </row>
        <row r="700">
          <cell r="AG700">
            <v>39366</v>
          </cell>
          <cell r="AH700">
            <v>71.08</v>
          </cell>
        </row>
        <row r="701">
          <cell r="AG701">
            <v>39367</v>
          </cell>
          <cell r="AH701">
            <v>70.95</v>
          </cell>
        </row>
        <row r="702">
          <cell r="AG702">
            <v>39370</v>
          </cell>
          <cell r="AH702">
            <v>70.97</v>
          </cell>
        </row>
        <row r="703">
          <cell r="AG703">
            <v>39371</v>
          </cell>
          <cell r="AH703">
            <v>70.97</v>
          </cell>
        </row>
        <row r="704">
          <cell r="AG704">
            <v>39372</v>
          </cell>
          <cell r="AH704">
            <v>70.959999999999994</v>
          </cell>
        </row>
        <row r="705">
          <cell r="AG705">
            <v>39373</v>
          </cell>
          <cell r="AH705">
            <v>70.959999999999994</v>
          </cell>
        </row>
        <row r="706">
          <cell r="AG706">
            <v>39374</v>
          </cell>
          <cell r="AH706">
            <v>70.97</v>
          </cell>
        </row>
        <row r="707">
          <cell r="AG707">
            <v>39377</v>
          </cell>
          <cell r="AH707">
            <v>70.8</v>
          </cell>
        </row>
        <row r="708">
          <cell r="AG708">
            <v>39378</v>
          </cell>
          <cell r="AH708">
            <v>70.819999999999993</v>
          </cell>
        </row>
        <row r="709">
          <cell r="AG709">
            <v>39379</v>
          </cell>
          <cell r="AH709">
            <v>70.8</v>
          </cell>
        </row>
        <row r="710">
          <cell r="AG710">
            <v>39380</v>
          </cell>
          <cell r="AH710">
            <v>70.75</v>
          </cell>
        </row>
        <row r="711">
          <cell r="AG711">
            <v>39381</v>
          </cell>
          <cell r="AH711">
            <v>70.73</v>
          </cell>
        </row>
        <row r="712">
          <cell r="AG712">
            <v>39384</v>
          </cell>
          <cell r="AH712">
            <v>70.91</v>
          </cell>
        </row>
        <row r="713">
          <cell r="AG713">
            <v>39385</v>
          </cell>
          <cell r="AH713">
            <v>70.930000000000007</v>
          </cell>
        </row>
        <row r="714">
          <cell r="AG714">
            <v>39386</v>
          </cell>
          <cell r="AH714">
            <v>71.010000000000005</v>
          </cell>
        </row>
        <row r="715">
          <cell r="AG715">
            <v>39387</v>
          </cell>
          <cell r="AH715">
            <v>71.12</v>
          </cell>
        </row>
        <row r="716">
          <cell r="AG716">
            <v>39388</v>
          </cell>
          <cell r="AH716">
            <v>71.08</v>
          </cell>
        </row>
        <row r="717">
          <cell r="AG717">
            <v>39391</v>
          </cell>
          <cell r="AH717">
            <v>71.040000000000006</v>
          </cell>
        </row>
        <row r="718">
          <cell r="AG718">
            <v>39392</v>
          </cell>
          <cell r="AH718">
            <v>71.069999999999993</v>
          </cell>
        </row>
        <row r="719">
          <cell r="AG719">
            <v>39393</v>
          </cell>
          <cell r="AH719">
            <v>71.12</v>
          </cell>
        </row>
        <row r="720">
          <cell r="AG720">
            <v>39394</v>
          </cell>
          <cell r="AH720">
            <v>71.14</v>
          </cell>
        </row>
        <row r="721">
          <cell r="AG721">
            <v>39395</v>
          </cell>
          <cell r="AH721">
            <v>71.180000000000007</v>
          </cell>
        </row>
        <row r="722">
          <cell r="AG722">
            <v>39398</v>
          </cell>
          <cell r="AH722">
            <v>71.150000000000006</v>
          </cell>
        </row>
        <row r="723">
          <cell r="AG723">
            <v>39399</v>
          </cell>
          <cell r="AH723">
            <v>71.099999999999994</v>
          </cell>
        </row>
        <row r="724">
          <cell r="AG724">
            <v>39400</v>
          </cell>
          <cell r="AH724">
            <v>70.989999999999995</v>
          </cell>
        </row>
        <row r="725">
          <cell r="AG725">
            <v>39401</v>
          </cell>
          <cell r="AH725">
            <v>70.91</v>
          </cell>
        </row>
        <row r="726">
          <cell r="AG726">
            <v>39402</v>
          </cell>
          <cell r="AH726">
            <v>70.81</v>
          </cell>
        </row>
        <row r="727">
          <cell r="AG727">
            <v>39405</v>
          </cell>
          <cell r="AH727">
            <v>70.83</v>
          </cell>
        </row>
        <row r="728">
          <cell r="AG728">
            <v>39406</v>
          </cell>
          <cell r="AH728">
            <v>70.790000000000006</v>
          </cell>
        </row>
        <row r="729">
          <cell r="AG729">
            <v>39407</v>
          </cell>
          <cell r="AH729">
            <v>70.569999999999993</v>
          </cell>
        </row>
        <row r="730">
          <cell r="AG730">
            <v>39408</v>
          </cell>
          <cell r="AH730">
            <v>70.52</v>
          </cell>
        </row>
        <row r="731">
          <cell r="AG731">
            <v>39409</v>
          </cell>
          <cell r="AH731">
            <v>70.55</v>
          </cell>
        </row>
        <row r="732">
          <cell r="AG732">
            <v>39412</v>
          </cell>
          <cell r="AH732">
            <v>70.66</v>
          </cell>
        </row>
        <row r="733">
          <cell r="AG733">
            <v>39413</v>
          </cell>
          <cell r="AH733">
            <v>70.47</v>
          </cell>
        </row>
        <row r="734">
          <cell r="AG734">
            <v>39414</v>
          </cell>
          <cell r="AH734">
            <v>70.400000000000006</v>
          </cell>
        </row>
        <row r="735">
          <cell r="AG735">
            <v>39415</v>
          </cell>
          <cell r="AH735">
            <v>70.430000000000007</v>
          </cell>
        </row>
        <row r="736">
          <cell r="AG736">
            <v>39416</v>
          </cell>
          <cell r="AH736">
            <v>70.48</v>
          </cell>
        </row>
        <row r="737">
          <cell r="AG737">
            <v>39419</v>
          </cell>
          <cell r="AH737">
            <v>70.47</v>
          </cell>
        </row>
        <row r="738">
          <cell r="AG738">
            <v>39420</v>
          </cell>
          <cell r="AH738">
            <v>70.48</v>
          </cell>
        </row>
        <row r="739">
          <cell r="AG739">
            <v>39421</v>
          </cell>
          <cell r="AH739">
            <v>70.64</v>
          </cell>
        </row>
        <row r="740">
          <cell r="AG740">
            <v>39422</v>
          </cell>
          <cell r="AH740">
            <v>70.790000000000006</v>
          </cell>
        </row>
        <row r="741">
          <cell r="AG741">
            <v>39423</v>
          </cell>
          <cell r="AH741">
            <v>71.16</v>
          </cell>
        </row>
        <row r="742">
          <cell r="AG742">
            <v>39426</v>
          </cell>
          <cell r="AH742">
            <v>71.19</v>
          </cell>
        </row>
        <row r="743">
          <cell r="AG743">
            <v>39427</v>
          </cell>
          <cell r="AH743">
            <v>71.33</v>
          </cell>
        </row>
        <row r="744">
          <cell r="AG744">
            <v>39428</v>
          </cell>
          <cell r="AH744">
            <v>71.39</v>
          </cell>
        </row>
        <row r="745">
          <cell r="AG745">
            <v>39429</v>
          </cell>
          <cell r="AH745">
            <v>71.5</v>
          </cell>
        </row>
        <row r="746">
          <cell r="AG746">
            <v>39430</v>
          </cell>
          <cell r="AH746">
            <v>71.36</v>
          </cell>
        </row>
        <row r="747">
          <cell r="AG747">
            <v>39433</v>
          </cell>
          <cell r="AH747">
            <v>71.37</v>
          </cell>
        </row>
        <row r="748">
          <cell r="AG748">
            <v>39434</v>
          </cell>
          <cell r="AH748">
            <v>71.349999999999994</v>
          </cell>
        </row>
        <row r="749">
          <cell r="AG749">
            <v>39435</v>
          </cell>
          <cell r="AH749">
            <v>71.39</v>
          </cell>
        </row>
        <row r="750">
          <cell r="AG750">
            <v>39436</v>
          </cell>
          <cell r="AH750">
            <v>71.38</v>
          </cell>
        </row>
        <row r="751">
          <cell r="AG751">
            <v>39437</v>
          </cell>
          <cell r="AH751">
            <v>71.47</v>
          </cell>
        </row>
        <row r="752">
          <cell r="AG752">
            <v>39440</v>
          </cell>
          <cell r="AH752">
            <v>71.48</v>
          </cell>
        </row>
        <row r="753">
          <cell r="AG753">
            <v>39441</v>
          </cell>
          <cell r="AH753">
            <v>71.48</v>
          </cell>
        </row>
        <row r="754">
          <cell r="AG754">
            <v>39442</v>
          </cell>
          <cell r="AH754">
            <v>71.48</v>
          </cell>
        </row>
        <row r="755">
          <cell r="AG755">
            <v>39443</v>
          </cell>
          <cell r="AH755">
            <v>71.680000000000007</v>
          </cell>
        </row>
        <row r="756">
          <cell r="AG756">
            <v>39444</v>
          </cell>
          <cell r="AH756">
            <v>71.760000000000005</v>
          </cell>
        </row>
        <row r="757">
          <cell r="AG757">
            <v>39447</v>
          </cell>
          <cell r="AH757">
            <v>71.78</v>
          </cell>
        </row>
        <row r="758">
          <cell r="AG758">
            <v>39449</v>
          </cell>
          <cell r="AH758">
            <v>71.790000000000006</v>
          </cell>
        </row>
        <row r="759">
          <cell r="AG759">
            <v>39450</v>
          </cell>
          <cell r="AH759">
            <v>71.75</v>
          </cell>
        </row>
        <row r="760">
          <cell r="AG760">
            <v>39451</v>
          </cell>
          <cell r="AH760">
            <v>71.73</v>
          </cell>
        </row>
        <row r="761">
          <cell r="AG761">
            <v>39454</v>
          </cell>
          <cell r="AH761">
            <v>71.48</v>
          </cell>
        </row>
        <row r="762">
          <cell r="AG762">
            <v>39455</v>
          </cell>
          <cell r="AH762">
            <v>71.42</v>
          </cell>
        </row>
        <row r="763">
          <cell r="AG763">
            <v>39456</v>
          </cell>
          <cell r="AH763">
            <v>71.42</v>
          </cell>
        </row>
        <row r="764">
          <cell r="AG764">
            <v>39457</v>
          </cell>
          <cell r="AH764">
            <v>71.319999999999993</v>
          </cell>
        </row>
        <row r="765">
          <cell r="AG765">
            <v>39458</v>
          </cell>
          <cell r="AH765">
            <v>71.23</v>
          </cell>
        </row>
        <row r="766">
          <cell r="AG766">
            <v>39461</v>
          </cell>
          <cell r="AH766">
            <v>71.2</v>
          </cell>
        </row>
        <row r="767">
          <cell r="AG767">
            <v>39462</v>
          </cell>
          <cell r="AH767">
            <v>71.33</v>
          </cell>
        </row>
        <row r="768">
          <cell r="AG768">
            <v>39463</v>
          </cell>
          <cell r="AH768">
            <v>71.28</v>
          </cell>
        </row>
        <row r="769">
          <cell r="AG769">
            <v>39464</v>
          </cell>
          <cell r="AH769">
            <v>71.209999999999994</v>
          </cell>
        </row>
        <row r="770">
          <cell r="AG770">
            <v>39465</v>
          </cell>
          <cell r="AH770">
            <v>71.14</v>
          </cell>
        </row>
        <row r="771">
          <cell r="AG771">
            <v>39468</v>
          </cell>
          <cell r="AH771">
            <v>71.05</v>
          </cell>
        </row>
        <row r="772">
          <cell r="AG772">
            <v>39469</v>
          </cell>
          <cell r="AH772">
            <v>70.900000000000006</v>
          </cell>
        </row>
        <row r="773">
          <cell r="AG773">
            <v>39470</v>
          </cell>
          <cell r="AH773">
            <v>71.010000000000005</v>
          </cell>
        </row>
        <row r="774">
          <cell r="AG774">
            <v>39471</v>
          </cell>
          <cell r="AH774">
            <v>71.11</v>
          </cell>
        </row>
        <row r="775">
          <cell r="AG775">
            <v>39472</v>
          </cell>
          <cell r="AH775">
            <v>71.14</v>
          </cell>
        </row>
        <row r="776">
          <cell r="AG776">
            <v>39475</v>
          </cell>
          <cell r="AH776">
            <v>71.16</v>
          </cell>
        </row>
        <row r="777">
          <cell r="AG777">
            <v>39476</v>
          </cell>
          <cell r="AH777">
            <v>71.31</v>
          </cell>
        </row>
        <row r="778">
          <cell r="AG778">
            <v>39477</v>
          </cell>
          <cell r="AH778">
            <v>71.45</v>
          </cell>
        </row>
        <row r="779">
          <cell r="AG779">
            <v>39478</v>
          </cell>
          <cell r="AH779">
            <v>71.849999999999994</v>
          </cell>
        </row>
        <row r="780">
          <cell r="AG780">
            <v>39479</v>
          </cell>
          <cell r="AH780">
            <v>72.19</v>
          </cell>
        </row>
        <row r="781">
          <cell r="AG781">
            <v>39490</v>
          </cell>
          <cell r="AH781">
            <v>72.25</v>
          </cell>
        </row>
        <row r="782">
          <cell r="AG782">
            <v>39491</v>
          </cell>
          <cell r="AH782">
            <v>72.3</v>
          </cell>
        </row>
        <row r="783">
          <cell r="AG783">
            <v>39492</v>
          </cell>
          <cell r="AH783">
            <v>72.37</v>
          </cell>
        </row>
        <row r="784">
          <cell r="AG784">
            <v>39493</v>
          </cell>
          <cell r="AH784">
            <v>72.37</v>
          </cell>
        </row>
        <row r="785">
          <cell r="AG785">
            <v>39496</v>
          </cell>
          <cell r="AH785">
            <v>72.349999999999994</v>
          </cell>
        </row>
        <row r="786">
          <cell r="AG786">
            <v>39497</v>
          </cell>
          <cell r="AH786">
            <v>72.38</v>
          </cell>
        </row>
        <row r="787">
          <cell r="AG787">
            <v>39498</v>
          </cell>
          <cell r="AH787">
            <v>72.36</v>
          </cell>
        </row>
        <row r="788">
          <cell r="AG788">
            <v>39499</v>
          </cell>
          <cell r="AH788">
            <v>72.45</v>
          </cell>
        </row>
        <row r="789">
          <cell r="AG789">
            <v>39500</v>
          </cell>
          <cell r="AH789">
            <v>72.400000000000006</v>
          </cell>
        </row>
        <row r="790">
          <cell r="AG790">
            <v>39503</v>
          </cell>
          <cell r="AH790">
            <v>72.400000000000006</v>
          </cell>
        </row>
        <row r="791">
          <cell r="AG791">
            <v>39504</v>
          </cell>
          <cell r="AH791">
            <v>72.52</v>
          </cell>
        </row>
        <row r="792">
          <cell r="AG792">
            <v>39505</v>
          </cell>
          <cell r="AH792">
            <v>72.66</v>
          </cell>
        </row>
        <row r="793">
          <cell r="AG793">
            <v>39507</v>
          </cell>
          <cell r="AH793">
            <v>72.67</v>
          </cell>
        </row>
        <row r="794">
          <cell r="AG794">
            <v>39510</v>
          </cell>
          <cell r="AH794">
            <v>72.62</v>
          </cell>
        </row>
        <row r="795">
          <cell r="AG795">
            <v>39511</v>
          </cell>
          <cell r="AH795">
            <v>72.7</v>
          </cell>
        </row>
        <row r="796">
          <cell r="AG796">
            <v>39512</v>
          </cell>
          <cell r="AH796">
            <v>72.819999999999993</v>
          </cell>
        </row>
        <row r="797">
          <cell r="AG797">
            <v>39513</v>
          </cell>
          <cell r="AH797">
            <v>72.989999999999995</v>
          </cell>
        </row>
        <row r="798">
          <cell r="AG798">
            <v>39514</v>
          </cell>
          <cell r="AH798">
            <v>73.010000000000005</v>
          </cell>
        </row>
        <row r="799">
          <cell r="AG799">
            <v>39517</v>
          </cell>
          <cell r="AH799">
            <v>72.89</v>
          </cell>
        </row>
        <row r="800">
          <cell r="AG800">
            <v>39518</v>
          </cell>
          <cell r="AH800">
            <v>72.88</v>
          </cell>
        </row>
        <row r="801">
          <cell r="AG801">
            <v>39519</v>
          </cell>
          <cell r="AH801">
            <v>73</v>
          </cell>
        </row>
        <row r="802">
          <cell r="AG802">
            <v>39520</v>
          </cell>
          <cell r="AH802">
            <v>72.959999999999994</v>
          </cell>
        </row>
        <row r="803">
          <cell r="AG803">
            <v>39521</v>
          </cell>
          <cell r="AH803">
            <v>72.89</v>
          </cell>
        </row>
        <row r="804">
          <cell r="AG804">
            <v>39524</v>
          </cell>
          <cell r="AH804">
            <v>72.849999999999994</v>
          </cell>
        </row>
        <row r="805">
          <cell r="AG805">
            <v>39525</v>
          </cell>
          <cell r="AH805">
            <v>72.81</v>
          </cell>
        </row>
        <row r="806">
          <cell r="AG806">
            <v>39526</v>
          </cell>
          <cell r="AH806">
            <v>72.86</v>
          </cell>
        </row>
        <row r="807">
          <cell r="AG807">
            <v>39527</v>
          </cell>
          <cell r="AH807">
            <v>72.86</v>
          </cell>
        </row>
        <row r="808">
          <cell r="AG808">
            <v>39528</v>
          </cell>
          <cell r="AH808">
            <v>73.150000000000006</v>
          </cell>
        </row>
        <row r="809">
          <cell r="AG809">
            <v>39531</v>
          </cell>
          <cell r="AH809">
            <v>75.790000000000006</v>
          </cell>
        </row>
        <row r="810">
          <cell r="AG810">
            <v>39532</v>
          </cell>
          <cell r="AH810">
            <v>75.92</v>
          </cell>
        </row>
        <row r="811">
          <cell r="AG811">
            <v>39533</v>
          </cell>
          <cell r="AH811">
            <v>75.930000000000007</v>
          </cell>
        </row>
        <row r="812">
          <cell r="AG812">
            <v>39534</v>
          </cell>
          <cell r="AH812">
            <v>75.84</v>
          </cell>
        </row>
        <row r="813">
          <cell r="AG813">
            <v>39535</v>
          </cell>
          <cell r="AH813">
            <v>75.64</v>
          </cell>
        </row>
        <row r="814">
          <cell r="AG814">
            <v>39538</v>
          </cell>
          <cell r="AH814">
            <v>75.569999999999993</v>
          </cell>
        </row>
        <row r="815">
          <cell r="AG815">
            <v>39539</v>
          </cell>
          <cell r="AH815">
            <v>75.56</v>
          </cell>
        </row>
        <row r="816">
          <cell r="AG816">
            <v>39540</v>
          </cell>
          <cell r="AH816">
            <v>75.67</v>
          </cell>
        </row>
        <row r="817">
          <cell r="AG817">
            <v>39541</v>
          </cell>
          <cell r="AH817">
            <v>75.709999999999994</v>
          </cell>
        </row>
        <row r="818">
          <cell r="AG818">
            <v>39545</v>
          </cell>
          <cell r="AH818">
            <v>75.739999999999995</v>
          </cell>
        </row>
        <row r="819">
          <cell r="AG819">
            <v>39546</v>
          </cell>
          <cell r="AH819">
            <v>75.73</v>
          </cell>
        </row>
        <row r="820">
          <cell r="AG820">
            <v>39547</v>
          </cell>
          <cell r="AH820">
            <v>75.680000000000007</v>
          </cell>
        </row>
        <row r="821">
          <cell r="AG821">
            <v>39548</v>
          </cell>
          <cell r="AH821">
            <v>75.75</v>
          </cell>
        </row>
        <row r="822">
          <cell r="AG822">
            <v>39549</v>
          </cell>
          <cell r="AH822">
            <v>75.72</v>
          </cell>
        </row>
        <row r="823">
          <cell r="AG823">
            <v>39552</v>
          </cell>
          <cell r="AH823">
            <v>75.66</v>
          </cell>
        </row>
        <row r="824">
          <cell r="AG824">
            <v>39553</v>
          </cell>
          <cell r="AH824">
            <v>75.61</v>
          </cell>
        </row>
        <row r="825">
          <cell r="AG825">
            <v>39554</v>
          </cell>
          <cell r="AH825">
            <v>75.73</v>
          </cell>
        </row>
        <row r="826">
          <cell r="AG826">
            <v>39555</v>
          </cell>
          <cell r="AH826">
            <v>76</v>
          </cell>
        </row>
        <row r="827">
          <cell r="AG827">
            <v>39556</v>
          </cell>
          <cell r="AH827">
            <v>76.03</v>
          </cell>
        </row>
        <row r="828">
          <cell r="AG828">
            <v>39559</v>
          </cell>
          <cell r="AH828">
            <v>76.14</v>
          </cell>
        </row>
        <row r="829">
          <cell r="AG829">
            <v>39560</v>
          </cell>
          <cell r="AH829">
            <v>76.2</v>
          </cell>
        </row>
        <row r="830">
          <cell r="AG830">
            <v>39561</v>
          </cell>
          <cell r="AH830">
            <v>76.069999999999993</v>
          </cell>
        </row>
        <row r="831">
          <cell r="AG831">
            <v>39562</v>
          </cell>
          <cell r="AH831">
            <v>75.94</v>
          </cell>
        </row>
        <row r="832">
          <cell r="AG832">
            <v>39563</v>
          </cell>
          <cell r="AH832">
            <v>75.97</v>
          </cell>
        </row>
        <row r="833">
          <cell r="AG833">
            <v>39566</v>
          </cell>
          <cell r="AH833">
            <v>76.040000000000006</v>
          </cell>
        </row>
        <row r="834">
          <cell r="AG834">
            <v>39567</v>
          </cell>
          <cell r="AH834">
            <v>76.02</v>
          </cell>
        </row>
        <row r="835">
          <cell r="AG835">
            <v>39568</v>
          </cell>
          <cell r="AH835">
            <v>73.47</v>
          </cell>
        </row>
        <row r="836">
          <cell r="AG836">
            <v>39570</v>
          </cell>
          <cell r="AH836">
            <v>73.709999999999994</v>
          </cell>
        </row>
        <row r="837">
          <cell r="AG837">
            <v>39573</v>
          </cell>
          <cell r="AH837">
            <v>73.72</v>
          </cell>
        </row>
        <row r="838">
          <cell r="AG838">
            <v>39574</v>
          </cell>
          <cell r="AH838">
            <v>73.81</v>
          </cell>
        </row>
        <row r="839">
          <cell r="AG839">
            <v>39575</v>
          </cell>
          <cell r="AH839">
            <v>73.95</v>
          </cell>
        </row>
        <row r="840">
          <cell r="AG840">
            <v>39576</v>
          </cell>
          <cell r="AH840">
            <v>73.92</v>
          </cell>
        </row>
        <row r="841">
          <cell r="AG841">
            <v>39577</v>
          </cell>
          <cell r="AH841">
            <v>73.92</v>
          </cell>
        </row>
        <row r="842">
          <cell r="AG842">
            <v>39580</v>
          </cell>
          <cell r="AH842">
            <v>73.94</v>
          </cell>
        </row>
        <row r="843">
          <cell r="AG843">
            <v>39581</v>
          </cell>
          <cell r="AH843">
            <v>74.12</v>
          </cell>
        </row>
        <row r="844">
          <cell r="AG844">
            <v>39582</v>
          </cell>
          <cell r="AH844">
            <v>74.28</v>
          </cell>
        </row>
        <row r="845">
          <cell r="AG845">
            <v>39583</v>
          </cell>
          <cell r="AH845">
            <v>74.34</v>
          </cell>
        </row>
        <row r="846">
          <cell r="AG846">
            <v>39584</v>
          </cell>
          <cell r="AH846">
            <v>74.489999999999995</v>
          </cell>
        </row>
        <row r="847">
          <cell r="AG847">
            <v>39587</v>
          </cell>
          <cell r="AH847">
            <v>74.61</v>
          </cell>
        </row>
        <row r="848">
          <cell r="AG848">
            <v>39588</v>
          </cell>
          <cell r="AH848">
            <v>74.599999999999994</v>
          </cell>
        </row>
        <row r="849">
          <cell r="AG849">
            <v>39589</v>
          </cell>
          <cell r="AH849">
            <v>74.59</v>
          </cell>
        </row>
        <row r="850">
          <cell r="AG850">
            <v>39590</v>
          </cell>
          <cell r="AH850">
            <v>74.52</v>
          </cell>
        </row>
        <row r="851">
          <cell r="AG851">
            <v>39591</v>
          </cell>
          <cell r="AH851">
            <v>74.48</v>
          </cell>
        </row>
        <row r="852">
          <cell r="AG852">
            <v>39594</v>
          </cell>
          <cell r="AH852">
            <v>74.47</v>
          </cell>
        </row>
        <row r="853">
          <cell r="AG853">
            <v>39595</v>
          </cell>
          <cell r="AH853">
            <v>74.47</v>
          </cell>
        </row>
        <row r="854">
          <cell r="AG854">
            <v>39596</v>
          </cell>
          <cell r="AH854">
            <v>74.709999999999994</v>
          </cell>
        </row>
        <row r="855">
          <cell r="AG855">
            <v>39597</v>
          </cell>
          <cell r="AH855">
            <v>74.98</v>
          </cell>
        </row>
        <row r="856">
          <cell r="AG856">
            <v>39598</v>
          </cell>
          <cell r="AH856">
            <v>75.17</v>
          </cell>
        </row>
        <row r="857">
          <cell r="AG857">
            <v>39601</v>
          </cell>
          <cell r="AH857">
            <v>75.28</v>
          </cell>
        </row>
        <row r="858">
          <cell r="AG858">
            <v>39602</v>
          </cell>
          <cell r="AH858">
            <v>75.290000000000006</v>
          </cell>
        </row>
        <row r="859">
          <cell r="AG859">
            <v>39603</v>
          </cell>
          <cell r="AH859">
            <v>75.290000000000006</v>
          </cell>
        </row>
        <row r="860">
          <cell r="AG860">
            <v>39604</v>
          </cell>
          <cell r="AH860">
            <v>75.290000000000006</v>
          </cell>
        </row>
        <row r="861">
          <cell r="AG861">
            <v>39605</v>
          </cell>
          <cell r="AH861">
            <v>75.39</v>
          </cell>
        </row>
        <row r="862">
          <cell r="AG862">
            <v>39608</v>
          </cell>
          <cell r="AH862">
            <v>75.150000000000006</v>
          </cell>
        </row>
        <row r="863">
          <cell r="AG863">
            <v>39609</v>
          </cell>
          <cell r="AH863">
            <v>74.930000000000007</v>
          </cell>
        </row>
        <row r="864">
          <cell r="AG864">
            <v>39610</v>
          </cell>
          <cell r="AH864">
            <v>74.95</v>
          </cell>
        </row>
        <row r="865">
          <cell r="AG865">
            <v>39611</v>
          </cell>
          <cell r="AH865">
            <v>74.87</v>
          </cell>
        </row>
        <row r="866">
          <cell r="AG866">
            <v>39612</v>
          </cell>
          <cell r="AH866">
            <v>74.89</v>
          </cell>
        </row>
        <row r="867">
          <cell r="AG867">
            <v>39615</v>
          </cell>
          <cell r="AH867">
            <v>74.91</v>
          </cell>
        </row>
        <row r="868">
          <cell r="AG868">
            <v>39616</v>
          </cell>
          <cell r="AH868">
            <v>74.91</v>
          </cell>
        </row>
        <row r="869">
          <cell r="AG869">
            <v>39617</v>
          </cell>
          <cell r="AH869">
            <v>74.89</v>
          </cell>
        </row>
        <row r="870">
          <cell r="AG870">
            <v>39618</v>
          </cell>
          <cell r="AH870">
            <v>74.77</v>
          </cell>
        </row>
        <row r="871">
          <cell r="AG871">
            <v>39619</v>
          </cell>
          <cell r="AH871">
            <v>74.680000000000007</v>
          </cell>
        </row>
        <row r="872">
          <cell r="AG872">
            <v>39622</v>
          </cell>
          <cell r="AH872">
            <v>74.59</v>
          </cell>
        </row>
        <row r="873">
          <cell r="AG873">
            <v>39623</v>
          </cell>
          <cell r="AH873">
            <v>74.569999999999993</v>
          </cell>
        </row>
        <row r="874">
          <cell r="AG874">
            <v>39624</v>
          </cell>
          <cell r="AH874">
            <v>74.599999999999994</v>
          </cell>
        </row>
        <row r="875">
          <cell r="AG875">
            <v>39625</v>
          </cell>
          <cell r="AH875">
            <v>74.58</v>
          </cell>
        </row>
        <row r="876">
          <cell r="AG876">
            <v>39626</v>
          </cell>
          <cell r="AH876">
            <v>74.19</v>
          </cell>
        </row>
        <row r="877">
          <cell r="AG877">
            <v>39629</v>
          </cell>
          <cell r="AH877">
            <v>74.03</v>
          </cell>
        </row>
        <row r="878">
          <cell r="AG878">
            <v>39630</v>
          </cell>
          <cell r="AH878">
            <v>74.03</v>
          </cell>
        </row>
        <row r="879">
          <cell r="AG879">
            <v>39631</v>
          </cell>
          <cell r="AH879">
            <v>73.84</v>
          </cell>
        </row>
        <row r="880">
          <cell r="AG880">
            <v>39632</v>
          </cell>
          <cell r="AH880">
            <v>73.69</v>
          </cell>
        </row>
        <row r="881">
          <cell r="AG881">
            <v>39633</v>
          </cell>
          <cell r="AH881">
            <v>73.61</v>
          </cell>
        </row>
        <row r="882">
          <cell r="AG882">
            <v>39636</v>
          </cell>
          <cell r="AH882">
            <v>73.599999999999994</v>
          </cell>
        </row>
        <row r="883">
          <cell r="AG883">
            <v>39637</v>
          </cell>
          <cell r="AH883">
            <v>73.5</v>
          </cell>
        </row>
        <row r="884">
          <cell r="AG884">
            <v>39638</v>
          </cell>
          <cell r="AH884">
            <v>73.52</v>
          </cell>
        </row>
        <row r="885">
          <cell r="AG885">
            <v>39639</v>
          </cell>
          <cell r="AH885">
            <v>73.510000000000005</v>
          </cell>
        </row>
        <row r="886">
          <cell r="AG886">
            <v>39640</v>
          </cell>
          <cell r="AH886">
            <v>73.569999999999993</v>
          </cell>
        </row>
        <row r="887">
          <cell r="AG887">
            <v>39643</v>
          </cell>
          <cell r="AH887">
            <v>73.55</v>
          </cell>
        </row>
        <row r="888">
          <cell r="AG888">
            <v>39644</v>
          </cell>
          <cell r="AH888">
            <v>73.5</v>
          </cell>
        </row>
        <row r="889">
          <cell r="AG889">
            <v>39645</v>
          </cell>
          <cell r="AH889">
            <v>73.42</v>
          </cell>
        </row>
        <row r="890">
          <cell r="AG890">
            <v>39646</v>
          </cell>
          <cell r="AH890">
            <v>73.47</v>
          </cell>
        </row>
        <row r="891">
          <cell r="AG891">
            <v>39647</v>
          </cell>
          <cell r="AH891">
            <v>73.489999999999995</v>
          </cell>
        </row>
        <row r="892">
          <cell r="AG892">
            <v>39650</v>
          </cell>
          <cell r="AH892">
            <v>73.52</v>
          </cell>
        </row>
        <row r="893">
          <cell r="AG893">
            <v>39651</v>
          </cell>
          <cell r="AH893">
            <v>73.430000000000007</v>
          </cell>
        </row>
        <row r="894">
          <cell r="AG894">
            <v>39652</v>
          </cell>
          <cell r="AH894">
            <v>73.38</v>
          </cell>
        </row>
        <row r="895">
          <cell r="AG895">
            <v>39653</v>
          </cell>
          <cell r="AH895">
            <v>73.41</v>
          </cell>
        </row>
        <row r="896">
          <cell r="AG896">
            <v>39654</v>
          </cell>
          <cell r="AH896">
            <v>73.430000000000007</v>
          </cell>
        </row>
        <row r="897">
          <cell r="AG897">
            <v>39658</v>
          </cell>
          <cell r="AH897">
            <v>73.290000000000006</v>
          </cell>
        </row>
        <row r="898">
          <cell r="AG898">
            <v>39659</v>
          </cell>
          <cell r="AH898">
            <v>73.349999999999994</v>
          </cell>
        </row>
        <row r="899">
          <cell r="AG899">
            <v>39660</v>
          </cell>
          <cell r="AH899">
            <v>73.319999999999993</v>
          </cell>
        </row>
        <row r="900">
          <cell r="AG900">
            <v>39661</v>
          </cell>
          <cell r="AH900">
            <v>73.319999999999993</v>
          </cell>
        </row>
        <row r="901">
          <cell r="AG901">
            <v>39664</v>
          </cell>
          <cell r="AH901">
            <v>73.3</v>
          </cell>
        </row>
        <row r="902">
          <cell r="AG902">
            <v>39665</v>
          </cell>
          <cell r="AH902">
            <v>73.27</v>
          </cell>
        </row>
        <row r="903">
          <cell r="AG903">
            <v>39666</v>
          </cell>
          <cell r="AH903">
            <v>73.400000000000006</v>
          </cell>
        </row>
        <row r="904">
          <cell r="AG904">
            <v>39667</v>
          </cell>
          <cell r="AH904">
            <v>73.47</v>
          </cell>
        </row>
        <row r="905">
          <cell r="AG905">
            <v>39668</v>
          </cell>
          <cell r="AH905">
            <v>71.17</v>
          </cell>
        </row>
        <row r="906">
          <cell r="AG906">
            <v>39671</v>
          </cell>
          <cell r="AH906">
            <v>71.2</v>
          </cell>
        </row>
        <row r="907">
          <cell r="AG907">
            <v>39672</v>
          </cell>
          <cell r="AH907">
            <v>71.290000000000006</v>
          </cell>
        </row>
        <row r="908">
          <cell r="AG908">
            <v>39673</v>
          </cell>
          <cell r="AH908">
            <v>71.400000000000006</v>
          </cell>
        </row>
        <row r="909">
          <cell r="AG909">
            <v>39674</v>
          </cell>
          <cell r="AH909">
            <v>70.91</v>
          </cell>
        </row>
        <row r="910">
          <cell r="AG910">
            <v>39675</v>
          </cell>
          <cell r="AH910">
            <v>70.87</v>
          </cell>
        </row>
        <row r="911">
          <cell r="AG911">
            <v>39678</v>
          </cell>
          <cell r="AH911">
            <v>70.819999999999993</v>
          </cell>
        </row>
        <row r="912">
          <cell r="AG912">
            <v>39679</v>
          </cell>
          <cell r="AH912">
            <v>70.78</v>
          </cell>
        </row>
        <row r="913">
          <cell r="AG913">
            <v>39680</v>
          </cell>
          <cell r="AH913">
            <v>70.75</v>
          </cell>
        </row>
        <row r="914">
          <cell r="AG914">
            <v>39681</v>
          </cell>
          <cell r="AH914">
            <v>70.680000000000007</v>
          </cell>
        </row>
        <row r="915">
          <cell r="AG915">
            <v>39682</v>
          </cell>
          <cell r="AH915">
            <v>70.650000000000006</v>
          </cell>
        </row>
        <row r="916">
          <cell r="AG916">
            <v>39685</v>
          </cell>
          <cell r="AH916">
            <v>70.62</v>
          </cell>
        </row>
        <row r="917">
          <cell r="AG917">
            <v>39686</v>
          </cell>
          <cell r="AH917">
            <v>70.55</v>
          </cell>
        </row>
        <row r="918">
          <cell r="AG918">
            <v>39687</v>
          </cell>
          <cell r="AH918">
            <v>70.540000000000006</v>
          </cell>
        </row>
        <row r="919">
          <cell r="AG919">
            <v>39688</v>
          </cell>
          <cell r="AH919">
            <v>70.430000000000007</v>
          </cell>
        </row>
        <row r="920">
          <cell r="AG920">
            <v>39689</v>
          </cell>
          <cell r="AH920">
            <v>70.290000000000006</v>
          </cell>
        </row>
        <row r="921">
          <cell r="AG921">
            <v>39692</v>
          </cell>
          <cell r="AH921">
            <v>70.010000000000005</v>
          </cell>
        </row>
        <row r="922">
          <cell r="AG922">
            <v>39693</v>
          </cell>
          <cell r="AH922">
            <v>69.77</v>
          </cell>
        </row>
        <row r="923">
          <cell r="AG923">
            <v>39694</v>
          </cell>
          <cell r="AH923">
            <v>69.72</v>
          </cell>
        </row>
        <row r="924">
          <cell r="AG924">
            <v>39695</v>
          </cell>
          <cell r="AH924">
            <v>69.650000000000006</v>
          </cell>
        </row>
        <row r="925">
          <cell r="AG925">
            <v>39696</v>
          </cell>
          <cell r="AH925">
            <v>69.55</v>
          </cell>
        </row>
        <row r="926">
          <cell r="AG926">
            <v>39699</v>
          </cell>
          <cell r="AH926">
            <v>69.63</v>
          </cell>
        </row>
        <row r="927">
          <cell r="AG927">
            <v>39700</v>
          </cell>
          <cell r="AH927">
            <v>69.56</v>
          </cell>
        </row>
        <row r="928">
          <cell r="AG928">
            <v>39701</v>
          </cell>
          <cell r="AH928">
            <v>69.48</v>
          </cell>
        </row>
        <row r="929">
          <cell r="AG929">
            <v>39702</v>
          </cell>
          <cell r="AH929">
            <v>69.41</v>
          </cell>
        </row>
        <row r="930">
          <cell r="AG930">
            <v>39703</v>
          </cell>
          <cell r="AH930">
            <v>69.959999999999994</v>
          </cell>
        </row>
        <row r="931">
          <cell r="AG931">
            <v>39706</v>
          </cell>
          <cell r="AH931">
            <v>69.930000000000007</v>
          </cell>
        </row>
        <row r="932">
          <cell r="AG932">
            <v>39707</v>
          </cell>
          <cell r="AH932">
            <v>70</v>
          </cell>
        </row>
        <row r="933">
          <cell r="AG933">
            <v>39708</v>
          </cell>
          <cell r="AH933">
            <v>70.08</v>
          </cell>
        </row>
        <row r="934">
          <cell r="AG934">
            <v>39709</v>
          </cell>
          <cell r="AH934">
            <v>70.099999999999994</v>
          </cell>
        </row>
        <row r="935">
          <cell r="AG935">
            <v>39710</v>
          </cell>
          <cell r="AH935">
            <v>70.33</v>
          </cell>
        </row>
        <row r="936">
          <cell r="AG936">
            <v>39713</v>
          </cell>
          <cell r="AH936">
            <v>70.42</v>
          </cell>
        </row>
        <row r="937">
          <cell r="AG937">
            <v>39714</v>
          </cell>
          <cell r="AH937">
            <v>70.41</v>
          </cell>
        </row>
        <row r="938">
          <cell r="AG938">
            <v>39715</v>
          </cell>
          <cell r="AH938">
            <v>70.48</v>
          </cell>
        </row>
        <row r="939">
          <cell r="AG939">
            <v>39716</v>
          </cell>
          <cell r="AH939">
            <v>70.48</v>
          </cell>
        </row>
        <row r="940">
          <cell r="AG940">
            <v>39717</v>
          </cell>
          <cell r="AH940">
            <v>70.47</v>
          </cell>
        </row>
        <row r="941">
          <cell r="AG941">
            <v>39721</v>
          </cell>
          <cell r="AH941">
            <v>70.459999999999994</v>
          </cell>
        </row>
        <row r="942">
          <cell r="AG942">
            <v>39722</v>
          </cell>
          <cell r="AH942">
            <v>70.47</v>
          </cell>
        </row>
        <row r="943">
          <cell r="AG943">
            <v>39723</v>
          </cell>
          <cell r="AH943">
            <v>70.400000000000006</v>
          </cell>
        </row>
        <row r="944">
          <cell r="AG944">
            <v>39724</v>
          </cell>
          <cell r="AH944">
            <v>70.36</v>
          </cell>
        </row>
        <row r="945">
          <cell r="AG945">
            <v>39727</v>
          </cell>
          <cell r="AH945">
            <v>70.3</v>
          </cell>
        </row>
        <row r="946">
          <cell r="AG946">
            <v>39728</v>
          </cell>
          <cell r="AH946">
            <v>70.290000000000006</v>
          </cell>
        </row>
        <row r="947">
          <cell r="AG947">
            <v>39729</v>
          </cell>
          <cell r="AH947">
            <v>70.150000000000006</v>
          </cell>
        </row>
        <row r="948">
          <cell r="AG948">
            <v>39730</v>
          </cell>
          <cell r="AH948">
            <v>70.17</v>
          </cell>
        </row>
        <row r="949">
          <cell r="AG949">
            <v>39734</v>
          </cell>
          <cell r="AH949">
            <v>70.16</v>
          </cell>
        </row>
        <row r="950">
          <cell r="AG950">
            <v>39735</v>
          </cell>
          <cell r="AH950">
            <v>70.239999999999995</v>
          </cell>
        </row>
        <row r="951">
          <cell r="AG951">
            <v>39736</v>
          </cell>
          <cell r="AH951">
            <v>70.23</v>
          </cell>
        </row>
        <row r="952">
          <cell r="AG952">
            <v>39737</v>
          </cell>
          <cell r="AH952">
            <v>70.209999999999994</v>
          </cell>
        </row>
        <row r="953">
          <cell r="AG953">
            <v>39738</v>
          </cell>
          <cell r="AH953">
            <v>70.16</v>
          </cell>
        </row>
        <row r="954">
          <cell r="AG954">
            <v>39741</v>
          </cell>
          <cell r="AH954">
            <v>70.08</v>
          </cell>
        </row>
        <row r="955">
          <cell r="AG955">
            <v>39742</v>
          </cell>
          <cell r="AH955">
            <v>70.06</v>
          </cell>
        </row>
        <row r="956">
          <cell r="AG956">
            <v>39743</v>
          </cell>
          <cell r="AH956">
            <v>70.05</v>
          </cell>
        </row>
        <row r="957">
          <cell r="AG957">
            <v>39744</v>
          </cell>
          <cell r="AH957">
            <v>70.06</v>
          </cell>
        </row>
        <row r="958">
          <cell r="AG958">
            <v>39745</v>
          </cell>
          <cell r="AH958">
            <v>70.08</v>
          </cell>
        </row>
        <row r="959">
          <cell r="AG959">
            <v>39748</v>
          </cell>
          <cell r="AH959">
            <v>70.08</v>
          </cell>
        </row>
        <row r="960">
          <cell r="AG960">
            <v>39749</v>
          </cell>
          <cell r="AH960">
            <v>70.03</v>
          </cell>
        </row>
        <row r="961">
          <cell r="AG961">
            <v>39750</v>
          </cell>
          <cell r="AH961">
            <v>70.13</v>
          </cell>
        </row>
        <row r="962">
          <cell r="AG962">
            <v>39751</v>
          </cell>
          <cell r="AH962">
            <v>70.25</v>
          </cell>
        </row>
        <row r="963">
          <cell r="AG963">
            <v>39752</v>
          </cell>
          <cell r="AH963">
            <v>70.44</v>
          </cell>
        </row>
        <row r="964">
          <cell r="AG964">
            <v>39755</v>
          </cell>
          <cell r="AH964">
            <v>70.459999999999994</v>
          </cell>
        </row>
        <row r="965">
          <cell r="AG965">
            <v>39756</v>
          </cell>
          <cell r="AH965">
            <v>70.569999999999993</v>
          </cell>
        </row>
        <row r="966">
          <cell r="AG966">
            <v>39757</v>
          </cell>
          <cell r="AH966">
            <v>70.62</v>
          </cell>
        </row>
        <row r="967">
          <cell r="AG967">
            <v>39758</v>
          </cell>
          <cell r="AH967">
            <v>70.540000000000006</v>
          </cell>
        </row>
        <row r="968">
          <cell r="AG968">
            <v>39759</v>
          </cell>
          <cell r="AH968">
            <v>70.349999999999994</v>
          </cell>
        </row>
        <row r="969">
          <cell r="AG969">
            <v>39762</v>
          </cell>
          <cell r="AH969">
            <v>70.36</v>
          </cell>
        </row>
        <row r="970">
          <cell r="AG970">
            <v>39763</v>
          </cell>
          <cell r="AH970">
            <v>70.400000000000006</v>
          </cell>
        </row>
        <row r="971">
          <cell r="AG971">
            <v>39764</v>
          </cell>
          <cell r="AH971">
            <v>70.37</v>
          </cell>
        </row>
        <row r="972">
          <cell r="AG972">
            <v>39765</v>
          </cell>
          <cell r="AH972">
            <v>70.260000000000005</v>
          </cell>
        </row>
        <row r="973">
          <cell r="AG973">
            <v>39766</v>
          </cell>
          <cell r="AH973">
            <v>70.260000000000005</v>
          </cell>
        </row>
        <row r="974">
          <cell r="AG974">
            <v>39769</v>
          </cell>
          <cell r="AH974">
            <v>70.239999999999995</v>
          </cell>
        </row>
        <row r="975">
          <cell r="AG975">
            <v>39770</v>
          </cell>
          <cell r="AH975">
            <v>70.150000000000006</v>
          </cell>
        </row>
        <row r="976">
          <cell r="AG976">
            <v>39771</v>
          </cell>
          <cell r="AH976">
            <v>70.06</v>
          </cell>
        </row>
        <row r="977">
          <cell r="AG977">
            <v>39772</v>
          </cell>
          <cell r="AH977">
            <v>70</v>
          </cell>
        </row>
        <row r="978">
          <cell r="AG978">
            <v>39773</v>
          </cell>
          <cell r="AH978">
            <v>69.97</v>
          </cell>
        </row>
        <row r="979">
          <cell r="AG979">
            <v>39776</v>
          </cell>
          <cell r="AH979">
            <v>69.92</v>
          </cell>
        </row>
        <row r="980">
          <cell r="AG980">
            <v>39777</v>
          </cell>
          <cell r="AH980">
            <v>70.03</v>
          </cell>
        </row>
        <row r="981">
          <cell r="AG981">
            <v>39778</v>
          </cell>
          <cell r="AH981">
            <v>70.02</v>
          </cell>
        </row>
        <row r="982">
          <cell r="AG982">
            <v>39779</v>
          </cell>
          <cell r="AH982">
            <v>70.02</v>
          </cell>
        </row>
        <row r="983">
          <cell r="AG983">
            <v>39780</v>
          </cell>
          <cell r="AH983">
            <v>70.02</v>
          </cell>
        </row>
        <row r="984">
          <cell r="AG984">
            <v>39783</v>
          </cell>
          <cell r="AH984">
            <v>70.03</v>
          </cell>
        </row>
        <row r="985">
          <cell r="AG985">
            <v>39784</v>
          </cell>
          <cell r="AH985">
            <v>69.959999999999994</v>
          </cell>
        </row>
        <row r="986">
          <cell r="AG986">
            <v>39785</v>
          </cell>
          <cell r="AH986">
            <v>69.87</v>
          </cell>
        </row>
        <row r="987">
          <cell r="AG987">
            <v>39786</v>
          </cell>
          <cell r="AH987">
            <v>69.81</v>
          </cell>
        </row>
        <row r="988">
          <cell r="AG988">
            <v>39787</v>
          </cell>
          <cell r="AH988">
            <v>69.84</v>
          </cell>
        </row>
        <row r="989">
          <cell r="AG989">
            <v>39790</v>
          </cell>
          <cell r="AH989">
            <v>69.88</v>
          </cell>
        </row>
        <row r="990">
          <cell r="AG990">
            <v>39791</v>
          </cell>
          <cell r="AH990">
            <v>69.989999999999995</v>
          </cell>
        </row>
        <row r="991">
          <cell r="AG991">
            <v>39792</v>
          </cell>
          <cell r="AH991">
            <v>70.25</v>
          </cell>
        </row>
        <row r="992">
          <cell r="AG992">
            <v>39793</v>
          </cell>
          <cell r="AH992">
            <v>70.41</v>
          </cell>
        </row>
        <row r="993">
          <cell r="AG993">
            <v>39794</v>
          </cell>
          <cell r="AH993">
            <v>70.38</v>
          </cell>
        </row>
        <row r="994">
          <cell r="AG994">
            <v>39797</v>
          </cell>
          <cell r="AH994">
            <v>70.48</v>
          </cell>
        </row>
        <row r="995">
          <cell r="AG995">
            <v>39798</v>
          </cell>
          <cell r="AH995">
            <v>70.62</v>
          </cell>
        </row>
        <row r="996">
          <cell r="AG996">
            <v>39799</v>
          </cell>
          <cell r="AH996">
            <v>70.849999999999994</v>
          </cell>
        </row>
        <row r="997">
          <cell r="AG997">
            <v>39800</v>
          </cell>
          <cell r="AH997">
            <v>70.84</v>
          </cell>
        </row>
        <row r="998">
          <cell r="AG998">
            <v>39801</v>
          </cell>
          <cell r="AH998">
            <v>70.87</v>
          </cell>
        </row>
        <row r="999">
          <cell r="AG999">
            <v>39804</v>
          </cell>
          <cell r="AH999">
            <v>71.67</v>
          </cell>
        </row>
        <row r="1000">
          <cell r="AG1000">
            <v>39805</v>
          </cell>
          <cell r="AH1000">
            <v>71.69</v>
          </cell>
        </row>
        <row r="1001">
          <cell r="AG1001">
            <v>39806</v>
          </cell>
          <cell r="AH1001">
            <v>71.680000000000007</v>
          </cell>
        </row>
        <row r="1002">
          <cell r="AG1002">
            <v>39807</v>
          </cell>
          <cell r="AH1002">
            <v>71.67</v>
          </cell>
        </row>
        <row r="1003">
          <cell r="AG1003">
            <v>39808</v>
          </cell>
          <cell r="AH1003">
            <v>71.67</v>
          </cell>
        </row>
        <row r="1004">
          <cell r="AG1004">
            <v>39811</v>
          </cell>
          <cell r="AH1004">
            <v>71.66</v>
          </cell>
        </row>
        <row r="1005">
          <cell r="AG1005">
            <v>39812</v>
          </cell>
          <cell r="AH1005">
            <v>71.739999999999995</v>
          </cell>
        </row>
        <row r="1006">
          <cell r="AG1006">
            <v>39813</v>
          </cell>
          <cell r="AH1006">
            <v>71.73</v>
          </cell>
        </row>
        <row r="1007">
          <cell r="AG1007">
            <v>39818</v>
          </cell>
          <cell r="AH1007">
            <v>71.790000000000006</v>
          </cell>
        </row>
        <row r="1008">
          <cell r="AG1008">
            <v>39819</v>
          </cell>
          <cell r="AH1008">
            <v>71.790000000000006</v>
          </cell>
        </row>
        <row r="1009">
          <cell r="AG1009">
            <v>39820</v>
          </cell>
          <cell r="AH1009">
            <v>71.760000000000005</v>
          </cell>
        </row>
        <row r="1010">
          <cell r="AG1010">
            <v>39821</v>
          </cell>
          <cell r="AH1010">
            <v>71.62</v>
          </cell>
        </row>
        <row r="1011">
          <cell r="AG1011">
            <v>39822</v>
          </cell>
          <cell r="AH1011">
            <v>71.53</v>
          </cell>
        </row>
        <row r="1012">
          <cell r="AG1012">
            <v>39823</v>
          </cell>
          <cell r="AH1012">
            <v>71.5</v>
          </cell>
        </row>
        <row r="1013">
          <cell r="AG1013">
            <v>39825</v>
          </cell>
          <cell r="AH1013">
            <v>71.47</v>
          </cell>
        </row>
        <row r="1014">
          <cell r="AG1014">
            <v>39826</v>
          </cell>
          <cell r="AH1014">
            <v>71.540000000000006</v>
          </cell>
        </row>
        <row r="1015">
          <cell r="AG1015">
            <v>39827</v>
          </cell>
          <cell r="AH1015">
            <v>71.540000000000006</v>
          </cell>
        </row>
        <row r="1016">
          <cell r="AG1016">
            <v>39828</v>
          </cell>
          <cell r="AH1016">
            <v>71.39</v>
          </cell>
        </row>
        <row r="1017">
          <cell r="AG1017">
            <v>39829</v>
          </cell>
          <cell r="AH1017">
            <v>71.39</v>
          </cell>
        </row>
        <row r="1018">
          <cell r="AG1018">
            <v>39830</v>
          </cell>
          <cell r="AH1018">
            <v>71.38</v>
          </cell>
        </row>
        <row r="1019">
          <cell r="AG1019">
            <v>39832</v>
          </cell>
          <cell r="AH1019">
            <v>71.34</v>
          </cell>
        </row>
        <row r="1020">
          <cell r="AG1020">
            <v>39833</v>
          </cell>
          <cell r="AH1020">
            <v>71.180000000000007</v>
          </cell>
        </row>
        <row r="1021">
          <cell r="AG1021">
            <v>39834</v>
          </cell>
          <cell r="AH1021">
            <v>71.19</v>
          </cell>
        </row>
        <row r="1022">
          <cell r="AG1022">
            <v>39846</v>
          </cell>
          <cell r="AH1022">
            <v>71.3</v>
          </cell>
        </row>
        <row r="1023">
          <cell r="AG1023">
            <v>39847</v>
          </cell>
          <cell r="AH1023">
            <v>71.36</v>
          </cell>
        </row>
        <row r="1024">
          <cell r="AG1024">
            <v>39848</v>
          </cell>
          <cell r="AH1024">
            <v>71.37</v>
          </cell>
        </row>
        <row r="1025">
          <cell r="AG1025">
            <v>39849</v>
          </cell>
          <cell r="AH1025">
            <v>71.400000000000006</v>
          </cell>
        </row>
        <row r="1026">
          <cell r="AG1026">
            <v>39850</v>
          </cell>
          <cell r="AH1026">
            <v>71.59</v>
          </cell>
        </row>
        <row r="1027">
          <cell r="AG1027">
            <v>39853</v>
          </cell>
          <cell r="AH1027">
            <v>71.760000000000005</v>
          </cell>
        </row>
        <row r="1028">
          <cell r="AG1028">
            <v>39854</v>
          </cell>
          <cell r="AH1028">
            <v>71.77</v>
          </cell>
        </row>
        <row r="1029">
          <cell r="AG1029">
            <v>39855</v>
          </cell>
          <cell r="AH1029">
            <v>71.83</v>
          </cell>
        </row>
        <row r="1030">
          <cell r="AG1030">
            <v>39856</v>
          </cell>
          <cell r="AH1030">
            <v>71.89</v>
          </cell>
        </row>
        <row r="1031">
          <cell r="AG1031">
            <v>39857</v>
          </cell>
          <cell r="AH1031">
            <v>71.94</v>
          </cell>
        </row>
        <row r="1032">
          <cell r="AG1032">
            <v>39860</v>
          </cell>
          <cell r="AH1032">
            <v>71.92</v>
          </cell>
        </row>
        <row r="1033">
          <cell r="AG1033">
            <v>39861</v>
          </cell>
          <cell r="AH1033">
            <v>71.790000000000006</v>
          </cell>
        </row>
        <row r="1034">
          <cell r="AG1034">
            <v>39862</v>
          </cell>
          <cell r="AH1034">
            <v>71.87</v>
          </cell>
        </row>
        <row r="1035">
          <cell r="AG1035">
            <v>39863</v>
          </cell>
          <cell r="AH1035">
            <v>71.930000000000007</v>
          </cell>
        </row>
        <row r="1036">
          <cell r="AG1036">
            <v>39864</v>
          </cell>
          <cell r="AH1036">
            <v>71.78</v>
          </cell>
        </row>
        <row r="1037">
          <cell r="AG1037">
            <v>39867</v>
          </cell>
          <cell r="AH1037">
            <v>71.8</v>
          </cell>
        </row>
        <row r="1038">
          <cell r="AG1038">
            <v>39868</v>
          </cell>
          <cell r="AH1038">
            <v>71.7</v>
          </cell>
        </row>
        <row r="1039">
          <cell r="AG1039">
            <v>39869</v>
          </cell>
          <cell r="AH1039">
            <v>71.75</v>
          </cell>
        </row>
        <row r="1040">
          <cell r="AG1040">
            <v>39870</v>
          </cell>
          <cell r="AH1040">
            <v>71.75</v>
          </cell>
        </row>
        <row r="1041">
          <cell r="AG1041">
            <v>39871</v>
          </cell>
          <cell r="AH1041">
            <v>71.739999999999995</v>
          </cell>
        </row>
        <row r="1042">
          <cell r="AG1042">
            <v>39874</v>
          </cell>
          <cell r="AH1042">
            <v>71.59</v>
          </cell>
        </row>
        <row r="1043">
          <cell r="AG1043">
            <v>39875</v>
          </cell>
          <cell r="AH1043">
            <v>71.53</v>
          </cell>
        </row>
        <row r="1044">
          <cell r="AG1044">
            <v>39876</v>
          </cell>
          <cell r="AH1044">
            <v>71.59</v>
          </cell>
        </row>
        <row r="1045">
          <cell r="AG1045">
            <v>39877</v>
          </cell>
          <cell r="AH1045">
            <v>71.7</v>
          </cell>
        </row>
        <row r="1046">
          <cell r="AG1046">
            <v>39878</v>
          </cell>
          <cell r="AH1046">
            <v>71.87</v>
          </cell>
        </row>
        <row r="1047">
          <cell r="AG1047">
            <v>39881</v>
          </cell>
          <cell r="AH1047">
            <v>71.89</v>
          </cell>
        </row>
        <row r="1048">
          <cell r="AG1048">
            <v>39882</v>
          </cell>
          <cell r="AH1048">
            <v>71.8</v>
          </cell>
        </row>
        <row r="1049">
          <cell r="AG1049">
            <v>39883</v>
          </cell>
          <cell r="AH1049">
            <v>71.97</v>
          </cell>
        </row>
        <row r="1050">
          <cell r="AG1050">
            <v>39884</v>
          </cell>
          <cell r="AH1050">
            <v>71.959999999999994</v>
          </cell>
        </row>
        <row r="1051">
          <cell r="AG1051">
            <v>39885</v>
          </cell>
          <cell r="AH1051">
            <v>72.09</v>
          </cell>
        </row>
        <row r="1052">
          <cell r="AG1052">
            <v>39888</v>
          </cell>
          <cell r="AH1052">
            <v>72.17</v>
          </cell>
        </row>
        <row r="1053">
          <cell r="AG1053">
            <v>39889</v>
          </cell>
          <cell r="AH1053">
            <v>72.209999999999994</v>
          </cell>
        </row>
        <row r="1054">
          <cell r="AG1054">
            <v>39890</v>
          </cell>
          <cell r="AH1054">
            <v>72.260000000000005</v>
          </cell>
        </row>
        <row r="1055">
          <cell r="AG1055">
            <v>39891</v>
          </cell>
          <cell r="AH1055">
            <v>72.180000000000007</v>
          </cell>
        </row>
        <row r="1056">
          <cell r="AG1056">
            <v>39892</v>
          </cell>
          <cell r="AH1056">
            <v>72.13</v>
          </cell>
        </row>
        <row r="1057">
          <cell r="AG1057">
            <v>39895</v>
          </cell>
          <cell r="AH1057">
            <v>72.180000000000007</v>
          </cell>
        </row>
        <row r="1058">
          <cell r="AG1058">
            <v>39896</v>
          </cell>
          <cell r="AH1058">
            <v>72.25</v>
          </cell>
        </row>
        <row r="1059">
          <cell r="AG1059">
            <v>39897</v>
          </cell>
          <cell r="AH1059">
            <v>72.209999999999994</v>
          </cell>
        </row>
        <row r="1060">
          <cell r="AG1060">
            <v>39898</v>
          </cell>
          <cell r="AH1060">
            <v>72.16</v>
          </cell>
        </row>
        <row r="1061">
          <cell r="AG1061">
            <v>39899</v>
          </cell>
          <cell r="AH1061">
            <v>72.2</v>
          </cell>
        </row>
        <row r="1062">
          <cell r="AG1062">
            <v>39902</v>
          </cell>
          <cell r="AH1062">
            <v>72.239999999999995</v>
          </cell>
        </row>
        <row r="1063">
          <cell r="AG1063">
            <v>39903</v>
          </cell>
          <cell r="AH1063">
            <v>72.34</v>
          </cell>
        </row>
        <row r="1064">
          <cell r="AG1064">
            <v>39904</v>
          </cell>
          <cell r="AH1064">
            <v>72.22</v>
          </cell>
        </row>
        <row r="1065">
          <cell r="AG1065">
            <v>39905</v>
          </cell>
          <cell r="AH1065">
            <v>72.33</v>
          </cell>
        </row>
        <row r="1066">
          <cell r="AG1066">
            <v>39906</v>
          </cell>
          <cell r="AH1066">
            <v>72.34</v>
          </cell>
        </row>
        <row r="1067">
          <cell r="AG1067">
            <v>39909</v>
          </cell>
          <cell r="AH1067">
            <v>72.349999999999994</v>
          </cell>
        </row>
        <row r="1068">
          <cell r="AG1068">
            <v>39910</v>
          </cell>
          <cell r="AH1068">
            <v>72.319999999999993</v>
          </cell>
        </row>
        <row r="1069">
          <cell r="AG1069">
            <v>39911</v>
          </cell>
          <cell r="AH1069">
            <v>72.17</v>
          </cell>
        </row>
        <row r="1070">
          <cell r="AG1070">
            <v>39912</v>
          </cell>
          <cell r="AH1070">
            <v>72.319999999999993</v>
          </cell>
        </row>
        <row r="1071">
          <cell r="AG1071">
            <v>39913</v>
          </cell>
          <cell r="AH1071">
            <v>72.41</v>
          </cell>
        </row>
        <row r="1072">
          <cell r="AG1072">
            <v>39916</v>
          </cell>
          <cell r="AH1072">
            <v>72.52</v>
          </cell>
        </row>
        <row r="1073">
          <cell r="AG1073">
            <v>39917</v>
          </cell>
          <cell r="AH1073">
            <v>72.52</v>
          </cell>
        </row>
        <row r="1074">
          <cell r="AG1074">
            <v>39918</v>
          </cell>
          <cell r="AH1074">
            <v>72.42</v>
          </cell>
        </row>
        <row r="1075">
          <cell r="AG1075">
            <v>39919</v>
          </cell>
          <cell r="AH1075">
            <v>72.28</v>
          </cell>
        </row>
        <row r="1076">
          <cell r="AG1076">
            <v>39920</v>
          </cell>
          <cell r="AH1076">
            <v>72.14</v>
          </cell>
        </row>
        <row r="1077">
          <cell r="AG1077">
            <v>39923</v>
          </cell>
          <cell r="AH1077">
            <v>72.260000000000005</v>
          </cell>
        </row>
        <row r="1078">
          <cell r="AG1078">
            <v>39924</v>
          </cell>
          <cell r="AH1078">
            <v>72.16</v>
          </cell>
        </row>
        <row r="1079">
          <cell r="AG1079">
            <v>39925</v>
          </cell>
          <cell r="AH1079">
            <v>72.06</v>
          </cell>
        </row>
        <row r="1080">
          <cell r="AG1080">
            <v>39926</v>
          </cell>
          <cell r="AH1080">
            <v>72.06</v>
          </cell>
        </row>
        <row r="1081">
          <cell r="AG1081">
            <v>39927</v>
          </cell>
          <cell r="AH1081">
            <v>72.03</v>
          </cell>
        </row>
        <row r="1082">
          <cell r="AG1082">
            <v>39930</v>
          </cell>
          <cell r="AH1082">
            <v>72.05</v>
          </cell>
        </row>
        <row r="1083">
          <cell r="AG1083">
            <v>39931</v>
          </cell>
          <cell r="AH1083">
            <v>72.11</v>
          </cell>
        </row>
        <row r="1084">
          <cell r="AG1084">
            <v>39932</v>
          </cell>
          <cell r="AH1084">
            <v>72.209999999999994</v>
          </cell>
        </row>
        <row r="1085">
          <cell r="AG1085">
            <v>39933</v>
          </cell>
          <cell r="AH1085">
            <v>72.569999999999993</v>
          </cell>
        </row>
        <row r="1086">
          <cell r="AG1086">
            <v>39937</v>
          </cell>
          <cell r="AH1086">
            <v>72.790000000000006</v>
          </cell>
        </row>
        <row r="1087">
          <cell r="AG1087">
            <v>39938</v>
          </cell>
          <cell r="AH1087">
            <v>72.92</v>
          </cell>
        </row>
        <row r="1088">
          <cell r="AG1088">
            <v>39939</v>
          </cell>
          <cell r="AH1088">
            <v>72.92</v>
          </cell>
        </row>
        <row r="1089">
          <cell r="AG1089">
            <v>39940</v>
          </cell>
          <cell r="AH1089">
            <v>72.95</v>
          </cell>
        </row>
        <row r="1090">
          <cell r="AG1090">
            <v>39941</v>
          </cell>
          <cell r="AH1090">
            <v>72.900000000000006</v>
          </cell>
        </row>
        <row r="1091">
          <cell r="AG1091">
            <v>39944</v>
          </cell>
          <cell r="AH1091">
            <v>72.78</v>
          </cell>
        </row>
        <row r="1092">
          <cell r="AG1092">
            <v>39945</v>
          </cell>
          <cell r="AH1092">
            <v>72.8</v>
          </cell>
        </row>
        <row r="1093">
          <cell r="AG1093">
            <v>39946</v>
          </cell>
          <cell r="AH1093">
            <v>72.819999999999993</v>
          </cell>
        </row>
        <row r="1094">
          <cell r="AG1094">
            <v>39947</v>
          </cell>
          <cell r="AH1094">
            <v>72.67</v>
          </cell>
        </row>
        <row r="1095">
          <cell r="AG1095">
            <v>39948</v>
          </cell>
          <cell r="AH1095">
            <v>72.64</v>
          </cell>
        </row>
        <row r="1096">
          <cell r="AG1096">
            <v>39951</v>
          </cell>
          <cell r="AH1096">
            <v>72.58</v>
          </cell>
        </row>
        <row r="1097">
          <cell r="AG1097">
            <v>39952</v>
          </cell>
          <cell r="AH1097">
            <v>72.739999999999995</v>
          </cell>
        </row>
        <row r="1098">
          <cell r="AG1098">
            <v>39953</v>
          </cell>
          <cell r="AH1098">
            <v>72.680000000000007</v>
          </cell>
        </row>
        <row r="1099">
          <cell r="AG1099">
            <v>39954</v>
          </cell>
          <cell r="AH1099">
            <v>72.7</v>
          </cell>
        </row>
        <row r="1100">
          <cell r="AG1100">
            <v>39955</v>
          </cell>
          <cell r="AH1100">
            <v>72.760000000000005</v>
          </cell>
        </row>
        <row r="1101">
          <cell r="AG1101">
            <v>39958</v>
          </cell>
          <cell r="AH1101">
            <v>72.77</v>
          </cell>
        </row>
        <row r="1102">
          <cell r="AG1102">
            <v>39959</v>
          </cell>
          <cell r="AH1102">
            <v>72.849999999999994</v>
          </cell>
        </row>
        <row r="1103">
          <cell r="AG1103">
            <v>39960</v>
          </cell>
          <cell r="AH1103">
            <v>73.150000000000006</v>
          </cell>
        </row>
        <row r="1104">
          <cell r="AG1104">
            <v>39965</v>
          </cell>
          <cell r="AH1104">
            <v>73.209999999999994</v>
          </cell>
        </row>
        <row r="1105">
          <cell r="AG1105">
            <v>39966</v>
          </cell>
          <cell r="AH1105">
            <v>73.34</v>
          </cell>
        </row>
        <row r="1106">
          <cell r="AG1106">
            <v>39967</v>
          </cell>
          <cell r="AH1106">
            <v>73.47</v>
          </cell>
        </row>
        <row r="1107">
          <cell r="AG1107">
            <v>39968</v>
          </cell>
          <cell r="AH1107">
            <v>73.349999999999994</v>
          </cell>
        </row>
        <row r="1108">
          <cell r="AG1108">
            <v>39969</v>
          </cell>
          <cell r="AH1108">
            <v>73.34</v>
          </cell>
        </row>
        <row r="1109">
          <cell r="AG1109">
            <v>39970</v>
          </cell>
          <cell r="AH1109">
            <v>73.33</v>
          </cell>
        </row>
        <row r="1110">
          <cell r="AG1110">
            <v>39972</v>
          </cell>
          <cell r="AH1110">
            <v>73.349999999999994</v>
          </cell>
        </row>
        <row r="1111">
          <cell r="AG1111">
            <v>39973</v>
          </cell>
          <cell r="AH1111">
            <v>73.38</v>
          </cell>
        </row>
        <row r="1112">
          <cell r="AG1112">
            <v>39974</v>
          </cell>
          <cell r="AH1112">
            <v>73.48</v>
          </cell>
        </row>
        <row r="1113">
          <cell r="AG1113">
            <v>39975</v>
          </cell>
          <cell r="AH1113">
            <v>73.52</v>
          </cell>
        </row>
        <row r="1114">
          <cell r="AG1114">
            <v>39976</v>
          </cell>
          <cell r="AH1114">
            <v>73.33</v>
          </cell>
        </row>
        <row r="1115">
          <cell r="AG1115">
            <v>39979</v>
          </cell>
          <cell r="AH1115">
            <v>73.2</v>
          </cell>
        </row>
        <row r="1116">
          <cell r="AG1116">
            <v>39980</v>
          </cell>
          <cell r="AH1116">
            <v>73.23</v>
          </cell>
        </row>
        <row r="1117">
          <cell r="AG1117">
            <v>39981</v>
          </cell>
          <cell r="AH1117">
            <v>73.05</v>
          </cell>
        </row>
        <row r="1118">
          <cell r="AG1118">
            <v>39982</v>
          </cell>
          <cell r="AH1118">
            <v>73.03</v>
          </cell>
        </row>
        <row r="1119">
          <cell r="AG1119">
            <v>39983</v>
          </cell>
          <cell r="AH1119">
            <v>72.89</v>
          </cell>
        </row>
        <row r="1120">
          <cell r="AG1120">
            <v>39986</v>
          </cell>
          <cell r="AH1120">
            <v>72.86</v>
          </cell>
        </row>
        <row r="1121">
          <cell r="AG1121">
            <v>39987</v>
          </cell>
          <cell r="AH1121">
            <v>72.709999999999994</v>
          </cell>
        </row>
        <row r="1122">
          <cell r="AG1122">
            <v>39988</v>
          </cell>
          <cell r="AH1122">
            <v>72.790000000000006</v>
          </cell>
        </row>
        <row r="1123">
          <cell r="AG1123">
            <v>39989</v>
          </cell>
          <cell r="AH1123">
            <v>72.8</v>
          </cell>
        </row>
        <row r="1124">
          <cell r="AG1124">
            <v>39990</v>
          </cell>
          <cell r="AH1124">
            <v>72.819999999999993</v>
          </cell>
        </row>
        <row r="1125">
          <cell r="AG1125">
            <v>39993</v>
          </cell>
          <cell r="AH1125">
            <v>72.81</v>
          </cell>
        </row>
        <row r="1126">
          <cell r="AG1126">
            <v>39994</v>
          </cell>
          <cell r="AH1126">
            <v>72.89</v>
          </cell>
        </row>
        <row r="1127">
          <cell r="AG1127">
            <v>39995</v>
          </cell>
          <cell r="AH1127">
            <v>72.930000000000007</v>
          </cell>
        </row>
        <row r="1128">
          <cell r="AG1128">
            <v>39996</v>
          </cell>
          <cell r="AH1128">
            <v>72.849999999999994</v>
          </cell>
        </row>
        <row r="1129">
          <cell r="AG1129">
            <v>39997</v>
          </cell>
          <cell r="AH1129">
            <v>72.819999999999993</v>
          </cell>
        </row>
        <row r="1130">
          <cell r="AG1130">
            <v>40000</v>
          </cell>
          <cell r="AH1130">
            <v>72.7</v>
          </cell>
        </row>
        <row r="1131">
          <cell r="AG1131">
            <v>40001</v>
          </cell>
          <cell r="AH1131">
            <v>72.73</v>
          </cell>
        </row>
        <row r="1132">
          <cell r="AG1132">
            <v>40002</v>
          </cell>
          <cell r="AH1132">
            <v>72.599999999999994</v>
          </cell>
        </row>
        <row r="1133">
          <cell r="AG1133">
            <v>40003</v>
          </cell>
          <cell r="AH1133">
            <v>72.61</v>
          </cell>
        </row>
        <row r="1134">
          <cell r="AG1134">
            <v>40004</v>
          </cell>
          <cell r="AH1134">
            <v>72.59</v>
          </cell>
        </row>
        <row r="1135">
          <cell r="AG1135">
            <v>40007</v>
          </cell>
          <cell r="AH1135">
            <v>72.569999999999993</v>
          </cell>
        </row>
        <row r="1136">
          <cell r="AG1136">
            <v>40008</v>
          </cell>
          <cell r="AH1136">
            <v>72.59</v>
          </cell>
        </row>
        <row r="1137">
          <cell r="AG1137">
            <v>40009</v>
          </cell>
          <cell r="AH1137">
            <v>72.64</v>
          </cell>
        </row>
        <row r="1138">
          <cell r="AG1138">
            <v>40010</v>
          </cell>
          <cell r="AH1138">
            <v>72.67</v>
          </cell>
        </row>
        <row r="1139">
          <cell r="AG1139">
            <v>40011</v>
          </cell>
          <cell r="AH1139">
            <v>72.66</v>
          </cell>
        </row>
        <row r="1140">
          <cell r="AG1140">
            <v>40014</v>
          </cell>
          <cell r="AH1140">
            <v>72.73</v>
          </cell>
        </row>
        <row r="1141">
          <cell r="AG1141">
            <v>40015</v>
          </cell>
          <cell r="AH1141">
            <v>72.78</v>
          </cell>
        </row>
        <row r="1142">
          <cell r="AG1142">
            <v>40016</v>
          </cell>
          <cell r="AH1142">
            <v>72.790000000000006</v>
          </cell>
        </row>
        <row r="1143">
          <cell r="AG1143">
            <v>40017</v>
          </cell>
          <cell r="AH1143">
            <v>72.91</v>
          </cell>
        </row>
        <row r="1144">
          <cell r="AG1144">
            <v>40018</v>
          </cell>
          <cell r="AH1144">
            <v>73.06</v>
          </cell>
        </row>
        <row r="1145">
          <cell r="AG1145">
            <v>40021</v>
          </cell>
          <cell r="AH1145">
            <v>73.13</v>
          </cell>
        </row>
        <row r="1146">
          <cell r="AG1146">
            <v>40022</v>
          </cell>
          <cell r="AH1146">
            <v>73.19</v>
          </cell>
        </row>
        <row r="1147">
          <cell r="AG1147">
            <v>40023</v>
          </cell>
          <cell r="AH1147">
            <v>73.180000000000007</v>
          </cell>
        </row>
        <row r="1148">
          <cell r="AG1148">
            <v>40024</v>
          </cell>
          <cell r="AH1148">
            <v>73.14</v>
          </cell>
        </row>
        <row r="1149">
          <cell r="AG1149">
            <v>40025</v>
          </cell>
          <cell r="AH1149">
            <v>73.47</v>
          </cell>
        </row>
        <row r="1150">
          <cell r="AG1150">
            <v>40028</v>
          </cell>
          <cell r="AH1150">
            <v>73.58</v>
          </cell>
        </row>
        <row r="1151">
          <cell r="AG1151">
            <v>40029</v>
          </cell>
          <cell r="AH1151">
            <v>73.650000000000006</v>
          </cell>
        </row>
        <row r="1152">
          <cell r="AG1152">
            <v>40030</v>
          </cell>
          <cell r="AH1152">
            <v>73.17</v>
          </cell>
        </row>
        <row r="1153">
          <cell r="AG1153">
            <v>40031</v>
          </cell>
          <cell r="AH1153">
            <v>73.19</v>
          </cell>
        </row>
        <row r="1154">
          <cell r="AG1154">
            <v>40035</v>
          </cell>
          <cell r="AH1154">
            <v>73.319999999999993</v>
          </cell>
        </row>
        <row r="1155">
          <cell r="AG1155">
            <v>40036</v>
          </cell>
          <cell r="AH1155">
            <v>73.45</v>
          </cell>
        </row>
        <row r="1156">
          <cell r="AG1156">
            <v>40037</v>
          </cell>
          <cell r="AH1156">
            <v>73.52</v>
          </cell>
        </row>
        <row r="1157">
          <cell r="AG1157">
            <v>40038</v>
          </cell>
          <cell r="AH1157">
            <v>73.66</v>
          </cell>
        </row>
        <row r="1158">
          <cell r="AG1158">
            <v>40039</v>
          </cell>
          <cell r="AH1158">
            <v>73.739999999999995</v>
          </cell>
        </row>
        <row r="1159">
          <cell r="AG1159">
            <v>40042</v>
          </cell>
          <cell r="AH1159">
            <v>73.73</v>
          </cell>
        </row>
        <row r="1160">
          <cell r="AG1160">
            <v>40043</v>
          </cell>
          <cell r="AH1160">
            <v>73.680000000000007</v>
          </cell>
        </row>
        <row r="1161">
          <cell r="AG1161">
            <v>40044</v>
          </cell>
          <cell r="AH1161">
            <v>73.73</v>
          </cell>
        </row>
        <row r="1162">
          <cell r="AG1162">
            <v>40045</v>
          </cell>
          <cell r="AH1162">
            <v>73.739999999999995</v>
          </cell>
        </row>
        <row r="1163">
          <cell r="AG1163">
            <v>40046</v>
          </cell>
          <cell r="AH1163">
            <v>73.66</v>
          </cell>
        </row>
        <row r="1164">
          <cell r="AG1164">
            <v>40049</v>
          </cell>
          <cell r="AH1164">
            <v>73.73</v>
          </cell>
        </row>
        <row r="1165">
          <cell r="AG1165">
            <v>40050</v>
          </cell>
          <cell r="AH1165">
            <v>73.77</v>
          </cell>
        </row>
        <row r="1166">
          <cell r="AG1166">
            <v>40051</v>
          </cell>
          <cell r="AH1166">
            <v>73.92</v>
          </cell>
        </row>
        <row r="1167">
          <cell r="AG1167">
            <v>40052</v>
          </cell>
          <cell r="AH1167">
            <v>73.959999999999994</v>
          </cell>
        </row>
        <row r="1168">
          <cell r="AG1168">
            <v>40053</v>
          </cell>
          <cell r="AH1168">
            <v>74.09</v>
          </cell>
        </row>
        <row r="1169">
          <cell r="AG1169">
            <v>40056</v>
          </cell>
          <cell r="AH1169">
            <v>74.099999999999994</v>
          </cell>
        </row>
        <row r="1170">
          <cell r="AG1170">
            <v>40057</v>
          </cell>
          <cell r="AH1170">
            <v>74.16</v>
          </cell>
        </row>
        <row r="1171">
          <cell r="AG1171">
            <v>40058</v>
          </cell>
          <cell r="AH1171">
            <v>74.14</v>
          </cell>
        </row>
        <row r="1172">
          <cell r="AG1172">
            <v>40059</v>
          </cell>
          <cell r="AH1172">
            <v>74.11</v>
          </cell>
        </row>
        <row r="1173">
          <cell r="AG1173">
            <v>40060</v>
          </cell>
          <cell r="AH1173">
            <v>74.12</v>
          </cell>
        </row>
        <row r="1174">
          <cell r="AG1174">
            <v>40063</v>
          </cell>
          <cell r="AH1174">
            <v>74.23</v>
          </cell>
        </row>
        <row r="1175">
          <cell r="AG1175">
            <v>40064</v>
          </cell>
          <cell r="AH1175">
            <v>74.33</v>
          </cell>
        </row>
        <row r="1176">
          <cell r="AG1176">
            <v>40065</v>
          </cell>
          <cell r="AH1176">
            <v>74.400000000000006</v>
          </cell>
        </row>
        <row r="1177">
          <cell r="AG1177">
            <v>40066</v>
          </cell>
          <cell r="AH1177">
            <v>74.63</v>
          </cell>
        </row>
        <row r="1178">
          <cell r="AG1178">
            <v>40067</v>
          </cell>
          <cell r="AH1178">
            <v>74.599999999999994</v>
          </cell>
        </row>
        <row r="1179">
          <cell r="AG1179">
            <v>40070</v>
          </cell>
          <cell r="AH1179">
            <v>74.55</v>
          </cell>
        </row>
        <row r="1180">
          <cell r="AG1180">
            <v>40071</v>
          </cell>
          <cell r="AH1180">
            <v>74.55</v>
          </cell>
        </row>
        <row r="1181">
          <cell r="AG1181">
            <v>40072</v>
          </cell>
          <cell r="AH1181">
            <v>74.56</v>
          </cell>
        </row>
        <row r="1182">
          <cell r="AG1182">
            <v>40073</v>
          </cell>
          <cell r="AH1182">
            <v>74.540000000000006</v>
          </cell>
        </row>
        <row r="1183">
          <cell r="AG1183">
            <v>40074</v>
          </cell>
          <cell r="AH1183">
            <v>74.56</v>
          </cell>
        </row>
        <row r="1184">
          <cell r="AG1184">
            <v>40077</v>
          </cell>
          <cell r="AH1184">
            <v>74.540000000000006</v>
          </cell>
        </row>
        <row r="1185">
          <cell r="AG1185">
            <v>40078</v>
          </cell>
          <cell r="AH1185">
            <v>74.56</v>
          </cell>
        </row>
        <row r="1186">
          <cell r="AG1186">
            <v>40079</v>
          </cell>
          <cell r="AH1186">
            <v>74.569999999999993</v>
          </cell>
        </row>
        <row r="1187">
          <cell r="AG1187">
            <v>40080</v>
          </cell>
          <cell r="AH1187">
            <v>74.459999999999994</v>
          </cell>
        </row>
        <row r="1188">
          <cell r="AG1188">
            <v>40081</v>
          </cell>
          <cell r="AH1188">
            <v>74.44</v>
          </cell>
        </row>
        <row r="1189">
          <cell r="AG1189">
            <v>40084</v>
          </cell>
          <cell r="AH1189">
            <v>74.42</v>
          </cell>
        </row>
        <row r="1190">
          <cell r="AG1190">
            <v>40085</v>
          </cell>
          <cell r="AH1190">
            <v>74.64</v>
          </cell>
        </row>
        <row r="1191">
          <cell r="AG1191">
            <v>40086</v>
          </cell>
          <cell r="AH1191">
            <v>74.86</v>
          </cell>
        </row>
        <row r="1192">
          <cell r="AG1192">
            <v>40087</v>
          </cell>
          <cell r="AH1192">
            <v>74.94</v>
          </cell>
        </row>
        <row r="1193">
          <cell r="AG1193">
            <v>40088</v>
          </cell>
          <cell r="AH1193">
            <v>74.8</v>
          </cell>
        </row>
        <row r="1194">
          <cell r="AG1194">
            <v>40091</v>
          </cell>
          <cell r="AH1194">
            <v>74.64</v>
          </cell>
        </row>
        <row r="1195">
          <cell r="AG1195">
            <v>40092</v>
          </cell>
          <cell r="AH1195">
            <v>74.56</v>
          </cell>
        </row>
        <row r="1196">
          <cell r="AG1196">
            <v>40093</v>
          </cell>
          <cell r="AH1196">
            <v>74.459999999999994</v>
          </cell>
        </row>
        <row r="1197">
          <cell r="AG1197">
            <v>40094</v>
          </cell>
          <cell r="AH1197">
            <v>74.3</v>
          </cell>
        </row>
        <row r="1198">
          <cell r="AG1198">
            <v>40095</v>
          </cell>
          <cell r="AH1198">
            <v>74.2</v>
          </cell>
        </row>
        <row r="1199">
          <cell r="AG1199">
            <v>40098</v>
          </cell>
          <cell r="AH1199">
            <v>74.150000000000006</v>
          </cell>
        </row>
        <row r="1200">
          <cell r="AG1200">
            <v>40099</v>
          </cell>
          <cell r="AH1200">
            <v>74.12</v>
          </cell>
        </row>
        <row r="1201">
          <cell r="AG1201">
            <v>40100</v>
          </cell>
          <cell r="AH1201">
            <v>74.27</v>
          </cell>
        </row>
        <row r="1202">
          <cell r="AG1202">
            <v>40101</v>
          </cell>
          <cell r="AH1202">
            <v>74.38</v>
          </cell>
        </row>
        <row r="1203">
          <cell r="AG1203">
            <v>40102</v>
          </cell>
          <cell r="AH1203">
            <v>74.2</v>
          </cell>
        </row>
        <row r="1204">
          <cell r="AG1204">
            <v>40105</v>
          </cell>
          <cell r="AH1204">
            <v>73.959999999999994</v>
          </cell>
        </row>
        <row r="1205">
          <cell r="AG1205">
            <v>40106</v>
          </cell>
          <cell r="AH1205">
            <v>73.97</v>
          </cell>
        </row>
        <row r="1206">
          <cell r="AG1206">
            <v>40107</v>
          </cell>
          <cell r="AH1206">
            <v>73.930000000000007</v>
          </cell>
        </row>
        <row r="1207">
          <cell r="AG1207">
            <v>40108</v>
          </cell>
          <cell r="AH1207">
            <v>73.86</v>
          </cell>
        </row>
        <row r="1208">
          <cell r="AG1208">
            <v>40109</v>
          </cell>
          <cell r="AH1208">
            <v>73.849999999999994</v>
          </cell>
        </row>
        <row r="1209">
          <cell r="AG1209">
            <v>40112</v>
          </cell>
          <cell r="AH1209">
            <v>73.87</v>
          </cell>
        </row>
        <row r="1210">
          <cell r="AG1210">
            <v>40113</v>
          </cell>
          <cell r="AH1210">
            <v>73.81</v>
          </cell>
        </row>
        <row r="1211">
          <cell r="AG1211">
            <v>40114</v>
          </cell>
          <cell r="AH1211">
            <v>73.709999999999994</v>
          </cell>
        </row>
        <row r="1212">
          <cell r="AG1212">
            <v>40115</v>
          </cell>
          <cell r="AH1212">
            <v>73.59</v>
          </cell>
        </row>
        <row r="1213">
          <cell r="AG1213">
            <v>40116</v>
          </cell>
          <cell r="AH1213">
            <v>73.540000000000006</v>
          </cell>
        </row>
        <row r="1214">
          <cell r="AG1214">
            <v>40119</v>
          </cell>
          <cell r="AH1214">
            <v>73.48</v>
          </cell>
        </row>
        <row r="1215">
          <cell r="AG1215">
            <v>40120</v>
          </cell>
          <cell r="AH1215">
            <v>73.33</v>
          </cell>
        </row>
        <row r="1216">
          <cell r="AG1216">
            <v>40121</v>
          </cell>
          <cell r="AH1216">
            <v>73.19</v>
          </cell>
        </row>
        <row r="1217">
          <cell r="AG1217">
            <v>40122</v>
          </cell>
          <cell r="AH1217">
            <v>73.180000000000007</v>
          </cell>
        </row>
        <row r="1218">
          <cell r="AG1218">
            <v>40123</v>
          </cell>
          <cell r="AH1218">
            <v>73.16</v>
          </cell>
        </row>
        <row r="1219">
          <cell r="AG1219">
            <v>40126</v>
          </cell>
          <cell r="AH1219">
            <v>73.16</v>
          </cell>
        </row>
        <row r="1220">
          <cell r="AG1220">
            <v>40127</v>
          </cell>
          <cell r="AH1220">
            <v>73.16</v>
          </cell>
        </row>
        <row r="1221">
          <cell r="AG1221">
            <v>40128</v>
          </cell>
          <cell r="AH1221">
            <v>73.22</v>
          </cell>
        </row>
        <row r="1222">
          <cell r="AG1222">
            <v>40129</v>
          </cell>
          <cell r="AH1222">
            <v>73.28</v>
          </cell>
        </row>
        <row r="1223">
          <cell r="AG1223">
            <v>40130</v>
          </cell>
          <cell r="AH1223">
            <v>73.28</v>
          </cell>
        </row>
        <row r="1224">
          <cell r="AG1224">
            <v>40133</v>
          </cell>
          <cell r="AH1224">
            <v>73.34</v>
          </cell>
        </row>
        <row r="1225">
          <cell r="AG1225">
            <v>40134</v>
          </cell>
          <cell r="AH1225">
            <v>73.459999999999994</v>
          </cell>
        </row>
        <row r="1226">
          <cell r="AG1226">
            <v>40135</v>
          </cell>
          <cell r="AH1226">
            <v>73.58</v>
          </cell>
        </row>
        <row r="1227">
          <cell r="AG1227">
            <v>40136</v>
          </cell>
          <cell r="AH1227">
            <v>73.61</v>
          </cell>
        </row>
        <row r="1228">
          <cell r="AG1228">
            <v>40137</v>
          </cell>
          <cell r="AH1228">
            <v>73.540000000000006</v>
          </cell>
        </row>
        <row r="1229">
          <cell r="AG1229">
            <v>40140</v>
          </cell>
          <cell r="AH1229">
            <v>73.540000000000006</v>
          </cell>
        </row>
        <row r="1230">
          <cell r="AG1230">
            <v>40141</v>
          </cell>
          <cell r="AH1230">
            <v>73.55</v>
          </cell>
        </row>
        <row r="1231">
          <cell r="AG1231">
            <v>40142</v>
          </cell>
          <cell r="AH1231">
            <v>73.59</v>
          </cell>
        </row>
        <row r="1232">
          <cell r="AG1232">
            <v>40143</v>
          </cell>
          <cell r="AH1232">
            <v>73.56</v>
          </cell>
        </row>
        <row r="1233">
          <cell r="AG1233">
            <v>40144</v>
          </cell>
          <cell r="AH1233">
            <v>73.31</v>
          </cell>
        </row>
        <row r="1234">
          <cell r="AG1234">
            <v>40147</v>
          </cell>
          <cell r="AH1234">
            <v>73.33</v>
          </cell>
        </row>
        <row r="1235">
          <cell r="AG1235">
            <v>40148</v>
          </cell>
          <cell r="AH1235">
            <v>73.28</v>
          </cell>
        </row>
        <row r="1236">
          <cell r="AG1236">
            <v>40149</v>
          </cell>
          <cell r="AH1236">
            <v>73.25</v>
          </cell>
        </row>
        <row r="1237">
          <cell r="AG1237">
            <v>40150</v>
          </cell>
          <cell r="AH1237">
            <v>73.28</v>
          </cell>
        </row>
        <row r="1238">
          <cell r="AG1238">
            <v>40151</v>
          </cell>
          <cell r="AH1238">
            <v>73.3</v>
          </cell>
        </row>
        <row r="1239">
          <cell r="AG1239">
            <v>40154</v>
          </cell>
          <cell r="AH1239">
            <v>73.400000000000006</v>
          </cell>
        </row>
        <row r="1240">
          <cell r="AG1240">
            <v>40155</v>
          </cell>
          <cell r="AH1240">
            <v>73.41</v>
          </cell>
        </row>
        <row r="1241">
          <cell r="AG1241">
            <v>40156</v>
          </cell>
          <cell r="AH1241">
            <v>73.41</v>
          </cell>
        </row>
        <row r="1242">
          <cell r="AG1242">
            <v>40157</v>
          </cell>
          <cell r="AH1242">
            <v>73.349999999999994</v>
          </cell>
        </row>
        <row r="1243">
          <cell r="AG1243">
            <v>40158</v>
          </cell>
          <cell r="AH1243">
            <v>73.430000000000007</v>
          </cell>
        </row>
        <row r="1244">
          <cell r="AG1244">
            <v>40161</v>
          </cell>
          <cell r="AH1244">
            <v>73.47</v>
          </cell>
        </row>
        <row r="1245">
          <cell r="AG1245">
            <v>40162</v>
          </cell>
          <cell r="AH1245">
            <v>73.489999999999995</v>
          </cell>
        </row>
        <row r="1246">
          <cell r="AG1246">
            <v>40163</v>
          </cell>
          <cell r="AH1246">
            <v>73.44</v>
          </cell>
        </row>
        <row r="1247">
          <cell r="AG1247">
            <v>40164</v>
          </cell>
          <cell r="AH1247">
            <v>73.44</v>
          </cell>
        </row>
        <row r="1248">
          <cell r="AG1248">
            <v>40165</v>
          </cell>
          <cell r="AH1248">
            <v>73.400000000000006</v>
          </cell>
        </row>
        <row r="1249">
          <cell r="AG1249">
            <v>40168</v>
          </cell>
          <cell r="AH1249">
            <v>73.47</v>
          </cell>
        </row>
        <row r="1250">
          <cell r="AG1250">
            <v>40169</v>
          </cell>
          <cell r="AH1250">
            <v>73.5</v>
          </cell>
        </row>
        <row r="1251">
          <cell r="AG1251">
            <v>40170</v>
          </cell>
          <cell r="AH1251">
            <v>73.599999999999994</v>
          </cell>
        </row>
        <row r="1252">
          <cell r="AG1252">
            <v>40171</v>
          </cell>
          <cell r="AH1252">
            <v>73.72</v>
          </cell>
        </row>
        <row r="1253">
          <cell r="AG1253">
            <v>40172</v>
          </cell>
          <cell r="AH1253">
            <v>73.75</v>
          </cell>
        </row>
        <row r="1254">
          <cell r="AG1254">
            <v>40175</v>
          </cell>
          <cell r="AH1254">
            <v>73.790000000000006</v>
          </cell>
        </row>
        <row r="1255">
          <cell r="AG1255">
            <v>40176</v>
          </cell>
          <cell r="AH1255">
            <v>73.760000000000005</v>
          </cell>
        </row>
        <row r="1256">
          <cell r="AG1256">
            <v>40177</v>
          </cell>
          <cell r="AH1256">
            <v>73.81</v>
          </cell>
        </row>
        <row r="1257">
          <cell r="AG1257">
            <v>40178</v>
          </cell>
          <cell r="AH1257">
            <v>73.900000000000006</v>
          </cell>
        </row>
        <row r="1258">
          <cell r="AG1258">
            <v>40182</v>
          </cell>
          <cell r="AH1258">
            <v>73.98</v>
          </cell>
        </row>
        <row r="1259">
          <cell r="AG1259">
            <v>40183</v>
          </cell>
          <cell r="AH1259">
            <v>73.95</v>
          </cell>
        </row>
        <row r="1260">
          <cell r="AG1260">
            <v>40184</v>
          </cell>
          <cell r="AH1260">
            <v>73.959999999999994</v>
          </cell>
        </row>
        <row r="1261">
          <cell r="AG1261">
            <v>40185</v>
          </cell>
          <cell r="AH1261">
            <v>73.97</v>
          </cell>
        </row>
        <row r="1262">
          <cell r="AG1262">
            <v>40186</v>
          </cell>
          <cell r="AH1262">
            <v>73.94</v>
          </cell>
        </row>
        <row r="1263">
          <cell r="AG1263">
            <v>40189</v>
          </cell>
          <cell r="AH1263">
            <v>73.97</v>
          </cell>
        </row>
        <row r="1264">
          <cell r="AG1264">
            <v>40190</v>
          </cell>
          <cell r="AH1264">
            <v>73.86</v>
          </cell>
        </row>
        <row r="1265">
          <cell r="AG1265">
            <v>40191</v>
          </cell>
          <cell r="AH1265">
            <v>73.790000000000006</v>
          </cell>
        </row>
        <row r="1266">
          <cell r="AG1266">
            <v>40192</v>
          </cell>
          <cell r="AH1266">
            <v>73.790000000000006</v>
          </cell>
        </row>
        <row r="1267">
          <cell r="AG1267">
            <v>40193</v>
          </cell>
          <cell r="AH1267">
            <v>73.75</v>
          </cell>
        </row>
        <row r="1268">
          <cell r="AG1268">
            <v>40196</v>
          </cell>
          <cell r="AH1268">
            <v>73.73</v>
          </cell>
        </row>
        <row r="1269">
          <cell r="AG1269">
            <v>40197</v>
          </cell>
          <cell r="AH1269">
            <v>73.62</v>
          </cell>
        </row>
        <row r="1270">
          <cell r="AG1270">
            <v>40198</v>
          </cell>
          <cell r="AH1270">
            <v>73.63</v>
          </cell>
        </row>
        <row r="1271">
          <cell r="AG1271">
            <v>40199</v>
          </cell>
          <cell r="AH1271">
            <v>73.62</v>
          </cell>
        </row>
        <row r="1272">
          <cell r="AG1272">
            <v>40200</v>
          </cell>
          <cell r="AH1272">
            <v>73.47</v>
          </cell>
        </row>
        <row r="1273">
          <cell r="AG1273">
            <v>40203</v>
          </cell>
          <cell r="AH1273">
            <v>73.36</v>
          </cell>
        </row>
        <row r="1274">
          <cell r="AG1274">
            <v>40204</v>
          </cell>
          <cell r="AH1274">
            <v>73.290000000000006</v>
          </cell>
        </row>
        <row r="1275">
          <cell r="AG1275">
            <v>40205</v>
          </cell>
          <cell r="AH1275">
            <v>73.209999999999994</v>
          </cell>
        </row>
        <row r="1276">
          <cell r="AG1276">
            <v>40206</v>
          </cell>
          <cell r="AH1276">
            <v>73.2</v>
          </cell>
        </row>
        <row r="1277">
          <cell r="AG1277">
            <v>40207</v>
          </cell>
          <cell r="AH1277">
            <v>73.16</v>
          </cell>
        </row>
        <row r="1278">
          <cell r="AG1278">
            <v>40210</v>
          </cell>
          <cell r="AH1278">
            <v>73</v>
          </cell>
        </row>
        <row r="1279">
          <cell r="AG1279">
            <v>40211</v>
          </cell>
          <cell r="AH1279">
            <v>72.91</v>
          </cell>
        </row>
        <row r="1280">
          <cell r="AG1280">
            <v>40212</v>
          </cell>
          <cell r="AH1280">
            <v>72.84</v>
          </cell>
        </row>
        <row r="1281">
          <cell r="AG1281">
            <v>40213</v>
          </cell>
          <cell r="AH1281">
            <v>72.760000000000005</v>
          </cell>
        </row>
        <row r="1282">
          <cell r="AG1282">
            <v>40214</v>
          </cell>
          <cell r="AH1282">
            <v>72.66</v>
          </cell>
        </row>
        <row r="1283">
          <cell r="AG1283">
            <v>40215</v>
          </cell>
          <cell r="AH1283">
            <v>72.650000000000006</v>
          </cell>
        </row>
        <row r="1284">
          <cell r="AG1284">
            <v>40217</v>
          </cell>
          <cell r="AH1284">
            <v>72.56</v>
          </cell>
        </row>
        <row r="1285">
          <cell r="AG1285">
            <v>40218</v>
          </cell>
          <cell r="AH1285">
            <v>72.569999999999993</v>
          </cell>
        </row>
        <row r="1286">
          <cell r="AG1286">
            <v>40219</v>
          </cell>
          <cell r="AH1286">
            <v>72.489999999999995</v>
          </cell>
        </row>
        <row r="1287">
          <cell r="AG1287">
            <v>40231</v>
          </cell>
          <cell r="AH1287">
            <v>72.5</v>
          </cell>
        </row>
        <row r="1288">
          <cell r="AG1288">
            <v>40232</v>
          </cell>
          <cell r="AH1288">
            <v>72.55</v>
          </cell>
        </row>
        <row r="1289">
          <cell r="AG1289">
            <v>40233</v>
          </cell>
          <cell r="AH1289">
            <v>72.48</v>
          </cell>
        </row>
        <row r="1290">
          <cell r="AG1290">
            <v>40234</v>
          </cell>
          <cell r="AH1290">
            <v>72.44</v>
          </cell>
        </row>
        <row r="1291">
          <cell r="AG1291">
            <v>40235</v>
          </cell>
          <cell r="AH1291">
            <v>72.44</v>
          </cell>
        </row>
        <row r="1292">
          <cell r="AG1292">
            <v>40238</v>
          </cell>
          <cell r="AH1292">
            <v>72.44</v>
          </cell>
        </row>
        <row r="1293">
          <cell r="AG1293">
            <v>40239</v>
          </cell>
          <cell r="AH1293">
            <v>72.5</v>
          </cell>
        </row>
        <row r="1294">
          <cell r="AG1294">
            <v>40240</v>
          </cell>
          <cell r="AH1294">
            <v>72.53</v>
          </cell>
        </row>
        <row r="1295">
          <cell r="AG1295">
            <v>40241</v>
          </cell>
          <cell r="AH1295">
            <v>72.45</v>
          </cell>
        </row>
        <row r="1296">
          <cell r="AG1296">
            <v>40242</v>
          </cell>
          <cell r="AH1296">
            <v>72.56</v>
          </cell>
        </row>
        <row r="1297">
          <cell r="AG1297">
            <v>40245</v>
          </cell>
          <cell r="AH1297">
            <v>72.680000000000007</v>
          </cell>
        </row>
        <row r="1298">
          <cell r="AG1298">
            <v>40246</v>
          </cell>
          <cell r="AH1298">
            <v>72.75</v>
          </cell>
        </row>
        <row r="1299">
          <cell r="AG1299">
            <v>40247</v>
          </cell>
          <cell r="AH1299">
            <v>72.760000000000005</v>
          </cell>
        </row>
        <row r="1300">
          <cell r="AG1300">
            <v>40248</v>
          </cell>
          <cell r="AH1300">
            <v>72.790000000000006</v>
          </cell>
        </row>
        <row r="1301">
          <cell r="AG1301">
            <v>40249</v>
          </cell>
          <cell r="AH1301">
            <v>72.78</v>
          </cell>
        </row>
        <row r="1302">
          <cell r="AG1302">
            <v>40252</v>
          </cell>
          <cell r="AH1302">
            <v>72.760000000000005</v>
          </cell>
        </row>
        <row r="1303">
          <cell r="AG1303">
            <v>40253</v>
          </cell>
          <cell r="AH1303">
            <v>72.73</v>
          </cell>
        </row>
        <row r="1304">
          <cell r="AG1304">
            <v>40254</v>
          </cell>
          <cell r="AH1304">
            <v>72.75</v>
          </cell>
        </row>
        <row r="1305">
          <cell r="AG1305">
            <v>40255</v>
          </cell>
          <cell r="AH1305">
            <v>72.72</v>
          </cell>
        </row>
        <row r="1306">
          <cell r="AG1306">
            <v>40256</v>
          </cell>
          <cell r="AH1306">
            <v>72.650000000000006</v>
          </cell>
        </row>
        <row r="1307">
          <cell r="AG1307">
            <v>40259</v>
          </cell>
          <cell r="AH1307">
            <v>72.55</v>
          </cell>
        </row>
        <row r="1308">
          <cell r="AG1308">
            <v>40260</v>
          </cell>
          <cell r="AH1308">
            <v>72.540000000000006</v>
          </cell>
        </row>
        <row r="1309">
          <cell r="AG1309">
            <v>40261</v>
          </cell>
          <cell r="AH1309">
            <v>72.62</v>
          </cell>
        </row>
        <row r="1310">
          <cell r="AG1310">
            <v>40262</v>
          </cell>
          <cell r="AH1310">
            <v>72.72</v>
          </cell>
        </row>
        <row r="1311">
          <cell r="AG1311">
            <v>40263</v>
          </cell>
          <cell r="AH1311">
            <v>72.84</v>
          </cell>
        </row>
        <row r="1312">
          <cell r="AG1312">
            <v>40266</v>
          </cell>
          <cell r="AH1312">
            <v>72.930000000000007</v>
          </cell>
        </row>
        <row r="1313">
          <cell r="AG1313">
            <v>40267</v>
          </cell>
          <cell r="AH1313">
            <v>72.97</v>
          </cell>
        </row>
        <row r="1314">
          <cell r="AG1314">
            <v>40268</v>
          </cell>
          <cell r="AH1314">
            <v>72.98</v>
          </cell>
        </row>
        <row r="1315">
          <cell r="AG1315">
            <v>40269</v>
          </cell>
          <cell r="AH1315">
            <v>73.02</v>
          </cell>
        </row>
        <row r="1316">
          <cell r="AG1316">
            <v>40270</v>
          </cell>
          <cell r="AH1316">
            <v>73.069999999999993</v>
          </cell>
        </row>
        <row r="1317">
          <cell r="AG1317">
            <v>40274</v>
          </cell>
          <cell r="AH1317">
            <v>73.2</v>
          </cell>
        </row>
        <row r="1318">
          <cell r="AG1318">
            <v>40275</v>
          </cell>
          <cell r="AH1318">
            <v>73.290000000000006</v>
          </cell>
        </row>
        <row r="1319">
          <cell r="AG1319">
            <v>40276</v>
          </cell>
          <cell r="AH1319">
            <v>73.260000000000005</v>
          </cell>
        </row>
        <row r="1320">
          <cell r="AG1320">
            <v>40277</v>
          </cell>
          <cell r="AH1320">
            <v>73.27</v>
          </cell>
        </row>
        <row r="1321">
          <cell r="AG1321">
            <v>40280</v>
          </cell>
          <cell r="AH1321">
            <v>73.319999999999993</v>
          </cell>
        </row>
        <row r="1322">
          <cell r="AG1322">
            <v>40281</v>
          </cell>
          <cell r="AH1322">
            <v>73.39</v>
          </cell>
        </row>
        <row r="1323">
          <cell r="AG1323">
            <v>40282</v>
          </cell>
          <cell r="AH1323">
            <v>73.53</v>
          </cell>
        </row>
        <row r="1324">
          <cell r="AG1324">
            <v>40283</v>
          </cell>
          <cell r="AH1324">
            <v>73.680000000000007</v>
          </cell>
        </row>
        <row r="1325">
          <cell r="AG1325">
            <v>40284</v>
          </cell>
          <cell r="AH1325">
            <v>73.650000000000006</v>
          </cell>
        </row>
        <row r="1326">
          <cell r="AG1326">
            <v>40287</v>
          </cell>
          <cell r="AH1326">
            <v>73.67</v>
          </cell>
        </row>
        <row r="1327">
          <cell r="AG1327">
            <v>40288</v>
          </cell>
          <cell r="AH1327">
            <v>73.650000000000006</v>
          </cell>
        </row>
        <row r="1328">
          <cell r="AG1328">
            <v>40289</v>
          </cell>
          <cell r="AH1328">
            <v>73.56</v>
          </cell>
        </row>
        <row r="1329">
          <cell r="AG1329">
            <v>40290</v>
          </cell>
          <cell r="AH1329">
            <v>73.31</v>
          </cell>
        </row>
        <row r="1330">
          <cell r="AG1330">
            <v>40291</v>
          </cell>
          <cell r="AH1330">
            <v>73.28</v>
          </cell>
        </row>
        <row r="1331">
          <cell r="AG1331">
            <v>40294</v>
          </cell>
          <cell r="AH1331">
            <v>73.37</v>
          </cell>
        </row>
        <row r="1332">
          <cell r="AG1332">
            <v>40295</v>
          </cell>
          <cell r="AH1332">
            <v>73.400000000000006</v>
          </cell>
        </row>
        <row r="1333">
          <cell r="AG1333">
            <v>40296</v>
          </cell>
          <cell r="AH1333">
            <v>73.239999999999995</v>
          </cell>
        </row>
        <row r="1334">
          <cell r="AG1334">
            <v>40297</v>
          </cell>
          <cell r="AH1334">
            <v>73.13</v>
          </cell>
        </row>
        <row r="1335">
          <cell r="AG1335">
            <v>40298</v>
          </cell>
          <cell r="AH1335">
            <v>73.180000000000007</v>
          </cell>
        </row>
        <row r="1336">
          <cell r="AG1336">
            <v>40301</v>
          </cell>
          <cell r="AH1336">
            <v>73.150000000000006</v>
          </cell>
        </row>
        <row r="1337">
          <cell r="AG1337">
            <v>40302</v>
          </cell>
          <cell r="AH1337">
            <v>73.08</v>
          </cell>
        </row>
        <row r="1338">
          <cell r="AG1338">
            <v>40303</v>
          </cell>
          <cell r="AH1338">
            <v>72.94</v>
          </cell>
        </row>
        <row r="1339">
          <cell r="AG1339">
            <v>40304</v>
          </cell>
          <cell r="AH1339">
            <v>72.849999999999994</v>
          </cell>
        </row>
        <row r="1340">
          <cell r="AG1340">
            <v>40305</v>
          </cell>
          <cell r="AH1340">
            <v>72.78</v>
          </cell>
        </row>
        <row r="1341">
          <cell r="AG1341">
            <v>40308</v>
          </cell>
          <cell r="AH1341">
            <v>72.73</v>
          </cell>
        </row>
        <row r="1342">
          <cell r="AG1342">
            <v>40309</v>
          </cell>
          <cell r="AH1342">
            <v>72.709999999999994</v>
          </cell>
        </row>
        <row r="1343">
          <cell r="AG1343">
            <v>40310</v>
          </cell>
          <cell r="AH1343">
            <v>72.709999999999994</v>
          </cell>
        </row>
        <row r="1344">
          <cell r="AG1344">
            <v>40311</v>
          </cell>
          <cell r="AH1344">
            <v>72.760000000000005</v>
          </cell>
        </row>
        <row r="1345">
          <cell r="AG1345">
            <v>40312</v>
          </cell>
          <cell r="AH1345">
            <v>72.760000000000005</v>
          </cell>
        </row>
        <row r="1346">
          <cell r="AG1346">
            <v>40315</v>
          </cell>
          <cell r="AH1346">
            <v>72.61</v>
          </cell>
        </row>
        <row r="1347">
          <cell r="AG1347">
            <v>40316</v>
          </cell>
          <cell r="AH1347">
            <v>72.61</v>
          </cell>
        </row>
        <row r="1348">
          <cell r="AG1348">
            <v>40317</v>
          </cell>
          <cell r="AH1348">
            <v>72.52</v>
          </cell>
        </row>
        <row r="1349">
          <cell r="AG1349">
            <v>40318</v>
          </cell>
          <cell r="AH1349">
            <v>72.5</v>
          </cell>
        </row>
        <row r="1350">
          <cell r="AG1350">
            <v>40319</v>
          </cell>
          <cell r="AH1350">
            <v>72.47</v>
          </cell>
        </row>
        <row r="1351">
          <cell r="AG1351">
            <v>40322</v>
          </cell>
          <cell r="AH1351">
            <v>72.48</v>
          </cell>
        </row>
        <row r="1352">
          <cell r="AG1352">
            <v>40323</v>
          </cell>
          <cell r="AH1352">
            <v>72.48</v>
          </cell>
        </row>
        <row r="1353">
          <cell r="AG1353">
            <v>40324</v>
          </cell>
          <cell r="AH1353">
            <v>72.47</v>
          </cell>
        </row>
        <row r="1354">
          <cell r="AG1354">
            <v>40325</v>
          </cell>
          <cell r="AH1354">
            <v>72.42</v>
          </cell>
        </row>
        <row r="1355">
          <cell r="AG1355">
            <v>40326</v>
          </cell>
          <cell r="AH1355">
            <v>72.34</v>
          </cell>
        </row>
        <row r="1356">
          <cell r="AG1356">
            <v>40329</v>
          </cell>
          <cell r="AH1356">
            <v>72.39</v>
          </cell>
        </row>
        <row r="1357">
          <cell r="AG1357">
            <v>40330</v>
          </cell>
          <cell r="AH1357">
            <v>72.39</v>
          </cell>
        </row>
        <row r="1358">
          <cell r="AG1358">
            <v>40331</v>
          </cell>
          <cell r="AH1358">
            <v>72.400000000000006</v>
          </cell>
        </row>
        <row r="1359">
          <cell r="AG1359">
            <v>40332</v>
          </cell>
          <cell r="AH1359">
            <v>72.489999999999995</v>
          </cell>
        </row>
        <row r="1360">
          <cell r="AG1360">
            <v>40333</v>
          </cell>
          <cell r="AH1360">
            <v>72.53</v>
          </cell>
        </row>
        <row r="1361">
          <cell r="AG1361">
            <v>40336</v>
          </cell>
          <cell r="AH1361">
            <v>72.73</v>
          </cell>
        </row>
        <row r="1362">
          <cell r="AG1362">
            <v>40337</v>
          </cell>
          <cell r="AH1362">
            <v>72.67</v>
          </cell>
        </row>
        <row r="1363">
          <cell r="AG1363">
            <v>40338</v>
          </cell>
          <cell r="AH1363">
            <v>72.64</v>
          </cell>
        </row>
        <row r="1364">
          <cell r="AG1364">
            <v>40339</v>
          </cell>
          <cell r="AH1364">
            <v>72.69</v>
          </cell>
        </row>
        <row r="1365">
          <cell r="AG1365">
            <v>40340</v>
          </cell>
          <cell r="AH1365">
            <v>72.739999999999995</v>
          </cell>
        </row>
        <row r="1366">
          <cell r="AG1366">
            <v>40343</v>
          </cell>
          <cell r="AH1366">
            <v>72.78</v>
          </cell>
        </row>
        <row r="1367">
          <cell r="AG1367">
            <v>40344</v>
          </cell>
          <cell r="AH1367">
            <v>72.86</v>
          </cell>
        </row>
        <row r="1368">
          <cell r="AG1368">
            <v>40346</v>
          </cell>
          <cell r="AH1368">
            <v>72.930000000000007</v>
          </cell>
        </row>
        <row r="1369">
          <cell r="AG1369">
            <v>40347</v>
          </cell>
          <cell r="AH1369">
            <v>73.05</v>
          </cell>
        </row>
        <row r="1370">
          <cell r="AG1370">
            <v>40350</v>
          </cell>
          <cell r="AH1370">
            <v>73.2</v>
          </cell>
        </row>
        <row r="1371">
          <cell r="AG1371">
            <v>40351</v>
          </cell>
          <cell r="AH1371">
            <v>73.209999999999994</v>
          </cell>
        </row>
        <row r="1372">
          <cell r="AG1372">
            <v>40352</v>
          </cell>
          <cell r="AH1372">
            <v>73.19</v>
          </cell>
        </row>
        <row r="1373">
          <cell r="AG1373">
            <v>40353</v>
          </cell>
          <cell r="AH1373">
            <v>73.11</v>
          </cell>
        </row>
        <row r="1374">
          <cell r="AG1374">
            <v>40354</v>
          </cell>
          <cell r="AH1374">
            <v>73.06</v>
          </cell>
        </row>
        <row r="1375">
          <cell r="AG1375">
            <v>40357</v>
          </cell>
          <cell r="AH1375">
            <v>73.03</v>
          </cell>
        </row>
        <row r="1376">
          <cell r="AG1376">
            <v>40358</v>
          </cell>
          <cell r="AH1376">
            <v>72.98</v>
          </cell>
        </row>
        <row r="1377">
          <cell r="AG1377">
            <v>40359</v>
          </cell>
          <cell r="AH1377">
            <v>72.87</v>
          </cell>
        </row>
        <row r="1378">
          <cell r="AG1378">
            <v>40360</v>
          </cell>
          <cell r="AH1378">
            <v>72.69</v>
          </cell>
        </row>
        <row r="1379">
          <cell r="AG1379">
            <v>40361</v>
          </cell>
          <cell r="AH1379">
            <v>72.599999999999994</v>
          </cell>
        </row>
        <row r="1380">
          <cell r="AG1380">
            <v>40364</v>
          </cell>
          <cell r="AH1380">
            <v>72.63</v>
          </cell>
        </row>
        <row r="1381">
          <cell r="AG1381">
            <v>40365</v>
          </cell>
          <cell r="AH1381">
            <v>72.58</v>
          </cell>
        </row>
        <row r="1382">
          <cell r="AG1382">
            <v>40366</v>
          </cell>
          <cell r="AH1382">
            <v>72.56</v>
          </cell>
        </row>
        <row r="1383">
          <cell r="AG1383">
            <v>40367</v>
          </cell>
          <cell r="AH1383">
            <v>72.64</v>
          </cell>
        </row>
        <row r="1384">
          <cell r="AG1384">
            <v>40368</v>
          </cell>
          <cell r="AH1384">
            <v>72.67</v>
          </cell>
        </row>
        <row r="1385">
          <cell r="AG1385">
            <v>40371</v>
          </cell>
          <cell r="AH1385">
            <v>72.650000000000006</v>
          </cell>
        </row>
        <row r="1386">
          <cell r="AG1386">
            <v>40372</v>
          </cell>
          <cell r="AH1386">
            <v>72.64</v>
          </cell>
        </row>
        <row r="1387">
          <cell r="AG1387">
            <v>40373</v>
          </cell>
          <cell r="AH1387">
            <v>72.69</v>
          </cell>
        </row>
        <row r="1388">
          <cell r="AG1388">
            <v>40374</v>
          </cell>
          <cell r="AH1388">
            <v>72.709999999999994</v>
          </cell>
        </row>
        <row r="1389">
          <cell r="AG1389">
            <v>40375</v>
          </cell>
          <cell r="AH1389">
            <v>72.75</v>
          </cell>
        </row>
        <row r="1390">
          <cell r="AG1390">
            <v>40378</v>
          </cell>
          <cell r="AH1390">
            <v>72.87</v>
          </cell>
        </row>
        <row r="1391">
          <cell r="AG1391">
            <v>40379</v>
          </cell>
          <cell r="AH1391">
            <v>72.94</v>
          </cell>
        </row>
      </sheetData>
    </sheetDataSet>
  </externalBook>
</externalLink>
</file>

<file path=xl/externalLinks/externalLink22.xml><?xml version="1.0" encoding="utf-8"?>
<externalLink xmlns="http://schemas.openxmlformats.org/spreadsheetml/2006/main">
  <externalBook xmlns:r="http://schemas.openxmlformats.org/officeDocument/2006/relationships" r:id="rId1">
    <sheetNames>
      <sheetName val="User base"/>
      <sheetName val="Handsets - workings"/>
      <sheetName val="Revenue"/>
      <sheetName val="Traffic"/>
      <sheetName val="Revenue workings"/>
      <sheetName val="Churn"/>
      <sheetName val="Handset Sales By Country"/>
      <sheetName val="Handset Summary"/>
      <sheetName val="Region Pub Tables - Handsets"/>
      <sheetName val="Country Pub Tables - Handsets"/>
      <sheetName val="Module1"/>
      <sheetName val="US"/>
    </sheetNames>
    <sheetDataSet>
      <sheetData sheetId="0"/>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tables/table1.xml><?xml version="1.0" encoding="utf-8"?>
<table xmlns="http://schemas.openxmlformats.org/spreadsheetml/2006/main" id="1" name="BMCodes73" displayName="BMCodes73" ref="B64:C115" headerRowCount="1" totalsRowShown="0" headerRowDxfId="4" dataDxfId="3" tableBorderDxfId="2" headerRowCellStyle="Normal 7">
  <sortState ref="B65:C115">
    <sortCondition ref="B65:B115"/>
  </sortState>
  <tableColumns count="2">
    <tableColumn id="1" name="BM_NAME" dataDxfId="1"/>
    <tableColumn id="2" name="BM_COD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SCBTheme">
      <a:dk1>
        <a:srgbClr val="000000"/>
      </a:dk1>
      <a:lt1>
        <a:srgbClr val="FFFFFF"/>
      </a:lt1>
      <a:dk2>
        <a:srgbClr val="C0C0C0"/>
      </a:dk2>
      <a:lt2>
        <a:srgbClr val="F0F0F0"/>
      </a:lt2>
      <a:accent1>
        <a:srgbClr val="50BEAF"/>
      </a:accent1>
      <a:accent2>
        <a:srgbClr val="37736B"/>
      </a:accent2>
      <a:accent3>
        <a:srgbClr val="78E6DA"/>
      </a:accent3>
      <a:accent4>
        <a:srgbClr val="B1C424"/>
      </a:accent4>
      <a:accent5>
        <a:srgbClr val="6E7E23"/>
      </a:accent5>
      <a:accent6>
        <a:srgbClr val="C9DF49"/>
      </a:accent6>
      <a:hlink>
        <a:srgbClr val="FFC000"/>
      </a:hlink>
      <a:folHlink>
        <a:srgbClr val="00000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7.xml.rels><Relationships xmlns="http://schemas.openxmlformats.org/package/2006/relationships"><Relationship Type="http://schemas.openxmlformats.org/officeDocument/2006/relationships/comments" Target="/xl/comments/comment2.xml" Id="comments"/><Relationship Type="http://schemas.openxmlformats.org/officeDocument/2006/relationships/vmlDrawing" Target="/xl/drawings/commentsDrawing2.vml" Id="anysvml"/></Relationships>
</file>

<file path=xl/worksheets/_rels/sheet8.xml.rels><Relationships xmlns="http://schemas.openxmlformats.org/package/2006/relationships"><Relationship Type="http://schemas.openxmlformats.org/officeDocument/2006/relationships/comments" Target="/xl/comments/comment3.xml" Id="comments"/><Relationship Type="http://schemas.openxmlformats.org/officeDocument/2006/relationships/vmlDrawing" Target="/xl/drawings/commentsDrawing3.vml" Id="anysvml"/></Relationships>
</file>

<file path=xl/worksheets/_rels/sheet9.xml.rels><Relationships xmlns="http://schemas.openxmlformats.org/package/2006/relationships"><Relationship Type="http://schemas.openxmlformats.org/officeDocument/2006/relationships/comments" Target="/xl/comments/comment4.xml" Id="comments"/><Relationship Type="http://schemas.openxmlformats.org/officeDocument/2006/relationships/vmlDrawing" Target="/xl/drawings/commentsDrawing4.vml" Id="anysvml"/></Relationships>
</file>

<file path=xl/worksheets/_rels/sheet12.xml.rels><Relationships xmlns="http://schemas.openxmlformats.org/package/2006/relationships"><Relationship Type="http://schemas.openxmlformats.org/officeDocument/2006/relationships/table" Target="/xl/tables/table1.xml" Id="rId1"/></Relationships>
</file>

<file path=xl/worksheets/_rels/sheet14.xml.rels><Relationships xmlns="http://schemas.openxmlformats.org/package/2006/relationships"><Relationship Type="http://schemas.openxmlformats.org/officeDocument/2006/relationships/comments" Target="/xl/comments/comment5.xml" Id="comments"/><Relationship Type="http://schemas.openxmlformats.org/officeDocument/2006/relationships/vmlDrawing" Target="/xl/drawings/commentsDrawing5.vml" Id="anysvml"/></Relationships>
</file>

<file path=xl/worksheets/_rels/sheet15.xml.rels><Relationships xmlns="http://schemas.openxmlformats.org/package/2006/relationships"><Relationship Type="http://schemas.openxmlformats.org/officeDocument/2006/relationships/drawing" Target="/xl/drawings/drawing1.xml" Id="rId1"/></Relationships>
</file>

<file path=xl/worksheets/_rels/sheet1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codeName="Sheet2">
    <tabColor theme="3"/>
    <outlinePr summaryBelow="1" summaryRight="1"/>
    <pageSetUpPr fitToPage="1"/>
  </sheetPr>
  <dimension ref="B2:AA31"/>
  <sheetViews>
    <sheetView topLeftCell="A4" zoomScale="85" zoomScaleNormal="85" workbookViewId="0">
      <selection activeCell="AC35" sqref="AC35"/>
    </sheetView>
  </sheetViews>
  <sheetFormatPr baseColWidth="10" defaultColWidth="9.33203125" defaultRowHeight="13.25" customHeight="1"/>
  <cols>
    <col width="2.6640625" customWidth="1" min="1" max="1"/>
    <col width="29.5" customWidth="1" min="2" max="2"/>
    <col hidden="1" width="10.6640625" customWidth="1" min="3" max="3"/>
    <col hidden="1" outlineLevel="2" width="12.6640625" customWidth="1" min="4" max="6"/>
    <col hidden="1" outlineLevel="2" width="10.5" customWidth="1" min="7" max="8"/>
    <col hidden="1" outlineLevel="1" width="10.5" customWidth="1" min="9" max="9"/>
    <col hidden="1" collapsed="1" width="10.5" customWidth="1" min="10" max="10"/>
    <col hidden="1" width="10.5" customWidth="1" min="11" max="12"/>
    <col width="10.5" customWidth="1" min="13" max="19"/>
    <col width="10" customWidth="1" min="20" max="20"/>
    <col width="10.5" customWidth="1" min="21" max="21"/>
    <col width="9.6640625" customWidth="1" min="22" max="22"/>
    <col width="2.6640625" customWidth="1" min="23" max="23"/>
    <col width="23.5" customWidth="1" min="24" max="24"/>
    <col width="12.33203125" bestFit="1" customWidth="1" min="25" max="25"/>
    <col width="2.6640625" customWidth="1" min="26" max="26"/>
  </cols>
  <sheetData>
    <row r="2" ht="13" customHeight="1">
      <c r="B2" s="22" t="inlineStr">
        <is>
          <t>Company Model</t>
        </is>
      </c>
      <c r="Y2" s="26" t="n"/>
    </row>
    <row r="3" ht="13" customHeight="1">
      <c r="B3" s="22" t="inlineStr">
        <is>
          <t>Bernstein - Asian Industrial Technology</t>
        </is>
      </c>
      <c r="Y3" s="26" t="n"/>
    </row>
    <row r="4" ht="13" customHeight="1">
      <c r="X4" t="inlineStr">
        <is>
          <t>Jay Huang, Ph.D., Senior Research Analyst</t>
        </is>
      </c>
      <c r="Y4" s="25" t="n"/>
    </row>
    <row r="5" ht="13" customHeight="1">
      <c r="B5" s="22">
        <f>Financials!A1</f>
        <v/>
      </c>
      <c r="X5" t="inlineStr">
        <is>
          <t>Dien Wang, Senior Research Associate</t>
        </is>
      </c>
      <c r="Y5" s="25" t="n"/>
    </row>
    <row r="6" ht="13" customHeight="1">
      <c r="B6" t="inlineStr">
        <is>
          <t>Summary</t>
        </is>
      </c>
      <c r="X6" t="inlineStr">
        <is>
          <t>Weibin Liang, Research Associate</t>
        </is>
      </c>
      <c r="Y6" s="25" t="n"/>
    </row>
    <row r="7" ht="13.25" customHeight="1">
      <c r="H7" s="283" t="inlineStr">
        <is>
          <t>Fiscal Year Ending December 31</t>
        </is>
      </c>
    </row>
    <row r="8" ht="13" customFormat="1" customHeight="1" s="25">
      <c r="B8" s="189" t="inlineStr">
        <is>
          <t>(USD Thousand)</t>
        </is>
      </c>
      <c r="C8" s="844" t="n"/>
      <c r="D8" s="844" t="n">
        <v>2010</v>
      </c>
      <c r="E8" s="844" t="n">
        <v>2011</v>
      </c>
      <c r="F8" s="844" t="n">
        <v>2012</v>
      </c>
      <c r="G8" s="844" t="n">
        <v>2013</v>
      </c>
      <c r="H8" s="844">
        <f>G8+1</f>
        <v/>
      </c>
      <c r="I8" s="844">
        <f>H8+1</f>
        <v/>
      </c>
      <c r="J8" s="844">
        <f>I8+1</f>
        <v/>
      </c>
      <c r="K8" s="563">
        <f>J8+1</f>
        <v/>
      </c>
      <c r="L8" s="563">
        <f>K8+1</f>
        <v/>
      </c>
      <c r="M8" s="563">
        <f>L8+1</f>
        <v/>
      </c>
      <c r="N8" s="563">
        <f>M8+1</f>
        <v/>
      </c>
      <c r="O8" s="563">
        <f>N8+1</f>
        <v/>
      </c>
      <c r="P8" s="563">
        <f>O8+1</f>
        <v/>
      </c>
      <c r="Q8" s="563">
        <f>P8+1</f>
        <v/>
      </c>
      <c r="R8" s="845">
        <f>Q8+1</f>
        <v/>
      </c>
      <c r="S8" s="845">
        <f>R8+1</f>
        <v/>
      </c>
      <c r="T8" s="845">
        <f>S8+1</f>
        <v/>
      </c>
      <c r="U8" s="845">
        <f>T8+1</f>
        <v/>
      </c>
      <c r="V8" s="845">
        <f>U8+1</f>
        <v/>
      </c>
      <c r="X8" s="184" t="inlineStr">
        <is>
          <t>Trading Information</t>
        </is>
      </c>
      <c r="Y8" s="184" t="n"/>
    </row>
    <row r="9" ht="13" customHeight="1">
      <c r="B9" s="31" t="inlineStr">
        <is>
          <t>Revenue</t>
        </is>
      </c>
      <c r="C9" s="140" t="n"/>
      <c r="D9" s="140">
        <f>(INDEX(FS_Y!11:11,MATCH(D$8,FS_Y!5:5,0)))</f>
        <v/>
      </c>
      <c r="E9" s="140">
        <f>(INDEX(FS_Y!11:11,MATCH(E$8,FS_Y!5:5,0)))</f>
        <v/>
      </c>
      <c r="F9" s="140">
        <f>(INDEX(FS_Y!11:11,MATCH(F$8,FS_Y!5:5,0)))</f>
        <v/>
      </c>
      <c r="G9" s="140">
        <f>(INDEX(FS_Y!11:11,MATCH(G$8,FS_Y!5:5,0)))</f>
        <v/>
      </c>
      <c r="H9" s="140">
        <f>(INDEX(FS_Y!11:11,MATCH(H$8,FS_Y!5:5,0)))</f>
        <v/>
      </c>
      <c r="I9" s="140">
        <f>(INDEX(FS_Y!11:11,MATCH(I$8,FS_Y!5:5,0)))</f>
        <v/>
      </c>
      <c r="J9" s="140">
        <f>(INDEX(FS_Y!11:11,MATCH(J$8,FS_Y!5:5,0)))</f>
        <v/>
      </c>
      <c r="K9" s="140">
        <f>(INDEX(FS_Y!11:11,MATCH(K$8,FS_Y!5:5,0)))</f>
        <v/>
      </c>
      <c r="L9" s="140">
        <f>(INDEX(FS_Y!11:11,MATCH(L$8,FS_Y!5:5,0)))</f>
        <v/>
      </c>
      <c r="M9" s="140">
        <f>(INDEX(FS_Y!11:11,MATCH(M$8,FS_Y!5:5,0)))</f>
        <v/>
      </c>
      <c r="N9" s="140">
        <f>(INDEX(FS_Y!11:11,MATCH(N$8,FS_Y!5:5,0)))</f>
        <v/>
      </c>
      <c r="O9" s="140">
        <f>(INDEX(FS_Y!11:11,MATCH(O$8,FS_Y!5:5,0)))</f>
        <v/>
      </c>
      <c r="P9" s="140">
        <f>(INDEX(FS_Y!11:11,MATCH(P$8,FS_Y!5:5,0)))</f>
        <v/>
      </c>
      <c r="Q9" s="140">
        <f>(INDEX(FS_Y!11:11,MATCH(Q$8,FS_Y!5:5,0)))</f>
        <v/>
      </c>
      <c r="R9" s="140">
        <f>(INDEX(FS_Y!11:11,MATCH(R$8,FS_Y!5:5,0)))</f>
        <v/>
      </c>
      <c r="S9" s="140">
        <f>(INDEX(FS_Y!11:11,MATCH(S$8,FS_Y!5:5,0)))</f>
        <v/>
      </c>
      <c r="T9" s="140">
        <f>(INDEX(FS_Y!11:11,MATCH(T$8,FS_Y!5:5,0)))</f>
        <v/>
      </c>
      <c r="U9" s="140">
        <f>(INDEX(FS_Y!11:11,MATCH(U$8,FS_Y!5:5,0)))</f>
        <v/>
      </c>
      <c r="V9" s="140">
        <f>(INDEX(FS_Y!11:11,MATCH(V$8,FS_Y!5:5,0)))</f>
        <v/>
      </c>
      <c r="X9" t="inlineStr">
        <is>
          <t>Stock Code (Bloomberg)</t>
        </is>
      </c>
      <c r="Y9" s="25" t="inlineStr">
        <is>
          <t>IPGP.US</t>
        </is>
      </c>
    </row>
    <row r="10" ht="13" customHeight="1">
      <c r="B10" s="31" t="inlineStr">
        <is>
          <t>Gross profit</t>
        </is>
      </c>
      <c r="C10" s="140" t="n"/>
      <c r="D10" s="140">
        <f>(INDEX(FS_Y!13:13,MATCH(D$8,FS_Y!5:5,0)))</f>
        <v/>
      </c>
      <c r="E10" s="140">
        <f>(INDEX(FS_Y!13:13,MATCH(E$8,FS_Y!5:5,0)))</f>
        <v/>
      </c>
      <c r="F10" s="140">
        <f>(INDEX(FS_Y!13:13,MATCH(F$8,FS_Y!5:5,0)))</f>
        <v/>
      </c>
      <c r="G10" s="140">
        <f>(INDEX(FS_Y!13:13,MATCH(G$8,FS_Y!5:5,0)))</f>
        <v/>
      </c>
      <c r="H10" s="140">
        <f>(INDEX(FS_Y!13:13,MATCH(H$8,FS_Y!5:5,0)))</f>
        <v/>
      </c>
      <c r="I10" s="140">
        <f>(INDEX(FS_Y!13:13,MATCH(I$8,FS_Y!5:5,0)))</f>
        <v/>
      </c>
      <c r="J10" s="140">
        <f>(INDEX(FS_Y!13:13,MATCH(J$8,FS_Y!5:5,0)))</f>
        <v/>
      </c>
      <c r="K10" s="140">
        <f>(INDEX(FS_Y!13:13,MATCH(K$8,FS_Y!5:5,0)))</f>
        <v/>
      </c>
      <c r="L10" s="140">
        <f>(INDEX(FS_Y!13:13,MATCH(L$8,FS_Y!5:5,0)))</f>
        <v/>
      </c>
      <c r="M10" s="140">
        <f>(INDEX(FS_Y!13:13,MATCH(M$8,FS_Y!5:5,0)))</f>
        <v/>
      </c>
      <c r="N10" s="140">
        <f>(INDEX(FS_Y!13:13,MATCH(N$8,FS_Y!5:5,0)))</f>
        <v/>
      </c>
      <c r="O10" s="140">
        <f>(INDEX(FS_Y!13:13,MATCH(O$8,FS_Y!5:5,0)))</f>
        <v/>
      </c>
      <c r="P10" s="140">
        <f>(INDEX(FS_Y!13:13,MATCH(P$8,FS_Y!5:5,0)))</f>
        <v/>
      </c>
      <c r="Q10" s="140">
        <f>(INDEX(FS_Y!13:13,MATCH(Q$8,FS_Y!5:5,0)))</f>
        <v/>
      </c>
      <c r="R10" s="140">
        <f>(INDEX(FS_Y!13:13,MATCH(R$8,FS_Y!5:5,0)))</f>
        <v/>
      </c>
      <c r="S10" s="140">
        <f>(INDEX(FS_Y!13:13,MATCH(S$8,FS_Y!5:5,0)))</f>
        <v/>
      </c>
      <c r="T10" s="140">
        <f>(INDEX(FS_Y!13:13,MATCH(T$8,FS_Y!5:5,0)))</f>
        <v/>
      </c>
      <c r="U10" s="140">
        <f>(INDEX(FS_Y!13:13,MATCH(U$8,FS_Y!5:5,0)))</f>
        <v/>
      </c>
      <c r="V10" s="140">
        <f>(INDEX(FS_Y!13:13,MATCH(V$8,FS_Y!5:5,0)))</f>
        <v/>
      </c>
      <c r="X10" t="inlineStr">
        <is>
          <t>Share Price (USD)</t>
        </is>
      </c>
      <c r="Y10" s="751">
        <f>Valuation!B7</f>
        <v/>
      </c>
    </row>
    <row r="11" ht="13" customHeight="1">
      <c r="B11" s="31" t="inlineStr">
        <is>
          <t>EBIT</t>
        </is>
      </c>
      <c r="C11" s="140" t="n"/>
      <c r="D11" s="140">
        <f>(INDEX(FS_Y!19:19,MATCH(D$8,FS_Y!5:5,0)))</f>
        <v/>
      </c>
      <c r="E11" s="140">
        <f>(INDEX(FS_Y!19:19,MATCH(E$8,FS_Y!5:5,0)))</f>
        <v/>
      </c>
      <c r="F11" s="140">
        <f>(INDEX(FS_Y!19:19,MATCH(F$8,FS_Y!5:5,0)))</f>
        <v/>
      </c>
      <c r="G11" s="140">
        <f>(INDEX(FS_Y!19:19,MATCH(G$8,FS_Y!5:5,0)))</f>
        <v/>
      </c>
      <c r="H11" s="140">
        <f>(INDEX(FS_Y!19:19,MATCH(H$8,FS_Y!5:5,0)))</f>
        <v/>
      </c>
      <c r="I11" s="140">
        <f>(INDEX(FS_Y!19:19,MATCH(I$8,FS_Y!5:5,0)))</f>
        <v/>
      </c>
      <c r="J11" s="140">
        <f>(INDEX(FS_Y!19:19,MATCH(J$8,FS_Y!5:5,0)))</f>
        <v/>
      </c>
      <c r="K11" s="140">
        <f>(INDEX(FS_Y!19:19,MATCH(K$8,FS_Y!5:5,0)))</f>
        <v/>
      </c>
      <c r="L11" s="140">
        <f>(INDEX(FS_Y!19:19,MATCH(L$8,FS_Y!5:5,0)))</f>
        <v/>
      </c>
      <c r="M11" s="140">
        <f>(INDEX(FS_Y!19:19,MATCH(M$8,FS_Y!5:5,0)))</f>
        <v/>
      </c>
      <c r="N11" s="140">
        <f>(INDEX(FS_Y!19:19,MATCH(N$8,FS_Y!5:5,0)))</f>
        <v/>
      </c>
      <c r="O11" s="140">
        <f>(INDEX(FS_Y!19:19,MATCH(O$8,FS_Y!5:5,0)))</f>
        <v/>
      </c>
      <c r="P11" s="140">
        <f>(INDEX(FS_Y!19:19,MATCH(P$8,FS_Y!5:5,0)))</f>
        <v/>
      </c>
      <c r="Q11" s="140">
        <f>(INDEX(FS_Y!19:19,MATCH(Q$8,FS_Y!5:5,0)))</f>
        <v/>
      </c>
      <c r="R11" s="140">
        <f>(INDEX(FS_Y!19:19,MATCH(R$8,FS_Y!5:5,0)))</f>
        <v/>
      </c>
      <c r="S11" s="140">
        <f>(INDEX(FS_Y!19:19,MATCH(S$8,FS_Y!5:5,0)))</f>
        <v/>
      </c>
      <c r="T11" s="140">
        <f>(INDEX(FS_Y!19:19,MATCH(T$8,FS_Y!5:5,0)))</f>
        <v/>
      </c>
      <c r="U11" s="140">
        <f>(INDEX(FS_Y!19:19,MATCH(U$8,FS_Y!5:5,0)))</f>
        <v/>
      </c>
      <c r="V11" s="140">
        <f>(INDEX(FS_Y!19:19,MATCH(V$8,FS_Y!5:5,0)))</f>
        <v/>
      </c>
      <c r="X11" t="inlineStr">
        <is>
          <t>Pricing Date</t>
        </is>
      </c>
      <c r="Y11" s="846">
        <f>Valuation!B8</f>
        <v/>
      </c>
    </row>
    <row r="12" ht="13" customHeight="1">
      <c r="B12" s="31" t="inlineStr">
        <is>
          <t>Pre-tax Profit</t>
        </is>
      </c>
      <c r="C12" s="140" t="n"/>
      <c r="D12" s="140">
        <f>(INDEX(FS_Y!23:23,MATCH(D$8,FS_Y!5:5,0)))</f>
        <v/>
      </c>
      <c r="E12" s="140">
        <f>(INDEX(FS_Y!23:23,MATCH(E$8,FS_Y!5:5,0)))</f>
        <v/>
      </c>
      <c r="F12" s="140">
        <f>(INDEX(FS_Y!23:23,MATCH(F$8,FS_Y!5:5,0)))</f>
        <v/>
      </c>
      <c r="G12" s="140">
        <f>(INDEX(FS_Y!23:23,MATCH(G$8,FS_Y!5:5,0)))</f>
        <v/>
      </c>
      <c r="H12" s="140">
        <f>(INDEX(FS_Y!23:23,MATCH(H$8,FS_Y!5:5,0)))</f>
        <v/>
      </c>
      <c r="I12" s="140">
        <f>(INDEX(FS_Y!23:23,MATCH(I$8,FS_Y!5:5,0)))</f>
        <v/>
      </c>
      <c r="J12" s="140">
        <f>(INDEX(FS_Y!23:23,MATCH(J$8,FS_Y!5:5,0)))</f>
        <v/>
      </c>
      <c r="K12" s="140">
        <f>(INDEX(FS_Y!23:23,MATCH(K$8,FS_Y!5:5,0)))</f>
        <v/>
      </c>
      <c r="L12" s="140">
        <f>(INDEX(FS_Y!23:23,MATCH(L$8,FS_Y!5:5,0)))</f>
        <v/>
      </c>
      <c r="M12" s="140">
        <f>(INDEX(FS_Y!23:23,MATCH(M$8,FS_Y!5:5,0)))</f>
        <v/>
      </c>
      <c r="N12" s="140">
        <f>(INDEX(FS_Y!23:23,MATCH(N$8,FS_Y!5:5,0)))</f>
        <v/>
      </c>
      <c r="O12" s="140">
        <f>(INDEX(FS_Y!23:23,MATCH(O$8,FS_Y!5:5,0)))</f>
        <v/>
      </c>
      <c r="P12" s="140">
        <f>(INDEX(FS_Y!23:23,MATCH(P$8,FS_Y!5:5,0)))</f>
        <v/>
      </c>
      <c r="Q12" s="140">
        <f>(INDEX(FS_Y!23:23,MATCH(Q$8,FS_Y!5:5,0)))</f>
        <v/>
      </c>
      <c r="R12" s="140">
        <f>(INDEX(FS_Y!23:23,MATCH(R$8,FS_Y!5:5,0)))</f>
        <v/>
      </c>
      <c r="S12" s="140">
        <f>(INDEX(FS_Y!23:23,MATCH(S$8,FS_Y!5:5,0)))</f>
        <v/>
      </c>
      <c r="T12" s="140">
        <f>(INDEX(FS_Y!23:23,MATCH(T$8,FS_Y!5:5,0)))</f>
        <v/>
      </c>
      <c r="U12" s="140">
        <f>(INDEX(FS_Y!23:23,MATCH(U$8,FS_Y!5:5,0)))</f>
        <v/>
      </c>
      <c r="V12" s="140">
        <f>(INDEX(FS_Y!23:23,MATCH(V$8,FS_Y!5:5,0)))</f>
        <v/>
      </c>
      <c r="X12" t="inlineStr">
        <is>
          <t>Shares Outstanding (Mn)</t>
        </is>
      </c>
      <c r="Y12" s="847">
        <f>Valuation!M30</f>
        <v/>
      </c>
      <c r="AA12" s="401" t="n"/>
    </row>
    <row r="13" ht="13" customHeight="1">
      <c r="B13" s="31" t="inlineStr">
        <is>
          <t>Attributable Net Income</t>
        </is>
      </c>
      <c r="C13" s="140" t="n"/>
      <c r="D13" s="140">
        <f>(INDEX(FS_Y!27:27,MATCH(D$8,FS_Y!5:5,0)))</f>
        <v/>
      </c>
      <c r="E13" s="140">
        <f>(INDEX(FS_Y!27:27,MATCH(E$8,FS_Y!5:5,0)))</f>
        <v/>
      </c>
      <c r="F13" s="140">
        <f>(INDEX(FS_Y!27:27,MATCH(F$8,FS_Y!5:5,0)))</f>
        <v/>
      </c>
      <c r="G13" s="140">
        <f>(INDEX(FS_Y!27:27,MATCH(G$8,FS_Y!5:5,0)))</f>
        <v/>
      </c>
      <c r="H13" s="140">
        <f>(INDEX(FS_Y!27:27,MATCH(H$8,FS_Y!5:5,0)))</f>
        <v/>
      </c>
      <c r="I13" s="140">
        <f>(INDEX(FS_Y!27:27,MATCH(I$8,FS_Y!5:5,0)))</f>
        <v/>
      </c>
      <c r="J13" s="140">
        <f>(INDEX(FS_Y!27:27,MATCH(J$8,FS_Y!5:5,0)))</f>
        <v/>
      </c>
      <c r="K13" s="140">
        <f>(INDEX(FS_Y!27:27,MATCH(K$8,FS_Y!5:5,0)))</f>
        <v/>
      </c>
      <c r="L13" s="140">
        <f>(INDEX(FS_Y!27:27,MATCH(L$8,FS_Y!5:5,0)))</f>
        <v/>
      </c>
      <c r="M13" s="140">
        <f>(INDEX(FS_Y!27:27,MATCH(M$8,FS_Y!5:5,0)))</f>
        <v/>
      </c>
      <c r="N13" s="140">
        <f>(INDEX(FS_Y!27:27,MATCH(N$8,FS_Y!5:5,0)))</f>
        <v/>
      </c>
      <c r="O13" s="140">
        <f>(INDEX(FS_Y!27:27,MATCH(O$8,FS_Y!5:5,0)))</f>
        <v/>
      </c>
      <c r="P13" s="140">
        <f>(INDEX(FS_Y!27:27,MATCH(P$8,FS_Y!5:5,0)))</f>
        <v/>
      </c>
      <c r="Q13" s="140">
        <f>(INDEX(FS_Y!27:27,MATCH(Q$8,FS_Y!5:5,0)))</f>
        <v/>
      </c>
      <c r="R13" s="140">
        <f>(INDEX(FS_Y!27:27,MATCH(R$8,FS_Y!5:5,0)))</f>
        <v/>
      </c>
      <c r="S13" s="140">
        <f>(INDEX(FS_Y!27:27,MATCH(S$8,FS_Y!5:5,0)))</f>
        <v/>
      </c>
      <c r="T13" s="140">
        <f>(INDEX(FS_Y!27:27,MATCH(T$8,FS_Y!5:5,0)))</f>
        <v/>
      </c>
      <c r="U13" s="140">
        <f>(INDEX(FS_Y!27:27,MATCH(U$8,FS_Y!5:5,0)))</f>
        <v/>
      </c>
      <c r="V13" s="140">
        <f>(INDEX(FS_Y!27:27,MATCH(V$8,FS_Y!5:5,0)))</f>
        <v/>
      </c>
      <c r="X13" t="inlineStr">
        <is>
          <t>Market cap (USD Mn)</t>
        </is>
      </c>
      <c r="Y13" s="848">
        <f>Y12*Y10</f>
        <v/>
      </c>
    </row>
    <row r="14" ht="13" customHeight="1">
      <c r="B14" s="31" t="inlineStr">
        <is>
          <t>EBITDA</t>
        </is>
      </c>
      <c r="C14" s="140" t="n"/>
      <c r="D14" s="140">
        <f>INDEX(FS_Y!$137:$137,MATCH(Summary!D$8,FS_Y!$5:$5,0))</f>
        <v/>
      </c>
      <c r="E14" s="140">
        <f>INDEX(FS_Y!$137:$137,MATCH(Summary!E$8,FS_Y!$5:$5,0))</f>
        <v/>
      </c>
      <c r="F14" s="140">
        <f>INDEX(FS_Y!$137:$137,MATCH(Summary!F$8,FS_Y!$5:$5,0))</f>
        <v/>
      </c>
      <c r="G14" s="140">
        <f>INDEX(FS_Y!$137:$137,MATCH(Summary!G$8,FS_Y!$5:$5,0))</f>
        <v/>
      </c>
      <c r="H14" s="140">
        <f>INDEX(FS_Y!$137:$137,MATCH(Summary!H$8,FS_Y!$5:$5,0))</f>
        <v/>
      </c>
      <c r="I14" s="140">
        <f>INDEX(FS_Y!$137:$137,MATCH(Summary!I$8,FS_Y!$5:$5,0))</f>
        <v/>
      </c>
      <c r="J14" s="140">
        <f>INDEX(FS_Y!$137:$137,MATCH(Summary!J$8,FS_Y!$5:$5,0))</f>
        <v/>
      </c>
      <c r="K14" s="140">
        <f>INDEX(FS_Y!$137:$137,MATCH(Summary!K$8,FS_Y!$5:$5,0))</f>
        <v/>
      </c>
      <c r="L14" s="140">
        <f>INDEX(FS_Y!$137:$137,MATCH(Summary!L$8,FS_Y!$5:$5,0))</f>
        <v/>
      </c>
      <c r="M14" s="140">
        <f>INDEX(FS_Y!$137:$137,MATCH(Summary!M$8,FS_Y!$5:$5,0))</f>
        <v/>
      </c>
      <c r="N14" s="140">
        <f>INDEX(FS_Y!$137:$137,MATCH(Summary!N$8,FS_Y!$5:$5,0))</f>
        <v/>
      </c>
      <c r="O14" s="140">
        <f>INDEX(FS_Y!$137:$137,MATCH(Summary!O$8,FS_Y!$5:$5,0))</f>
        <v/>
      </c>
      <c r="P14" s="140">
        <f>INDEX(FS_Y!$137:$137,MATCH(Summary!P$8,FS_Y!$5:$5,0))</f>
        <v/>
      </c>
      <c r="Q14" s="140">
        <f>INDEX(FS_Y!$137:$137,MATCH(Summary!Q$8,FS_Y!$5:$5,0))</f>
        <v/>
      </c>
      <c r="R14" s="140">
        <f>INDEX(FS_Y!$137:$137,MATCH(Summary!R$8,FS_Y!$5:$5,0))</f>
        <v/>
      </c>
      <c r="S14" s="140">
        <f>INDEX(FS_Y!$137:$137,MATCH(Summary!S$8,FS_Y!$5:$5,0))</f>
        <v/>
      </c>
      <c r="T14" s="140">
        <f>INDEX(FS_Y!$137:$137,MATCH(Summary!T$8,FS_Y!$5:$5,0))</f>
        <v/>
      </c>
      <c r="U14" s="140">
        <f>INDEX(FS_Y!$137:$137,MATCH(Summary!U$8,FS_Y!$5:$5,0))</f>
        <v/>
      </c>
      <c r="V14" s="140">
        <f>INDEX(FS_Y!$137:$137,MATCH(Summary!V$8,FS_Y!$5:$5,0))</f>
        <v/>
      </c>
      <c r="Y14" s="849" t="n"/>
    </row>
    <row r="15" ht="13" customHeight="1">
      <c r="B15" s="183" t="inlineStr">
        <is>
          <t>EPS (Basic) (USD)</t>
        </is>
      </c>
      <c r="C15" s="187" t="n"/>
      <c r="D15" s="187">
        <f>(INDEX(FS_Y!29:29,,MATCH(D$8,FS_Y!5:5,0)))</f>
        <v/>
      </c>
      <c r="E15" s="187">
        <f>(INDEX(FS_Y!29:29,,MATCH(E$8,FS_Y!5:5,0)))</f>
        <v/>
      </c>
      <c r="F15" s="187">
        <f>(INDEX(FS_Y!29:29,,MATCH(F$8,FS_Y!5:5,0)))</f>
        <v/>
      </c>
      <c r="G15" s="187">
        <f>(INDEX(FS_Y!29:29,,MATCH(G$8,FS_Y!5:5,0)))</f>
        <v/>
      </c>
      <c r="H15" s="187">
        <f>(INDEX(FS_Y!29:29,,MATCH(H$8,FS_Y!5:5,0)))</f>
        <v/>
      </c>
      <c r="I15" s="187">
        <f>(INDEX(FS_Y!29:29,,MATCH(I$8,FS_Y!5:5,0)))</f>
        <v/>
      </c>
      <c r="J15" s="187">
        <f>(INDEX(FS_Y!29:29,,MATCH(J$8,FS_Y!5:5,0)))</f>
        <v/>
      </c>
      <c r="K15" s="187">
        <f>(INDEX(FS_Y!29:29,,MATCH(K$8,FS_Y!5:5,0)))</f>
        <v/>
      </c>
      <c r="L15" s="187">
        <f>(INDEX(FS_Y!29:29,,MATCH(L$8,FS_Y!5:5,0)))</f>
        <v/>
      </c>
      <c r="M15" s="187">
        <f>(INDEX(FS_Y!29:29,,MATCH(M$8,FS_Y!5:5,0)))</f>
        <v/>
      </c>
      <c r="N15" s="187">
        <f>(INDEX(FS_Y!29:29,,MATCH(N$8,FS_Y!5:5,0)))</f>
        <v/>
      </c>
      <c r="O15" s="187">
        <f>(INDEX(FS_Y!29:29,,MATCH(O$8,FS_Y!5:5,0)))</f>
        <v/>
      </c>
      <c r="P15" s="187">
        <f>(INDEX(FS_Y!29:29,,MATCH(P$8,FS_Y!5:5,0)))</f>
        <v/>
      </c>
      <c r="Q15" s="187">
        <f>(INDEX(FS_Y!29:29,,MATCH(Q$8,FS_Y!5:5,0)))</f>
        <v/>
      </c>
      <c r="R15" s="187">
        <f>(INDEX(FS_Y!29:29,,MATCH(R$8,FS_Y!5:5,0)))</f>
        <v/>
      </c>
      <c r="S15" s="187">
        <f>(INDEX(FS_Y!29:29,,MATCH(S$8,FS_Y!5:5,0)))</f>
        <v/>
      </c>
      <c r="T15" s="187">
        <f>(INDEX(FS_Y!29:29,,MATCH(T$8,FS_Y!5:5,0)))</f>
        <v/>
      </c>
      <c r="U15" s="187">
        <f>(INDEX(FS_Y!29:29,,MATCH(U$8,FS_Y!5:5,0)))</f>
        <v/>
      </c>
      <c r="V15" s="187">
        <f>(INDEX(FS_Y!29:29,,MATCH(V$8,FS_Y!5:5,0)))</f>
        <v/>
      </c>
      <c r="X15" t="inlineStr">
        <is>
          <t>Float</t>
        </is>
      </c>
      <c r="Y15" s="850">
        <f>45.3/(Y12/1000)</f>
        <v/>
      </c>
    </row>
    <row r="16" ht="13" customHeight="1">
      <c r="B16" s="176" t="inlineStr">
        <is>
          <t>EPS (Diluted) (USD)</t>
        </is>
      </c>
      <c r="C16" s="185" t="n"/>
      <c r="D16" s="185">
        <f>(INDEX(FS_Y!30:30,MATCH(D$8,FS_Y!5:5,0)))</f>
        <v/>
      </c>
      <c r="E16" s="185">
        <f>(INDEX(FS_Y!30:30,MATCH(E$8,FS_Y!5:5,0)))</f>
        <v/>
      </c>
      <c r="F16" s="185">
        <f>(INDEX(FS_Y!30:30,MATCH(F$8,FS_Y!5:5,0)))</f>
        <v/>
      </c>
      <c r="G16" s="185">
        <f>(INDEX(FS_Y!30:30,MATCH(G$8,FS_Y!5:5,0)))</f>
        <v/>
      </c>
      <c r="H16" s="185">
        <f>(INDEX(FS_Y!30:30,MATCH(H$8,FS_Y!5:5,0)))</f>
        <v/>
      </c>
      <c r="I16" s="185">
        <f>(INDEX(FS_Y!30:30,MATCH(I$8,FS_Y!5:5,0)))</f>
        <v/>
      </c>
      <c r="J16" s="185">
        <f>(INDEX(FS_Y!30:30,MATCH(J$8,FS_Y!5:5,0)))</f>
        <v/>
      </c>
      <c r="K16" s="185">
        <f>(INDEX(FS_Y!30:30,MATCH(K$8,FS_Y!5:5,0)))</f>
        <v/>
      </c>
      <c r="L16" s="185">
        <f>(INDEX(FS_Y!30:30,MATCH(L$8,FS_Y!5:5,0)))</f>
        <v/>
      </c>
      <c r="M16" s="185">
        <f>(INDEX(FS_Y!30:30,MATCH(M$8,FS_Y!5:5,0)))</f>
        <v/>
      </c>
      <c r="N16" s="185">
        <f>(INDEX(FS_Y!30:30,MATCH(N$8,FS_Y!5:5,0)))</f>
        <v/>
      </c>
      <c r="O16" s="185">
        <f>(INDEX(FS_Y!30:30,MATCH(O$8,FS_Y!5:5,0)))</f>
        <v/>
      </c>
      <c r="P16" s="185">
        <f>(INDEX(FS_Y!30:30,MATCH(P$8,FS_Y!5:5,0)))</f>
        <v/>
      </c>
      <c r="Q16" s="185">
        <f>(INDEX(FS_Y!30:30,MATCH(Q$8,FS_Y!5:5,0)))</f>
        <v/>
      </c>
      <c r="R16" s="185">
        <f>(INDEX(FS_Y!30:30,MATCH(R$8,FS_Y!5:5,0)))</f>
        <v/>
      </c>
      <c r="S16" s="185">
        <f>(INDEX(FS_Y!30:30,MATCH(S$8,FS_Y!5:5,0)))</f>
        <v/>
      </c>
      <c r="T16" s="185">
        <f>(INDEX(FS_Y!30:30,MATCH(T$8,FS_Y!5:5,0)))</f>
        <v/>
      </c>
      <c r="U16" s="185">
        <f>(INDEX(FS_Y!30:30,MATCH(U$8,FS_Y!5:5,0)))</f>
        <v/>
      </c>
      <c r="V16" s="185">
        <f>(INDEX(FS_Y!30:30,MATCH(V$8,FS_Y!5:5,0)))</f>
        <v/>
      </c>
      <c r="X16" t="inlineStr">
        <is>
          <t>Avg. Volume (Mil Shares)</t>
        </is>
      </c>
      <c r="Y16" s="558" t="n">
        <v>0.59</v>
      </c>
    </row>
    <row r="17" ht="13" customHeight="1">
      <c r="B17" s="31" t="inlineStr">
        <is>
          <t>P/B (x)</t>
        </is>
      </c>
      <c r="C17" s="851" t="n"/>
      <c r="D17" s="851">
        <f>$Y$10/INDEX(FS_Y!181:181,MATCH(D8,FS_Y!5:5,0))</f>
        <v/>
      </c>
      <c r="E17" s="851">
        <f>$Y$10/INDEX(FS_Y!181:181,MATCH(E8,FS_Y!5:5,0))</f>
        <v/>
      </c>
      <c r="F17" s="851">
        <f>$Y$10/INDEX(FS_Y!181:181,MATCH(F8,FS_Y!5:5,0))</f>
        <v/>
      </c>
      <c r="G17" s="851">
        <f>$Y$10/INDEX(FS_Y!$182:$182,MATCH(G$8,FS_Y!$5:$5,0))</f>
        <v/>
      </c>
      <c r="H17" s="851">
        <f>$Y$10/INDEX(FS_Y!$182:$182,MATCH(H$8,FS_Y!$5:$5,0))</f>
        <v/>
      </c>
      <c r="I17" s="851">
        <f>$Y$10/INDEX(FS_Y!$182:$182,MATCH(I$8,FS_Y!$5:$5,0))</f>
        <v/>
      </c>
      <c r="J17" s="851">
        <f>$Y$10/INDEX(FS_Y!$182:$182,MATCH(J$8,FS_Y!$5:$5,0))</f>
        <v/>
      </c>
      <c r="K17" s="851">
        <f>$Y$10/INDEX(FS_Y!$182:$182,MATCH(K$8,FS_Y!$5:$5,0))</f>
        <v/>
      </c>
      <c r="L17" s="851">
        <f>$Y$10/INDEX(FS_Y!$182:$182,MATCH(L$8,FS_Y!$5:$5,0))</f>
        <v/>
      </c>
      <c r="M17" s="851">
        <f>$Y$10/INDEX(FS_Y!$182:$182,MATCH(M$8,FS_Y!$5:$5,0))</f>
        <v/>
      </c>
      <c r="N17" s="851">
        <f>$Y$10/INDEX(FS_Y!$182:$182,MATCH(N$8,FS_Y!$5:$5,0))</f>
        <v/>
      </c>
      <c r="O17" s="851">
        <f>$Y$10/INDEX(FS_Y!$182:$182,MATCH(O$8,FS_Y!$5:$5,0))</f>
        <v/>
      </c>
      <c r="P17" s="851">
        <f>$Y$10/INDEX(FS_Y!$182:$182,MATCH(P$8,FS_Y!$5:$5,0))</f>
        <v/>
      </c>
      <c r="Q17" s="851">
        <f>$Y$10/INDEX(FS_Y!$182:$182,MATCH(Q$8,FS_Y!$5:$5,0))</f>
        <v/>
      </c>
      <c r="R17" s="851">
        <f>$Y$10/INDEX(FS_Y!$182:$182,MATCH(R$8,FS_Y!$5:$5,0))</f>
        <v/>
      </c>
      <c r="S17" s="851">
        <f>$Y$10/INDEX(FS_Y!$182:$182,MATCH(S$8,FS_Y!$5:$5,0))</f>
        <v/>
      </c>
      <c r="T17" s="851">
        <f>$Y$10/INDEX(FS_Y!$182:$182,MATCH(T$8,FS_Y!$5:$5,0))</f>
        <v/>
      </c>
      <c r="U17" s="851">
        <f>$Y$10/INDEX(FS_Y!$182:$182,MATCH(U$8,FS_Y!$5:$5,0))</f>
        <v/>
      </c>
      <c r="V17" s="851">
        <f>$Y$10/INDEX(FS_Y!$182:$182,MATCH(V$8,FS_Y!$5:$5,0))</f>
        <v/>
      </c>
      <c r="X17" t="inlineStr">
        <is>
          <t>Fiscal Year End</t>
        </is>
      </c>
      <c r="Y17" s="852" t="inlineStr">
        <is>
          <t>December</t>
        </is>
      </c>
    </row>
    <row r="18" ht="13" customHeight="1">
      <c r="B18" s="31" t="inlineStr">
        <is>
          <t>P/E (x)</t>
        </is>
      </c>
      <c r="C18" s="851" t="n"/>
      <c r="D18" s="851">
        <f>$Y$10/INDEX(FS_Y!29:29,MATCH(D8,FS_Y!5:5,0))</f>
        <v/>
      </c>
      <c r="E18" s="851">
        <f>$Y$10/INDEX(FS_Y!29:29,MATCH(E8,FS_Y!5:5,0))</f>
        <v/>
      </c>
      <c r="F18" s="851">
        <f>$Y$10/INDEX(FS_Y!29:29,MATCH(F8,FS_Y!5:5,0))</f>
        <v/>
      </c>
      <c r="G18" s="851">
        <f>$Y$10/INDEX(FS_Y!29:29,MATCH(G8,FS_Y!5:5,0))</f>
        <v/>
      </c>
      <c r="H18" s="851">
        <f>$Y$10/H16</f>
        <v/>
      </c>
      <c r="I18" s="851">
        <f>$Y$10/I16</f>
        <v/>
      </c>
      <c r="J18" s="851">
        <f>$Y$10/J16</f>
        <v/>
      </c>
      <c r="K18" s="851">
        <f>$Y$10/K16</f>
        <v/>
      </c>
      <c r="L18" s="851">
        <f>$Y$10/L16</f>
        <v/>
      </c>
      <c r="M18" s="851">
        <f>$Y$10/M16</f>
        <v/>
      </c>
      <c r="N18" s="851">
        <f>$Y$10/N16</f>
        <v/>
      </c>
      <c r="O18" s="851">
        <f>$Y$10/O16</f>
        <v/>
      </c>
      <c r="P18" s="851">
        <f>$Y$10/P16</f>
        <v/>
      </c>
      <c r="Q18" s="851">
        <f>$Y$10/Q16</f>
        <v/>
      </c>
      <c r="R18" s="851">
        <f>$Y$10/R16</f>
        <v/>
      </c>
      <c r="S18" s="851">
        <f>$Y$10/S16</f>
        <v/>
      </c>
      <c r="T18" s="851">
        <f>$Y$10/T16</f>
        <v/>
      </c>
      <c r="U18" s="851">
        <f>$Y$10/U16</f>
        <v/>
      </c>
      <c r="V18" s="851">
        <f>$Y$10/V16</f>
        <v/>
      </c>
      <c r="X18" s="184" t="n"/>
      <c r="Y18" s="184" t="n"/>
    </row>
    <row r="19" ht="13" customHeight="1">
      <c r="B19" t="inlineStr">
        <is>
          <t>EV/IC (x)</t>
        </is>
      </c>
      <c r="C19" s="851" t="n"/>
      <c r="D19" s="851">
        <f>(Valuation!$M$35)/INDEX(FS_Y!161:161,MATCH(D8,FS_Y!5:5,0))</f>
        <v/>
      </c>
      <c r="E19" s="851">
        <f>(Valuation!$M$35)/INDEX(FS_Y!161:161,MATCH(E8,FS_Y!5:5,0))</f>
        <v/>
      </c>
      <c r="F19" s="851">
        <f>(Valuation!$M$35)/INDEX(FS_Y!161:161,MATCH(F8,FS_Y!5:5,0))</f>
        <v/>
      </c>
      <c r="G19" s="851">
        <f>(Valuation!$M$35)/INDEX(FS_Y!161:161,MATCH(G8,FS_Y!5:5,0))</f>
        <v/>
      </c>
      <c r="H19" s="851">
        <f>(Valuation!$M$35)/INDEX(FS_Y!161:161,MATCH(H8,FS_Y!5:5,0))</f>
        <v/>
      </c>
      <c r="I19" s="851">
        <f>(Valuation!$M$35)/INDEX(FS_Y!161:161,MATCH(I8,FS_Y!5:5,0))</f>
        <v/>
      </c>
      <c r="J19" s="851">
        <f>(Valuation!$M$35)/INDEX(FS_Y!161:161,MATCH(J8,FS_Y!5:5,0))</f>
        <v/>
      </c>
      <c r="K19" s="851">
        <f>(Valuation!$M$35)/INDEX(FS_Y!161:161,MATCH(K8,FS_Y!5:5,0))</f>
        <v/>
      </c>
      <c r="L19" s="851">
        <f>(Valuation!$M$35)/INDEX(FS_Y!161:161,MATCH(L8,FS_Y!5:5,0))</f>
        <v/>
      </c>
      <c r="M19" s="851">
        <f>(Valuation!$M$35)/INDEX(FS_Y!161:161,MATCH(M8,FS_Y!5:5,0))</f>
        <v/>
      </c>
      <c r="N19" s="851">
        <f>(Valuation!$M$35)/INDEX(FS_Y!161:161,MATCH(N8,FS_Y!5:5,0))</f>
        <v/>
      </c>
      <c r="O19" s="851">
        <f>(Valuation!$M$35)/INDEX(FS_Y!161:161,MATCH(O8,FS_Y!5:5,0))</f>
        <v/>
      </c>
      <c r="P19" s="851">
        <f>(Valuation!$M$35)/INDEX(FS_Y!161:161,MATCH(P8,FS_Y!5:5,0))</f>
        <v/>
      </c>
      <c r="Q19" s="851">
        <f>(Valuation!$M$35)/INDEX(FS_Y!161:161,MATCH(Q8,FS_Y!5:5,0))</f>
        <v/>
      </c>
      <c r="R19" s="851">
        <f>(Valuation!$M$35)/INDEX(FS_Y!161:161,MATCH(R8,FS_Y!5:5,0))</f>
        <v/>
      </c>
      <c r="S19" s="851">
        <f>(Valuation!$M$35)/INDEX(FS_Y!161:161,MATCH(S8,FS_Y!5:5,0))</f>
        <v/>
      </c>
      <c r="T19" s="851">
        <f>(Valuation!$M$35)/INDEX(FS_Y!161:161,MATCH(T8,FS_Y!5:5,0))</f>
        <v/>
      </c>
      <c r="U19" s="851">
        <f>(Valuation!$M$35)/INDEX(FS_Y!161:161,MATCH(U8,FS_Y!5:5,0))</f>
        <v/>
      </c>
      <c r="V19" s="851">
        <f>(Valuation!$M$35)/INDEX(FS_Y!161:161,MATCH(V8,FS_Y!5:5,0))</f>
        <v/>
      </c>
      <c r="X19" s="181" t="n"/>
      <c r="Y19" s="853" t="n"/>
    </row>
    <row r="20" ht="13" customHeight="1">
      <c r="B20" s="31" t="inlineStr">
        <is>
          <t>EV/EBITDA (x)</t>
        </is>
      </c>
      <c r="C20" s="851" t="n"/>
      <c r="D20" s="851">
        <f>(Valuation!$M$35)/INDEX(FS_Y!137:137,MATCH(D8,FS_Y!5:5,0))</f>
        <v/>
      </c>
      <c r="E20" s="851">
        <f>(Valuation!$M$35)/INDEX(FS_Y!137:137,MATCH(E8,FS_Y!5:5,0))</f>
        <v/>
      </c>
      <c r="F20" s="851">
        <f>(Valuation!$M$35)/INDEX(FS_Y!137:137,MATCH(F8,FS_Y!5:5,0))</f>
        <v/>
      </c>
      <c r="G20" s="851">
        <f>(Valuation!$M$35)/INDEX(FS_Y!137:137,MATCH(G8,FS_Y!5:5,0))</f>
        <v/>
      </c>
      <c r="H20" s="851">
        <f>(Valuation!$M$35)/INDEX(FS_Y!137:137,MATCH(H8,FS_Y!5:5,0))</f>
        <v/>
      </c>
      <c r="I20" s="851">
        <f>(Valuation!$M$35)/INDEX(FS_Y!137:137,MATCH(I8,FS_Y!5:5,0))</f>
        <v/>
      </c>
      <c r="J20" s="851">
        <f>(Valuation!$M$35)/INDEX(FS_Y!137:137,MATCH(J8,FS_Y!5:5,0))</f>
        <v/>
      </c>
      <c r="K20" s="851">
        <f>(Valuation!$M$35)/INDEX(FS_Y!137:137,MATCH(K8,FS_Y!5:5,0))</f>
        <v/>
      </c>
      <c r="L20" s="851">
        <f>(Valuation!$M$35)/INDEX(FS_Y!137:137,MATCH(L8,FS_Y!5:5,0))</f>
        <v/>
      </c>
      <c r="M20" s="851">
        <f>(Valuation!$M$35)/INDEX(FS_Y!137:137,MATCH(M8,FS_Y!5:5,0))</f>
        <v/>
      </c>
      <c r="N20" s="851">
        <f>(Valuation!$M$35)/INDEX(FS_Y!137:137,MATCH(N8,FS_Y!5:5,0))</f>
        <v/>
      </c>
      <c r="O20" s="851">
        <f>(Valuation!$M$35)/INDEX(FS_Y!137:137,MATCH(O8,FS_Y!5:5,0))</f>
        <v/>
      </c>
      <c r="P20" s="851">
        <f>(Valuation!$M$35)/INDEX(FS_Y!137:137,MATCH(P8,FS_Y!5:5,0))</f>
        <v/>
      </c>
      <c r="Q20" s="851">
        <f>(Valuation!$M$35)/INDEX(FS_Y!137:137,MATCH(Q8,FS_Y!5:5,0))</f>
        <v/>
      </c>
      <c r="R20" s="851">
        <f>(Valuation!$M$35)/INDEX(FS_Y!137:137,MATCH(R8,FS_Y!5:5,0))</f>
        <v/>
      </c>
      <c r="S20" s="851">
        <f>(Valuation!$M$35)/INDEX(FS_Y!137:137,MATCH(S8,FS_Y!5:5,0))</f>
        <v/>
      </c>
      <c r="T20" s="851">
        <f>(Valuation!$M$35)/INDEX(FS_Y!137:137,MATCH(T8,FS_Y!5:5,0))</f>
        <v/>
      </c>
      <c r="U20" s="851">
        <f>(Valuation!$M$35)/INDEX(FS_Y!137:137,MATCH(U8,FS_Y!5:5,0))</f>
        <v/>
      </c>
      <c r="V20" s="851">
        <f>(Valuation!$M$35)/INDEX(FS_Y!137:137,MATCH(V8,FS_Y!5:5,0))</f>
        <v/>
      </c>
      <c r="Y20" s="854" t="n"/>
    </row>
    <row r="21" ht="13" customHeight="1">
      <c r="B21" s="183" t="inlineStr">
        <is>
          <t>ROIC (excl. investment)</t>
        </is>
      </c>
      <c r="C21" s="855" t="n"/>
      <c r="D21" s="855">
        <f>(INDEX(FS_Y!177:177,,MATCH(D$8,FS_Y!5:5,0)))</f>
        <v/>
      </c>
      <c r="E21" s="855">
        <f>(INDEX(FS_Y!177:177,,MATCH(E$8,FS_Y!5:5,0)))</f>
        <v/>
      </c>
      <c r="F21" s="855">
        <f>(INDEX(FS_Y!177:177,,MATCH(F$8,FS_Y!5:5,0)))</f>
        <v/>
      </c>
      <c r="G21" s="855">
        <f>(INDEX(FS_Y!177:177,,MATCH(G$8,FS_Y!5:5,0)))</f>
        <v/>
      </c>
      <c r="H21" s="855">
        <f>(INDEX(FS_Y!177:177,,MATCH(H$8,FS_Y!5:5,0)))</f>
        <v/>
      </c>
      <c r="I21" s="855">
        <f>(INDEX(FS_Y!177:177,,MATCH(I$8,FS_Y!5:5,0)))</f>
        <v/>
      </c>
      <c r="J21" s="855">
        <f>(INDEX(FS_Y!177:177,,MATCH(J$8,FS_Y!5:5,0)))</f>
        <v/>
      </c>
      <c r="K21" s="855">
        <f>(INDEX(FS_Y!177:177,,MATCH(K$8,FS_Y!5:5,0)))</f>
        <v/>
      </c>
      <c r="L21" s="855">
        <f>(INDEX(FS_Y!177:177,,MATCH(L$8,FS_Y!5:5,0)))</f>
        <v/>
      </c>
      <c r="M21" s="855">
        <f>(INDEX(FS_Y!177:177,,MATCH(M$8,FS_Y!5:5,0)))</f>
        <v/>
      </c>
      <c r="N21" s="855">
        <f>(INDEX(FS_Y!177:177,,MATCH(N$8,FS_Y!5:5,0)))</f>
        <v/>
      </c>
      <c r="O21" s="855">
        <f>(INDEX(FS_Y!177:177,,MATCH(O$8,FS_Y!5:5,0)))</f>
        <v/>
      </c>
      <c r="P21" s="855">
        <f>(INDEX(FS_Y!177:177,,MATCH(P$8,FS_Y!5:5,0)))</f>
        <v/>
      </c>
      <c r="Q21" s="855">
        <f>(INDEX(FS_Y!177:177,,MATCH(Q$8,FS_Y!5:5,0)))</f>
        <v/>
      </c>
      <c r="R21" s="855">
        <f>(INDEX(FS_Y!177:177,,MATCH(R$8,FS_Y!5:5,0)))</f>
        <v/>
      </c>
      <c r="S21" s="855">
        <f>(INDEX(FS_Y!177:177,,MATCH(S$8,FS_Y!5:5,0)))</f>
        <v/>
      </c>
      <c r="T21" s="855">
        <f>(INDEX(FS_Y!177:177,,MATCH(T$8,FS_Y!5:5,0)))</f>
        <v/>
      </c>
      <c r="U21" s="855">
        <f>(INDEX(FS_Y!177:177,,MATCH(U$8,FS_Y!5:5,0)))</f>
        <v/>
      </c>
      <c r="V21" s="855">
        <f>(INDEX(FS_Y!177:177,,MATCH(V$8,FS_Y!5:5,0)))</f>
        <v/>
      </c>
      <c r="Y21" s="854" t="n"/>
    </row>
    <row r="22" ht="13" customHeight="1">
      <c r="B22" s="178" t="inlineStr">
        <is>
          <t>ROE (excl. comprehensive income)</t>
        </is>
      </c>
      <c r="C22" s="856" t="n"/>
      <c r="D22" s="856">
        <f>(INDEX(FS_Y!178:178,,MATCH(D$8,FS_Y!5:5,0)))</f>
        <v/>
      </c>
      <c r="E22" s="856">
        <f>(INDEX(FS_Y!178:178,,MATCH(E$8,FS_Y!5:5,0)))</f>
        <v/>
      </c>
      <c r="F22" s="856">
        <f>(INDEX(FS_Y!178:178,,MATCH(F$8,FS_Y!5:5,0)))</f>
        <v/>
      </c>
      <c r="G22" s="856">
        <f>(INDEX(FS_Y!178:178,,MATCH(G$8,FS_Y!5:5,0)))</f>
        <v/>
      </c>
      <c r="H22" s="856">
        <f>(INDEX(FS_Y!178:178,,MATCH(H$8,FS_Y!5:5,0)))</f>
        <v/>
      </c>
      <c r="I22" s="856">
        <f>(INDEX(FS_Y!178:178,,MATCH(I$8,FS_Y!5:5,0)))</f>
        <v/>
      </c>
      <c r="J22" s="856">
        <f>(INDEX(FS_Y!178:178,,MATCH(J$8,FS_Y!5:5,0)))</f>
        <v/>
      </c>
      <c r="K22" s="856">
        <f>(INDEX(FS_Y!178:178,,MATCH(K$8,FS_Y!5:5,0)))</f>
        <v/>
      </c>
      <c r="L22" s="856">
        <f>(INDEX(FS_Y!178:178,,MATCH(L$8,FS_Y!5:5,0)))</f>
        <v/>
      </c>
      <c r="M22" s="856">
        <f>(INDEX(FS_Y!178:178,,MATCH(M$8,FS_Y!5:5,0)))</f>
        <v/>
      </c>
      <c r="N22" s="856">
        <f>(INDEX(FS_Y!178:178,,MATCH(N$8,FS_Y!5:5,0)))</f>
        <v/>
      </c>
      <c r="O22" s="856">
        <f>(INDEX(FS_Y!178:178,,MATCH(O$8,FS_Y!5:5,0)))</f>
        <v/>
      </c>
      <c r="P22" s="856">
        <f>(INDEX(FS_Y!178:178,,MATCH(P$8,FS_Y!5:5,0)))</f>
        <v/>
      </c>
      <c r="Q22" s="856">
        <f>(INDEX(FS_Y!178:178,,MATCH(Q$8,FS_Y!5:5,0)))</f>
        <v/>
      </c>
      <c r="R22" s="856">
        <f>(INDEX(FS_Y!178:178,,MATCH(R$8,FS_Y!5:5,0)))</f>
        <v/>
      </c>
      <c r="S22" s="856">
        <f>(INDEX(FS_Y!178:178,,MATCH(S$8,FS_Y!5:5,0)))</f>
        <v/>
      </c>
      <c r="T22" s="856">
        <f>(INDEX(FS_Y!178:178,,MATCH(T$8,FS_Y!5:5,0)))</f>
        <v/>
      </c>
      <c r="U22" s="856">
        <f>(INDEX(FS_Y!178:178,,MATCH(U$8,FS_Y!5:5,0)))</f>
        <v/>
      </c>
      <c r="V22" s="856">
        <f>(INDEX(FS_Y!178:178,,MATCH(V$8,FS_Y!5:5,0)))</f>
        <v/>
      </c>
      <c r="Y22" s="854" t="n"/>
    </row>
    <row r="23" ht="13" customHeight="1">
      <c r="B23" s="183" t="inlineStr">
        <is>
          <t>Gross Margin</t>
        </is>
      </c>
      <c r="C23" s="855" t="n"/>
      <c r="D23" s="855">
        <f>D10/D9</f>
        <v/>
      </c>
      <c r="E23" s="855">
        <f>E10/E9</f>
        <v/>
      </c>
      <c r="F23" s="855">
        <f>F10/F9</f>
        <v/>
      </c>
      <c r="G23" s="855">
        <f>G10/G9</f>
        <v/>
      </c>
      <c r="H23" s="855">
        <f>H10/H9</f>
        <v/>
      </c>
      <c r="I23" s="855">
        <f>I10/I9</f>
        <v/>
      </c>
      <c r="J23" s="855">
        <f>J10/J9</f>
        <v/>
      </c>
      <c r="K23" s="855">
        <f>K10/K9</f>
        <v/>
      </c>
      <c r="L23" s="855">
        <f>L10/L9</f>
        <v/>
      </c>
      <c r="M23" s="855">
        <f>M10/M9</f>
        <v/>
      </c>
      <c r="N23" s="855">
        <f>N10/N9</f>
        <v/>
      </c>
      <c r="O23" s="855">
        <f>O10/O9</f>
        <v/>
      </c>
      <c r="P23" s="855">
        <f>P10/P9</f>
        <v/>
      </c>
      <c r="Q23" s="855">
        <f>Q10/Q9</f>
        <v/>
      </c>
      <c r="R23" s="855">
        <f>R10/R9</f>
        <v/>
      </c>
      <c r="S23" s="855">
        <f>S10/S9</f>
        <v/>
      </c>
      <c r="T23" s="855">
        <f>T10/T9</f>
        <v/>
      </c>
      <c r="U23" s="855">
        <f>U10/U9</f>
        <v/>
      </c>
      <c r="V23" s="855">
        <f>V10/V9</f>
        <v/>
      </c>
      <c r="Y23" s="489" t="n"/>
    </row>
    <row r="24" ht="13" customHeight="1">
      <c r="B24" s="31" t="inlineStr">
        <is>
          <t>EBIT Margin</t>
        </is>
      </c>
      <c r="C24" s="857" t="n"/>
      <c r="D24" s="857">
        <f>D11/D9</f>
        <v/>
      </c>
      <c r="E24" s="857">
        <f>E11/E9</f>
        <v/>
      </c>
      <c r="F24" s="857">
        <f>F11/F9</f>
        <v/>
      </c>
      <c r="G24" s="857">
        <f>G11/G9</f>
        <v/>
      </c>
      <c r="H24" s="857">
        <f>H11/H9</f>
        <v/>
      </c>
      <c r="I24" s="857">
        <f>I11/I9</f>
        <v/>
      </c>
      <c r="J24" s="857">
        <f>J11/J9</f>
        <v/>
      </c>
      <c r="K24" s="857">
        <f>K11/K9</f>
        <v/>
      </c>
      <c r="L24" s="857">
        <f>L11/L9</f>
        <v/>
      </c>
      <c r="M24" s="857">
        <f>M11/M9</f>
        <v/>
      </c>
      <c r="N24" s="857">
        <f>N11/N9</f>
        <v/>
      </c>
      <c r="O24" s="857">
        <f>O11/O9</f>
        <v/>
      </c>
      <c r="P24" s="857">
        <f>P11/P9</f>
        <v/>
      </c>
      <c r="Q24" s="857">
        <f>Q11/Q9</f>
        <v/>
      </c>
      <c r="R24" s="857">
        <f>R11/R9</f>
        <v/>
      </c>
      <c r="S24" s="857">
        <f>S11/S9</f>
        <v/>
      </c>
      <c r="T24" s="857">
        <f>T11/T9</f>
        <v/>
      </c>
      <c r="U24" s="857">
        <f>U11/U9</f>
        <v/>
      </c>
      <c r="V24" s="857">
        <f>V11/V9</f>
        <v/>
      </c>
      <c r="Y24" s="489" t="n"/>
    </row>
    <row r="25" ht="13" customHeight="1">
      <c r="B25" s="31" t="inlineStr">
        <is>
          <t>Net Margin (attraibutable)</t>
        </is>
      </c>
      <c r="C25" s="857" t="n"/>
      <c r="D25" s="857">
        <f>D13/D9</f>
        <v/>
      </c>
      <c r="E25" s="857">
        <f>E13/E9</f>
        <v/>
      </c>
      <c r="F25" s="857">
        <f>F13/F9</f>
        <v/>
      </c>
      <c r="G25" s="857">
        <f>G13/G9</f>
        <v/>
      </c>
      <c r="H25" s="857">
        <f>H13/H9</f>
        <v/>
      </c>
      <c r="I25" s="857">
        <f>I13/I9</f>
        <v/>
      </c>
      <c r="J25" s="857">
        <f>J13/J9</f>
        <v/>
      </c>
      <c r="K25" s="857">
        <f>K13/K9</f>
        <v/>
      </c>
      <c r="L25" s="857">
        <f>L13/L9</f>
        <v/>
      </c>
      <c r="M25" s="857">
        <f>M13/M9</f>
        <v/>
      </c>
      <c r="N25" s="857">
        <f>N13/N9</f>
        <v/>
      </c>
      <c r="O25" s="857">
        <f>O13/O9</f>
        <v/>
      </c>
      <c r="P25" s="857">
        <f>P13/P9</f>
        <v/>
      </c>
      <c r="Q25" s="857">
        <f>Q13/Q9</f>
        <v/>
      </c>
      <c r="R25" s="857">
        <f>R13/R9</f>
        <v/>
      </c>
      <c r="S25" s="857">
        <f>S13/S9</f>
        <v/>
      </c>
      <c r="T25" s="857">
        <f>T13/T9</f>
        <v/>
      </c>
      <c r="U25" s="857">
        <f>U13/U9</f>
        <v/>
      </c>
      <c r="V25" s="857">
        <f>V13/V9</f>
        <v/>
      </c>
    </row>
    <row r="26" ht="13" customHeight="1">
      <c r="B26" s="178" t="inlineStr">
        <is>
          <t>EBITDA Margin</t>
        </is>
      </c>
      <c r="C26" s="856" t="n"/>
      <c r="D26" s="856" t="n"/>
      <c r="E26" s="856" t="n"/>
      <c r="F26" s="856" t="n"/>
      <c r="G26" s="856" t="n"/>
      <c r="H26" s="856">
        <f>H14/H9</f>
        <v/>
      </c>
      <c r="I26" s="856">
        <f>I14/I9</f>
        <v/>
      </c>
      <c r="J26" s="856">
        <f>J14/J9</f>
        <v/>
      </c>
      <c r="K26" s="856">
        <f>K14/K9</f>
        <v/>
      </c>
      <c r="L26" s="856">
        <f>L14/L9</f>
        <v/>
      </c>
      <c r="M26" s="856">
        <f>M14/M9</f>
        <v/>
      </c>
      <c r="N26" s="856">
        <f>N14/N9</f>
        <v/>
      </c>
      <c r="O26" s="856">
        <f>O14/O9</f>
        <v/>
      </c>
      <c r="P26" s="856">
        <f>P14/P9</f>
        <v/>
      </c>
      <c r="Q26" s="856">
        <f>Q14/Q9</f>
        <v/>
      </c>
      <c r="R26" s="856">
        <f>R14/R9</f>
        <v/>
      </c>
      <c r="S26" s="856">
        <f>S14/S9</f>
        <v/>
      </c>
      <c r="T26" s="856">
        <f>T14/T9</f>
        <v/>
      </c>
      <c r="U26" s="856">
        <f>U14/U9</f>
        <v/>
      </c>
      <c r="V26" s="856">
        <f>V14/V9</f>
        <v/>
      </c>
    </row>
    <row r="27" ht="13" customHeight="1">
      <c r="B27" s="31" t="inlineStr">
        <is>
          <t>Revenue Growth</t>
        </is>
      </c>
      <c r="C27" s="850" t="n"/>
      <c r="D27" s="850" t="n"/>
      <c r="E27" s="850">
        <f>IF(AND(E9&gt;0,D9&gt;0),+E9/D9-1,"n.a.")</f>
        <v/>
      </c>
      <c r="F27" s="850">
        <f>IF(AND(F9&gt;0,E9&gt;0),+F9/E9-1,"n.a.")</f>
        <v/>
      </c>
      <c r="G27" s="850">
        <f>IF(AND(G9&gt;0,F9&gt;0),+G9/F9-1,"n.a.")</f>
        <v/>
      </c>
      <c r="H27" s="850">
        <f>IF(AND(H9&gt;0,G9&gt;0),+H9/G9-1,"n.a.")</f>
        <v/>
      </c>
      <c r="I27" s="850">
        <f>IF(AND(I9&gt;0,H9&gt;0),+I9/H9-1,"n.a.")</f>
        <v/>
      </c>
      <c r="J27" s="850">
        <f>IF(AND(J9&gt;0,I9&gt;0),+J9/I9-1,"n.a.")</f>
        <v/>
      </c>
      <c r="K27" s="850">
        <f>IF(AND(K9&gt;0,J9&gt;0),+K9/J9-1,"n.a.")</f>
        <v/>
      </c>
      <c r="L27" s="850">
        <f>IF(AND(L9&gt;0,K9&gt;0),+L9/K9-1,"n.a.")</f>
        <v/>
      </c>
      <c r="M27" s="850">
        <f>IF(AND(M9&gt;0,L9&gt;0),+M9/L9-1,"n.a.")</f>
        <v/>
      </c>
      <c r="N27" s="850">
        <f>IF(AND(N9&gt;0,M9&gt;0),+N9/M9-1,"n.a.")</f>
        <v/>
      </c>
      <c r="O27" s="850">
        <f>IF(AND(O9&gt;0,N9&gt;0),+O9/N9-1,"n.a.")</f>
        <v/>
      </c>
      <c r="P27" s="850">
        <f>IF(AND(P9&gt;0,O9&gt;0),+P9/O9-1,"n.a.")</f>
        <v/>
      </c>
      <c r="Q27" s="850">
        <f>IF(AND(Q9&gt;0,P9&gt;0),+Q9/P9-1,"n.a.")</f>
        <v/>
      </c>
      <c r="R27" s="850">
        <f>IF(AND(R9&gt;0,Q9&gt;0),+R9/Q9-1,"n.a.")</f>
        <v/>
      </c>
      <c r="S27" s="850">
        <f>IF(AND(S9&gt;0,R9&gt;0),+S9/R9-1,"n.a.")</f>
        <v/>
      </c>
      <c r="T27" s="850">
        <f>IF(AND(T9&gt;0,S9&gt;0),+T9/S9-1,"n.a.")</f>
        <v/>
      </c>
      <c r="U27" s="850">
        <f>IF(AND(U9&gt;0,T9&gt;0),+U9/T9-1,"n.a.")</f>
        <v/>
      </c>
      <c r="V27" s="850">
        <f>IF(AND(V9&gt;0,U9&gt;0),+V9/U9-1,"n.a.")</f>
        <v/>
      </c>
    </row>
    <row r="28" ht="13" customHeight="1">
      <c r="B28" s="31" t="inlineStr">
        <is>
          <t>EBIT Growth</t>
        </is>
      </c>
      <c r="C28" s="850" t="n"/>
      <c r="D28" s="850" t="n"/>
      <c r="E28" s="850">
        <f>IF(AND(E11&gt;0,D11&gt;0),+E11/D11-1,"n.a.")</f>
        <v/>
      </c>
      <c r="F28" s="850">
        <f>IF(AND(F11&gt;0,E11&gt;0),+F11/E11-1,"n.a.")</f>
        <v/>
      </c>
      <c r="G28" s="850">
        <f>IF(AND(G11&gt;0,F11&gt;0),+G11/F11-1,"n.a.")</f>
        <v/>
      </c>
      <c r="H28" s="850">
        <f>IF(AND(H11&gt;0,G11&gt;0),+H11/G11-1,"n.a.")</f>
        <v/>
      </c>
      <c r="I28" s="850">
        <f>IF(AND(I11&gt;0,H11&gt;0),+I11/H11-1,"n.a.")</f>
        <v/>
      </c>
      <c r="J28" s="850">
        <f>IF(AND(J11&gt;0,I11&gt;0),+J11/I11-1,"n.a.")</f>
        <v/>
      </c>
      <c r="K28" s="850">
        <f>IF(AND(K11&gt;0,J11&gt;0),+K11/J11-1,"n.a.")</f>
        <v/>
      </c>
      <c r="L28" s="850">
        <f>IF(AND(L11&gt;0,K11&gt;0),+L11/K11-1,"n.a.")</f>
        <v/>
      </c>
      <c r="M28" s="850">
        <f>IF(AND(M11&gt;0,L11&gt;0),+M11/L11-1,"n.a.")</f>
        <v/>
      </c>
      <c r="N28" s="850">
        <f>IF(AND(N11&gt;0,M11&gt;0),+N11/M11-1,"n.a.")</f>
        <v/>
      </c>
      <c r="O28" s="850">
        <f>IF(AND(O11&gt;0,N11&gt;0),+O11/N11-1,"n.a.")</f>
        <v/>
      </c>
      <c r="P28" s="850">
        <f>IF(AND(P11&gt;0,O11&gt;0),+P11/O11-1,"n.a.")</f>
        <v/>
      </c>
      <c r="Q28" s="850">
        <f>IF(AND(Q11&gt;0,P11&gt;0),+Q11/P11-1,"n.a.")</f>
        <v/>
      </c>
      <c r="R28" s="850">
        <f>IF(AND(R11&gt;0,Q11&gt;0),+R11/Q11-1,"n.a.")</f>
        <v/>
      </c>
      <c r="S28" s="850">
        <f>IF(AND(S11&gt;0,R11&gt;0),+S11/R11-1,"n.a.")</f>
        <v/>
      </c>
      <c r="T28" s="850">
        <f>IF(AND(T11&gt;0,S11&gt;0),+T11/S11-1,"n.a.")</f>
        <v/>
      </c>
      <c r="U28" s="850">
        <f>IF(AND(U11&gt;0,T11&gt;0),+U11/T11-1,"n.a.")</f>
        <v/>
      </c>
      <c r="V28" s="850">
        <f>IF(AND(V11&gt;0,U11&gt;0),+V11/U11-1,"n.a.")</f>
        <v/>
      </c>
    </row>
    <row r="29" ht="13" customHeight="1">
      <c r="B29" s="31" t="inlineStr">
        <is>
          <t>Net Income Growth (attributable)</t>
        </is>
      </c>
      <c r="C29" s="850" t="n"/>
      <c r="D29" s="850" t="n"/>
      <c r="E29" s="850">
        <f>IF(AND(E13&gt;0,D13&gt;0),+E13/D13-1,"n.a.")</f>
        <v/>
      </c>
      <c r="F29" s="850">
        <f>IF(AND(F13&gt;0,E13&gt;0),+F13/E13-1,"n.a.")</f>
        <v/>
      </c>
      <c r="G29" s="850">
        <f>IF(AND(G13&gt;0,F13&gt;0),+G13/F13-1,"n.a.")</f>
        <v/>
      </c>
      <c r="H29" s="850">
        <f>IF(AND(H13&gt;0,G13&gt;0),+H13/G13-1,"n.a.")</f>
        <v/>
      </c>
      <c r="I29" s="850">
        <f>IF(AND(I13&gt;0,H13&gt;0),+I13/H13-1,"n.a.")</f>
        <v/>
      </c>
      <c r="J29" s="850">
        <f>IF(AND(J13&gt;0,I13&gt;0),+J13/I13-1,"n.a.")</f>
        <v/>
      </c>
      <c r="K29" s="850">
        <f>IF(AND(K13&gt;0,J13&gt;0),+K13/J13-1,"n.a.")</f>
        <v/>
      </c>
      <c r="L29" s="850">
        <f>IF(AND(L13&gt;0,K13&gt;0),+L13/K13-1,"n.a.")</f>
        <v/>
      </c>
      <c r="M29" s="850">
        <f>IF(AND(M13&gt;0,L13&gt;0),+M13/L13-1,"n.a.")</f>
        <v/>
      </c>
      <c r="N29" s="850">
        <f>IF(AND(N13&gt;0,M13&gt;0),+N13/M13-1,"n.a.")</f>
        <v/>
      </c>
      <c r="O29" s="850">
        <f>IF(AND(O13&gt;0,N13&gt;0),+O13/N13-1,"n.a.")</f>
        <v/>
      </c>
      <c r="P29" s="850">
        <f>IF(AND(P13&gt;0,O13&gt;0),+P13/O13-1,"n.a.")</f>
        <v/>
      </c>
      <c r="Q29" s="850">
        <f>IF(AND(Q13&gt;0,P13&gt;0),+Q13/P13-1,"n.a.")</f>
        <v/>
      </c>
      <c r="R29" s="850">
        <f>IF(AND(R13&gt;0,Q13&gt;0),+R13/Q13-1,"n.a.")</f>
        <v/>
      </c>
      <c r="S29" s="850">
        <f>IF(AND(S13&gt;0,R13&gt;0),+S13/R13-1,"n.a.")</f>
        <v/>
      </c>
      <c r="T29" s="850">
        <f>IF(AND(T13&gt;0,S13&gt;0),+T13/S13-1,"n.a.")</f>
        <v/>
      </c>
      <c r="U29" s="850">
        <f>IF(AND(U13&gt;0,T13&gt;0),+U13/T13-1,"n.a.")</f>
        <v/>
      </c>
      <c r="V29" s="850">
        <f>IF(AND(V13&gt;0,U13&gt;0),+V13/U13-1,"n.a.")</f>
        <v/>
      </c>
    </row>
    <row r="30" ht="13" customHeight="1">
      <c r="B30" s="178" t="inlineStr">
        <is>
          <t>EBITDA Growth</t>
        </is>
      </c>
      <c r="C30" s="176" t="n"/>
      <c r="D30" s="176" t="n"/>
      <c r="E30" s="858">
        <f>E14/D14-1</f>
        <v/>
      </c>
      <c r="F30" s="858">
        <f>F14/E14-1</f>
        <v/>
      </c>
      <c r="G30" s="858">
        <f>G14/F14-1</f>
        <v/>
      </c>
      <c r="H30" s="858">
        <f>H14/G14-1</f>
        <v/>
      </c>
      <c r="I30" s="858">
        <f>I14/H14-1</f>
        <v/>
      </c>
      <c r="J30" s="858">
        <f>J14/I14-1</f>
        <v/>
      </c>
      <c r="K30" s="858">
        <f>K14/J14-1</f>
        <v/>
      </c>
      <c r="L30" s="858">
        <f>L14/K14-1</f>
        <v/>
      </c>
      <c r="M30" s="858">
        <f>M14/L14-1</f>
        <v/>
      </c>
      <c r="N30" s="858">
        <f>N14/M14-1</f>
        <v/>
      </c>
      <c r="O30" s="858">
        <f>O14/N14-1</f>
        <v/>
      </c>
      <c r="P30" s="858">
        <f>P14/O14-1</f>
        <v/>
      </c>
      <c r="Q30" s="858">
        <f>Q14/P14-1</f>
        <v/>
      </c>
      <c r="R30" s="858">
        <f>R14/Q14-1</f>
        <v/>
      </c>
      <c r="S30" s="858">
        <f>S14/R14-1</f>
        <v/>
      </c>
      <c r="T30" s="858">
        <f>T14/S14-1</f>
        <v/>
      </c>
      <c r="U30" s="858">
        <f>U14/T14-1</f>
        <v/>
      </c>
      <c r="V30" s="858">
        <f>V14/U14-1</f>
        <v/>
      </c>
    </row>
    <row r="31" ht="13.25" customHeight="1">
      <c r="B31" s="31" t="n"/>
      <c r="K31" s="213" t="n"/>
    </row>
  </sheetData>
  <pageMargins left="0.7" right="0.7" top="0.2" bottom="0.2" header="0.3" footer="0.3"/>
  <pageSetup orientation="landscape" paperSize="9" scale="76" horizontalDpi="300" verticalDpi="300"/>
</worksheet>
</file>

<file path=xl/worksheets/sheet2.xml><?xml version="1.0" encoding="utf-8"?>
<worksheet xmlns="http://schemas.openxmlformats.org/spreadsheetml/2006/main">
  <sheetPr codeName="Sheet4">
    <tabColor theme="3"/>
    <outlinePr summaryBelow="1" summaryRight="1"/>
    <pageSetUpPr fitToPage="1"/>
  </sheetPr>
  <dimension ref="A1:U179"/>
  <sheetViews>
    <sheetView topLeftCell="A31" zoomScale="85" zoomScaleNormal="85" workbookViewId="0">
      <selection activeCell="E84" sqref="E84"/>
    </sheetView>
  </sheetViews>
  <sheetFormatPr baseColWidth="10" defaultColWidth="9.33203125" defaultRowHeight="13" outlineLevelRow="1"/>
  <cols>
    <col width="40.6640625" customWidth="1" style="20" min="1" max="1"/>
    <col width="14.6640625" customWidth="1" style="20" min="2" max="3"/>
    <col width="11.6640625" customWidth="1" style="20" min="4" max="6"/>
    <col width="9.6640625" customWidth="1" style="20" min="7" max="12"/>
    <col width="11.6640625" customWidth="1" style="20" min="13" max="13"/>
    <col width="9.6640625" customWidth="1" style="20" min="14" max="14"/>
    <col width="15.6640625" customWidth="1" style="20" min="15" max="15"/>
    <col width="9.33203125" customWidth="1" style="20" min="16" max="19"/>
    <col width="12.6640625" bestFit="1" customWidth="1" style="20" min="20" max="20"/>
    <col width="9.33203125" customWidth="1" style="20" min="21" max="16384"/>
  </cols>
  <sheetData>
    <row r="1">
      <c r="A1" s="21">
        <f>Summary!$B$5</f>
        <v/>
      </c>
    </row>
    <row r="2">
      <c r="A2" s="20" t="inlineStr">
        <is>
          <t>Valuation</t>
        </is>
      </c>
    </row>
    <row r="6">
      <c r="A6" s="81" t="inlineStr">
        <is>
          <t>Current Valuation</t>
        </is>
      </c>
      <c r="D6" s="20" t="inlineStr">
        <is>
          <t>BBG</t>
        </is>
      </c>
      <c r="J6" s="664" t="inlineStr">
        <is>
          <t>BETA</t>
        </is>
      </c>
      <c r="K6" s="665" t="n"/>
      <c r="L6" s="665" t="n"/>
      <c r="M6" s="664" t="n"/>
    </row>
    <row r="7">
      <c r="A7" s="32" t="inlineStr">
        <is>
          <t>Price (USD)</t>
        </is>
      </c>
      <c r="B7" s="666" t="n">
        <v>83.55</v>
      </c>
      <c r="D7" s="20">
        <f t="array" ref="D7">_xll.BDP("IPGP US EQUITY","PX_LAST")</f>
        <v/>
      </c>
      <c r="J7" s="63" t="inlineStr">
        <is>
          <t>Risk free rate</t>
        </is>
      </c>
      <c r="M7" s="859" t="n">
        <v>0.024</v>
      </c>
    </row>
    <row r="8" customFormat="1" s="57">
      <c r="A8" s="20" t="inlineStr">
        <is>
          <t>Price Date</t>
        </is>
      </c>
      <c r="B8" s="860" t="n">
        <v>45047</v>
      </c>
      <c r="J8" s="63" t="inlineStr">
        <is>
          <t>Beta (Adjusted)</t>
        </is>
      </c>
      <c r="M8" s="55" t="n">
        <v>1</v>
      </c>
    </row>
    <row r="9" customFormat="1" s="21">
      <c r="J9" s="63" t="inlineStr">
        <is>
          <t>Market risk premium</t>
        </is>
      </c>
      <c r="M9" s="859" t="n">
        <v>0.07099999999999999</v>
      </c>
    </row>
    <row r="10"/>
    <row r="11">
      <c r="J11" s="20" t="inlineStr">
        <is>
          <t>Current Market Value of Equity</t>
        </is>
      </c>
      <c r="M11" s="64">
        <f>M29*M30</f>
        <v/>
      </c>
    </row>
    <row r="12">
      <c r="J12" s="20" t="inlineStr">
        <is>
          <t>Book Value of Debt</t>
        </is>
      </c>
      <c r="M12" s="64">
        <f>M31</f>
        <v/>
      </c>
    </row>
    <row r="13">
      <c r="J13" s="20" t="inlineStr">
        <is>
          <t>Equity Weight</t>
        </is>
      </c>
      <c r="M13" s="861">
        <f>M11/(M11+M12)</f>
        <v/>
      </c>
    </row>
    <row r="14">
      <c r="J14" s="20" t="inlineStr">
        <is>
          <t>Debt Weight</t>
        </is>
      </c>
      <c r="M14" s="861">
        <f>M12/(M11+M12)</f>
        <v/>
      </c>
    </row>
    <row r="15"/>
    <row r="16">
      <c r="J16" s="21" t="inlineStr">
        <is>
          <t>Tax rate</t>
        </is>
      </c>
      <c r="M16" s="862" t="n">
        <v>0.25</v>
      </c>
    </row>
    <row r="17"/>
    <row r="18">
      <c r="J18" s="21" t="inlineStr">
        <is>
          <t>Cost of Equity</t>
        </is>
      </c>
      <c r="M18" s="863">
        <f>M7+M8*M9</f>
        <v/>
      </c>
    </row>
    <row r="19">
      <c r="J19" s="21" t="n"/>
    </row>
    <row r="20">
      <c r="J20" s="21" t="inlineStr">
        <is>
          <t>Cost of Debt</t>
        </is>
      </c>
      <c r="M20" s="859" t="n">
        <v>0.0244</v>
      </c>
      <c r="T20" s="472" t="n"/>
      <c r="U20" s="472" t="n"/>
    </row>
    <row r="21">
      <c r="T21" s="472" t="n"/>
    </row>
    <row r="22">
      <c r="J22" s="21" t="inlineStr">
        <is>
          <t>WACC</t>
        </is>
      </c>
      <c r="M22" s="863">
        <f>M13*M18+M14*M20*(1-M16)</f>
        <v/>
      </c>
      <c r="T22" s="473" t="n"/>
      <c r="U22" s="472" t="n"/>
    </row>
    <row r="23">
      <c r="J23" s="21" t="inlineStr">
        <is>
          <t>Terminal Growth Rate</t>
        </is>
      </c>
      <c r="M23" s="859" t="n">
        <v>0.03</v>
      </c>
      <c r="T23" s="472" t="n"/>
      <c r="U23" s="472" t="n"/>
    </row>
    <row r="24">
      <c r="J24" s="21" t="inlineStr">
        <is>
          <t>Inflation rate</t>
        </is>
      </c>
      <c r="M24" s="859" t="n">
        <v>0.02</v>
      </c>
    </row>
    <row r="25" outlineLevel="1">
      <c r="J25" s="21" t="n"/>
      <c r="M25" s="862" t="n"/>
    </row>
    <row r="26" outlineLevel="1"/>
    <row r="27"/>
    <row r="28">
      <c r="J28" s="22" t="inlineStr">
        <is>
          <t>Current Market Value of Equity</t>
        </is>
      </c>
    </row>
    <row r="29">
      <c r="J29" t="inlineStr">
        <is>
          <t>Price (USD)</t>
        </is>
      </c>
      <c r="M29" s="406">
        <f>Summary!Y10</f>
        <v/>
      </c>
    </row>
    <row r="30">
      <c r="A30" s="61" t="inlineStr">
        <is>
          <t>Last Actual</t>
        </is>
      </c>
      <c r="B30" s="453" t="inlineStr">
        <is>
          <t>1Q24</t>
        </is>
      </c>
      <c r="C30" s="864" t="n">
        <v>2023</v>
      </c>
      <c r="J30" t="inlineStr">
        <is>
          <t>Outstanding (Thousands)</t>
        </is>
      </c>
      <c r="M30" s="674">
        <f>45566746/1000</f>
        <v/>
      </c>
    </row>
    <row r="31">
      <c r="J31" s="341" t="inlineStr">
        <is>
          <t>(+) Total debt</t>
        </is>
      </c>
      <c r="M31" s="442">
        <f>INDEX(FS_Y!$146:$146,,MATCH($C$30,FS_Y!$5:$5,0))</f>
        <v/>
      </c>
    </row>
    <row r="32">
      <c r="J32" s="341" t="inlineStr">
        <is>
          <t>(-) Cash</t>
        </is>
      </c>
      <c r="M32" s="442">
        <f>INDEX(FS_Y!$139:$139,,MATCH($C$30,FS_Y!$5:$5,0))</f>
        <v/>
      </c>
    </row>
    <row r="33">
      <c r="J33" s="341" t="inlineStr">
        <is>
          <t>(-) Financial investment</t>
        </is>
      </c>
      <c r="M33" s="442">
        <f>INDEX(FS_Y!$45:$45,,MATCH($C$30,FS_Y!$5:$5,0))</f>
        <v/>
      </c>
    </row>
    <row r="34">
      <c r="J34" s="341" t="inlineStr">
        <is>
          <t>(+) Non-controlling interest</t>
        </is>
      </c>
      <c r="M34" s="442">
        <f>INDEX(FS_Y!74:74,,MATCH(C30,FS_Y!5:5,0))</f>
        <v/>
      </c>
    </row>
    <row r="35">
      <c r="J35" s="20" t="inlineStr">
        <is>
          <t>Enterprise value</t>
        </is>
      </c>
      <c r="M35" s="442">
        <f>M29*M30+M31-M32-M33</f>
        <v/>
      </c>
    </row>
    <row r="38">
      <c r="A38" s="81" t="inlineStr">
        <is>
          <t>EV/EBITDA - Primary</t>
        </is>
      </c>
      <c r="D38" s="475" t="inlineStr">
        <is>
          <t>Ex.Cash Forward PE</t>
        </is>
      </c>
      <c r="E38" s="478" t="n"/>
      <c r="F38" s="479" t="n"/>
    </row>
    <row r="39">
      <c r="A39" t="inlineStr">
        <is>
          <t>Reference year</t>
        </is>
      </c>
      <c r="B39" s="532" t="n">
        <v>2025</v>
      </c>
      <c r="D39" s="476" t="inlineStr">
        <is>
          <t>Based on Current Price</t>
        </is>
      </c>
      <c r="F39" s="865">
        <f>(Summary!Y10-$F$42)/$F$43</f>
        <v/>
      </c>
    </row>
    <row r="40">
      <c r="A40" t="inlineStr">
        <is>
          <t>Target EV/EBITDA multiple</t>
        </is>
      </c>
      <c r="B40" s="866" t="n">
        <v>10.7</v>
      </c>
      <c r="D40" s="477" t="inlineStr">
        <is>
          <t>Based on Target Price</t>
        </is>
      </c>
      <c r="E40" s="233" t="n"/>
      <c r="F40" s="867">
        <f>(B53-$F$42)/$F$43</f>
        <v/>
      </c>
    </row>
    <row r="41">
      <c r="A41" t="inlineStr">
        <is>
          <t>EBITDA (reference year)</t>
        </is>
      </c>
      <c r="B41" s="64">
        <f>INDEX(FS_Y!$137:$137,MATCH(Valuation!$B$39,FS_Y!$5:$5,0))</f>
        <v/>
      </c>
    </row>
    <row r="42">
      <c r="A42" s="22" t="inlineStr">
        <is>
          <t>Enterprise value (reference year)</t>
        </is>
      </c>
      <c r="B42" s="66">
        <f>B40*B41</f>
        <v/>
      </c>
      <c r="D42" s="482" t="inlineStr">
        <is>
          <t>Cash and investment/share</t>
        </is>
      </c>
      <c r="E42" s="71" t="n"/>
      <c r="F42" s="483">
        <f>(FS_Y!L44+FS_Y!L45)/FS_Y!L33</f>
        <v/>
      </c>
    </row>
    <row r="43">
      <c r="A43" s="22" t="inlineStr">
        <is>
          <t>Enterprise value (PT date)</t>
        </is>
      </c>
      <c r="B43" s="66">
        <f>B42/(1+M22)^((B49-B52)/365)</f>
        <v/>
      </c>
      <c r="D43" s="477" t="inlineStr">
        <is>
          <t>EPS</t>
        </is>
      </c>
      <c r="E43" s="233" t="inlineStr">
        <is>
          <t>2024E</t>
        </is>
      </c>
      <c r="F43" s="484">
        <f>INDEX(FS_Y!$29:$29,,MATCH(Valuation!$E$43,FS_Y!$8:$8,0))</f>
        <v/>
      </c>
    </row>
    <row r="44">
      <c r="A44" s="341" t="inlineStr">
        <is>
          <t>(-) Total debt</t>
        </is>
      </c>
      <c r="B44" s="64">
        <f>INDEX(FS_Q!$58:$58,MATCH(Valuation!$B$30,FS_Q!$5:$5,0))+INDEX(FS_Q!$65:$65,MATCH(Valuation!$B$30,FS_Q!$5:$5,0))</f>
        <v/>
      </c>
    </row>
    <row r="45">
      <c r="A45" s="341" t="inlineStr">
        <is>
          <t>(+) Cash</t>
        </is>
      </c>
      <c r="B45" s="64">
        <f>INDEX(FS_Q!$44:$44,MATCH(Valuation!$B$30,FS_Q!$5:$5,0))</f>
        <v/>
      </c>
      <c r="D45" s="222" t="inlineStr">
        <is>
          <t>Implying    (</t>
        </is>
      </c>
      <c r="E45" s="868">
        <f>B39</f>
        <v/>
      </c>
      <c r="F45" s="223" t="inlineStr">
        <is>
          <t>)    basis</t>
        </is>
      </c>
    </row>
    <row r="46">
      <c r="A46" s="341" t="inlineStr">
        <is>
          <t>(-) non-controlling interest</t>
        </is>
      </c>
      <c r="B46" s="64">
        <f>INDEX(FS_Q!$74:$74,MATCH(Valuation!$B$30,FS_Q!$5:$5,0))</f>
        <v/>
      </c>
      <c r="D46" s="224" t="inlineStr">
        <is>
          <t>P/B</t>
        </is>
      </c>
      <c r="E46" s="225" t="inlineStr">
        <is>
          <t>P/E</t>
        </is>
      </c>
      <c r="F46" s="226" t="inlineStr">
        <is>
          <t>EV/EBITDA</t>
        </is>
      </c>
    </row>
    <row r="47">
      <c r="A47" s="341" t="inlineStr">
        <is>
          <t>(+) Financial investment</t>
        </is>
      </c>
      <c r="B47" s="64">
        <f>INDEX(FS_Q!$45:$45,MATCH(Valuation!$B$30,FS_Q!$5:$5,0))</f>
        <v/>
      </c>
      <c r="D47" s="463">
        <f>B53/INDEX(FS_Y!$182:$182,MATCH($E45,FS_Y!$5:$5,0))</f>
        <v/>
      </c>
      <c r="E47" s="375">
        <f>B53/INDEX(FS_Y!$29:$29,,MATCH($E45,FS_Y!$5:$5,0))</f>
        <v/>
      </c>
      <c r="F47" s="474">
        <f>(B53*$M$30+$M$31-$M$32-$M$33+$M$34)/INDEX(FS_Y!$137:$137,,MATCH(E45,FS_Y!$1:$1,0))</f>
        <v/>
      </c>
    </row>
    <row r="48">
      <c r="A48" s="341" t="n"/>
      <c r="B48" s="64" t="n"/>
    </row>
    <row r="49">
      <c r="A49" s="105" t="inlineStr">
        <is>
          <t>Reference date</t>
        </is>
      </c>
      <c r="B49" s="869">
        <f>DATE(B39,12,31)</f>
        <v/>
      </c>
    </row>
    <row r="50">
      <c r="A50" s="40" t="inlineStr">
        <is>
          <t>Equity value</t>
        </is>
      </c>
      <c r="B50" s="66">
        <f>B43-B44+B45-B46+B47</f>
        <v/>
      </c>
    </row>
    <row r="51">
      <c r="A51" s="20" t="inlineStr">
        <is>
          <t># of Shares (Thousand)</t>
        </is>
      </c>
      <c r="B51" s="64">
        <f>M30</f>
        <v/>
      </c>
    </row>
    <row r="52">
      <c r="A52" s="20" t="inlineStr">
        <is>
          <t>Price Target Date</t>
        </is>
      </c>
      <c r="B52" s="870" t="n">
        <v>45657</v>
      </c>
    </row>
    <row r="53">
      <c r="A53" s="40" t="inlineStr">
        <is>
          <t>Price Target (USD)</t>
        </is>
      </c>
      <c r="B53" s="460">
        <f>ROUND(B50/B51,0)</f>
        <v/>
      </c>
    </row>
    <row r="54">
      <c r="A54" s="20" t="inlineStr">
        <is>
          <t>Upside/Downside</t>
        </is>
      </c>
      <c r="B54" s="861">
        <f>B53/$B$7-1</f>
        <v/>
      </c>
    </row>
    <row r="57">
      <c r="A57" s="81" t="inlineStr">
        <is>
          <t>DCF - For reference only</t>
        </is>
      </c>
      <c r="O57" s="67" t="n"/>
    </row>
    <row r="58">
      <c r="A58" s="62" t="inlineStr">
        <is>
          <t>(USD Thousands)</t>
        </is>
      </c>
      <c r="D58" s="490" t="n"/>
      <c r="E58" s="61" t="n"/>
      <c r="F58" s="61" t="n"/>
      <c r="G58" s="61" t="n"/>
      <c r="H58" s="61" t="n"/>
      <c r="I58" s="61" t="n"/>
      <c r="J58" s="61" t="n"/>
      <c r="K58" s="61" t="n"/>
      <c r="L58" s="61" t="n"/>
      <c r="M58" s="61" t="n"/>
      <c r="N58" s="61" t="n"/>
      <c r="O58" s="67" t="n"/>
    </row>
    <row r="59">
      <c r="A59" s="57" t="n"/>
      <c r="C59" s="58" t="n"/>
      <c r="D59" s="491" t="n"/>
      <c r="E59" s="58">
        <f>DATE(E60,12,31)</f>
        <v/>
      </c>
      <c r="F59" s="58">
        <f>DATE(F60,12,31)</f>
        <v/>
      </c>
      <c r="G59" s="58">
        <f>DATE(G60,12,31)</f>
        <v/>
      </c>
      <c r="H59" s="58">
        <f>DATE(H60,12,31)</f>
        <v/>
      </c>
      <c r="I59" s="58">
        <f>DATE(I60,12,31)</f>
        <v/>
      </c>
      <c r="J59" s="58">
        <f>DATE(J60,12,31)</f>
        <v/>
      </c>
      <c r="K59" s="58">
        <f>DATE(K60,12,31)</f>
        <v/>
      </c>
      <c r="L59" s="58">
        <f>DATE(L60,12,31)</f>
        <v/>
      </c>
      <c r="M59" s="58">
        <f>DATE(M60,12,31)</f>
        <v/>
      </c>
      <c r="N59" s="58">
        <f>DATE(N60,12,31)</f>
        <v/>
      </c>
      <c r="O59" s="67" t="n"/>
    </row>
    <row r="60">
      <c r="A60" s="68" t="n"/>
      <c r="C60" s="871" t="n"/>
      <c r="D60" s="872" t="n"/>
      <c r="E60" s="873" t="n">
        <v>2019</v>
      </c>
      <c r="F60" s="874">
        <f>E60+1</f>
        <v/>
      </c>
      <c r="G60" s="874">
        <f>F60+1</f>
        <v/>
      </c>
      <c r="H60" s="874">
        <f>G60+1</f>
        <v/>
      </c>
      <c r="I60" s="874">
        <f>H60+1</f>
        <v/>
      </c>
      <c r="J60" s="874">
        <f>I60+1</f>
        <v/>
      </c>
      <c r="K60" s="874">
        <f>J60+1</f>
        <v/>
      </c>
      <c r="L60" s="874">
        <f>K60+1</f>
        <v/>
      </c>
      <c r="M60" s="874">
        <f>L60+1</f>
        <v/>
      </c>
      <c r="N60" s="874">
        <f>M60+1</f>
        <v/>
      </c>
      <c r="O60" s="871" t="inlineStr">
        <is>
          <t>Terminal Value</t>
        </is>
      </c>
    </row>
    <row r="61">
      <c r="A61" s="52" t="inlineStr">
        <is>
          <t>Free Cash Flow</t>
        </is>
      </c>
      <c r="B61" s="64" t="n"/>
      <c r="C61" s="362" t="n"/>
      <c r="D61" s="50" t="n"/>
      <c r="E61" s="662">
        <f>INDEX(FS_Y!173:173,,MATCH(E60,FS_Y!1:1,0))</f>
        <v/>
      </c>
      <c r="F61" s="64">
        <f>INDEX(FS_Y!173:173,,MATCH(F60,FS_Y!1:1,0))</f>
        <v/>
      </c>
      <c r="G61" s="64">
        <f>INDEX(FS_Y!173:173,,MATCH(G60,FS_Y!1:1,0))</f>
        <v/>
      </c>
      <c r="H61" s="64">
        <f>INDEX(FS_Y!173:173,,MATCH(H60,FS_Y!1:1,0))</f>
        <v/>
      </c>
      <c r="I61" s="64">
        <f>INDEX(FS_Y!173:173,,MATCH(I60,FS_Y!1:1,0))</f>
        <v/>
      </c>
      <c r="J61" s="64">
        <f>INDEX(FS_Y!173:173,,MATCH(J60,FS_Y!1:1,0))</f>
        <v/>
      </c>
      <c r="K61" s="64">
        <f>INDEX(FS_Y!173:173,,MATCH(K60,FS_Y!1:1,0))</f>
        <v/>
      </c>
      <c r="L61" s="64">
        <f>INDEX(FS_Y!173:173,,MATCH(L60,FS_Y!1:1,0))</f>
        <v/>
      </c>
      <c r="M61" s="64">
        <f>INDEX(FS_Y!173:173,,MATCH(M60,FS_Y!1:1,0))</f>
        <v/>
      </c>
      <c r="N61" s="64">
        <f>INDEX(FS_Y!173:173,,MATCH(N60,FS_Y!1:1,0))</f>
        <v/>
      </c>
      <c r="O61" s="64">
        <f>FS_Y!$W$165*(1-$M$16)*(1+$M$24)/(Valuation!$M$22-$M$24)</f>
        <v/>
      </c>
    </row>
    <row r="62">
      <c r="A62" s="52" t="inlineStr">
        <is>
          <t>Discount factor</t>
        </is>
      </c>
      <c r="C62" s="875">
        <f>(1/(1+$M$22))^((C59-$B$8)/365)</f>
        <v/>
      </c>
      <c r="D62" s="876" t="n"/>
      <c r="E62" s="663">
        <f>(1/(1+$M$22))^((E59-$B$8)/365)</f>
        <v/>
      </c>
      <c r="F62" s="70">
        <f>(1/(1+$M$22))^((F59-$B$8)/365)</f>
        <v/>
      </c>
      <c r="G62" s="70">
        <f>(1/(1+$M$22))^((G59-$B$8)/365)</f>
        <v/>
      </c>
      <c r="H62" s="70">
        <f>(1/(1+$M$22))^((H59-$B$8)/365)</f>
        <v/>
      </c>
      <c r="I62" s="70">
        <f>(1/(1+$M$22))^((I59-$B$8)/365)</f>
        <v/>
      </c>
      <c r="J62" s="70">
        <f>(1/(1+$M$22))^((J59-$B$8)/365)</f>
        <v/>
      </c>
      <c r="K62" s="70">
        <f>(1/(1+$M$22))^((K59-$B$8)/365)</f>
        <v/>
      </c>
      <c r="L62" s="70">
        <f>(1/(1+$M$22))^((L59-$B$8)/365)</f>
        <v/>
      </c>
      <c r="M62" s="70">
        <f>(1/(1+$M$22))^((M59-$B$8)/365)</f>
        <v/>
      </c>
      <c r="N62" s="70">
        <f>(1/(1+$M$22))^((N59-$B$8)/365)</f>
        <v/>
      </c>
      <c r="O62" s="70">
        <f>N62</f>
        <v/>
      </c>
    </row>
    <row r="63">
      <c r="A63" s="53" t="inlineStr">
        <is>
          <t>Discounted FCF</t>
        </is>
      </c>
      <c r="C63" s="362" t="n"/>
      <c r="D63" s="50" t="n"/>
      <c r="E63" s="662">
        <f>E61*E62</f>
        <v/>
      </c>
      <c r="F63" s="64">
        <f>F61*F62</f>
        <v/>
      </c>
      <c r="G63" s="64">
        <f>G61*G62</f>
        <v/>
      </c>
      <c r="H63" s="64">
        <f>H61*H62</f>
        <v/>
      </c>
      <c r="I63" s="64">
        <f>I61*I62</f>
        <v/>
      </c>
      <c r="J63" s="64">
        <f>J61*J62</f>
        <v/>
      </c>
      <c r="K63" s="64">
        <f>K61*K62</f>
        <v/>
      </c>
      <c r="L63" s="64">
        <f>L61*L62</f>
        <v/>
      </c>
      <c r="M63" s="64">
        <f>M61*M62</f>
        <v/>
      </c>
      <c r="N63" s="64">
        <f>N61*N62</f>
        <v/>
      </c>
      <c r="O63" s="64">
        <f>O61*O62</f>
        <v/>
      </c>
    </row>
    <row r="64">
      <c r="A64" s="22" t="inlineStr">
        <is>
          <t>Enterprise value</t>
        </is>
      </c>
      <c r="B64" s="66">
        <f>SUM(F63:O63)</f>
        <v/>
      </c>
      <c r="F64" s="395" t="n"/>
      <c r="G64" s="395" t="n"/>
      <c r="H64" s="395" t="n"/>
      <c r="I64" s="395" t="n"/>
      <c r="J64" s="395" t="n"/>
      <c r="K64" s="395" t="n"/>
      <c r="L64" s="395" t="n"/>
      <c r="M64" s="395" t="n"/>
      <c r="N64" s="395" t="n"/>
      <c r="O64" s="67" t="n"/>
    </row>
    <row r="65">
      <c r="A65" s="341" t="inlineStr">
        <is>
          <t>(-) Total debt</t>
        </is>
      </c>
      <c r="B65" s="64">
        <f>M31</f>
        <v/>
      </c>
      <c r="N65" s="50" t="n"/>
      <c r="O65" s="67" t="n"/>
    </row>
    <row r="66">
      <c r="A66" s="341" t="inlineStr">
        <is>
          <t>(+) Cash</t>
        </is>
      </c>
      <c r="B66" s="64">
        <f>M32</f>
        <v/>
      </c>
      <c r="N66" s="50" t="n"/>
      <c r="O66" s="67" t="n"/>
    </row>
    <row r="67">
      <c r="A67" s="341" t="inlineStr">
        <is>
          <t>(+) Financial investment</t>
        </is>
      </c>
      <c r="B67" s="64">
        <f>M33</f>
        <v/>
      </c>
      <c r="N67" s="50" t="n"/>
      <c r="O67" s="67" t="n"/>
    </row>
    <row r="68">
      <c r="A68" s="341" t="inlineStr">
        <is>
          <t>(-)  Non-controlling interest</t>
        </is>
      </c>
      <c r="B68" s="64">
        <f>M34</f>
        <v/>
      </c>
      <c r="N68" s="50" t="n"/>
      <c r="O68" s="67" t="n"/>
    </row>
    <row r="69">
      <c r="B69" s="64" t="n"/>
      <c r="N69" s="50" t="n"/>
      <c r="O69" s="67" t="n"/>
    </row>
    <row r="70">
      <c r="A70" s="74" t="n"/>
      <c r="B70" s="75" t="n"/>
      <c r="N70" s="50" t="n"/>
      <c r="O70" s="67" t="n"/>
    </row>
    <row r="71">
      <c r="A71" s="22" t="inlineStr">
        <is>
          <t>Equity value</t>
        </is>
      </c>
      <c r="B71" s="66">
        <f>B64-B65+B66+B67-B68</f>
        <v/>
      </c>
      <c r="N71" s="50" t="n"/>
      <c r="O71" s="67" t="n"/>
    </row>
    <row r="72">
      <c r="A72" s="20" t="inlineStr">
        <is>
          <t># of Shares (Thousands)</t>
        </is>
      </c>
      <c r="B72" s="557" t="n">
        <v>53256.961</v>
      </c>
      <c r="N72" s="50" t="n"/>
      <c r="O72" s="67" t="n"/>
    </row>
    <row r="73">
      <c r="A73" s="105" t="inlineStr">
        <is>
          <t>Fair Value per share, calculated (USD)</t>
        </is>
      </c>
      <c r="B73" s="877">
        <f>B71/B72</f>
        <v/>
      </c>
      <c r="N73" s="50" t="n"/>
      <c r="O73" s="67" t="n"/>
    </row>
    <row r="74">
      <c r="B74" s="878" t="n"/>
      <c r="G74" s="879" t="n"/>
      <c r="H74" s="879" t="n"/>
      <c r="N74" s="50" t="n"/>
      <c r="O74" s="67" t="n"/>
    </row>
    <row r="75">
      <c r="A75" s="20" t="inlineStr">
        <is>
          <t>Price Target Date</t>
        </is>
      </c>
      <c r="B75" s="870" t="n">
        <v>44196</v>
      </c>
      <c r="H75" s="485" t="n"/>
      <c r="N75" s="50" t="n"/>
      <c r="O75" s="67" t="n"/>
    </row>
    <row r="76">
      <c r="A76" s="40" t="inlineStr">
        <is>
          <t>Price Target (USD)</t>
        </is>
      </c>
      <c r="B76" s="460">
        <f>ROUND(B73*(1+M18)^((B75-B8)/365),0)</f>
        <v/>
      </c>
      <c r="H76" s="487" t="n"/>
      <c r="N76" s="50" t="n"/>
      <c r="O76" s="67" t="n"/>
    </row>
    <row r="77">
      <c r="A77" s="20" t="inlineStr">
        <is>
          <t>Upside/Downside</t>
        </is>
      </c>
      <c r="B77" s="861">
        <f>B76/Summary!Y10-1</f>
        <v/>
      </c>
      <c r="N77" s="50" t="n"/>
      <c r="O77" s="67" t="n"/>
    </row>
    <row r="78">
      <c r="O78" s="67" t="n"/>
    </row>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c r="O160" s="67" t="n"/>
    </row>
    <row r="161">
      <c r="O161" s="67" t="n"/>
    </row>
    <row r="162">
      <c r="O162" s="67" t="n"/>
    </row>
    <row r="163">
      <c r="O163" s="67" t="n"/>
    </row>
    <row r="164">
      <c r="O164" s="67" t="n"/>
    </row>
    <row r="165">
      <c r="O165" s="67" t="n"/>
    </row>
    <row r="166">
      <c r="O166" s="67" t="n"/>
    </row>
    <row r="167">
      <c r="O167" s="67" t="n"/>
    </row>
    <row r="168">
      <c r="O168" s="67" t="n"/>
    </row>
    <row r="169">
      <c r="O169" s="67" t="n"/>
    </row>
    <row r="170">
      <c r="O170" s="67" t="n"/>
    </row>
    <row r="171"/>
    <row r="172"/>
    <row r="173"/>
    <row r="174"/>
    <row r="175"/>
    <row r="176"/>
    <row r="177"/>
    <row r="178"/>
    <row r="179"/>
  </sheetData>
  <pageMargins left="0.7" right="0.7" top="0.2" bottom="0.2" header="0.3" footer="0.3"/>
  <pageSetup orientation="landscape" paperSize="9" scale="54" horizontalDpi="300" verticalDpi="300"/>
  <legacyDrawing xmlns:r="http://schemas.openxmlformats.org/officeDocument/2006/relationships" r:id="anysvml"/>
</worksheet>
</file>

<file path=xl/worksheets/sheet3.xml><?xml version="1.0" encoding="utf-8"?>
<worksheet xmlns="http://schemas.openxmlformats.org/spreadsheetml/2006/main">
  <sheetPr codeName="Sheet5">
    <tabColor theme="1"/>
    <outlinePr summaryBelow="1" summaryRight="1"/>
    <pageSetUpPr/>
  </sheetPr>
  <dimension ref="A1:Y23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6"/>
    <col collapsed="1" width="15.6640625" customWidth="1" style="20" min="7" max="7"/>
    <col width="15.6640625" customWidth="1" style="20" min="8" max="21"/>
    <col width="9.33203125" customWidth="1" style="20" min="22" max="22"/>
    <col width="9.33203125" bestFit="1" customWidth="1" style="20" min="23" max="23"/>
    <col width="9.33203125" customWidth="1" style="20" min="24" max="16384"/>
  </cols>
  <sheetData>
    <row r="1">
      <c r="A1" s="22">
        <f>Summary!$B$5</f>
        <v/>
      </c>
      <c r="B1" s="23">
        <f>#REF!</f>
        <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row>
    <row r="2">
      <c r="A2" t="inlineStr">
        <is>
          <t>Financial Statements</t>
        </is>
      </c>
      <c r="B2" s="24">
        <f>"2H"&amp;RIGHT(B1,2)</f>
        <v/>
      </c>
      <c r="C2" s="24">
        <f>"2H"&amp;RIGHT(C1,2)</f>
        <v/>
      </c>
      <c r="D2" s="24">
        <f>"2H"&amp;RIGHT(D1,2)</f>
        <v/>
      </c>
      <c r="E2" s="24">
        <f>"2H"&amp;RIGHT(E1,2)</f>
        <v/>
      </c>
      <c r="F2" s="24">
        <f>"2H"&amp;RIGHT(F1,2)</f>
        <v/>
      </c>
      <c r="G2" s="24">
        <f>"2H"&amp;RIGHT(G1,2)</f>
        <v/>
      </c>
      <c r="H2" s="24">
        <f>"2H"&amp;RIGHT(H1,2)</f>
        <v/>
      </c>
      <c r="I2" s="24">
        <f>"2H"&amp;RIGHT(I1,2)</f>
        <v/>
      </c>
      <c r="J2" s="24">
        <f>"2H"&amp;RIGHT(J1,2)</f>
        <v/>
      </c>
      <c r="K2" s="24">
        <f>"2H"&amp;RIGHT(K1,2)</f>
        <v/>
      </c>
      <c r="L2" s="24">
        <f>"2H"&amp;RIGHT(L1,2)</f>
        <v/>
      </c>
      <c r="M2" s="24">
        <f>"2H"&amp;RIGHT(M1,2)</f>
        <v/>
      </c>
      <c r="N2" s="24">
        <f>"2H"&amp;RIGHT(N1,2)</f>
        <v/>
      </c>
      <c r="O2" s="24">
        <f>"2H"&amp;RIGHT(O1,2)</f>
        <v/>
      </c>
      <c r="P2" s="24">
        <f>"2H"&amp;RIGHT(P1,2)</f>
        <v/>
      </c>
      <c r="Q2" s="24">
        <f>"2H"&amp;RIGHT(Q1,2)</f>
        <v/>
      </c>
      <c r="R2" s="24">
        <f>"2H"&amp;RIGHT(R1,2)</f>
        <v/>
      </c>
      <c r="S2" s="24">
        <f>"2H"&amp;RIGHT(S1,2)</f>
        <v/>
      </c>
      <c r="T2" s="24">
        <f>"2H"&amp;RIGHT(T1,2)</f>
        <v/>
      </c>
      <c r="U2" s="24">
        <f>"2H"&amp;RIGHT(U1,2)</f>
        <v/>
      </c>
    </row>
    <row r="3">
      <c r="A3" t="inlineStr">
        <is>
          <t>Annual</t>
        </is>
      </c>
    </row>
    <row r="4"/>
    <row r="5">
      <c r="A5" s="282">
        <f>IF(SUM(93:93)=0,"","Check Balance Sheet")</f>
        <v/>
      </c>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P1&amp;"E"</f>
        <v/>
      </c>
      <c r="Q5" s="26">
        <f>Q1&amp;"E"</f>
        <v/>
      </c>
      <c r="R5" s="26">
        <f>R1&amp;"E"</f>
        <v/>
      </c>
      <c r="S5" s="26">
        <f>S1&amp;"E"</f>
        <v/>
      </c>
      <c r="T5" s="26">
        <f>T1&amp;"E"</f>
        <v/>
      </c>
      <c r="U5" s="26">
        <f>U1&amp;"E"</f>
        <v/>
      </c>
    </row>
    <row r="6">
      <c r="H6" s="36" t="n"/>
      <c r="I6" s="36" t="n"/>
      <c r="J6" s="36" t="n"/>
      <c r="K6" s="36" t="n"/>
      <c r="L6" s="36" t="n"/>
      <c r="M6" s="36" t="n"/>
      <c r="N6" s="36" t="n"/>
      <c r="O6" s="36" t="n"/>
      <c r="P6" s="36" t="n"/>
      <c r="Q6" s="36" t="n"/>
      <c r="R6" s="36" t="n"/>
      <c r="S6" s="36" t="n"/>
      <c r="T6" s="36" t="n"/>
      <c r="U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row>
    <row r="8"/>
    <row r="9">
      <c r="A9" s="81" t="inlineStr">
        <is>
          <t>CONSOLIDATED INCOME STATEMENT (RMB Million)</t>
        </is>
      </c>
    </row>
    <row r="10"/>
    <row r="11">
      <c r="A11" s="22">
        <f>FS_H!A11</f>
        <v/>
      </c>
      <c r="B11" s="147" t="n"/>
      <c r="C11" s="147" t="n"/>
      <c r="D11" s="147" t="n"/>
      <c r="E11" s="147" t="n"/>
      <c r="F11" s="147" t="n"/>
      <c r="G11" s="148">
        <f>SUMIF(FS_H!$1:$1,G$1,FS_H!11:11)</f>
        <v/>
      </c>
      <c r="H11" s="148">
        <f>SUMIF(FS_H!$1:$1,H$1,FS_H!11:11)</f>
        <v/>
      </c>
      <c r="I11" s="148">
        <f>SUMIF(FS_H!$1:$1,I$1,FS_H!11:11)</f>
        <v/>
      </c>
      <c r="J11" s="148">
        <f>SUMIF(FS_H!$1:$1,J$1,FS_H!11:11)</f>
        <v/>
      </c>
      <c r="K11" s="148">
        <f>SUMIF(FS_H!$1:$1,K$1,FS_H!11:11)</f>
        <v/>
      </c>
      <c r="L11" s="148">
        <f>SUMIF(FS_H!$1:$1,L$1,FS_H!11:11)</f>
        <v/>
      </c>
      <c r="M11" s="148">
        <f>SUMIF(FS_H!$1:$1,M$1,FS_H!11:11)</f>
        <v/>
      </c>
      <c r="N11" s="148">
        <f>SUMIF(FS_H!$1:$1,N$1,FS_H!11:11)</f>
        <v/>
      </c>
      <c r="O11" s="148">
        <f>SUMIF(FS_H!$1:$1,O$1,FS_H!11:11)</f>
        <v/>
      </c>
      <c r="P11" s="148">
        <f>SUMIF(FS_H!$1:$1,P$1,FS_H!11:11)</f>
        <v/>
      </c>
      <c r="Q11" s="148">
        <f>SUMIF(FS_H!$1:$1,Q$1,FS_H!11:11)</f>
        <v/>
      </c>
      <c r="R11" s="148">
        <f>SUMIF(FS_H!$1:$1,R$1,FS_H!11:11)</f>
        <v/>
      </c>
      <c r="S11" s="148">
        <f>SUMIF(FS_H!$1:$1,S$1,FS_H!11:11)</f>
        <v/>
      </c>
      <c r="T11" s="148">
        <f>SUMIF(FS_H!$1:$1,T$1,FS_H!11:11)</f>
        <v/>
      </c>
      <c r="U11" s="148">
        <f>SUMIF(FS_H!$1:$1,U$1,FS_H!11:11)</f>
        <v/>
      </c>
    </row>
    <row r="12">
      <c r="A12" s="74">
        <f>FS_H!A12</f>
        <v/>
      </c>
      <c r="B12" s="143" t="n"/>
      <c r="C12" s="143" t="n"/>
      <c r="D12" s="143" t="n"/>
      <c r="E12" s="143" t="n"/>
      <c r="F12" s="143" t="n"/>
      <c r="G12" s="141">
        <f>SUMIF(FS_H!$1:$1,G$1,FS_H!12:12)</f>
        <v/>
      </c>
      <c r="H12" s="141">
        <f>SUMIF(FS_H!$1:$1,H$1,FS_H!12:12)</f>
        <v/>
      </c>
      <c r="I12" s="141">
        <f>SUMIF(FS_H!$1:$1,I$1,FS_H!12:12)</f>
        <v/>
      </c>
      <c r="J12" s="141">
        <f>SUMIF(FS_H!$1:$1,J$1,FS_H!12:12)</f>
        <v/>
      </c>
      <c r="K12" s="141">
        <f>SUMIF(FS_H!$1:$1,K$1,FS_H!12:12)</f>
        <v/>
      </c>
      <c r="L12" s="141">
        <f>SUMIF(FS_H!$1:$1,L$1,FS_H!12:12)</f>
        <v/>
      </c>
      <c r="M12" s="141">
        <f>SUMIF(FS_H!$1:$1,M$1,FS_H!12:12)</f>
        <v/>
      </c>
      <c r="N12" s="141">
        <f>SUMIF(FS_H!$1:$1,N$1,FS_H!12:12)</f>
        <v/>
      </c>
      <c r="O12" s="141">
        <f>SUMIF(FS_H!$1:$1,O$1,FS_H!12:12)</f>
        <v/>
      </c>
      <c r="P12" s="141">
        <f>SUMIF(FS_H!$1:$1,P$1,FS_H!12:12)</f>
        <v/>
      </c>
      <c r="Q12" s="141">
        <f>SUMIF(FS_H!$1:$1,Q$1,FS_H!12:12)</f>
        <v/>
      </c>
      <c r="R12" s="141">
        <f>SUMIF(FS_H!$1:$1,R$1,FS_H!12:12)</f>
        <v/>
      </c>
      <c r="S12" s="141">
        <f>SUMIF(FS_H!$1:$1,S$1,FS_H!12:12)</f>
        <v/>
      </c>
      <c r="T12" s="141">
        <f>SUMIF(FS_H!$1:$1,T$1,FS_H!12:12)</f>
        <v/>
      </c>
      <c r="U12" s="141">
        <f>SUMIF(FS_H!$1:$1,U$1,FS_H!12:12)</f>
        <v/>
      </c>
    </row>
    <row r="13">
      <c r="A13" s="22">
        <f>FS_H!A13</f>
        <v/>
      </c>
      <c r="B13" s="147" t="n"/>
      <c r="C13" s="147" t="n"/>
      <c r="D13" s="147" t="n"/>
      <c r="E13" s="147" t="n"/>
      <c r="F13" s="147" t="n"/>
      <c r="G13" s="131">
        <f>G11+G12</f>
        <v/>
      </c>
      <c r="H13" s="131">
        <f>H11+H12</f>
        <v/>
      </c>
      <c r="I13" s="131">
        <f>I11+I12</f>
        <v/>
      </c>
      <c r="J13" s="131">
        <f>J11+J12</f>
        <v/>
      </c>
      <c r="K13" s="131">
        <f>K11+K12</f>
        <v/>
      </c>
      <c r="L13" s="131">
        <f>L11+L12</f>
        <v/>
      </c>
      <c r="M13" s="131">
        <f>M11+M12</f>
        <v/>
      </c>
      <c r="N13" s="131">
        <f>N11+N12</f>
        <v/>
      </c>
      <c r="O13" s="131">
        <f>O11+O12</f>
        <v/>
      </c>
      <c r="P13" s="131">
        <f>P11+P12</f>
        <v/>
      </c>
      <c r="Q13" s="131">
        <f>Q11+Q12</f>
        <v/>
      </c>
      <c r="R13" s="131">
        <f>R11+R12</f>
        <v/>
      </c>
      <c r="S13" s="131">
        <f>S11+S12</f>
        <v/>
      </c>
      <c r="T13" s="131">
        <f>T11+T12</f>
        <v/>
      </c>
      <c r="U13" s="131">
        <f>U11+U12</f>
        <v/>
      </c>
      <c r="V13" s="166" t="n"/>
      <c r="W13" s="166" t="n"/>
      <c r="X13" s="166" t="n"/>
      <c r="Y13" s="166" t="n"/>
    </row>
    <row r="14">
      <c r="A14" s="74">
        <f>FS_H!A14</f>
        <v/>
      </c>
      <c r="B14" s="143" t="n"/>
      <c r="C14" s="143" t="n"/>
      <c r="D14" s="143" t="n"/>
      <c r="E14" s="143" t="n"/>
      <c r="F14" s="143" t="n"/>
      <c r="G14" s="141">
        <f>SUMIF(FS_H!$1:$1,G$1,FS_H!14:14)</f>
        <v/>
      </c>
      <c r="H14" s="141">
        <f>SUMIF(FS_H!$1:$1,H$1,FS_H!14:14)</f>
        <v/>
      </c>
      <c r="I14" s="141">
        <f>SUMIF(FS_H!$1:$1,I$1,FS_H!14:14)</f>
        <v/>
      </c>
      <c r="J14" s="141">
        <f>SUMIF(FS_H!$1:$1,J$1,FS_H!14:14)</f>
        <v/>
      </c>
      <c r="K14" s="141">
        <f>SUMIF(FS_H!$1:$1,K$1,FS_H!14:14)</f>
        <v/>
      </c>
      <c r="L14" s="141">
        <f>SUMIF(FS_H!$1:$1,L$1,FS_H!14:14)</f>
        <v/>
      </c>
      <c r="M14" s="141">
        <f>SUMIF(FS_H!$1:$1,M$1,FS_H!14:14)</f>
        <v/>
      </c>
      <c r="N14" s="141">
        <f>SUMIF(FS_H!$1:$1,N$1,FS_H!14:14)</f>
        <v/>
      </c>
      <c r="O14" s="141">
        <f>SUMIF(FS_H!$1:$1,O$1,FS_H!14:14)</f>
        <v/>
      </c>
      <c r="P14" s="141">
        <f>SUMIF(FS_H!$1:$1,P$1,FS_H!14:14)</f>
        <v/>
      </c>
      <c r="Q14" s="141">
        <f>SUMIF(FS_H!$1:$1,Q$1,FS_H!14:14)</f>
        <v/>
      </c>
      <c r="R14" s="141">
        <f>SUMIF(FS_H!$1:$1,R$1,FS_H!14:14)</f>
        <v/>
      </c>
      <c r="S14" s="141">
        <f>SUMIF(FS_H!$1:$1,S$1,FS_H!14:14)</f>
        <v/>
      </c>
      <c r="T14" s="141">
        <f>SUMIF(FS_H!$1:$1,T$1,FS_H!14:14)</f>
        <v/>
      </c>
      <c r="U14" s="141">
        <f>SUMIF(FS_H!$1:$1,U$1,FS_H!14:14)</f>
        <v/>
      </c>
    </row>
    <row r="15">
      <c r="A15" s="74">
        <f>FS_H!A15</f>
        <v/>
      </c>
      <c r="B15" s="143" t="n"/>
      <c r="C15" s="143" t="n"/>
      <c r="D15" s="143" t="n"/>
      <c r="E15" s="143" t="n"/>
      <c r="F15" s="143" t="n"/>
      <c r="G15" s="141">
        <f>SUMIF(FS_H!$1:$1,G$1,FS_H!15:15)</f>
        <v/>
      </c>
      <c r="H15" s="141">
        <f>SUMIF(FS_H!$1:$1,H$1,FS_H!15:15)</f>
        <v/>
      </c>
      <c r="I15" s="141">
        <f>SUMIF(FS_H!$1:$1,I$1,FS_H!15:15)</f>
        <v/>
      </c>
      <c r="J15" s="141">
        <f>SUMIF(FS_H!$1:$1,J$1,FS_H!15:15)</f>
        <v/>
      </c>
      <c r="K15" s="141">
        <f>SUMIF(FS_H!$1:$1,K$1,FS_H!15:15)</f>
        <v/>
      </c>
      <c r="L15" s="141">
        <f>SUMIF(FS_H!$1:$1,L$1,FS_H!15:15)</f>
        <v/>
      </c>
      <c r="M15" s="141">
        <f>SUMIF(FS_H!$1:$1,M$1,FS_H!15:15)</f>
        <v/>
      </c>
      <c r="N15" s="141">
        <f>SUMIF(FS_H!$1:$1,N$1,FS_H!15:15)</f>
        <v/>
      </c>
      <c r="O15" s="141">
        <f>SUMIF(FS_H!$1:$1,O$1,FS_H!15:15)</f>
        <v/>
      </c>
      <c r="P15" s="141">
        <f>SUMIF(FS_H!$1:$1,P$1,FS_H!15:15)</f>
        <v/>
      </c>
      <c r="Q15" s="141">
        <f>SUMIF(FS_H!$1:$1,Q$1,FS_H!15:15)</f>
        <v/>
      </c>
      <c r="R15" s="141">
        <f>SUMIF(FS_H!$1:$1,R$1,FS_H!15:15)</f>
        <v/>
      </c>
      <c r="S15" s="141">
        <f>SUMIF(FS_H!$1:$1,S$1,FS_H!15:15)</f>
        <v/>
      </c>
      <c r="T15" s="141">
        <f>SUMIF(FS_H!$1:$1,T$1,FS_H!15:15)</f>
        <v/>
      </c>
      <c r="U15" s="141">
        <f>SUMIF(FS_H!$1:$1,U$1,FS_H!15:15)</f>
        <v/>
      </c>
    </row>
    <row r="16">
      <c r="A16" s="74">
        <f>FS_H!A16</f>
        <v/>
      </c>
      <c r="B16" s="143" t="n"/>
      <c r="C16" s="143" t="n"/>
      <c r="D16" s="143" t="n"/>
      <c r="E16" s="143" t="n"/>
      <c r="F16" s="143" t="n"/>
      <c r="G16" s="141">
        <f>SUMIF(FS_H!$1:$1,G$1,FS_H!16:16)</f>
        <v/>
      </c>
      <c r="H16" s="141">
        <f>SUMIF(FS_H!$1:$1,H$1,FS_H!16:16)</f>
        <v/>
      </c>
      <c r="I16" s="141">
        <f>SUMIF(FS_H!$1:$1,I$1,FS_H!16:16)</f>
        <v/>
      </c>
      <c r="J16" s="141">
        <f>SUMIF(FS_H!$1:$1,J$1,FS_H!16:16)</f>
        <v/>
      </c>
      <c r="K16" s="141">
        <f>SUMIF(FS_H!$1:$1,K$1,FS_H!16:16)</f>
        <v/>
      </c>
      <c r="L16" s="141">
        <f>SUMIF(FS_H!$1:$1,L$1,FS_H!16:16)</f>
        <v/>
      </c>
      <c r="M16" s="141">
        <f>SUMIF(FS_H!$1:$1,M$1,FS_H!16:16)</f>
        <v/>
      </c>
      <c r="N16" s="141">
        <f>SUMIF(FS_H!$1:$1,N$1,FS_H!16:16)</f>
        <v/>
      </c>
      <c r="O16" s="141">
        <f>SUMIF(FS_H!$1:$1,O$1,FS_H!16:16)</f>
        <v/>
      </c>
      <c r="P16" s="141">
        <f>SUMIF(FS_H!$1:$1,P$1,FS_H!16:16)</f>
        <v/>
      </c>
      <c r="Q16" s="141">
        <f>SUMIF(FS_H!$1:$1,Q$1,FS_H!16:16)</f>
        <v/>
      </c>
      <c r="R16" s="141">
        <f>SUMIF(FS_H!$1:$1,R$1,FS_H!16:16)</f>
        <v/>
      </c>
      <c r="S16" s="141">
        <f>SUMIF(FS_H!$1:$1,S$1,FS_H!16:16)</f>
        <v/>
      </c>
      <c r="T16" s="141">
        <f>SUMIF(FS_H!$1:$1,T$1,FS_H!16:16)</f>
        <v/>
      </c>
      <c r="U16" s="141">
        <f>SUMIF(FS_H!$1:$1,U$1,FS_H!16:16)</f>
        <v/>
      </c>
    </row>
    <row r="17">
      <c r="A17" s="74">
        <f>FS_H!A17</f>
        <v/>
      </c>
      <c r="B17" s="143" t="n"/>
      <c r="C17" s="143" t="n"/>
      <c r="D17" s="143" t="n"/>
      <c r="E17" s="143" t="n"/>
      <c r="F17" s="143" t="n"/>
      <c r="G17" s="141">
        <f>SUMIF(FS_H!$1:$1,G$1,FS_H!17:17)</f>
        <v/>
      </c>
      <c r="H17" s="141">
        <f>SUMIF(FS_H!$1:$1,H$1,FS_H!17:17)</f>
        <v/>
      </c>
      <c r="I17" s="141">
        <f>SUMIF(FS_H!$1:$1,I$1,FS_H!17:17)</f>
        <v/>
      </c>
      <c r="J17" s="141">
        <f>SUMIF(FS_H!$1:$1,J$1,FS_H!17:17)</f>
        <v/>
      </c>
      <c r="K17" s="141">
        <f>SUMIF(FS_H!$1:$1,K$1,FS_H!17:17)</f>
        <v/>
      </c>
      <c r="L17" s="141">
        <f>SUMIF(FS_H!$1:$1,L$1,FS_H!17:17)</f>
        <v/>
      </c>
      <c r="M17" s="141">
        <f>SUMIF(FS_H!$1:$1,M$1,FS_H!17:17)</f>
        <v/>
      </c>
      <c r="N17" s="141">
        <f>SUMIF(FS_H!$1:$1,N$1,FS_H!17:17)</f>
        <v/>
      </c>
      <c r="O17" s="141">
        <f>SUMIF(FS_H!$1:$1,O$1,FS_H!17:17)</f>
        <v/>
      </c>
      <c r="P17" s="141">
        <f>SUMIF(FS_H!$1:$1,P$1,FS_H!17:17)</f>
        <v/>
      </c>
      <c r="Q17" s="141">
        <f>SUMIF(FS_H!$1:$1,Q$1,FS_H!17:17)</f>
        <v/>
      </c>
      <c r="R17" s="141">
        <f>SUMIF(FS_H!$1:$1,R$1,FS_H!17:17)</f>
        <v/>
      </c>
      <c r="S17" s="141">
        <f>SUMIF(FS_H!$1:$1,S$1,FS_H!17:17)</f>
        <v/>
      </c>
      <c r="T17" s="141">
        <f>SUMIF(FS_H!$1:$1,T$1,FS_H!17:17)</f>
        <v/>
      </c>
      <c r="U17" s="141">
        <f>SUMIF(FS_H!$1:$1,U$1,FS_H!17:17)</f>
        <v/>
      </c>
    </row>
    <row r="18">
      <c r="A18" s="38">
        <f>FS_H!A18</f>
        <v/>
      </c>
      <c r="B18" s="143" t="n"/>
      <c r="C18" s="143" t="n"/>
      <c r="D18" s="143" t="n"/>
      <c r="E18" s="143" t="n"/>
      <c r="F18" s="143" t="n"/>
      <c r="G18" s="147">
        <f>G13+SUM(G14:G17)</f>
        <v/>
      </c>
      <c r="H18" s="147">
        <f>H13+SUM(H14:H17)</f>
        <v/>
      </c>
      <c r="I18" s="147">
        <f>I13+SUM(I14:I17)</f>
        <v/>
      </c>
      <c r="J18" s="147">
        <f>J13+SUM(J14:J17)</f>
        <v/>
      </c>
      <c r="K18" s="147">
        <f>K13+SUM(K14:K17)</f>
        <v/>
      </c>
      <c r="L18" s="147">
        <f>L13+SUM(L14:L17)</f>
        <v/>
      </c>
      <c r="M18" s="147">
        <f>M13+SUM(M14:M17)</f>
        <v/>
      </c>
      <c r="N18" s="147">
        <f>N13+SUM(N14:N17)</f>
        <v/>
      </c>
      <c r="O18" s="147">
        <f>O13+SUM(O14:O17)</f>
        <v/>
      </c>
      <c r="P18" s="147">
        <f>P13+SUM(P14:P17)</f>
        <v/>
      </c>
      <c r="Q18" s="147">
        <f>Q13+SUM(Q14:Q17)</f>
        <v/>
      </c>
      <c r="R18" s="147">
        <f>R13+SUM(R14:R17)</f>
        <v/>
      </c>
      <c r="S18" s="147">
        <f>S13+SUM(S14:S17)</f>
        <v/>
      </c>
      <c r="T18" s="147">
        <f>T13+SUM(T14:T17)</f>
        <v/>
      </c>
      <c r="U18" s="147">
        <f>U13+SUM(U14:U17)</f>
        <v/>
      </c>
      <c r="V18" s="166" t="n"/>
      <c r="W18" s="166" t="n"/>
      <c r="X18" s="166" t="n"/>
      <c r="Y18" s="166" t="n"/>
    </row>
    <row r="19">
      <c r="A19" s="74">
        <f>FS_H!A19</f>
        <v/>
      </c>
      <c r="B19" s="147" t="n"/>
      <c r="C19" s="147" t="n"/>
      <c r="D19" s="147" t="n"/>
      <c r="E19" s="147" t="n"/>
      <c r="F19" s="147" t="n"/>
      <c r="G19" s="141">
        <f>SUMIF(FS_H!$1:$1,G$1,FS_H!19:19)</f>
        <v/>
      </c>
      <c r="H19" s="141">
        <f>SUMIF(FS_H!$1:$1,H$1,FS_H!19:19)</f>
        <v/>
      </c>
      <c r="I19" s="141">
        <f>SUMIF(FS_H!$1:$1,I$1,FS_H!19:19)</f>
        <v/>
      </c>
      <c r="J19" s="141">
        <f>SUMIF(FS_H!$1:$1,J$1,FS_H!19:19)</f>
        <v/>
      </c>
      <c r="K19" s="141">
        <f>SUMIF(FS_H!$1:$1,K$1,FS_H!19:19)</f>
        <v/>
      </c>
      <c r="L19" s="141">
        <f>SUMIF(FS_H!$1:$1,L$1,FS_H!19:19)</f>
        <v/>
      </c>
      <c r="M19" s="141">
        <f>SUMIF(FS_H!$1:$1,M$1,FS_H!19:19)</f>
        <v/>
      </c>
      <c r="N19" s="141">
        <f>SUMIF(FS_H!$1:$1,N$1,FS_H!19:19)</f>
        <v/>
      </c>
      <c r="O19" s="141">
        <f>SUMIF(FS_H!$1:$1,O$1,FS_H!19:19)</f>
        <v/>
      </c>
      <c r="P19" s="141">
        <f>SUMIF(FS_H!$1:$1,P$1,FS_H!19:19)</f>
        <v/>
      </c>
      <c r="Q19" s="141">
        <f>SUMIF(FS_H!$1:$1,Q$1,FS_H!19:19)</f>
        <v/>
      </c>
      <c r="R19" s="141">
        <f>SUMIF(FS_H!$1:$1,R$1,FS_H!19:19)</f>
        <v/>
      </c>
      <c r="S19" s="141">
        <f>SUMIF(FS_H!$1:$1,S$1,FS_H!19:19)</f>
        <v/>
      </c>
      <c r="T19" s="141">
        <f>SUMIF(FS_H!$1:$1,T$1,FS_H!19:19)</f>
        <v/>
      </c>
      <c r="U19" s="141">
        <f>SUMIF(FS_H!$1:$1,U$1,FS_H!19:19)</f>
        <v/>
      </c>
    </row>
    <row r="20">
      <c r="A20" s="74">
        <f>FS_H!A20</f>
        <v/>
      </c>
      <c r="B20" s="147" t="n"/>
      <c r="C20" s="147" t="n"/>
      <c r="D20" s="147" t="n"/>
      <c r="E20" s="147" t="n"/>
      <c r="F20" s="147" t="n"/>
      <c r="G20" s="141">
        <f>SUMIF(FS_H!$1:$1,G$1,FS_H!20:20)</f>
        <v/>
      </c>
      <c r="H20" s="141">
        <f>SUMIF(FS_H!$1:$1,H$1,FS_H!20:20)</f>
        <v/>
      </c>
      <c r="I20" s="141">
        <f>SUMIF(FS_H!$1:$1,I$1,FS_H!20:20)</f>
        <v/>
      </c>
      <c r="J20" s="141">
        <f>SUMIF(FS_H!$1:$1,J$1,FS_H!20:20)</f>
        <v/>
      </c>
      <c r="K20" s="141">
        <f>SUMIF(FS_H!$1:$1,K$1,FS_H!20:20)</f>
        <v/>
      </c>
      <c r="L20" s="141">
        <f>SUMIF(FS_H!$1:$1,L$1,FS_H!20:20)</f>
        <v/>
      </c>
      <c r="M20" s="141">
        <f>SUMIF(FS_H!$1:$1,M$1,FS_H!20:20)</f>
        <v/>
      </c>
      <c r="N20" s="141">
        <f>SUMIF(FS_H!$1:$1,N$1,FS_H!20:20)</f>
        <v/>
      </c>
      <c r="O20" s="141">
        <f>SUMIF(FS_H!$1:$1,O$1,FS_H!20:20)</f>
        <v/>
      </c>
      <c r="P20" s="141">
        <f>SUMIF(FS_H!$1:$1,P$1,FS_H!20:20)</f>
        <v/>
      </c>
      <c r="Q20" s="141">
        <f>SUMIF(FS_H!$1:$1,Q$1,FS_H!20:20)</f>
        <v/>
      </c>
      <c r="R20" s="141">
        <f>SUMIF(FS_H!$1:$1,R$1,FS_H!20:20)</f>
        <v/>
      </c>
      <c r="S20" s="141">
        <f>SUMIF(FS_H!$1:$1,S$1,FS_H!20:20)</f>
        <v/>
      </c>
      <c r="T20" s="141">
        <f>SUMIF(FS_H!$1:$1,T$1,FS_H!20:20)</f>
        <v/>
      </c>
      <c r="U20" s="141">
        <f>SUMIF(FS_H!$1:$1,U$1,FS_H!20:20)</f>
        <v/>
      </c>
    </row>
    <row r="21">
      <c r="A21" s="74">
        <f>FS_H!A21</f>
        <v/>
      </c>
      <c r="B21" s="143" t="n"/>
      <c r="C21" s="143" t="n"/>
      <c r="D21" s="143" t="n"/>
      <c r="E21" s="143" t="n"/>
      <c r="F21" s="143" t="n"/>
      <c r="G21" s="141">
        <f>SUMIF(FS_H!$1:$1,G$1,FS_H!21:21)</f>
        <v/>
      </c>
      <c r="H21" s="141">
        <f>SUMIF(FS_H!$1:$1,H$1,FS_H!21:21)</f>
        <v/>
      </c>
      <c r="I21" s="141">
        <f>SUMIF(FS_H!$1:$1,I$1,FS_H!21:21)</f>
        <v/>
      </c>
      <c r="J21" s="141">
        <f>SUMIF(FS_H!$1:$1,J$1,FS_H!21:21)</f>
        <v/>
      </c>
      <c r="K21" s="141">
        <f>SUMIF(FS_H!$1:$1,K$1,FS_H!21:21)</f>
        <v/>
      </c>
      <c r="L21" s="141">
        <f>SUMIF(FS_H!$1:$1,L$1,FS_H!21:21)</f>
        <v/>
      </c>
      <c r="M21" s="141">
        <f>SUMIF(FS_H!$1:$1,M$1,FS_H!21:21)</f>
        <v/>
      </c>
      <c r="N21" s="141">
        <f>SUMIF(FS_H!$1:$1,N$1,FS_H!21:21)</f>
        <v/>
      </c>
      <c r="O21" s="141">
        <f>SUMIF(FS_H!$1:$1,O$1,FS_H!21:21)</f>
        <v/>
      </c>
      <c r="P21" s="141">
        <f>SUMIF(FS_H!$1:$1,P$1,FS_H!21:21)</f>
        <v/>
      </c>
      <c r="Q21" s="141">
        <f>SUMIF(FS_H!$1:$1,Q$1,FS_H!21:21)</f>
        <v/>
      </c>
      <c r="R21" s="141">
        <f>SUMIF(FS_H!$1:$1,R$1,FS_H!21:21)</f>
        <v/>
      </c>
      <c r="S21" s="141">
        <f>SUMIF(FS_H!$1:$1,S$1,FS_H!21:21)</f>
        <v/>
      </c>
      <c r="T21" s="141">
        <f>SUMIF(FS_H!$1:$1,T$1,FS_H!21:21)</f>
        <v/>
      </c>
      <c r="U21" s="141">
        <f>SUMIF(FS_H!$1:$1,U$1,FS_H!21:21)</f>
        <v/>
      </c>
    </row>
    <row r="22">
      <c r="A22" s="22">
        <f>FS_H!A22</f>
        <v/>
      </c>
      <c r="B22" s="143" t="n"/>
      <c r="C22" s="143" t="n"/>
      <c r="D22" s="143" t="n"/>
      <c r="E22" s="143" t="n"/>
      <c r="F22" s="143" t="n"/>
      <c r="G22" s="131">
        <f>SUM(G18:G21)</f>
        <v/>
      </c>
      <c r="H22" s="131">
        <f>SUM(H18:H21)</f>
        <v/>
      </c>
      <c r="I22" s="131">
        <f>SUM(I18:I21)</f>
        <v/>
      </c>
      <c r="J22" s="131">
        <f>SUM(J18:J21)</f>
        <v/>
      </c>
      <c r="K22" s="131">
        <f>SUM(K18:K21)</f>
        <v/>
      </c>
      <c r="L22" s="131">
        <f>SUM(L18:L21)</f>
        <v/>
      </c>
      <c r="M22" s="131">
        <f>SUM(M18:M21)</f>
        <v/>
      </c>
      <c r="N22" s="131">
        <f>SUM(N18:N21)</f>
        <v/>
      </c>
      <c r="O22" s="131">
        <f>SUM(O18:O21)</f>
        <v/>
      </c>
      <c r="P22" s="131">
        <f>SUM(P18:P21)</f>
        <v/>
      </c>
      <c r="Q22" s="131">
        <f>SUM(Q18:Q21)</f>
        <v/>
      </c>
      <c r="R22" s="131">
        <f>SUM(R18:R21)</f>
        <v/>
      </c>
      <c r="S22" s="131">
        <f>SUM(S18:S21)</f>
        <v/>
      </c>
      <c r="T22" s="131">
        <f>SUM(T18:T21)</f>
        <v/>
      </c>
      <c r="U22" s="131">
        <f>SUM(U18:U21)</f>
        <v/>
      </c>
    </row>
    <row r="23">
      <c r="A23" s="74">
        <f>FS_H!A23</f>
        <v/>
      </c>
      <c r="B23" s="143" t="n"/>
      <c r="C23" s="143" t="n"/>
      <c r="D23" s="143" t="n"/>
      <c r="E23" s="143" t="n"/>
      <c r="F23" s="147" t="n"/>
      <c r="G23" s="141">
        <f>SUMIF(FS_H!$1:$1,G$1,FS_H!23:23)</f>
        <v/>
      </c>
      <c r="H23" s="141">
        <f>SUMIF(FS_H!$1:$1,H$1,FS_H!23:23)</f>
        <v/>
      </c>
      <c r="I23" s="141">
        <f>SUMIF(FS_H!$1:$1,I$1,FS_H!23:23)</f>
        <v/>
      </c>
      <c r="J23" s="141">
        <f>SUMIF(FS_H!$1:$1,J$1,FS_H!23:23)</f>
        <v/>
      </c>
      <c r="K23" s="141">
        <f>SUMIF(FS_H!$1:$1,K$1,FS_H!23:23)</f>
        <v/>
      </c>
      <c r="L23" s="141">
        <f>SUMIF(FS_H!$1:$1,L$1,FS_H!23:23)</f>
        <v/>
      </c>
      <c r="M23" s="141">
        <f>SUMIF(FS_H!$1:$1,M$1,FS_H!23:23)</f>
        <v/>
      </c>
      <c r="N23" s="141">
        <f>SUMIF(FS_H!$1:$1,N$1,FS_H!23:23)</f>
        <v/>
      </c>
      <c r="O23" s="141">
        <f>SUMIF(FS_H!$1:$1,O$1,FS_H!23:23)</f>
        <v/>
      </c>
      <c r="P23" s="141">
        <f>SUMIF(FS_H!$1:$1,P$1,FS_H!23:23)</f>
        <v/>
      </c>
      <c r="Q23" s="141">
        <f>SUMIF(FS_H!$1:$1,Q$1,FS_H!23:23)</f>
        <v/>
      </c>
      <c r="R23" s="141">
        <f>SUMIF(FS_H!$1:$1,R$1,FS_H!23:23)</f>
        <v/>
      </c>
      <c r="S23" s="141">
        <f>SUMIF(FS_H!$1:$1,S$1,FS_H!23:23)</f>
        <v/>
      </c>
      <c r="T23" s="141">
        <f>SUMIF(FS_H!$1:$1,T$1,FS_H!23:23)</f>
        <v/>
      </c>
      <c r="U23" s="141">
        <f>SUMIF(FS_H!$1:$1,U$1,FS_H!23:23)</f>
        <v/>
      </c>
    </row>
    <row r="24">
      <c r="A24" s="22">
        <f>FS_H!A24</f>
        <v/>
      </c>
      <c r="B24" s="143" t="n"/>
      <c r="C24" s="143" t="n"/>
      <c r="D24" s="143" t="n"/>
      <c r="E24" s="143" t="n"/>
      <c r="F24" s="143" t="n"/>
      <c r="G24" s="131">
        <f>G22+G23</f>
        <v/>
      </c>
      <c r="H24" s="131">
        <f>H22+H23</f>
        <v/>
      </c>
      <c r="I24" s="131">
        <f>I22+I23</f>
        <v/>
      </c>
      <c r="J24" s="131">
        <f>J22+J23</f>
        <v/>
      </c>
      <c r="K24" s="131">
        <f>K22+K23</f>
        <v/>
      </c>
      <c r="L24" s="131">
        <f>L22+L23</f>
        <v/>
      </c>
      <c r="M24" s="131">
        <f>M22+M23</f>
        <v/>
      </c>
      <c r="N24" s="131">
        <f>N22+N23</f>
        <v/>
      </c>
      <c r="O24" s="131">
        <f>O22+O23</f>
        <v/>
      </c>
      <c r="P24" s="131">
        <f>P22+P23</f>
        <v/>
      </c>
      <c r="Q24" s="131">
        <f>Q22+Q23</f>
        <v/>
      </c>
      <c r="R24" s="131">
        <f>R22+R23</f>
        <v/>
      </c>
      <c r="S24" s="131">
        <f>S22+S23</f>
        <v/>
      </c>
      <c r="T24" s="131">
        <f>T22+T23</f>
        <v/>
      </c>
      <c r="U24" s="131">
        <f>U22+U23</f>
        <v/>
      </c>
    </row>
    <row r="25">
      <c r="A25" s="74">
        <f>FS_H!A25</f>
        <v/>
      </c>
      <c r="B25" s="147" t="n"/>
      <c r="C25" s="147" t="n"/>
      <c r="D25" s="147" t="n"/>
      <c r="E25" s="147" t="n"/>
      <c r="F25" s="147" t="n"/>
      <c r="G25" s="145" t="n"/>
      <c r="H25" s="145" t="n"/>
      <c r="I25" s="145" t="n"/>
      <c r="J25" s="145" t="n"/>
      <c r="K25" s="145" t="n"/>
      <c r="L25" s="145" t="n"/>
      <c r="M25" s="145" t="n"/>
      <c r="N25" s="145" t="n"/>
      <c r="O25" s="145" t="n"/>
      <c r="P25" s="145" t="n"/>
      <c r="Q25" s="145" t="n"/>
      <c r="R25" s="145" t="n"/>
      <c r="S25" s="145" t="n"/>
      <c r="T25" s="145" t="n"/>
      <c r="U25" s="145" t="n"/>
    </row>
    <row r="26">
      <c r="A26" s="33">
        <f>FS_H!A26</f>
        <v/>
      </c>
      <c r="B26" s="31" t="n"/>
      <c r="C26" s="31" t="n"/>
      <c r="D26" s="31" t="n"/>
      <c r="E26" s="31" t="n"/>
      <c r="F26" s="143" t="n"/>
      <c r="G26" s="141">
        <f>G24-G27</f>
        <v/>
      </c>
      <c r="H26" s="141">
        <f>H24-H27</f>
        <v/>
      </c>
      <c r="I26" s="141">
        <f>I24-I27</f>
        <v/>
      </c>
      <c r="J26" s="141">
        <f>J24-J27</f>
        <v/>
      </c>
      <c r="K26" s="141">
        <f>K24-K27</f>
        <v/>
      </c>
      <c r="L26" s="141">
        <f>L24-L27</f>
        <v/>
      </c>
      <c r="M26" s="141">
        <f>M24-M27</f>
        <v/>
      </c>
      <c r="N26" s="141">
        <f>N24-N27</f>
        <v/>
      </c>
      <c r="O26" s="141">
        <f>O24-O27</f>
        <v/>
      </c>
      <c r="P26" s="141">
        <f>P24-P27</f>
        <v/>
      </c>
      <c r="Q26" s="141">
        <f>Q24-Q27</f>
        <v/>
      </c>
      <c r="R26" s="141">
        <f>R24-R27</f>
        <v/>
      </c>
      <c r="S26" s="141">
        <f>S24-S27</f>
        <v/>
      </c>
      <c r="T26" s="141">
        <f>T24-T27</f>
        <v/>
      </c>
      <c r="U26" s="141">
        <f>U24-U27</f>
        <v/>
      </c>
    </row>
    <row r="27">
      <c r="A27" s="33">
        <f>FS_H!A27</f>
        <v/>
      </c>
      <c r="B27" s="143" t="n"/>
      <c r="C27" s="143" t="n"/>
      <c r="D27" s="143" t="n"/>
      <c r="E27" s="143" t="n"/>
      <c r="F27" s="143" t="n"/>
      <c r="G27" s="141">
        <f>SUMIF(FS_H!$1:$1,G$1,FS_H!27:27)</f>
        <v/>
      </c>
      <c r="H27" s="141">
        <f>SUMIF(FS_H!$1:$1,H$1,FS_H!27:27)</f>
        <v/>
      </c>
      <c r="I27" s="141">
        <f>SUMIF(FS_H!$1:$1,I$1,FS_H!27:27)</f>
        <v/>
      </c>
      <c r="J27" s="141">
        <f>SUMIF(FS_H!$1:$1,J$1,FS_H!27:27)</f>
        <v/>
      </c>
      <c r="K27" s="141">
        <f>SUMIF(FS_H!$1:$1,K$1,FS_H!27:27)</f>
        <v/>
      </c>
      <c r="L27" s="141">
        <f>SUMIF(FS_H!$1:$1,L$1,FS_H!27:27)</f>
        <v/>
      </c>
      <c r="M27" s="141">
        <f>SUMIF(FS_H!$1:$1,M$1,FS_H!27:27)</f>
        <v/>
      </c>
      <c r="N27" s="141">
        <f>SUMIF(FS_H!$1:$1,N$1,FS_H!27:27)</f>
        <v/>
      </c>
      <c r="O27" s="141">
        <f>SUMIF(FS_H!$1:$1,O$1,FS_H!27:27)</f>
        <v/>
      </c>
      <c r="P27" s="141">
        <f>SUMIF(FS_H!$1:$1,P$1,FS_H!27:27)</f>
        <v/>
      </c>
      <c r="Q27" s="141">
        <f>SUMIF(FS_H!$1:$1,Q$1,FS_H!27:27)</f>
        <v/>
      </c>
      <c r="R27" s="141">
        <f>SUMIF(FS_H!$1:$1,R$1,FS_H!27:27)</f>
        <v/>
      </c>
      <c r="S27" s="141">
        <f>SUMIF(FS_H!$1:$1,S$1,FS_H!27:27)</f>
        <v/>
      </c>
      <c r="T27" s="141">
        <f>SUMIF(FS_H!$1:$1,T$1,FS_H!27:27)</f>
        <v/>
      </c>
      <c r="U27" s="141">
        <f>SUMIF(FS_H!$1:$1,U$1,FS_H!27:27)</f>
        <v/>
      </c>
    </row>
    <row r="28">
      <c r="A28" s="191" t="inlineStr">
        <is>
          <t>Memo: NC as % of net profit</t>
        </is>
      </c>
      <c r="B28" s="143" t="n"/>
      <c r="C28" s="143" t="n"/>
      <c r="D28" s="143" t="n"/>
      <c r="E28" s="143" t="n"/>
      <c r="F28" s="143" t="n"/>
      <c r="G28" s="190">
        <f>G27/G24</f>
        <v/>
      </c>
      <c r="H28" s="190">
        <f>H27/H24</f>
        <v/>
      </c>
      <c r="I28" s="190">
        <f>I27/I24</f>
        <v/>
      </c>
      <c r="J28" s="190">
        <f>J27/J24</f>
        <v/>
      </c>
      <c r="K28" s="190">
        <f>K27/K24</f>
        <v/>
      </c>
      <c r="L28" s="190">
        <f>L27/L24</f>
        <v/>
      </c>
      <c r="M28" s="190">
        <f>M27/M24</f>
        <v/>
      </c>
      <c r="N28" s="190">
        <f>N27/N24</f>
        <v/>
      </c>
      <c r="O28" s="190">
        <f>O27/O24</f>
        <v/>
      </c>
      <c r="P28" s="190">
        <f>P27/P24</f>
        <v/>
      </c>
      <c r="Q28" s="190">
        <f>Q27/Q24</f>
        <v/>
      </c>
      <c r="R28" s="190">
        <f>R27/R24</f>
        <v/>
      </c>
      <c r="S28" s="190">
        <f>S27/S24</f>
        <v/>
      </c>
      <c r="T28" s="190">
        <f>T27/T24</f>
        <v/>
      </c>
      <c r="U28" s="190">
        <f>U27/U24</f>
        <v/>
      </c>
    </row>
    <row r="29">
      <c r="A29" s="22">
        <f>FS_H!A29</f>
        <v/>
      </c>
      <c r="B29" s="31" t="n"/>
      <c r="C29" s="31" t="n"/>
      <c r="D29" s="31" t="n"/>
      <c r="E29" s="31" t="n"/>
      <c r="F29" s="143" t="n"/>
      <c r="G29" s="314">
        <f>1/G226*G26/G31</f>
        <v/>
      </c>
      <c r="H29" s="314">
        <f>1/H226*H26/H31</f>
        <v/>
      </c>
      <c r="I29" s="314">
        <f>1/I226*I26/I31</f>
        <v/>
      </c>
      <c r="J29" s="314">
        <f>1/J226*J26/J31</f>
        <v/>
      </c>
      <c r="K29" s="314">
        <f>1/K226*K26/K31</f>
        <v/>
      </c>
      <c r="L29" s="314">
        <f>1/L226*L26/L31</f>
        <v/>
      </c>
      <c r="M29" s="314">
        <f>1/M226*M26/M31</f>
        <v/>
      </c>
      <c r="N29" s="314">
        <f>1/N226*N26/N31</f>
        <v/>
      </c>
      <c r="O29" s="314">
        <f>1/O226*O26/O31</f>
        <v/>
      </c>
      <c r="P29" s="314">
        <f>1/P226*P26/P31</f>
        <v/>
      </c>
      <c r="Q29" s="314">
        <f>1/Q226*Q26/Q31</f>
        <v/>
      </c>
      <c r="R29" s="314">
        <f>1/R226*R26/R31</f>
        <v/>
      </c>
      <c r="S29" s="314">
        <f>1/S226*S26/S31</f>
        <v/>
      </c>
      <c r="T29" s="314">
        <f>1/T226*T26/T31</f>
        <v/>
      </c>
      <c r="U29" s="314">
        <f>1/U226*U26/U31</f>
        <v/>
      </c>
    </row>
    <row r="30">
      <c r="A30" s="22">
        <f>FS_H!A30</f>
        <v/>
      </c>
      <c r="B30" s="31" t="n"/>
      <c r="C30" s="31" t="n"/>
      <c r="D30" s="31" t="n"/>
      <c r="E30" s="31" t="n"/>
      <c r="F30" s="143" t="n"/>
      <c r="G30" s="314">
        <f>1/G226*G26/G32</f>
        <v/>
      </c>
      <c r="H30" s="314">
        <f>1/H226*H26/H32</f>
        <v/>
      </c>
      <c r="I30" s="314">
        <f>1/I226*I26/I32</f>
        <v/>
      </c>
      <c r="J30" s="314">
        <f>1/J226*J26/J32</f>
        <v/>
      </c>
      <c r="K30" s="314">
        <f>1/K226*K26/K32</f>
        <v/>
      </c>
      <c r="L30" s="314">
        <f>1/L226*L26/L32</f>
        <v/>
      </c>
      <c r="M30" s="314">
        <f>1/M226*M26/M32</f>
        <v/>
      </c>
      <c r="N30" s="314">
        <f>1/N226*N26/N32</f>
        <v/>
      </c>
      <c r="O30" s="314">
        <f>1/O226*O26/O32</f>
        <v/>
      </c>
      <c r="P30" s="314">
        <f>1/P226*P26/P32</f>
        <v/>
      </c>
      <c r="Q30" s="314">
        <f>1/Q226*Q26/Q32</f>
        <v/>
      </c>
      <c r="R30" s="314">
        <f>1/R226*R26/R32</f>
        <v/>
      </c>
      <c r="S30" s="314">
        <f>1/S226*S26/S32</f>
        <v/>
      </c>
      <c r="T30" s="314">
        <f>1/T226*T26/T32</f>
        <v/>
      </c>
      <c r="U30" s="314">
        <f>1/U226*U26/U32</f>
        <v/>
      </c>
    </row>
    <row r="31">
      <c r="A31">
        <f>FS_H!A31</f>
        <v/>
      </c>
      <c r="B31" s="31" t="n"/>
      <c r="C31" s="31" t="n"/>
      <c r="D31" s="31" t="n"/>
      <c r="E31" s="31" t="n"/>
      <c r="F31" s="147" t="n"/>
      <c r="G31" s="141">
        <f>INDEX(FS_H!31:31,,MATCH(G$2,FS_H!$3:$3,0))</f>
        <v/>
      </c>
      <c r="H31" s="141">
        <f>INDEX(FS_H!31:31,,MATCH(H$2,FS_H!$3:$3,0))</f>
        <v/>
      </c>
      <c r="I31" s="141">
        <f>SUMIF(FS_H!$1:$1,'FS_Y (OLD)'!I$1,FS_H!31:31)/COUNTIF(FS_H!$1:$1,'FS_Y (OLD)'!I$1)</f>
        <v/>
      </c>
      <c r="J31" s="141">
        <f>SUMIF(FS_H!$1:$1,'FS_Y (OLD)'!J$1,FS_H!31:31)/COUNTIF(FS_H!$1:$1,'FS_Y (OLD)'!J$1)</f>
        <v/>
      </c>
      <c r="K31" s="141">
        <f>SUMIF(FS_H!$1:$1,'FS_Y (OLD)'!K$1,FS_H!31:31)/COUNTIF(FS_H!$1:$1,'FS_Y (OLD)'!K$1)</f>
        <v/>
      </c>
      <c r="L31" s="141">
        <f>SUMIF(FS_H!$1:$1,'FS_Y (OLD)'!L$1,FS_H!31:31)/COUNTIF(FS_H!$1:$1,'FS_Y (OLD)'!L$1)</f>
        <v/>
      </c>
      <c r="M31" s="141">
        <f>SUMIF(FS_H!$1:$1,'FS_Y (OLD)'!M$1,FS_H!31:31)/COUNTIF(FS_H!$1:$1,'FS_Y (OLD)'!M$1)</f>
        <v/>
      </c>
      <c r="N31" s="141">
        <f>SUMIF(FS_H!$1:$1,'FS_Y (OLD)'!N$1,FS_H!31:31)/COUNTIF(FS_H!$1:$1,'FS_Y (OLD)'!N$1)</f>
        <v/>
      </c>
      <c r="O31" s="141">
        <f>SUMIF(FS_H!$1:$1,'FS_Y (OLD)'!O$1,FS_H!31:31)/COUNTIF(FS_H!$1:$1,'FS_Y (OLD)'!O$1)</f>
        <v/>
      </c>
      <c r="P31" s="141">
        <f>SUMIF(FS_H!$1:$1,'FS_Y (OLD)'!P$1,FS_H!31:31)/COUNTIF(FS_H!$1:$1,'FS_Y (OLD)'!P$1)</f>
        <v/>
      </c>
      <c r="Q31" s="141">
        <f>SUMIF(FS_H!$1:$1,'FS_Y (OLD)'!Q$1,FS_H!31:31)/COUNTIF(FS_H!$1:$1,'FS_Y (OLD)'!Q$1)</f>
        <v/>
      </c>
      <c r="R31" s="141">
        <f>SUMIF(FS_H!$1:$1,'FS_Y (OLD)'!R$1,FS_H!31:31)/COUNTIF(FS_H!$1:$1,'FS_Y (OLD)'!R$1)</f>
        <v/>
      </c>
      <c r="S31" s="141">
        <f>SUMIF(FS_H!$1:$1,'FS_Y (OLD)'!S$1,FS_H!31:31)/COUNTIF(FS_H!$1:$1,'FS_Y (OLD)'!S$1)</f>
        <v/>
      </c>
      <c r="T31" s="141">
        <f>SUMIF(FS_H!$1:$1,'FS_Y (OLD)'!T$1,FS_H!31:31)/COUNTIF(FS_H!$1:$1,'FS_Y (OLD)'!T$1)</f>
        <v/>
      </c>
      <c r="U31" s="141">
        <f>SUMIF(FS_H!$1:$1,'FS_Y (OLD)'!U$1,FS_H!31:31)/COUNTIF(FS_H!$1:$1,'FS_Y (OLD)'!U$1)</f>
        <v/>
      </c>
    </row>
    <row r="32">
      <c r="A32">
        <f>FS_H!A32</f>
        <v/>
      </c>
      <c r="B32" s="31" t="n"/>
      <c r="C32" s="31" t="n"/>
      <c r="D32" s="31" t="n"/>
      <c r="E32" s="31" t="n"/>
      <c r="F32" s="143" t="n"/>
      <c r="G32" s="141">
        <f>INDEX(FS_H!32:32,,MATCH(G$2,FS_H!$3:$3,0))</f>
        <v/>
      </c>
      <c r="H32" s="141">
        <f>INDEX(FS_H!32:32,,MATCH(H$2,FS_H!$3:$3,0))</f>
        <v/>
      </c>
      <c r="I32" s="141">
        <f>SUMIF(FS_H!$1:$1,'FS_Y (OLD)'!I$1,FS_H!32:32)/COUNTIF(FS_H!$1:$1,'FS_Y (OLD)'!I$1)</f>
        <v/>
      </c>
      <c r="J32" s="141">
        <f>SUMIF(FS_H!$1:$1,'FS_Y (OLD)'!J$1,FS_H!32:32)/COUNTIF(FS_H!$1:$1,'FS_Y (OLD)'!J$1)</f>
        <v/>
      </c>
      <c r="K32" s="141">
        <f>SUMIF(FS_H!$1:$1,'FS_Y (OLD)'!K$1,FS_H!32:32)/COUNTIF(FS_H!$1:$1,'FS_Y (OLD)'!K$1)</f>
        <v/>
      </c>
      <c r="L32" s="141">
        <f>SUMIF(FS_H!$1:$1,'FS_Y (OLD)'!L$1,FS_H!32:32)/COUNTIF(FS_H!$1:$1,'FS_Y (OLD)'!L$1)</f>
        <v/>
      </c>
      <c r="M32" s="141">
        <f>SUMIF(FS_H!$1:$1,'FS_Y (OLD)'!M$1,FS_H!32:32)/COUNTIF(FS_H!$1:$1,'FS_Y (OLD)'!M$1)</f>
        <v/>
      </c>
      <c r="N32" s="141">
        <f>SUMIF(FS_H!$1:$1,'FS_Y (OLD)'!N$1,FS_H!32:32)/COUNTIF(FS_H!$1:$1,'FS_Y (OLD)'!N$1)</f>
        <v/>
      </c>
      <c r="O32" s="141">
        <f>SUMIF(FS_H!$1:$1,'FS_Y (OLD)'!O$1,FS_H!32:32)/COUNTIF(FS_H!$1:$1,'FS_Y (OLD)'!O$1)</f>
        <v/>
      </c>
      <c r="P32" s="141">
        <f>SUMIF(FS_H!$1:$1,'FS_Y (OLD)'!P$1,FS_H!32:32)/COUNTIF(FS_H!$1:$1,'FS_Y (OLD)'!P$1)</f>
        <v/>
      </c>
      <c r="Q32" s="141">
        <f>SUMIF(FS_H!$1:$1,'FS_Y (OLD)'!Q$1,FS_H!32:32)/COUNTIF(FS_H!$1:$1,'FS_Y (OLD)'!Q$1)</f>
        <v/>
      </c>
      <c r="R32" s="141">
        <f>SUMIF(FS_H!$1:$1,'FS_Y (OLD)'!R$1,FS_H!32:32)/COUNTIF(FS_H!$1:$1,'FS_Y (OLD)'!R$1)</f>
        <v/>
      </c>
      <c r="S32" s="141">
        <f>SUMIF(FS_H!$1:$1,'FS_Y (OLD)'!S$1,FS_H!32:32)/COUNTIF(FS_H!$1:$1,'FS_Y (OLD)'!S$1)</f>
        <v/>
      </c>
      <c r="T32" s="141">
        <f>SUMIF(FS_H!$1:$1,'FS_Y (OLD)'!T$1,FS_H!32:32)/COUNTIF(FS_H!$1:$1,'FS_Y (OLD)'!T$1)</f>
        <v/>
      </c>
      <c r="U32" s="141">
        <f>SUMIF(FS_H!$1:$1,'FS_Y (OLD)'!U$1,FS_H!32:32)/COUNTIF(FS_H!$1:$1,'FS_Y (OLD)'!U$1)</f>
        <v/>
      </c>
    </row>
    <row r="33">
      <c r="B33" s="31" t="n"/>
      <c r="C33" s="31" t="n"/>
      <c r="D33" s="31" t="n"/>
      <c r="E33" s="31" t="n"/>
      <c r="F33" s="143" t="n"/>
      <c r="G33" s="141" t="n"/>
      <c r="H33" s="141" t="n"/>
      <c r="I33" s="141" t="n"/>
      <c r="J33" s="141" t="n"/>
      <c r="K33" s="141" t="n"/>
      <c r="L33" s="141" t="n"/>
      <c r="M33" s="141" t="n"/>
      <c r="N33" s="141" t="n"/>
      <c r="O33" s="141" t="n"/>
      <c r="P33" s="141" t="n"/>
      <c r="Q33" s="141" t="n"/>
      <c r="R33" s="141" t="n"/>
      <c r="S33" s="141" t="n"/>
      <c r="T33" s="141" t="n"/>
      <c r="U33" s="141" t="n"/>
    </row>
    <row r="34">
      <c r="B34" s="31" t="n"/>
      <c r="C34" s="31" t="n"/>
      <c r="D34" s="31" t="n"/>
      <c r="E34" s="31" t="n"/>
      <c r="F34" s="143" t="n"/>
      <c r="G34" s="142" t="n"/>
      <c r="H34" s="142" t="n"/>
      <c r="I34" s="142" t="n"/>
      <c r="J34" s="142" t="n"/>
      <c r="K34" s="142" t="n"/>
      <c r="L34" s="142" t="n"/>
      <c r="M34" s="142" t="n"/>
      <c r="N34" s="142" t="n"/>
      <c r="O34" s="142" t="n"/>
      <c r="P34" s="142" t="n"/>
      <c r="Q34" s="142" t="n"/>
      <c r="R34" s="142" t="n"/>
      <c r="S34" s="142" t="n"/>
      <c r="T34" s="142" t="n"/>
      <c r="U34" s="142" t="n"/>
    </row>
    <row r="35">
      <c r="A35" s="81" t="inlineStr">
        <is>
          <t>CONSOLIDATED BALANCE SHEET (RMB Million)</t>
        </is>
      </c>
      <c r="G35" s="880" t="n"/>
      <c r="H35" s="880" t="n"/>
      <c r="I35" s="880" t="n"/>
      <c r="J35" s="880" t="n"/>
      <c r="K35" s="880" t="n"/>
      <c r="L35" s="880" t="n"/>
      <c r="M35" s="880" t="n"/>
      <c r="N35" s="880" t="n"/>
      <c r="O35" s="142" t="n"/>
      <c r="P35" s="880" t="n"/>
      <c r="Q35" s="142" t="n"/>
      <c r="R35" s="142" t="n"/>
      <c r="S35" s="880" t="n"/>
      <c r="T35" s="142" t="n"/>
      <c r="U35" s="880" t="n"/>
    </row>
    <row r="36">
      <c r="O36" s="142" t="n"/>
      <c r="P36" s="880" t="n"/>
      <c r="Q36" s="142" t="n"/>
      <c r="R36" s="142" t="n"/>
      <c r="T36" s="142" t="n"/>
    </row>
    <row r="37">
      <c r="A37" s="22" t="inlineStr">
        <is>
          <t>Current assets</t>
        </is>
      </c>
      <c r="N37" s="84" t="n"/>
    </row>
    <row r="38">
      <c r="A38" s="74">
        <f>#REF!</f>
        <v/>
      </c>
      <c r="G38" s="102">
        <f>INDEX(FS_H!38:38,,MATCH(G$2,FS_H!$3:$3,0))</f>
        <v/>
      </c>
      <c r="H38" s="102">
        <f>INDEX(FS_H!38:38,,MATCH(H$2,FS_H!$3:$3,0))</f>
        <v/>
      </c>
      <c r="I38" s="102">
        <f>INDEX(FS_H!38:38,,MATCH(I$2,FS_H!$3:$3,0))</f>
        <v/>
      </c>
      <c r="J38" s="102">
        <f>INDEX(FS_H!38:38,,MATCH(J$2,FS_H!$3:$3,0))</f>
        <v/>
      </c>
      <c r="K38" s="102">
        <f>INDEX(FS_H!38:38,,MATCH(K$2,FS_H!$3:$3,0))</f>
        <v/>
      </c>
      <c r="L38" s="102">
        <f>INDEX(FS_H!38:38,,MATCH(L$2,FS_H!$3:$3,0))</f>
        <v/>
      </c>
      <c r="M38" s="102">
        <f>INDEX(FS_H!38:38,,MATCH(M$2,FS_H!$3:$3,0))</f>
        <v/>
      </c>
      <c r="N38" s="102">
        <f>INDEX(FS_H!38:38,,MATCH(N$2,FS_H!$3:$3,0))</f>
        <v/>
      </c>
      <c r="O38" s="102">
        <f>INDEX(FS_H!38:38,,MATCH(O$2,FS_H!$3:$3,0))</f>
        <v/>
      </c>
      <c r="P38" s="102">
        <f>INDEX(FS_H!38:38,,MATCH(P$2,FS_H!$3:$3,0))</f>
        <v/>
      </c>
      <c r="Q38" s="102">
        <f>INDEX(FS_H!38:38,,MATCH(Q$2,FS_H!$3:$3,0))</f>
        <v/>
      </c>
      <c r="R38" s="102">
        <f>INDEX(FS_H!38:38,,MATCH(R$2,FS_H!$3:$3,0))</f>
        <v/>
      </c>
      <c r="S38" s="102">
        <f>INDEX(FS_H!38:38,,MATCH(S$2,FS_H!$3:$3,0))</f>
        <v/>
      </c>
      <c r="T38" s="102">
        <f>INDEX(FS_H!38:38,,MATCH(T$2,FS_H!$3:$3,0))</f>
        <v/>
      </c>
      <c r="U38" s="102">
        <f>INDEX(FS_H!38:38,,MATCH(U$2,FS_H!$3:$3,0))</f>
        <v/>
      </c>
    </row>
    <row r="39">
      <c r="A39" s="74" t="inlineStr">
        <is>
          <t>Trade receivables</t>
        </is>
      </c>
      <c r="G39" s="102">
        <f>INDEX(FS_H!39:39,,MATCH(G$2,FS_H!$3:$3,0))</f>
        <v/>
      </c>
      <c r="H39" s="102">
        <f>INDEX(FS_H!39:39,,MATCH(H$2,FS_H!$3:$3,0))</f>
        <v/>
      </c>
      <c r="I39" s="102">
        <f>INDEX(FS_H!39:39,,MATCH(I$2,FS_H!$3:$3,0))</f>
        <v/>
      </c>
      <c r="J39" s="102">
        <f>INDEX(FS_H!39:39,,MATCH(J$2,FS_H!$3:$3,0))</f>
        <v/>
      </c>
      <c r="K39" s="102">
        <f>INDEX(FS_H!39:39,,MATCH(K$2,FS_H!$3:$3,0))</f>
        <v/>
      </c>
      <c r="L39" s="102">
        <f>INDEX(FS_H!39:39,,MATCH(L$2,FS_H!$3:$3,0))</f>
        <v/>
      </c>
      <c r="M39" s="102">
        <f>INDEX(FS_H!39:39,,MATCH(M$2,FS_H!$3:$3,0))</f>
        <v/>
      </c>
      <c r="N39" s="102">
        <f>INDEX(FS_H!39:39,,MATCH(N$2,FS_H!$3:$3,0))</f>
        <v/>
      </c>
      <c r="O39" s="102">
        <f>INDEX(FS_H!39:39,,MATCH(O$2,FS_H!$3:$3,0))</f>
        <v/>
      </c>
      <c r="P39" s="102">
        <f>INDEX(FS_H!39:39,,MATCH(P$2,FS_H!$3:$3,0))</f>
        <v/>
      </c>
      <c r="Q39" s="102">
        <f>INDEX(FS_H!39:39,,MATCH(Q$2,FS_H!$3:$3,0))</f>
        <v/>
      </c>
      <c r="R39" s="102">
        <f>INDEX(FS_H!39:39,,MATCH(R$2,FS_H!$3:$3,0))</f>
        <v/>
      </c>
      <c r="S39" s="102">
        <f>INDEX(FS_H!39:39,,MATCH(S$2,FS_H!$3:$3,0))</f>
        <v/>
      </c>
      <c r="T39" s="102">
        <f>INDEX(FS_H!39:39,,MATCH(T$2,FS_H!$3:$3,0))</f>
        <v/>
      </c>
      <c r="U39" s="102">
        <f>INDEX(FS_H!39:39,,MATCH(U$2,FS_H!$3:$3,0))</f>
        <v/>
      </c>
    </row>
    <row r="40">
      <c r="A40" s="74">
        <f>#REF!</f>
        <v/>
      </c>
      <c r="G40" s="102">
        <f>INDEX(FS_H!40:40,,MATCH(G$2,FS_H!$3:$3,0))</f>
        <v/>
      </c>
      <c r="H40" s="102">
        <f>INDEX(FS_H!40:40,,MATCH(H$2,FS_H!$3:$3,0))</f>
        <v/>
      </c>
      <c r="I40" s="102">
        <f>INDEX(FS_H!40:40,,MATCH(I$2,FS_H!$3:$3,0))</f>
        <v/>
      </c>
      <c r="J40" s="102">
        <f>INDEX(FS_H!40:40,,MATCH(J$2,FS_H!$3:$3,0))</f>
        <v/>
      </c>
      <c r="K40" s="102">
        <f>INDEX(FS_H!40:40,,MATCH(K$2,FS_H!$3:$3,0))</f>
        <v/>
      </c>
      <c r="L40" s="102">
        <f>INDEX(FS_H!40:40,,MATCH(L$2,FS_H!$3:$3,0))</f>
        <v/>
      </c>
      <c r="M40" s="102">
        <f>INDEX(FS_H!40:40,,MATCH(M$2,FS_H!$3:$3,0))</f>
        <v/>
      </c>
      <c r="N40" s="102">
        <f>INDEX(FS_H!40:40,,MATCH(N$2,FS_H!$3:$3,0))</f>
        <v/>
      </c>
      <c r="O40" s="102">
        <f>INDEX(FS_H!40:40,,MATCH(O$2,FS_H!$3:$3,0))</f>
        <v/>
      </c>
      <c r="P40" s="102">
        <f>INDEX(FS_H!40:40,,MATCH(P$2,FS_H!$3:$3,0))</f>
        <v/>
      </c>
      <c r="Q40" s="102">
        <f>INDEX(FS_H!40:40,,MATCH(Q$2,FS_H!$3:$3,0))</f>
        <v/>
      </c>
      <c r="R40" s="102">
        <f>INDEX(FS_H!40:40,,MATCH(R$2,FS_H!$3:$3,0))</f>
        <v/>
      </c>
      <c r="S40" s="102">
        <f>INDEX(FS_H!40:40,,MATCH(S$2,FS_H!$3:$3,0))</f>
        <v/>
      </c>
      <c r="T40" s="102">
        <f>INDEX(FS_H!40:40,,MATCH(T$2,FS_H!$3:$3,0))</f>
        <v/>
      </c>
      <c r="U40" s="102">
        <f>INDEX(FS_H!40:40,,MATCH(U$2,FS_H!$3:$3,0))</f>
        <v/>
      </c>
    </row>
    <row r="41">
      <c r="A41" s="74" t="inlineStr">
        <is>
          <t>Other receivable</t>
        </is>
      </c>
      <c r="G41" s="102">
        <f>INDEX(FS_H!41:41,,MATCH(G$2,FS_H!$3:$3,0))</f>
        <v/>
      </c>
      <c r="H41" s="102">
        <f>INDEX(FS_H!41:41,,MATCH(H$2,FS_H!$3:$3,0))</f>
        <v/>
      </c>
      <c r="I41" s="102">
        <f>INDEX(FS_H!41:41,,MATCH(I$2,FS_H!$3:$3,0))</f>
        <v/>
      </c>
      <c r="J41" s="102">
        <f>INDEX(FS_H!41:41,,MATCH(J$2,FS_H!$3:$3,0))</f>
        <v/>
      </c>
      <c r="K41" s="102">
        <f>INDEX(FS_H!41:41,,MATCH(K$2,FS_H!$3:$3,0))</f>
        <v/>
      </c>
      <c r="L41" s="102">
        <f>INDEX(FS_H!41:41,,MATCH(L$2,FS_H!$3:$3,0))</f>
        <v/>
      </c>
      <c r="M41" s="102">
        <f>INDEX(FS_H!41:41,,MATCH(M$2,FS_H!$3:$3,0))</f>
        <v/>
      </c>
      <c r="N41" s="102">
        <f>INDEX(FS_H!41:41,,MATCH(N$2,FS_H!$3:$3,0))</f>
        <v/>
      </c>
      <c r="O41" s="102">
        <f>INDEX(FS_H!41:41,,MATCH(O$2,FS_H!$3:$3,0))</f>
        <v/>
      </c>
      <c r="P41" s="102">
        <f>INDEX(FS_H!41:41,,MATCH(P$2,FS_H!$3:$3,0))</f>
        <v/>
      </c>
      <c r="Q41" s="102">
        <f>INDEX(FS_H!41:41,,MATCH(Q$2,FS_H!$3:$3,0))</f>
        <v/>
      </c>
      <c r="R41" s="102">
        <f>INDEX(FS_H!41:41,,MATCH(R$2,FS_H!$3:$3,0))</f>
        <v/>
      </c>
      <c r="S41" s="102">
        <f>INDEX(FS_H!41:41,,MATCH(S$2,FS_H!$3:$3,0))</f>
        <v/>
      </c>
      <c r="T41" s="102">
        <f>INDEX(FS_H!41:41,,MATCH(T$2,FS_H!$3:$3,0))</f>
        <v/>
      </c>
      <c r="U41" s="102">
        <f>INDEX(FS_H!41:41,,MATCH(U$2,FS_H!$3:$3,0))</f>
        <v/>
      </c>
    </row>
    <row r="42">
      <c r="A42" s="74">
        <f>#REF!</f>
        <v/>
      </c>
      <c r="G42" s="102">
        <f>INDEX(FS_H!42:42,,MATCH(G$2,FS_H!$3:$3,0))</f>
        <v/>
      </c>
      <c r="H42" s="102">
        <f>INDEX(FS_H!42:42,,MATCH(H$2,FS_H!$3:$3,0))</f>
        <v/>
      </c>
      <c r="I42" s="102">
        <f>INDEX(FS_H!42:42,,MATCH(I$2,FS_H!$3:$3,0))</f>
        <v/>
      </c>
      <c r="J42" s="102">
        <f>INDEX(FS_H!42:42,,MATCH(J$2,FS_H!$3:$3,0))</f>
        <v/>
      </c>
      <c r="K42" s="102">
        <f>INDEX(FS_H!42:42,,MATCH(K$2,FS_H!$3:$3,0))</f>
        <v/>
      </c>
      <c r="L42" s="102">
        <f>INDEX(FS_H!42:42,,MATCH(L$2,FS_H!$3:$3,0))</f>
        <v/>
      </c>
      <c r="M42" s="102">
        <f>INDEX(FS_H!42:42,,MATCH(M$2,FS_H!$3:$3,0))</f>
        <v/>
      </c>
      <c r="N42" s="102">
        <f>INDEX(FS_H!42:42,,MATCH(N$2,FS_H!$3:$3,0))</f>
        <v/>
      </c>
      <c r="O42" s="102">
        <f>INDEX(FS_H!42:42,,MATCH(O$2,FS_H!$3:$3,0))</f>
        <v/>
      </c>
      <c r="P42" s="102">
        <f>INDEX(FS_H!42:42,,MATCH(P$2,FS_H!$3:$3,0))</f>
        <v/>
      </c>
      <c r="Q42" s="102">
        <f>INDEX(FS_H!42:42,,MATCH(Q$2,FS_H!$3:$3,0))</f>
        <v/>
      </c>
      <c r="R42" s="102">
        <f>INDEX(FS_H!42:42,,MATCH(R$2,FS_H!$3:$3,0))</f>
        <v/>
      </c>
      <c r="S42" s="102">
        <f>INDEX(FS_H!42:42,,MATCH(S$2,FS_H!$3:$3,0))</f>
        <v/>
      </c>
      <c r="T42" s="102">
        <f>INDEX(FS_H!42:42,,MATCH(T$2,FS_H!$3:$3,0))</f>
        <v/>
      </c>
      <c r="U42" s="102">
        <f>INDEX(FS_H!42:42,,MATCH(U$2,FS_H!$3:$3,0))</f>
        <v/>
      </c>
    </row>
    <row r="43">
      <c r="A43" s="74">
        <f>#REF!</f>
        <v/>
      </c>
      <c r="G43" s="102">
        <f>INDEX(FS_H!43:43,,MATCH(G$2,FS_H!$3:$3,0))</f>
        <v/>
      </c>
      <c r="H43" s="102">
        <f>INDEX(FS_H!43:43,,MATCH(H$2,FS_H!$3:$3,0))</f>
        <v/>
      </c>
      <c r="I43" s="102">
        <f>INDEX(FS_H!43:43,,MATCH(I$2,FS_H!$3:$3,0))</f>
        <v/>
      </c>
      <c r="J43" s="102">
        <f>INDEX(FS_H!43:43,,MATCH(J$2,FS_H!$3:$3,0))</f>
        <v/>
      </c>
      <c r="K43" s="102">
        <f>INDEX(FS_H!43:43,,MATCH(K$2,FS_H!$3:$3,0))</f>
        <v/>
      </c>
      <c r="L43" s="102">
        <f>INDEX(FS_H!43:43,,MATCH(L$2,FS_H!$3:$3,0))</f>
        <v/>
      </c>
      <c r="M43" s="102">
        <f>INDEX(FS_H!43:43,,MATCH(M$2,FS_H!$3:$3,0))</f>
        <v/>
      </c>
      <c r="N43" s="102">
        <f>INDEX(FS_H!43:43,,MATCH(N$2,FS_H!$3:$3,0))</f>
        <v/>
      </c>
      <c r="O43" s="102">
        <f>INDEX(FS_H!43:43,,MATCH(O$2,FS_H!$3:$3,0))</f>
        <v/>
      </c>
      <c r="P43" s="102">
        <f>INDEX(FS_H!43:43,,MATCH(P$2,FS_H!$3:$3,0))</f>
        <v/>
      </c>
      <c r="Q43" s="102">
        <f>INDEX(FS_H!43:43,,MATCH(Q$2,FS_H!$3:$3,0))</f>
        <v/>
      </c>
      <c r="R43" s="102">
        <f>INDEX(FS_H!43:43,,MATCH(R$2,FS_H!$3:$3,0))</f>
        <v/>
      </c>
      <c r="S43" s="102">
        <f>INDEX(FS_H!43:43,,MATCH(S$2,FS_H!$3:$3,0))</f>
        <v/>
      </c>
      <c r="T43" s="102">
        <f>INDEX(FS_H!43:43,,MATCH(T$2,FS_H!$3:$3,0))</f>
        <v/>
      </c>
      <c r="U43" s="102">
        <f>INDEX(FS_H!43:43,,MATCH(U$2,FS_H!$3:$3,0))</f>
        <v/>
      </c>
    </row>
    <row r="44">
      <c r="A44" s="74" t="inlineStr">
        <is>
          <t>Others</t>
        </is>
      </c>
      <c r="G44" s="102">
        <f>INDEX(FS_H!44:44,,MATCH(G$2,FS_H!$3:$3,0))</f>
        <v/>
      </c>
      <c r="H44" s="102">
        <f>INDEX(FS_H!44:44,,MATCH(H$2,FS_H!$3:$3,0))</f>
        <v/>
      </c>
      <c r="I44" s="102">
        <f>INDEX(FS_H!44:44,,MATCH(I$2,FS_H!$3:$3,0))</f>
        <v/>
      </c>
      <c r="J44" s="102">
        <f>INDEX(FS_H!44:44,,MATCH(J$2,FS_H!$3:$3,0))</f>
        <v/>
      </c>
      <c r="K44" s="102">
        <f>INDEX(FS_H!44:44,,MATCH(K$2,FS_H!$3:$3,0))</f>
        <v/>
      </c>
      <c r="L44" s="102">
        <f>INDEX(FS_H!44:44,,MATCH(L$2,FS_H!$3:$3,0))</f>
        <v/>
      </c>
      <c r="M44" s="102">
        <f>INDEX(FS_H!44:44,,MATCH(M$2,FS_H!$3:$3,0))</f>
        <v/>
      </c>
      <c r="N44" s="102">
        <f>INDEX(FS_H!44:44,,MATCH(N$2,FS_H!$3:$3,0))</f>
        <v/>
      </c>
      <c r="O44" s="102">
        <f>INDEX(FS_H!44:44,,MATCH(O$2,FS_H!$3:$3,0))</f>
        <v/>
      </c>
      <c r="P44" s="102">
        <f>INDEX(FS_H!44:44,,MATCH(P$2,FS_H!$3:$3,0))</f>
        <v/>
      </c>
      <c r="Q44" s="102">
        <f>INDEX(FS_H!44:44,,MATCH(Q$2,FS_H!$3:$3,0))</f>
        <v/>
      </c>
      <c r="R44" s="102">
        <f>INDEX(FS_H!44:44,,MATCH(R$2,FS_H!$3:$3,0))</f>
        <v/>
      </c>
      <c r="S44" s="102">
        <f>INDEX(FS_H!44:44,,MATCH(S$2,FS_H!$3:$3,0))</f>
        <v/>
      </c>
      <c r="T44" s="102">
        <f>INDEX(FS_H!44:44,,MATCH(T$2,FS_H!$3:$3,0))</f>
        <v/>
      </c>
      <c r="U44" s="102">
        <f>INDEX(FS_H!44:44,,MATCH(U$2,FS_H!$3:$3,0))</f>
        <v/>
      </c>
    </row>
    <row r="45">
      <c r="A45" s="40" t="inlineStr">
        <is>
          <t>Total current assets</t>
        </is>
      </c>
      <c r="G45" s="103">
        <f>SUM(G38:G44)</f>
        <v/>
      </c>
      <c r="H45" s="103">
        <f>SUM(H38:H44)</f>
        <v/>
      </c>
      <c r="I45" s="103">
        <f>SUM(I38:I44)</f>
        <v/>
      </c>
      <c r="J45" s="103">
        <f>SUM(J38:J44)</f>
        <v/>
      </c>
      <c r="K45" s="103">
        <f>SUM(K38:K44)</f>
        <v/>
      </c>
      <c r="L45" s="103">
        <f>SUM(L38:L44)</f>
        <v/>
      </c>
      <c r="M45" s="103">
        <f>SUM(M38:M44)</f>
        <v/>
      </c>
      <c r="N45" s="103">
        <f>SUM(N38:N44)</f>
        <v/>
      </c>
      <c r="O45" s="103">
        <f>SUM(O38:O44)</f>
        <v/>
      </c>
      <c r="P45" s="103">
        <f>SUM(P38:P44)</f>
        <v/>
      </c>
      <c r="Q45" s="103">
        <f>SUM(Q38:Q44)</f>
        <v/>
      </c>
      <c r="R45" s="103">
        <f>SUM(R38:R44)</f>
        <v/>
      </c>
      <c r="S45" s="103">
        <f>SUM(S38:S44)</f>
        <v/>
      </c>
      <c r="T45" s="103">
        <f>SUM(T38:T44)</f>
        <v/>
      </c>
      <c r="U45" s="103">
        <f>SUM(U38:U44)</f>
        <v/>
      </c>
    </row>
    <row r="46">
      <c r="G46" s="142" t="n"/>
      <c r="H46" s="142" t="n"/>
      <c r="I46" s="142" t="n"/>
      <c r="J46" s="142" t="n"/>
      <c r="K46" s="142" t="n"/>
      <c r="L46" s="142" t="n"/>
      <c r="M46" s="142" t="n"/>
      <c r="N46" s="142" t="n"/>
      <c r="O46" s="142" t="n"/>
      <c r="P46" s="142" t="n"/>
      <c r="Q46" s="142" t="n"/>
      <c r="R46" s="142" t="n"/>
      <c r="S46" s="142" t="n"/>
      <c r="T46" s="142" t="n"/>
      <c r="U46" s="142" t="n"/>
    </row>
    <row r="47">
      <c r="A47" s="22" t="inlineStr">
        <is>
          <t>Non-current assets</t>
        </is>
      </c>
      <c r="G47" s="142" t="n"/>
      <c r="H47" s="142" t="n"/>
      <c r="I47" s="142" t="n"/>
      <c r="J47" s="142" t="n"/>
      <c r="K47" s="142" t="n"/>
      <c r="L47" s="142" t="n"/>
      <c r="M47" s="142" t="n"/>
      <c r="N47" s="142" t="n"/>
      <c r="O47" s="142" t="n"/>
      <c r="P47" s="142" t="n"/>
      <c r="Q47" s="142" t="n"/>
      <c r="R47" s="142" t="n"/>
      <c r="S47" s="142" t="n"/>
      <c r="T47" s="142" t="n"/>
      <c r="U47" s="142" t="n"/>
    </row>
    <row r="48">
      <c r="A48" s="74" t="inlineStr">
        <is>
          <t>Property, plant and equipment</t>
        </is>
      </c>
      <c r="G48" s="102">
        <f>INDEX(FS_H!48:48,,MATCH(G$2,FS_H!$3:$3,0))</f>
        <v/>
      </c>
      <c r="H48" s="102">
        <f>INDEX(FS_H!48:48,,MATCH(H$2,FS_H!$3:$3,0))</f>
        <v/>
      </c>
      <c r="I48" s="102">
        <f>INDEX(FS_H!48:48,,MATCH(I$2,FS_H!$3:$3,0))</f>
        <v/>
      </c>
      <c r="J48" s="102">
        <f>INDEX(FS_H!48:48,,MATCH(J$2,FS_H!$3:$3,0))</f>
        <v/>
      </c>
      <c r="K48" s="102">
        <f>INDEX(FS_H!48:48,,MATCH(K$2,FS_H!$3:$3,0))</f>
        <v/>
      </c>
      <c r="L48" s="102">
        <f>INDEX(FS_H!48:48,,MATCH(L$2,FS_H!$3:$3,0))</f>
        <v/>
      </c>
      <c r="M48" s="102">
        <f>INDEX(FS_H!48:48,,MATCH(M$2,FS_H!$3:$3,0))</f>
        <v/>
      </c>
      <c r="N48" s="102">
        <f>INDEX(FS_H!48:48,,MATCH(N$2,FS_H!$3:$3,0))</f>
        <v/>
      </c>
      <c r="O48" s="102">
        <f>INDEX(FS_H!48:48,,MATCH(O$2,FS_H!$3:$3,0))</f>
        <v/>
      </c>
      <c r="P48" s="102">
        <f>INDEX(FS_H!48:48,,MATCH(P$2,FS_H!$3:$3,0))</f>
        <v/>
      </c>
      <c r="Q48" s="102">
        <f>INDEX(FS_H!48:48,,MATCH(Q$2,FS_H!$3:$3,0))</f>
        <v/>
      </c>
      <c r="R48" s="102">
        <f>INDEX(FS_H!48:48,,MATCH(R$2,FS_H!$3:$3,0))</f>
        <v/>
      </c>
      <c r="S48" s="102">
        <f>INDEX(FS_H!48:48,,MATCH(S$2,FS_H!$3:$3,0))</f>
        <v/>
      </c>
      <c r="T48" s="102">
        <f>INDEX(FS_H!48:48,,MATCH(T$2,FS_H!$3:$3,0))</f>
        <v/>
      </c>
      <c r="U48" s="102">
        <f>INDEX(FS_H!48:48,,MATCH(U$2,FS_H!$3:$3,0))</f>
        <v/>
      </c>
    </row>
    <row r="49">
      <c r="A49" s="74" t="inlineStr">
        <is>
          <t>Prepaid land lease payments</t>
        </is>
      </c>
      <c r="G49" s="102">
        <f>INDEX(FS_H!49:49,,MATCH(G$2,FS_H!$3:$3,0))</f>
        <v/>
      </c>
      <c r="H49" s="102">
        <f>INDEX(FS_H!49:49,,MATCH(H$2,FS_H!$3:$3,0))</f>
        <v/>
      </c>
      <c r="I49" s="102">
        <f>INDEX(FS_H!49:49,,MATCH(I$2,FS_H!$3:$3,0))</f>
        <v/>
      </c>
      <c r="J49" s="102">
        <f>INDEX(FS_H!49:49,,MATCH(J$2,FS_H!$3:$3,0))</f>
        <v/>
      </c>
      <c r="K49" s="102">
        <f>INDEX(FS_H!49:49,,MATCH(K$2,FS_H!$3:$3,0))</f>
        <v/>
      </c>
      <c r="L49" s="102">
        <f>INDEX(FS_H!49:49,,MATCH(L$2,FS_H!$3:$3,0))</f>
        <v/>
      </c>
      <c r="M49" s="102">
        <f>INDEX(FS_H!49:49,,MATCH(M$2,FS_H!$3:$3,0))</f>
        <v/>
      </c>
      <c r="N49" s="102">
        <f>INDEX(FS_H!49:49,,MATCH(N$2,FS_H!$3:$3,0))</f>
        <v/>
      </c>
      <c r="O49" s="102">
        <f>INDEX(FS_H!49:49,,MATCH(O$2,FS_H!$3:$3,0))</f>
        <v/>
      </c>
      <c r="P49" s="102">
        <f>INDEX(FS_H!49:49,,MATCH(P$2,FS_H!$3:$3,0))</f>
        <v/>
      </c>
      <c r="Q49" s="102">
        <f>INDEX(FS_H!49:49,,MATCH(Q$2,FS_H!$3:$3,0))</f>
        <v/>
      </c>
      <c r="R49" s="102">
        <f>INDEX(FS_H!49:49,,MATCH(R$2,FS_H!$3:$3,0))</f>
        <v/>
      </c>
      <c r="S49" s="102">
        <f>INDEX(FS_H!49:49,,MATCH(S$2,FS_H!$3:$3,0))</f>
        <v/>
      </c>
      <c r="T49" s="102">
        <f>INDEX(FS_H!49:49,,MATCH(T$2,FS_H!$3:$3,0))</f>
        <v/>
      </c>
      <c r="U49" s="102">
        <f>INDEX(FS_H!49:49,,MATCH(U$2,FS_H!$3:$3,0))</f>
        <v/>
      </c>
    </row>
    <row r="50">
      <c r="A50" s="74" t="inlineStr">
        <is>
          <t>Goodwill</t>
        </is>
      </c>
      <c r="G50" s="102">
        <f>INDEX(FS_H!50:50,,MATCH(G$2,FS_H!$3:$3,0))</f>
        <v/>
      </c>
      <c r="H50" s="102">
        <f>INDEX(FS_H!50:50,,MATCH(H$2,FS_H!$3:$3,0))</f>
        <v/>
      </c>
      <c r="I50" s="102">
        <f>INDEX(FS_H!50:50,,MATCH(I$2,FS_H!$3:$3,0))</f>
        <v/>
      </c>
      <c r="J50" s="102">
        <f>INDEX(FS_H!50:50,,MATCH(J$2,FS_H!$3:$3,0))</f>
        <v/>
      </c>
      <c r="K50" s="102">
        <f>INDEX(FS_H!50:50,,MATCH(K$2,FS_H!$3:$3,0))</f>
        <v/>
      </c>
      <c r="L50" s="102">
        <f>INDEX(FS_H!50:50,,MATCH(L$2,FS_H!$3:$3,0))</f>
        <v/>
      </c>
      <c r="M50" s="102">
        <f>INDEX(FS_H!50:50,,MATCH(M$2,FS_H!$3:$3,0))</f>
        <v/>
      </c>
      <c r="N50" s="102">
        <f>INDEX(FS_H!50:50,,MATCH(N$2,FS_H!$3:$3,0))</f>
        <v/>
      </c>
      <c r="O50" s="102">
        <f>INDEX(FS_H!50:50,,MATCH(O$2,FS_H!$3:$3,0))</f>
        <v/>
      </c>
      <c r="P50" s="102">
        <f>INDEX(FS_H!50:50,,MATCH(P$2,FS_H!$3:$3,0))</f>
        <v/>
      </c>
      <c r="Q50" s="102">
        <f>INDEX(FS_H!50:50,,MATCH(Q$2,FS_H!$3:$3,0))</f>
        <v/>
      </c>
      <c r="R50" s="102">
        <f>INDEX(FS_H!50:50,,MATCH(R$2,FS_H!$3:$3,0))</f>
        <v/>
      </c>
      <c r="S50" s="102">
        <f>INDEX(FS_H!50:50,,MATCH(S$2,FS_H!$3:$3,0))</f>
        <v/>
      </c>
      <c r="T50" s="102">
        <f>INDEX(FS_H!50:50,,MATCH(T$2,FS_H!$3:$3,0))</f>
        <v/>
      </c>
      <c r="U50" s="102">
        <f>INDEX(FS_H!50:50,,MATCH(U$2,FS_H!$3:$3,0))</f>
        <v/>
      </c>
    </row>
    <row r="51">
      <c r="A51" s="74" t="inlineStr">
        <is>
          <t>Other intangible assets</t>
        </is>
      </c>
      <c r="G51" s="102">
        <f>INDEX(FS_H!51:51,,MATCH(G$2,FS_H!$3:$3,0))</f>
        <v/>
      </c>
      <c r="H51" s="102">
        <f>INDEX(FS_H!51:51,,MATCH(H$2,FS_H!$3:$3,0))</f>
        <v/>
      </c>
      <c r="I51" s="102">
        <f>INDEX(FS_H!51:51,,MATCH(I$2,FS_H!$3:$3,0))</f>
        <v/>
      </c>
      <c r="J51" s="102">
        <f>INDEX(FS_H!51:51,,MATCH(J$2,FS_H!$3:$3,0))</f>
        <v/>
      </c>
      <c r="K51" s="102">
        <f>INDEX(FS_H!51:51,,MATCH(K$2,FS_H!$3:$3,0))</f>
        <v/>
      </c>
      <c r="L51" s="102">
        <f>INDEX(FS_H!51:51,,MATCH(L$2,FS_H!$3:$3,0))</f>
        <v/>
      </c>
      <c r="M51" s="102">
        <f>INDEX(FS_H!51:51,,MATCH(M$2,FS_H!$3:$3,0))</f>
        <v/>
      </c>
      <c r="N51" s="102">
        <f>INDEX(FS_H!51:51,,MATCH(N$2,FS_H!$3:$3,0))</f>
        <v/>
      </c>
      <c r="O51" s="102">
        <f>INDEX(FS_H!51:51,,MATCH(O$2,FS_H!$3:$3,0))</f>
        <v/>
      </c>
      <c r="P51" s="102">
        <f>INDEX(FS_H!51:51,,MATCH(P$2,FS_H!$3:$3,0))</f>
        <v/>
      </c>
      <c r="Q51" s="102">
        <f>INDEX(FS_H!51:51,,MATCH(Q$2,FS_H!$3:$3,0))</f>
        <v/>
      </c>
      <c r="R51" s="102">
        <f>INDEX(FS_H!51:51,,MATCH(R$2,FS_H!$3:$3,0))</f>
        <v/>
      </c>
      <c r="S51" s="102">
        <f>INDEX(FS_H!51:51,,MATCH(S$2,FS_H!$3:$3,0))</f>
        <v/>
      </c>
      <c r="T51" s="102">
        <f>INDEX(FS_H!51:51,,MATCH(T$2,FS_H!$3:$3,0))</f>
        <v/>
      </c>
      <c r="U51" s="102">
        <f>INDEX(FS_H!51:51,,MATCH(U$2,FS_H!$3:$3,0))</f>
        <v/>
      </c>
    </row>
    <row r="52">
      <c r="A52" s="74" t="inlineStr">
        <is>
          <t>Investments in JV/Associates</t>
        </is>
      </c>
      <c r="G52" s="102">
        <f>INDEX(FS_H!52:52,,MATCH(G$2,FS_H!$3:$3,0))</f>
        <v/>
      </c>
      <c r="H52" s="102">
        <f>INDEX(FS_H!52:52,,MATCH(H$2,FS_H!$3:$3,0))</f>
        <v/>
      </c>
      <c r="I52" s="102">
        <f>INDEX(FS_H!52:52,,MATCH(I$2,FS_H!$3:$3,0))</f>
        <v/>
      </c>
      <c r="J52" s="102">
        <f>INDEX(FS_H!52:52,,MATCH(J$2,FS_H!$3:$3,0))</f>
        <v/>
      </c>
      <c r="K52" s="102">
        <f>INDEX(FS_H!52:52,,MATCH(K$2,FS_H!$3:$3,0))</f>
        <v/>
      </c>
      <c r="L52" s="102">
        <f>INDEX(FS_H!52:52,,MATCH(L$2,FS_H!$3:$3,0))</f>
        <v/>
      </c>
      <c r="M52" s="102">
        <f>INDEX(FS_H!52:52,,MATCH(M$2,FS_H!$3:$3,0))</f>
        <v/>
      </c>
      <c r="N52" s="102">
        <f>INDEX(FS_H!52:52,,MATCH(N$2,FS_H!$3:$3,0))</f>
        <v/>
      </c>
      <c r="O52" s="102">
        <f>INDEX(FS_H!52:52,,MATCH(O$2,FS_H!$3:$3,0))</f>
        <v/>
      </c>
      <c r="P52" s="102">
        <f>INDEX(FS_H!52:52,,MATCH(P$2,FS_H!$3:$3,0))</f>
        <v/>
      </c>
      <c r="Q52" s="102">
        <f>INDEX(FS_H!52:52,,MATCH(Q$2,FS_H!$3:$3,0))</f>
        <v/>
      </c>
      <c r="R52" s="102">
        <f>INDEX(FS_H!52:52,,MATCH(R$2,FS_H!$3:$3,0))</f>
        <v/>
      </c>
      <c r="S52" s="102">
        <f>INDEX(FS_H!52:52,,MATCH(S$2,FS_H!$3:$3,0))</f>
        <v/>
      </c>
      <c r="T52" s="102">
        <f>INDEX(FS_H!52:52,,MATCH(T$2,FS_H!$3:$3,0))</f>
        <v/>
      </c>
      <c r="U52" s="102">
        <f>INDEX(FS_H!52:52,,MATCH(U$2,FS_H!$3:$3,0))</f>
        <v/>
      </c>
    </row>
    <row r="53">
      <c r="A53" s="74" t="inlineStr">
        <is>
          <t>Loans receivables</t>
        </is>
      </c>
      <c r="G53" s="102">
        <f>INDEX(FS_H!53:53,,MATCH(G$2,FS_H!$3:$3,0))</f>
        <v/>
      </c>
      <c r="H53" s="102">
        <f>INDEX(FS_H!53:53,,MATCH(H$2,FS_H!$3:$3,0))</f>
        <v/>
      </c>
      <c r="I53" s="102">
        <f>INDEX(FS_H!53:53,,MATCH(I$2,FS_H!$3:$3,0))</f>
        <v/>
      </c>
      <c r="J53" s="102">
        <f>INDEX(FS_H!53:53,,MATCH(J$2,FS_H!$3:$3,0))</f>
        <v/>
      </c>
      <c r="K53" s="102">
        <f>INDEX(FS_H!53:53,,MATCH(K$2,FS_H!$3:$3,0))</f>
        <v/>
      </c>
      <c r="L53" s="102">
        <f>INDEX(FS_H!53:53,,MATCH(L$2,FS_H!$3:$3,0))</f>
        <v/>
      </c>
      <c r="M53" s="102">
        <f>INDEX(FS_H!53:53,,MATCH(M$2,FS_H!$3:$3,0))</f>
        <v/>
      </c>
      <c r="N53" s="102">
        <f>INDEX(FS_H!53:53,,MATCH(N$2,FS_H!$3:$3,0))</f>
        <v/>
      </c>
      <c r="O53" s="102">
        <f>INDEX(FS_H!53:53,,MATCH(O$2,FS_H!$3:$3,0))</f>
        <v/>
      </c>
      <c r="P53" s="102">
        <f>INDEX(FS_H!53:53,,MATCH(P$2,FS_H!$3:$3,0))</f>
        <v/>
      </c>
      <c r="Q53" s="102">
        <f>INDEX(FS_H!53:53,,MATCH(Q$2,FS_H!$3:$3,0))</f>
        <v/>
      </c>
      <c r="R53" s="102">
        <f>INDEX(FS_H!53:53,,MATCH(R$2,FS_H!$3:$3,0))</f>
        <v/>
      </c>
      <c r="S53" s="102">
        <f>INDEX(FS_H!53:53,,MATCH(S$2,FS_H!$3:$3,0))</f>
        <v/>
      </c>
      <c r="T53" s="102">
        <f>INDEX(FS_H!53:53,,MATCH(T$2,FS_H!$3:$3,0))</f>
        <v/>
      </c>
      <c r="U53" s="102">
        <f>INDEX(FS_H!53:53,,MATCH(U$2,FS_H!$3:$3,0))</f>
        <v/>
      </c>
    </row>
    <row r="54">
      <c r="A54" s="74">
        <f>#REF!</f>
        <v/>
      </c>
      <c r="G54" s="102">
        <f>INDEX(FS_H!54:54,,MATCH(G$2,FS_H!$3:$3,0))</f>
        <v/>
      </c>
      <c r="H54" s="102">
        <f>INDEX(FS_H!54:54,,MATCH(H$2,FS_H!$3:$3,0))</f>
        <v/>
      </c>
      <c r="I54" s="102">
        <f>INDEX(FS_H!54:54,,MATCH(I$2,FS_H!$3:$3,0))</f>
        <v/>
      </c>
      <c r="J54" s="102">
        <f>INDEX(FS_H!54:54,,MATCH(J$2,FS_H!$3:$3,0))</f>
        <v/>
      </c>
      <c r="K54" s="102">
        <f>INDEX(FS_H!54:54,,MATCH(K$2,FS_H!$3:$3,0))</f>
        <v/>
      </c>
      <c r="L54" s="102">
        <f>INDEX(FS_H!54:54,,MATCH(L$2,FS_H!$3:$3,0))</f>
        <v/>
      </c>
      <c r="M54" s="102">
        <f>INDEX(FS_H!54:54,,MATCH(M$2,FS_H!$3:$3,0))</f>
        <v/>
      </c>
      <c r="N54" s="102">
        <f>INDEX(FS_H!54:54,,MATCH(N$2,FS_H!$3:$3,0))</f>
        <v/>
      </c>
      <c r="O54" s="102">
        <f>INDEX(FS_H!54:54,,MATCH(O$2,FS_H!$3:$3,0))</f>
        <v/>
      </c>
      <c r="P54" s="102">
        <f>INDEX(FS_H!54:54,,MATCH(P$2,FS_H!$3:$3,0))</f>
        <v/>
      </c>
      <c r="Q54" s="102">
        <f>INDEX(FS_H!54:54,,MATCH(Q$2,FS_H!$3:$3,0))</f>
        <v/>
      </c>
      <c r="R54" s="102">
        <f>INDEX(FS_H!54:54,,MATCH(R$2,FS_H!$3:$3,0))</f>
        <v/>
      </c>
      <c r="S54" s="102">
        <f>INDEX(FS_H!54:54,,MATCH(S$2,FS_H!$3:$3,0))</f>
        <v/>
      </c>
      <c r="T54" s="102">
        <f>INDEX(FS_H!54:54,,MATCH(T$2,FS_H!$3:$3,0))</f>
        <v/>
      </c>
      <c r="U54" s="102">
        <f>INDEX(FS_H!54:54,,MATCH(U$2,FS_H!$3:$3,0))</f>
        <v/>
      </c>
    </row>
    <row r="55">
      <c r="A55" s="74" t="inlineStr">
        <is>
          <t>Others</t>
        </is>
      </c>
      <c r="G55" s="102">
        <f>INDEX(FS_H!55:55,,MATCH(G$2,FS_H!$3:$3,0))</f>
        <v/>
      </c>
      <c r="H55" s="102">
        <f>INDEX(FS_H!55:55,,MATCH(H$2,FS_H!$3:$3,0))</f>
        <v/>
      </c>
      <c r="I55" s="102">
        <f>INDEX(FS_H!55:55,,MATCH(I$2,FS_H!$3:$3,0))</f>
        <v/>
      </c>
      <c r="J55" s="102">
        <f>INDEX(FS_H!55:55,,MATCH(J$2,FS_H!$3:$3,0))</f>
        <v/>
      </c>
      <c r="K55" s="102">
        <f>INDEX(FS_H!55:55,,MATCH(K$2,FS_H!$3:$3,0))</f>
        <v/>
      </c>
      <c r="L55" s="102">
        <f>INDEX(FS_H!55:55,,MATCH(L$2,FS_H!$3:$3,0))</f>
        <v/>
      </c>
      <c r="M55" s="102">
        <f>INDEX(FS_H!55:55,,MATCH(M$2,FS_H!$3:$3,0))</f>
        <v/>
      </c>
      <c r="N55" s="102">
        <f>INDEX(FS_H!55:55,,MATCH(N$2,FS_H!$3:$3,0))</f>
        <v/>
      </c>
      <c r="O55" s="102">
        <f>INDEX(FS_H!55:55,,MATCH(O$2,FS_H!$3:$3,0))</f>
        <v/>
      </c>
      <c r="P55" s="102">
        <f>INDEX(FS_H!55:55,,MATCH(P$2,FS_H!$3:$3,0))</f>
        <v/>
      </c>
      <c r="Q55" s="102">
        <f>INDEX(FS_H!55:55,,MATCH(Q$2,FS_H!$3:$3,0))</f>
        <v/>
      </c>
      <c r="R55" s="102">
        <f>INDEX(FS_H!55:55,,MATCH(R$2,FS_H!$3:$3,0))</f>
        <v/>
      </c>
      <c r="S55" s="102">
        <f>INDEX(FS_H!55:55,,MATCH(S$2,FS_H!$3:$3,0))</f>
        <v/>
      </c>
      <c r="T55" s="102">
        <f>INDEX(FS_H!55:55,,MATCH(T$2,FS_H!$3:$3,0))</f>
        <v/>
      </c>
      <c r="U55" s="102">
        <f>INDEX(FS_H!55:55,,MATCH(U$2,FS_H!$3:$3,0))</f>
        <v/>
      </c>
    </row>
    <row r="56">
      <c r="A56" s="40" t="inlineStr">
        <is>
          <t>Total non-current assets</t>
        </is>
      </c>
      <c r="G56" s="128">
        <f>SUM(G48:G55)</f>
        <v/>
      </c>
      <c r="H56" s="128">
        <f>SUM(H48:H55)</f>
        <v/>
      </c>
      <c r="I56" s="128">
        <f>SUM(I48:I55)</f>
        <v/>
      </c>
      <c r="J56" s="128">
        <f>SUM(J48:J55)</f>
        <v/>
      </c>
      <c r="K56" s="128">
        <f>SUM(K48:K55)</f>
        <v/>
      </c>
      <c r="L56" s="128">
        <f>SUM(L48:L55)</f>
        <v/>
      </c>
      <c r="M56" s="128">
        <f>SUM(M48:M55)</f>
        <v/>
      </c>
      <c r="N56" s="128">
        <f>SUM(N48:N55)</f>
        <v/>
      </c>
      <c r="O56" s="128">
        <f>SUM(O48:O55)</f>
        <v/>
      </c>
      <c r="P56" s="128">
        <f>SUM(P48:P55)</f>
        <v/>
      </c>
      <c r="Q56" s="128">
        <f>SUM(Q48:Q55)</f>
        <v/>
      </c>
      <c r="R56" s="128">
        <f>SUM(R48:R55)</f>
        <v/>
      </c>
      <c r="S56" s="128">
        <f>SUM(S48:S55)</f>
        <v/>
      </c>
      <c r="T56" s="128">
        <f>SUM(T48:T55)</f>
        <v/>
      </c>
      <c r="U56" s="128">
        <f>SUM(U48:U55)</f>
        <v/>
      </c>
    </row>
    <row r="57"/>
    <row r="58">
      <c r="A58" s="22" t="inlineStr">
        <is>
          <t>Total assets</t>
        </is>
      </c>
      <c r="G58" s="128">
        <f>G56+G45</f>
        <v/>
      </c>
      <c r="H58" s="128">
        <f>H56+H45</f>
        <v/>
      </c>
      <c r="I58" s="128">
        <f>I56+I45</f>
        <v/>
      </c>
      <c r="J58" s="128">
        <f>J56+J45</f>
        <v/>
      </c>
      <c r="K58" s="128">
        <f>K56+K45</f>
        <v/>
      </c>
      <c r="L58" s="128">
        <f>L56+L45</f>
        <v/>
      </c>
      <c r="M58" s="128">
        <f>M56+M45</f>
        <v/>
      </c>
      <c r="N58" s="128">
        <f>N56+N45</f>
        <v/>
      </c>
      <c r="O58" s="128">
        <f>O56+O45</f>
        <v/>
      </c>
      <c r="P58" s="128">
        <f>P56+P45</f>
        <v/>
      </c>
      <c r="Q58" s="128">
        <f>Q56+Q45</f>
        <v/>
      </c>
      <c r="R58" s="128">
        <f>R56+R45</f>
        <v/>
      </c>
      <c r="S58" s="128">
        <f>S56+S45</f>
        <v/>
      </c>
      <c r="T58" s="128">
        <f>T56+T45</f>
        <v/>
      </c>
      <c r="U58" s="128">
        <f>U56+U45</f>
        <v/>
      </c>
    </row>
    <row r="59">
      <c r="G59" s="102" t="n"/>
      <c r="H59" s="102" t="n"/>
      <c r="I59" s="102" t="n"/>
      <c r="J59" s="102" t="n"/>
      <c r="K59" s="102" t="n"/>
      <c r="L59" s="102" t="n"/>
      <c r="M59" s="102" t="n"/>
      <c r="N59" s="102" t="n"/>
      <c r="O59" s="102" t="n"/>
      <c r="P59" s="102" t="n"/>
      <c r="Q59" s="102" t="n"/>
      <c r="R59" s="102" t="n"/>
      <c r="S59" s="102" t="n"/>
      <c r="T59" s="102" t="n"/>
      <c r="U59" s="102" t="n"/>
    </row>
    <row r="60">
      <c r="A60" s="22" t="inlineStr">
        <is>
          <t>Current liabilities</t>
        </is>
      </c>
      <c r="G60" s="102" t="n"/>
      <c r="H60" s="102" t="n"/>
      <c r="I60" s="102" t="n"/>
      <c r="J60" s="102" t="n"/>
      <c r="K60" s="102" t="n"/>
      <c r="L60" s="102" t="n"/>
      <c r="M60" s="102" t="n"/>
      <c r="N60" s="102" t="n"/>
      <c r="O60" s="102" t="n"/>
      <c r="P60" s="102" t="n"/>
      <c r="Q60" s="102" t="n"/>
      <c r="R60" s="102" t="n"/>
      <c r="S60" s="102" t="n"/>
      <c r="T60" s="102" t="n"/>
      <c r="U60" s="102" t="n"/>
    </row>
    <row r="61">
      <c r="A61" s="74" t="inlineStr">
        <is>
          <t>Trade payables</t>
        </is>
      </c>
      <c r="G61" s="102">
        <f>INDEX(FS_H!61:61,,MATCH(G$2,FS_H!$3:$3,0))</f>
        <v/>
      </c>
      <c r="H61" s="102">
        <f>INDEX(FS_H!61:61,,MATCH(H$2,FS_H!$3:$3,0))</f>
        <v/>
      </c>
      <c r="I61" s="102">
        <f>INDEX(FS_H!61:61,,MATCH(I$2,FS_H!$3:$3,0))</f>
        <v/>
      </c>
      <c r="J61" s="102">
        <f>INDEX(FS_H!61:61,,MATCH(J$2,FS_H!$3:$3,0))</f>
        <v/>
      </c>
      <c r="K61" s="102">
        <f>INDEX(FS_H!61:61,,MATCH(K$2,FS_H!$3:$3,0))</f>
        <v/>
      </c>
      <c r="L61" s="102">
        <f>INDEX(FS_H!61:61,,MATCH(L$2,FS_H!$3:$3,0))</f>
        <v/>
      </c>
      <c r="M61" s="102">
        <f>INDEX(FS_H!61:61,,MATCH(M$2,FS_H!$3:$3,0))</f>
        <v/>
      </c>
      <c r="N61" s="102">
        <f>INDEX(FS_H!61:61,,MATCH(N$2,FS_H!$3:$3,0))</f>
        <v/>
      </c>
      <c r="O61" s="102">
        <f>INDEX(FS_H!61:61,,MATCH(O$2,FS_H!$3:$3,0))</f>
        <v/>
      </c>
      <c r="P61" s="102">
        <f>INDEX(FS_H!61:61,,MATCH(P$2,FS_H!$3:$3,0))</f>
        <v/>
      </c>
      <c r="Q61" s="102">
        <f>INDEX(FS_H!61:61,,MATCH(Q$2,FS_H!$3:$3,0))</f>
        <v/>
      </c>
      <c r="R61" s="102">
        <f>INDEX(FS_H!61:61,,MATCH(R$2,FS_H!$3:$3,0))</f>
        <v/>
      </c>
      <c r="S61" s="102">
        <f>INDEX(FS_H!61:61,,MATCH(S$2,FS_H!$3:$3,0))</f>
        <v/>
      </c>
      <c r="T61" s="102">
        <f>INDEX(FS_H!61:61,,MATCH(T$2,FS_H!$3:$3,0))</f>
        <v/>
      </c>
      <c r="U61" s="102">
        <f>INDEX(FS_H!61:61,,MATCH(U$2,FS_H!$3:$3,0))</f>
        <v/>
      </c>
    </row>
    <row r="62">
      <c r="A62" s="74" t="inlineStr">
        <is>
          <t>Customer payable</t>
        </is>
      </c>
      <c r="G62" s="102">
        <f>INDEX(FS_H!62:62,,MATCH(G$2,FS_H!$3:$3,0))</f>
        <v/>
      </c>
      <c r="H62" s="102">
        <f>INDEX(FS_H!62:62,,MATCH(H$2,FS_H!$3:$3,0))</f>
        <v/>
      </c>
      <c r="I62" s="102">
        <f>INDEX(FS_H!62:62,,MATCH(I$2,FS_H!$3:$3,0))</f>
        <v/>
      </c>
      <c r="J62" s="102">
        <f>INDEX(FS_H!62:62,,MATCH(J$2,FS_H!$3:$3,0))</f>
        <v/>
      </c>
      <c r="K62" s="102">
        <f>INDEX(FS_H!62:62,,MATCH(K$2,FS_H!$3:$3,0))</f>
        <v/>
      </c>
      <c r="L62" s="102">
        <f>INDEX(FS_H!62:62,,MATCH(L$2,FS_H!$3:$3,0))</f>
        <v/>
      </c>
      <c r="M62" s="102">
        <f>INDEX(FS_H!62:62,,MATCH(M$2,FS_H!$3:$3,0))</f>
        <v/>
      </c>
      <c r="N62" s="102">
        <f>INDEX(FS_H!62:62,,MATCH(N$2,FS_H!$3:$3,0))</f>
        <v/>
      </c>
      <c r="O62" s="102">
        <f>INDEX(FS_H!62:62,,MATCH(O$2,FS_H!$3:$3,0))</f>
        <v/>
      </c>
      <c r="P62" s="102">
        <f>INDEX(FS_H!62:62,,MATCH(P$2,FS_H!$3:$3,0))</f>
        <v/>
      </c>
      <c r="Q62" s="102">
        <f>INDEX(FS_H!62:62,,MATCH(Q$2,FS_H!$3:$3,0))</f>
        <v/>
      </c>
      <c r="R62" s="102">
        <f>INDEX(FS_H!62:62,,MATCH(R$2,FS_H!$3:$3,0))</f>
        <v/>
      </c>
      <c r="S62" s="102">
        <f>INDEX(FS_H!62:62,,MATCH(S$2,FS_H!$3:$3,0))</f>
        <v/>
      </c>
      <c r="T62" s="102">
        <f>INDEX(FS_H!62:62,,MATCH(T$2,FS_H!$3:$3,0))</f>
        <v/>
      </c>
      <c r="U62" s="102">
        <f>INDEX(FS_H!62:62,,MATCH(U$2,FS_H!$3:$3,0))</f>
        <v/>
      </c>
    </row>
    <row r="63">
      <c r="A63" s="74" t="inlineStr">
        <is>
          <t>Borrowings</t>
        </is>
      </c>
      <c r="G63" s="102">
        <f>INDEX(FS_H!63:63,,MATCH(G$2,FS_H!$3:$3,0))</f>
        <v/>
      </c>
      <c r="H63" s="102">
        <f>INDEX(FS_H!63:63,,MATCH(H$2,FS_H!$3:$3,0))</f>
        <v/>
      </c>
      <c r="I63" s="102">
        <f>INDEX(FS_H!63:63,,MATCH(I$2,FS_H!$3:$3,0))</f>
        <v/>
      </c>
      <c r="J63" s="102">
        <f>INDEX(FS_H!63:63,,MATCH(J$2,FS_H!$3:$3,0))</f>
        <v/>
      </c>
      <c r="K63" s="102">
        <f>INDEX(FS_H!63:63,,MATCH(K$2,FS_H!$3:$3,0))</f>
        <v/>
      </c>
      <c r="L63" s="102">
        <f>INDEX(FS_H!63:63,,MATCH(L$2,FS_H!$3:$3,0))</f>
        <v/>
      </c>
      <c r="M63" s="102">
        <f>INDEX(FS_H!63:63,,MATCH(M$2,FS_H!$3:$3,0))</f>
        <v/>
      </c>
      <c r="N63" s="102">
        <f>INDEX(FS_H!63:63,,MATCH(N$2,FS_H!$3:$3,0))</f>
        <v/>
      </c>
      <c r="O63" s="102">
        <f>INDEX(FS_H!63:63,,MATCH(O$2,FS_H!$3:$3,0))</f>
        <v/>
      </c>
      <c r="P63" s="102">
        <f>INDEX(FS_H!63:63,,MATCH(P$2,FS_H!$3:$3,0))</f>
        <v/>
      </c>
      <c r="Q63" s="102">
        <f>INDEX(FS_H!63:63,,MATCH(Q$2,FS_H!$3:$3,0))</f>
        <v/>
      </c>
      <c r="R63" s="102">
        <f>INDEX(FS_H!63:63,,MATCH(R$2,FS_H!$3:$3,0))</f>
        <v/>
      </c>
      <c r="S63" s="102">
        <f>INDEX(FS_H!63:63,,MATCH(S$2,FS_H!$3:$3,0))</f>
        <v/>
      </c>
      <c r="T63" s="102">
        <f>INDEX(FS_H!63:63,,MATCH(T$2,FS_H!$3:$3,0))</f>
        <v/>
      </c>
      <c r="U63" s="102">
        <f>INDEX(FS_H!63:63,,MATCH(U$2,FS_H!$3:$3,0))</f>
        <v/>
      </c>
    </row>
    <row r="64">
      <c r="A64" s="74">
        <f>#REF!</f>
        <v/>
      </c>
      <c r="G64" s="102">
        <f>INDEX(FS_H!64:64,,MATCH(G$2,FS_H!$3:$3,0))</f>
        <v/>
      </c>
      <c r="H64" s="102">
        <f>INDEX(FS_H!64:64,,MATCH(H$2,FS_H!$3:$3,0))</f>
        <v/>
      </c>
      <c r="I64" s="102">
        <f>INDEX(FS_H!64:64,,MATCH(I$2,FS_H!$3:$3,0))</f>
        <v/>
      </c>
      <c r="J64" s="102">
        <f>INDEX(FS_H!64:64,,MATCH(J$2,FS_H!$3:$3,0))</f>
        <v/>
      </c>
      <c r="K64" s="102">
        <f>INDEX(FS_H!64:64,,MATCH(K$2,FS_H!$3:$3,0))</f>
        <v/>
      </c>
      <c r="L64" s="102">
        <f>INDEX(FS_H!64:64,,MATCH(L$2,FS_H!$3:$3,0))</f>
        <v/>
      </c>
      <c r="M64" s="102">
        <f>INDEX(FS_H!64:64,,MATCH(M$2,FS_H!$3:$3,0))</f>
        <v/>
      </c>
      <c r="N64" s="102">
        <f>INDEX(FS_H!64:64,,MATCH(N$2,FS_H!$3:$3,0))</f>
        <v/>
      </c>
      <c r="O64" s="102">
        <f>INDEX(FS_H!64:64,,MATCH(O$2,FS_H!$3:$3,0))</f>
        <v/>
      </c>
      <c r="P64" s="102">
        <f>INDEX(FS_H!64:64,,MATCH(P$2,FS_H!$3:$3,0))</f>
        <v/>
      </c>
      <c r="Q64" s="102">
        <f>INDEX(FS_H!64:64,,MATCH(Q$2,FS_H!$3:$3,0))</f>
        <v/>
      </c>
      <c r="R64" s="102">
        <f>INDEX(FS_H!64:64,,MATCH(R$2,FS_H!$3:$3,0))</f>
        <v/>
      </c>
      <c r="S64" s="102">
        <f>INDEX(FS_H!64:64,,MATCH(S$2,FS_H!$3:$3,0))</f>
        <v/>
      </c>
      <c r="T64" s="102">
        <f>INDEX(FS_H!64:64,,MATCH(T$2,FS_H!$3:$3,0))</f>
        <v/>
      </c>
      <c r="U64" s="102">
        <f>INDEX(FS_H!64:64,,MATCH(U$2,FS_H!$3:$3,0))</f>
        <v/>
      </c>
    </row>
    <row r="65">
      <c r="A65" s="74" t="inlineStr">
        <is>
          <t>Taxes payable</t>
        </is>
      </c>
      <c r="G65" s="102">
        <f>INDEX(FS_H!65:65,,MATCH(G$2,FS_H!$3:$3,0))</f>
        <v/>
      </c>
      <c r="H65" s="102">
        <f>INDEX(FS_H!65:65,,MATCH(H$2,FS_H!$3:$3,0))</f>
        <v/>
      </c>
      <c r="I65" s="102">
        <f>INDEX(FS_H!65:65,,MATCH(I$2,FS_H!$3:$3,0))</f>
        <v/>
      </c>
      <c r="J65" s="102">
        <f>INDEX(FS_H!65:65,,MATCH(J$2,FS_H!$3:$3,0))</f>
        <v/>
      </c>
      <c r="K65" s="102">
        <f>INDEX(FS_H!65:65,,MATCH(K$2,FS_H!$3:$3,0))</f>
        <v/>
      </c>
      <c r="L65" s="102">
        <f>INDEX(FS_H!65:65,,MATCH(L$2,FS_H!$3:$3,0))</f>
        <v/>
      </c>
      <c r="M65" s="102">
        <f>INDEX(FS_H!65:65,,MATCH(M$2,FS_H!$3:$3,0))</f>
        <v/>
      </c>
      <c r="N65" s="102">
        <f>INDEX(FS_H!65:65,,MATCH(N$2,FS_H!$3:$3,0))</f>
        <v/>
      </c>
      <c r="O65" s="102">
        <f>INDEX(FS_H!65:65,,MATCH(O$2,FS_H!$3:$3,0))</f>
        <v/>
      </c>
      <c r="P65" s="102">
        <f>INDEX(FS_H!65:65,,MATCH(P$2,FS_H!$3:$3,0))</f>
        <v/>
      </c>
      <c r="Q65" s="102">
        <f>INDEX(FS_H!65:65,,MATCH(Q$2,FS_H!$3:$3,0))</f>
        <v/>
      </c>
      <c r="R65" s="102">
        <f>INDEX(FS_H!65:65,,MATCH(R$2,FS_H!$3:$3,0))</f>
        <v/>
      </c>
      <c r="S65" s="102">
        <f>INDEX(FS_H!65:65,,MATCH(S$2,FS_H!$3:$3,0))</f>
        <v/>
      </c>
      <c r="T65" s="102">
        <f>INDEX(FS_H!65:65,,MATCH(T$2,FS_H!$3:$3,0))</f>
        <v/>
      </c>
      <c r="U65" s="102">
        <f>INDEX(FS_H!65:65,,MATCH(U$2,FS_H!$3:$3,0))</f>
        <v/>
      </c>
    </row>
    <row r="66">
      <c r="A66" s="74" t="inlineStr">
        <is>
          <t>Others</t>
        </is>
      </c>
      <c r="G66" s="102">
        <f>INDEX(FS_H!66:66,,MATCH(G$2,FS_H!$3:$3,0))</f>
        <v/>
      </c>
      <c r="H66" s="102">
        <f>INDEX(FS_H!66:66,,MATCH(H$2,FS_H!$3:$3,0))</f>
        <v/>
      </c>
      <c r="I66" s="102">
        <f>INDEX(FS_H!66:66,,MATCH(I$2,FS_H!$3:$3,0))</f>
        <v/>
      </c>
      <c r="J66" s="102">
        <f>INDEX(FS_H!66:66,,MATCH(J$2,FS_H!$3:$3,0))</f>
        <v/>
      </c>
      <c r="K66" s="102">
        <f>INDEX(FS_H!66:66,,MATCH(K$2,FS_H!$3:$3,0))</f>
        <v/>
      </c>
      <c r="L66" s="102">
        <f>INDEX(FS_H!66:66,,MATCH(L$2,FS_H!$3:$3,0))</f>
        <v/>
      </c>
      <c r="M66" s="102">
        <f>INDEX(FS_H!66:66,,MATCH(M$2,FS_H!$3:$3,0))</f>
        <v/>
      </c>
      <c r="N66" s="102">
        <f>INDEX(FS_H!66:66,,MATCH(N$2,FS_H!$3:$3,0))</f>
        <v/>
      </c>
      <c r="O66" s="102">
        <f>INDEX(FS_H!66:66,,MATCH(O$2,FS_H!$3:$3,0))</f>
        <v/>
      </c>
      <c r="P66" s="102">
        <f>INDEX(FS_H!66:66,,MATCH(P$2,FS_H!$3:$3,0))</f>
        <v/>
      </c>
      <c r="Q66" s="102">
        <f>INDEX(FS_H!66:66,,MATCH(Q$2,FS_H!$3:$3,0))</f>
        <v/>
      </c>
      <c r="R66" s="102">
        <f>INDEX(FS_H!66:66,,MATCH(R$2,FS_H!$3:$3,0))</f>
        <v/>
      </c>
      <c r="S66" s="102">
        <f>INDEX(FS_H!66:66,,MATCH(S$2,FS_H!$3:$3,0))</f>
        <v/>
      </c>
      <c r="T66" s="102">
        <f>INDEX(FS_H!66:66,,MATCH(T$2,FS_H!$3:$3,0))</f>
        <v/>
      </c>
      <c r="U66" s="102">
        <f>INDEX(FS_H!66:66,,MATCH(U$2,FS_H!$3:$3,0))</f>
        <v/>
      </c>
    </row>
    <row r="67">
      <c r="A67" s="40" t="inlineStr">
        <is>
          <t>Total current liabilities</t>
        </is>
      </c>
      <c r="G67" s="128">
        <f>SUM(G61:G66)</f>
        <v/>
      </c>
      <c r="H67" s="128">
        <f>SUM(H61:H66)</f>
        <v/>
      </c>
      <c r="I67" s="128">
        <f>SUM(I61:I66)</f>
        <v/>
      </c>
      <c r="J67" s="128">
        <f>SUM(J61:J66)</f>
        <v/>
      </c>
      <c r="K67" s="128">
        <f>SUM(K61:K66)</f>
        <v/>
      </c>
      <c r="L67" s="128">
        <f>SUM(L61:L66)</f>
        <v/>
      </c>
      <c r="M67" s="128">
        <f>SUM(M61:M66)</f>
        <v/>
      </c>
      <c r="N67" s="128">
        <f>SUM(N61:N66)</f>
        <v/>
      </c>
      <c r="O67" s="128">
        <f>SUM(O61:O66)</f>
        <v/>
      </c>
      <c r="P67" s="128">
        <f>SUM(P61:P66)</f>
        <v/>
      </c>
      <c r="Q67" s="128">
        <f>SUM(Q61:Q66)</f>
        <v/>
      </c>
      <c r="R67" s="128">
        <f>SUM(R61:R66)</f>
        <v/>
      </c>
      <c r="S67" s="128">
        <f>SUM(S61:S66)</f>
        <v/>
      </c>
      <c r="T67" s="128">
        <f>SUM(T61:T66)</f>
        <v/>
      </c>
      <c r="U67" s="128">
        <f>SUM(U61:U66)</f>
        <v/>
      </c>
    </row>
    <row r="68">
      <c r="G68" s="31" t="n"/>
      <c r="H68" s="31" t="n"/>
      <c r="I68" s="31" t="n"/>
      <c r="J68" s="31" t="n"/>
      <c r="K68" s="31" t="n"/>
      <c r="L68" s="31" t="n"/>
      <c r="M68" s="31" t="n"/>
      <c r="N68" s="31" t="n"/>
      <c r="O68" s="31" t="n"/>
      <c r="P68" s="31" t="n"/>
      <c r="Q68" s="31" t="n"/>
      <c r="R68" s="31" t="n"/>
      <c r="S68" s="31" t="n"/>
      <c r="T68" s="31" t="n"/>
      <c r="U68" s="31" t="n"/>
    </row>
    <row r="69">
      <c r="A69" s="22" t="inlineStr">
        <is>
          <t>Net current assets</t>
        </is>
      </c>
      <c r="G69" s="86">
        <f>G45-G67</f>
        <v/>
      </c>
      <c r="H69" s="86">
        <f>H45-H67</f>
        <v/>
      </c>
      <c r="I69" s="86">
        <f>I45-I67</f>
        <v/>
      </c>
      <c r="J69" s="86">
        <f>J45-J67</f>
        <v/>
      </c>
      <c r="K69" s="86">
        <f>K45-K67</f>
        <v/>
      </c>
      <c r="L69" s="86">
        <f>L45-L67</f>
        <v/>
      </c>
      <c r="M69" s="86">
        <f>M45-M67</f>
        <v/>
      </c>
      <c r="N69" s="86">
        <f>N45-N67</f>
        <v/>
      </c>
      <c r="O69" s="86">
        <f>O45-O67</f>
        <v/>
      </c>
      <c r="P69" s="86">
        <f>P45-P67</f>
        <v/>
      </c>
      <c r="Q69" s="86">
        <f>Q45-Q67</f>
        <v/>
      </c>
      <c r="R69" s="86">
        <f>R45-R67</f>
        <v/>
      </c>
      <c r="S69" s="86">
        <f>S45-S67</f>
        <v/>
      </c>
      <c r="T69" s="86">
        <f>T45-T67</f>
        <v/>
      </c>
      <c r="U69" s="86">
        <f>U45-U67</f>
        <v/>
      </c>
    </row>
    <row r="70">
      <c r="A70" s="22" t="inlineStr">
        <is>
          <t>Total assets less current liabilities</t>
        </is>
      </c>
      <c r="G70" s="86">
        <f>G58-G67</f>
        <v/>
      </c>
      <c r="H70" s="86">
        <f>H58-H67</f>
        <v/>
      </c>
      <c r="I70" s="86">
        <f>I58-I67</f>
        <v/>
      </c>
      <c r="J70" s="86">
        <f>J58-J67</f>
        <v/>
      </c>
      <c r="K70" s="86">
        <f>K58-K67</f>
        <v/>
      </c>
      <c r="L70" s="86">
        <f>L58-L67</f>
        <v/>
      </c>
      <c r="M70" s="86">
        <f>M58-M67</f>
        <v/>
      </c>
      <c r="N70" s="86">
        <f>N58-N67</f>
        <v/>
      </c>
      <c r="O70" s="86">
        <f>O58-O67</f>
        <v/>
      </c>
      <c r="P70" s="86">
        <f>P58-P67</f>
        <v/>
      </c>
      <c r="Q70" s="86">
        <f>Q58-Q67</f>
        <v/>
      </c>
      <c r="R70" s="86">
        <f>R58-R67</f>
        <v/>
      </c>
      <c r="S70" s="86">
        <f>S58-S67</f>
        <v/>
      </c>
      <c r="T70" s="86">
        <f>T58-T67</f>
        <v/>
      </c>
      <c r="U70" s="86">
        <f>U58-U67</f>
        <v/>
      </c>
    </row>
    <row r="71">
      <c r="G71" s="76" t="n"/>
      <c r="H71" s="76" t="n"/>
      <c r="I71" s="76" t="n"/>
      <c r="J71" s="76" t="n"/>
      <c r="K71" s="76" t="n"/>
      <c r="L71" s="76" t="n"/>
      <c r="M71" s="76" t="n"/>
      <c r="N71" s="76" t="n"/>
      <c r="O71" s="76" t="n"/>
      <c r="P71" s="76" t="n"/>
      <c r="Q71" s="76" t="n"/>
      <c r="R71" s="76" t="n"/>
      <c r="S71" s="76" t="n"/>
      <c r="T71" s="76" t="n"/>
      <c r="U71" s="76" t="n"/>
    </row>
    <row r="72">
      <c r="A72" s="22" t="inlineStr">
        <is>
          <t>Non-current liabilities</t>
        </is>
      </c>
      <c r="G72" s="31" t="n"/>
      <c r="H72" s="31" t="n"/>
      <c r="I72" s="31" t="n"/>
      <c r="J72" s="31" t="n"/>
      <c r="K72" s="31" t="n"/>
      <c r="L72" s="31" t="n"/>
      <c r="M72" s="31" t="n"/>
      <c r="N72" s="31" t="n"/>
      <c r="O72" s="31" t="n"/>
      <c r="P72" s="31" t="n"/>
      <c r="Q72" s="31" t="n"/>
      <c r="R72" s="31" t="n"/>
      <c r="S72" s="31" t="n"/>
      <c r="T72" s="31" t="n"/>
      <c r="U72" s="31" t="n"/>
    </row>
    <row r="73">
      <c r="A73" s="74" t="inlineStr">
        <is>
          <t>Borrowings</t>
        </is>
      </c>
      <c r="G73" s="102">
        <f>INDEX(FS_H!73:73,,MATCH(G$2,FS_H!$3:$3,0))</f>
        <v/>
      </c>
      <c r="H73" s="102">
        <f>INDEX(FS_H!73:73,,MATCH(H$2,FS_H!$3:$3,0))</f>
        <v/>
      </c>
      <c r="I73" s="102">
        <f>INDEX(FS_H!73:73,,MATCH(I$2,FS_H!$3:$3,0))</f>
        <v/>
      </c>
      <c r="J73" s="102">
        <f>INDEX(FS_H!73:73,,MATCH(J$2,FS_H!$3:$3,0))</f>
        <v/>
      </c>
      <c r="K73" s="102">
        <f>INDEX(FS_H!73:73,,MATCH(K$2,FS_H!$3:$3,0))</f>
        <v/>
      </c>
      <c r="L73" s="102">
        <f>INDEX(FS_H!73:73,,MATCH(L$2,FS_H!$3:$3,0))</f>
        <v/>
      </c>
      <c r="M73" s="102">
        <f>INDEX(FS_H!73:73,,MATCH(M$2,FS_H!$3:$3,0))</f>
        <v/>
      </c>
      <c r="N73" s="102">
        <f>INDEX(FS_H!73:73,,MATCH(N$2,FS_H!$3:$3,0))</f>
        <v/>
      </c>
      <c r="O73" s="102">
        <f>INDEX(FS_H!73:73,,MATCH(O$2,FS_H!$3:$3,0))</f>
        <v/>
      </c>
      <c r="P73" s="102">
        <f>INDEX(FS_H!73:73,,MATCH(P$2,FS_H!$3:$3,0))</f>
        <v/>
      </c>
      <c r="Q73" s="102">
        <f>INDEX(FS_H!73:73,,MATCH(Q$2,FS_H!$3:$3,0))</f>
        <v/>
      </c>
      <c r="R73" s="102">
        <f>INDEX(FS_H!73:73,,MATCH(R$2,FS_H!$3:$3,0))</f>
        <v/>
      </c>
      <c r="S73" s="102">
        <f>INDEX(FS_H!73:73,,MATCH(S$2,FS_H!$3:$3,0))</f>
        <v/>
      </c>
      <c r="T73" s="102">
        <f>INDEX(FS_H!73:73,,MATCH(T$2,FS_H!$3:$3,0))</f>
        <v/>
      </c>
      <c r="U73" s="102">
        <f>INDEX(FS_H!73:73,,MATCH(U$2,FS_H!$3:$3,0))</f>
        <v/>
      </c>
    </row>
    <row r="74">
      <c r="A74" s="74" t="inlineStr">
        <is>
          <t>Convertible bond</t>
        </is>
      </c>
      <c r="G74" s="374" t="n"/>
      <c r="H74" s="374" t="n"/>
      <c r="I74" s="374" t="n"/>
      <c r="J74" s="374" t="n"/>
      <c r="K74" s="374" t="n"/>
      <c r="L74" s="374" t="n"/>
      <c r="M74" s="374" t="n"/>
      <c r="N74" s="374" t="n"/>
      <c r="O74" s="102" t="n"/>
      <c r="P74" s="102">
        <f>INDEX(FS_H!74:74,,MATCH(P$2,FS_H!$3:$3,0))</f>
        <v/>
      </c>
      <c r="Q74" s="102">
        <f>INDEX(FS_H!74:74,,MATCH(Q$2,FS_H!$3:$3,0))</f>
        <v/>
      </c>
      <c r="R74" s="102">
        <f>INDEX(FS_H!74:74,,MATCH(R$2,FS_H!$3:$3,0))</f>
        <v/>
      </c>
      <c r="S74" s="102">
        <f>INDEX(FS_H!74:74,,MATCH(S$2,FS_H!$3:$3,0))</f>
        <v/>
      </c>
      <c r="T74" s="102">
        <f>INDEX(FS_H!74:74,,MATCH(T$2,FS_H!$3:$3,0))</f>
        <v/>
      </c>
      <c r="U74" s="102">
        <f>INDEX(FS_H!74:74,,MATCH(U$2,FS_H!$3:$3,0))</f>
        <v/>
      </c>
    </row>
    <row r="75">
      <c r="A75" s="74" t="inlineStr">
        <is>
          <t>Government grants</t>
        </is>
      </c>
      <c r="G75" s="102">
        <f>INDEX(FS_H!75:75,,MATCH(G$2,FS_H!$3:$3,0))</f>
        <v/>
      </c>
      <c r="H75" s="102">
        <f>INDEX(FS_H!75:75,,MATCH(H$2,FS_H!$3:$3,0))</f>
        <v/>
      </c>
      <c r="I75" s="102">
        <f>INDEX(FS_H!75:75,,MATCH(I$2,FS_H!$3:$3,0))</f>
        <v/>
      </c>
      <c r="J75" s="102">
        <f>INDEX(FS_H!75:75,,MATCH(J$2,FS_H!$3:$3,0))</f>
        <v/>
      </c>
      <c r="K75" s="102">
        <f>INDEX(FS_H!75:75,,MATCH(K$2,FS_H!$3:$3,0))</f>
        <v/>
      </c>
      <c r="L75" s="102">
        <f>INDEX(FS_H!75:75,,MATCH(L$2,FS_H!$3:$3,0))</f>
        <v/>
      </c>
      <c r="M75" s="102">
        <f>INDEX(FS_H!75:75,,MATCH(M$2,FS_H!$3:$3,0))</f>
        <v/>
      </c>
      <c r="N75" s="102">
        <f>INDEX(FS_H!75:75,,MATCH(N$2,FS_H!$3:$3,0))</f>
        <v/>
      </c>
      <c r="O75" s="102">
        <f>INDEX(FS_H!75:75,,MATCH(O$2,FS_H!$3:$3,0))</f>
        <v/>
      </c>
      <c r="P75" s="102">
        <f>INDEX(FS_H!75:75,,MATCH(P$2,FS_H!$3:$3,0))</f>
        <v/>
      </c>
      <c r="Q75" s="102">
        <f>INDEX(FS_H!75:75,,MATCH(Q$2,FS_H!$3:$3,0))</f>
        <v/>
      </c>
      <c r="R75" s="102">
        <f>INDEX(FS_H!75:75,,MATCH(R$2,FS_H!$3:$3,0))</f>
        <v/>
      </c>
      <c r="S75" s="102">
        <f>INDEX(FS_H!75:75,,MATCH(S$2,FS_H!$3:$3,0))</f>
        <v/>
      </c>
      <c r="T75" s="102">
        <f>INDEX(FS_H!75:75,,MATCH(T$2,FS_H!$3:$3,0))</f>
        <v/>
      </c>
      <c r="U75" s="102">
        <f>INDEX(FS_H!75:75,,MATCH(U$2,FS_H!$3:$3,0))</f>
        <v/>
      </c>
    </row>
    <row r="76">
      <c r="A76" s="74" t="inlineStr">
        <is>
          <t>Provisions</t>
        </is>
      </c>
      <c r="G76" s="102">
        <f>INDEX(FS_H!76:76,,MATCH(G$2,FS_H!$3:$3,0))</f>
        <v/>
      </c>
      <c r="H76" s="102">
        <f>INDEX(FS_H!76:76,,MATCH(H$2,FS_H!$3:$3,0))</f>
        <v/>
      </c>
      <c r="I76" s="102">
        <f>INDEX(FS_H!76:76,,MATCH(I$2,FS_H!$3:$3,0))</f>
        <v/>
      </c>
      <c r="J76" s="102">
        <f>INDEX(FS_H!76:76,,MATCH(J$2,FS_H!$3:$3,0))</f>
        <v/>
      </c>
      <c r="K76" s="102">
        <f>INDEX(FS_H!76:76,,MATCH(K$2,FS_H!$3:$3,0))</f>
        <v/>
      </c>
      <c r="L76" s="102">
        <f>INDEX(FS_H!76:76,,MATCH(L$2,FS_H!$3:$3,0))</f>
        <v/>
      </c>
      <c r="M76" s="102">
        <f>INDEX(FS_H!76:76,,MATCH(M$2,FS_H!$3:$3,0))</f>
        <v/>
      </c>
      <c r="N76" s="102">
        <f>INDEX(FS_H!76:76,,MATCH(N$2,FS_H!$3:$3,0))</f>
        <v/>
      </c>
      <c r="O76" s="102">
        <f>INDEX(FS_H!76:76,,MATCH(O$2,FS_H!$3:$3,0))</f>
        <v/>
      </c>
      <c r="P76" s="102">
        <f>INDEX(FS_H!76:76,,MATCH(P$2,FS_H!$3:$3,0))</f>
        <v/>
      </c>
      <c r="Q76" s="102">
        <f>INDEX(FS_H!76:76,,MATCH(Q$2,FS_H!$3:$3,0))</f>
        <v/>
      </c>
      <c r="R76" s="102">
        <f>INDEX(FS_H!76:76,,MATCH(R$2,FS_H!$3:$3,0))</f>
        <v/>
      </c>
      <c r="S76" s="102">
        <f>INDEX(FS_H!76:76,,MATCH(S$2,FS_H!$3:$3,0))</f>
        <v/>
      </c>
      <c r="T76" s="102">
        <f>INDEX(FS_H!76:76,,MATCH(T$2,FS_H!$3:$3,0))</f>
        <v/>
      </c>
      <c r="U76" s="102">
        <f>INDEX(FS_H!76:76,,MATCH(U$2,FS_H!$3:$3,0))</f>
        <v/>
      </c>
    </row>
    <row r="77">
      <c r="A77" s="74">
        <f>#REF!</f>
        <v/>
      </c>
      <c r="G77" s="102">
        <f>INDEX(FS_H!77:77,,MATCH(G$2,FS_H!$3:$3,0))</f>
        <v/>
      </c>
      <c r="H77" s="102">
        <f>INDEX(FS_H!77:77,,MATCH(H$2,FS_H!$3:$3,0))</f>
        <v/>
      </c>
      <c r="I77" s="102">
        <f>INDEX(FS_H!77:77,,MATCH(I$2,FS_H!$3:$3,0))</f>
        <v/>
      </c>
      <c r="J77" s="102">
        <f>INDEX(FS_H!77:77,,MATCH(J$2,FS_H!$3:$3,0))</f>
        <v/>
      </c>
      <c r="K77" s="102">
        <f>INDEX(FS_H!77:77,,MATCH(K$2,FS_H!$3:$3,0))</f>
        <v/>
      </c>
      <c r="L77" s="102">
        <f>INDEX(FS_H!77:77,,MATCH(L$2,FS_H!$3:$3,0))</f>
        <v/>
      </c>
      <c r="M77" s="102">
        <f>INDEX(FS_H!77:77,,MATCH(M$2,FS_H!$3:$3,0))</f>
        <v/>
      </c>
      <c r="N77" s="102">
        <f>INDEX(FS_H!77:77,,MATCH(N$2,FS_H!$3:$3,0))</f>
        <v/>
      </c>
      <c r="O77" s="102">
        <f>INDEX(FS_H!77:77,,MATCH(O$2,FS_H!$3:$3,0))</f>
        <v/>
      </c>
      <c r="P77" s="102">
        <f>INDEX(FS_H!77:77,,MATCH(P$2,FS_H!$3:$3,0))</f>
        <v/>
      </c>
      <c r="Q77" s="102">
        <f>INDEX(FS_H!77:77,,MATCH(Q$2,FS_H!$3:$3,0))</f>
        <v/>
      </c>
      <c r="R77" s="102">
        <f>INDEX(FS_H!77:77,,MATCH(R$2,FS_H!$3:$3,0))</f>
        <v/>
      </c>
      <c r="S77" s="102">
        <f>INDEX(FS_H!77:77,,MATCH(S$2,FS_H!$3:$3,0))</f>
        <v/>
      </c>
      <c r="T77" s="102">
        <f>INDEX(FS_H!77:77,,MATCH(T$2,FS_H!$3:$3,0))</f>
        <v/>
      </c>
      <c r="U77" s="102">
        <f>INDEX(FS_H!77:77,,MATCH(U$2,FS_H!$3:$3,0))</f>
        <v/>
      </c>
    </row>
    <row r="78">
      <c r="A78" s="74" t="inlineStr">
        <is>
          <t>Others</t>
        </is>
      </c>
      <c r="G78" s="102">
        <f>INDEX(FS_H!78:78,,MATCH(G$2,FS_H!$3:$3,0))</f>
        <v/>
      </c>
      <c r="H78" s="102">
        <f>INDEX(FS_H!78:78,,MATCH(H$2,FS_H!$3:$3,0))</f>
        <v/>
      </c>
      <c r="I78" s="102">
        <f>INDEX(FS_H!78:78,,MATCH(I$2,FS_H!$3:$3,0))</f>
        <v/>
      </c>
      <c r="J78" s="102">
        <f>INDEX(FS_H!78:78,,MATCH(J$2,FS_H!$3:$3,0))</f>
        <v/>
      </c>
      <c r="K78" s="102">
        <f>INDEX(FS_H!78:78,,MATCH(K$2,FS_H!$3:$3,0))</f>
        <v/>
      </c>
      <c r="L78" s="102">
        <f>INDEX(FS_H!78:78,,MATCH(L$2,FS_H!$3:$3,0))</f>
        <v/>
      </c>
      <c r="M78" s="102">
        <f>INDEX(FS_H!78:78,,MATCH(M$2,FS_H!$3:$3,0))</f>
        <v/>
      </c>
      <c r="N78" s="102">
        <f>INDEX(FS_H!78:78,,MATCH(N$2,FS_H!$3:$3,0))</f>
        <v/>
      </c>
      <c r="O78" s="102">
        <f>INDEX(FS_H!78:78,,MATCH(O$2,FS_H!$3:$3,0))</f>
        <v/>
      </c>
      <c r="P78" s="102">
        <f>INDEX(FS_H!78:78,,MATCH(P$2,FS_H!$3:$3,0))</f>
        <v/>
      </c>
      <c r="Q78" s="102">
        <f>INDEX(FS_H!78:78,,MATCH(Q$2,FS_H!$3:$3,0))</f>
        <v/>
      </c>
      <c r="R78" s="102">
        <f>INDEX(FS_H!78:78,,MATCH(R$2,FS_H!$3:$3,0))</f>
        <v/>
      </c>
      <c r="S78" s="102">
        <f>INDEX(FS_H!78:78,,MATCH(S$2,FS_H!$3:$3,0))</f>
        <v/>
      </c>
      <c r="T78" s="102">
        <f>INDEX(FS_H!78:78,,MATCH(T$2,FS_H!$3:$3,0))</f>
        <v/>
      </c>
      <c r="U78" s="102">
        <f>INDEX(FS_H!78:78,,MATCH(U$2,FS_H!$3:$3,0))</f>
        <v/>
      </c>
    </row>
    <row r="79">
      <c r="A79" s="40" t="inlineStr">
        <is>
          <t>Total non-current liabilities</t>
        </is>
      </c>
      <c r="G79" s="123">
        <f>SUM(G73:G78)</f>
        <v/>
      </c>
      <c r="H79" s="123">
        <f>SUM(H73:H78)</f>
        <v/>
      </c>
      <c r="I79" s="123">
        <f>SUM(I73:I78)</f>
        <v/>
      </c>
      <c r="J79" s="123">
        <f>SUM(J73:J78)</f>
        <v/>
      </c>
      <c r="K79" s="123">
        <f>SUM(K73:K78)</f>
        <v/>
      </c>
      <c r="L79" s="123">
        <f>SUM(L73:L78)</f>
        <v/>
      </c>
      <c r="M79" s="123">
        <f>SUM(M73:M78)</f>
        <v/>
      </c>
      <c r="N79" s="123">
        <f>SUM(N73:N78)</f>
        <v/>
      </c>
      <c r="O79" s="123">
        <f>SUM(O73:O78)</f>
        <v/>
      </c>
      <c r="P79" s="123">
        <f>SUM(P73:P78)</f>
        <v/>
      </c>
      <c r="Q79" s="123">
        <f>SUM(Q73:Q78)</f>
        <v/>
      </c>
      <c r="R79" s="123">
        <f>SUM(R73:R78)</f>
        <v/>
      </c>
      <c r="S79" s="123">
        <f>SUM(S73:S78)</f>
        <v/>
      </c>
      <c r="T79" s="123">
        <f>SUM(T73:T78)</f>
        <v/>
      </c>
      <c r="U79" s="123">
        <f>SUM(U73:U78)</f>
        <v/>
      </c>
    </row>
    <row r="80">
      <c r="G80" s="31" t="n"/>
      <c r="H80" s="31" t="n"/>
      <c r="I80" s="31" t="n"/>
      <c r="J80" s="31" t="n"/>
      <c r="K80" s="31" t="n"/>
      <c r="L80" s="31" t="n"/>
      <c r="M80" s="31" t="n"/>
      <c r="N80" s="31" t="n"/>
      <c r="O80" s="31" t="n"/>
      <c r="P80" s="31" t="n"/>
      <c r="Q80" s="31" t="n"/>
      <c r="R80" s="31" t="n"/>
      <c r="S80" s="31" t="n"/>
      <c r="T80" s="31" t="n"/>
      <c r="U80" s="31" t="n"/>
    </row>
    <row r="81">
      <c r="A81" s="22" t="inlineStr">
        <is>
          <t>Total liabilities</t>
        </is>
      </c>
      <c r="G81" s="121">
        <f>SUM(G67,G79)</f>
        <v/>
      </c>
      <c r="H81" s="121">
        <f>SUM(H67,H79)</f>
        <v/>
      </c>
      <c r="I81" s="121">
        <f>SUM(I67,I79)</f>
        <v/>
      </c>
      <c r="J81" s="121">
        <f>SUM(J67,J79)</f>
        <v/>
      </c>
      <c r="K81" s="121">
        <f>SUM(K67,K79)</f>
        <v/>
      </c>
      <c r="L81" s="121">
        <f>SUM(L67,L79)</f>
        <v/>
      </c>
      <c r="M81" s="121">
        <f>SUM(M67,M79)</f>
        <v/>
      </c>
      <c r="N81" s="121">
        <f>SUM(N67,N79)</f>
        <v/>
      </c>
      <c r="O81" s="121">
        <f>SUM(O67,O79)</f>
        <v/>
      </c>
      <c r="P81" s="121">
        <f>SUM(P67,P79)</f>
        <v/>
      </c>
      <c r="Q81" s="121">
        <f>SUM(Q67,Q79)</f>
        <v/>
      </c>
      <c r="R81" s="121">
        <f>SUM(R67,R79)</f>
        <v/>
      </c>
      <c r="S81" s="121">
        <f>SUM(S67,S79)</f>
        <v/>
      </c>
      <c r="T81" s="121">
        <f>SUM(T67,T79)</f>
        <v/>
      </c>
      <c r="U81" s="121">
        <f>SUM(U67,U79)</f>
        <v/>
      </c>
    </row>
    <row r="82">
      <c r="G82" s="31" t="n"/>
      <c r="H82" s="31" t="n"/>
      <c r="I82" s="31" t="n"/>
      <c r="J82" s="31" t="n"/>
      <c r="K82" s="31" t="n"/>
      <c r="L82" s="31" t="n"/>
      <c r="M82" s="31" t="n"/>
      <c r="N82" s="31" t="n"/>
      <c r="O82" s="31" t="n"/>
      <c r="P82" s="31" t="n"/>
      <c r="Q82" s="31" t="n"/>
      <c r="R82" s="31" t="n"/>
      <c r="S82" s="31" t="n"/>
      <c r="T82" s="31" t="n"/>
      <c r="U82" s="31" t="n"/>
    </row>
    <row r="83">
      <c r="A83" s="22" t="inlineStr">
        <is>
          <t>NET ASSETS</t>
        </is>
      </c>
      <c r="G83" s="121">
        <f>G58-G81</f>
        <v/>
      </c>
      <c r="H83" s="121">
        <f>H58-H81</f>
        <v/>
      </c>
      <c r="I83" s="121">
        <f>I58-I81</f>
        <v/>
      </c>
      <c r="J83" s="121">
        <f>J58-J81</f>
        <v/>
      </c>
      <c r="K83" s="121">
        <f>K58-K81</f>
        <v/>
      </c>
      <c r="L83" s="121">
        <f>L58-L81</f>
        <v/>
      </c>
      <c r="M83" s="121">
        <f>M58-M81</f>
        <v/>
      </c>
      <c r="N83" s="121">
        <f>N58-N81</f>
        <v/>
      </c>
      <c r="O83" s="121">
        <f>O58-O81</f>
        <v/>
      </c>
      <c r="P83" s="121">
        <f>P58-P81</f>
        <v/>
      </c>
      <c r="Q83" s="121">
        <f>Q58-Q81</f>
        <v/>
      </c>
      <c r="R83" s="121">
        <f>R58-R81</f>
        <v/>
      </c>
      <c r="S83" s="121">
        <f>S58-S81</f>
        <v/>
      </c>
      <c r="T83" s="121">
        <f>T58-T81</f>
        <v/>
      </c>
      <c r="U83" s="121">
        <f>U58-U81</f>
        <v/>
      </c>
    </row>
    <row r="84">
      <c r="G84" s="31" t="n"/>
      <c r="H84" s="31" t="n"/>
      <c r="I84" s="31" t="n"/>
      <c r="J84" s="31" t="n"/>
      <c r="K84" s="31" t="n"/>
      <c r="L84" s="31" t="n"/>
      <c r="M84" s="31" t="n"/>
      <c r="N84" s="31" t="n"/>
      <c r="O84" s="31" t="n"/>
      <c r="P84" s="31" t="n"/>
      <c r="Q84" s="31" t="n"/>
      <c r="R84" s="31" t="n"/>
      <c r="S84" s="31" t="n"/>
      <c r="T84" s="31" t="n"/>
      <c r="U84" s="31" t="n"/>
    </row>
    <row r="85">
      <c r="A85" s="22" t="inlineStr">
        <is>
          <t>Equity</t>
        </is>
      </c>
      <c r="G85" s="31" t="n"/>
      <c r="H85" s="31" t="n"/>
      <c r="I85" s="31" t="n"/>
      <c r="J85" s="31" t="n"/>
      <c r="K85" s="31" t="n"/>
      <c r="L85" s="31" t="n"/>
      <c r="M85" s="31" t="n"/>
      <c r="N85" s="31" t="n"/>
      <c r="O85" s="31" t="n"/>
      <c r="P85" s="31" t="n"/>
      <c r="Q85" s="31" t="n"/>
      <c r="R85" s="31" t="n"/>
      <c r="S85" s="31" t="n"/>
      <c r="T85" s="31" t="n"/>
      <c r="U85" s="31" t="n"/>
    </row>
    <row r="86">
      <c r="A86" s="74" t="inlineStr">
        <is>
          <t>Equity attributable to owners of the parent</t>
        </is>
      </c>
      <c r="G86" s="143" t="n"/>
      <c r="H86" s="143" t="n"/>
      <c r="I86" s="143" t="n"/>
      <c r="J86" s="143" t="n"/>
      <c r="K86" s="143" t="n"/>
      <c r="L86" s="143" t="n"/>
      <c r="M86" s="143" t="n"/>
      <c r="N86" s="143" t="n"/>
      <c r="O86" s="143" t="n"/>
      <c r="P86" s="143" t="n"/>
      <c r="Q86" s="143" t="n"/>
      <c r="R86" s="143" t="n"/>
      <c r="S86" s="143" t="n"/>
      <c r="T86" s="143" t="n"/>
      <c r="U86" s="143" t="n"/>
    </row>
    <row r="87">
      <c r="A87" s="33" t="inlineStr">
        <is>
          <t>Share capital</t>
        </is>
      </c>
      <c r="G87" s="102">
        <f>INDEX(FS_H!87:87,,MATCH(G$2,FS_H!$3:$3,0))</f>
        <v/>
      </c>
      <c r="H87" s="102">
        <f>INDEX(FS_H!87:87,,MATCH(H$2,FS_H!$3:$3,0))</f>
        <v/>
      </c>
      <c r="I87" s="102">
        <f>INDEX(FS_H!87:87,,MATCH(I$2,FS_H!$3:$3,0))</f>
        <v/>
      </c>
      <c r="J87" s="102">
        <f>INDEX(FS_H!87:87,,MATCH(J$2,FS_H!$3:$3,0))</f>
        <v/>
      </c>
      <c r="K87" s="102">
        <f>INDEX(FS_H!87:87,,MATCH(K$2,FS_H!$3:$3,0))</f>
        <v/>
      </c>
      <c r="L87" s="102">
        <f>INDEX(FS_H!87:87,,MATCH(L$2,FS_H!$3:$3,0))</f>
        <v/>
      </c>
      <c r="M87" s="102">
        <f>INDEX(FS_H!87:87,,MATCH(M$2,FS_H!$3:$3,0))</f>
        <v/>
      </c>
      <c r="N87" s="102">
        <f>INDEX(FS_H!87:87,,MATCH(N$2,FS_H!$3:$3,0))</f>
        <v/>
      </c>
      <c r="O87" s="102">
        <f>INDEX(FS_H!87:87,,MATCH(O$2,FS_H!$3:$3,0))</f>
        <v/>
      </c>
      <c r="P87" s="102">
        <f>INDEX(FS_H!87:87,,MATCH(P$2,FS_H!$3:$3,0))</f>
        <v/>
      </c>
      <c r="Q87" s="102">
        <f>INDEX(FS_H!87:87,,MATCH(Q$2,FS_H!$3:$3,0))</f>
        <v/>
      </c>
      <c r="R87" s="102">
        <f>INDEX(FS_H!87:87,,MATCH(R$2,FS_H!$3:$3,0))</f>
        <v/>
      </c>
      <c r="S87" s="102">
        <f>INDEX(FS_H!87:87,,MATCH(S$2,FS_H!$3:$3,0))</f>
        <v/>
      </c>
      <c r="T87" s="102">
        <f>INDEX(FS_H!87:87,,MATCH(T$2,FS_H!$3:$3,0))</f>
        <v/>
      </c>
      <c r="U87" s="102">
        <f>INDEX(FS_H!87:87,,MATCH(U$2,FS_H!$3:$3,0))</f>
        <v/>
      </c>
    </row>
    <row r="88">
      <c r="A88" s="33" t="inlineStr">
        <is>
          <t>Reserves</t>
        </is>
      </c>
      <c r="G88" s="102">
        <f>INDEX(FS_H!88:88,,MATCH(G$2,FS_H!$3:$3,0))</f>
        <v/>
      </c>
      <c r="H88" s="102">
        <f>INDEX(FS_H!88:88,,MATCH(H$2,FS_H!$3:$3,0))</f>
        <v/>
      </c>
      <c r="I88" s="102">
        <f>INDEX(FS_H!88:88,,MATCH(I$2,FS_H!$3:$3,0))</f>
        <v/>
      </c>
      <c r="J88" s="102">
        <f>INDEX(FS_H!88:88,,MATCH(J$2,FS_H!$3:$3,0))</f>
        <v/>
      </c>
      <c r="K88" s="102">
        <f>INDEX(FS_H!88:88,,MATCH(K$2,FS_H!$3:$3,0))</f>
        <v/>
      </c>
      <c r="L88" s="102">
        <f>INDEX(FS_H!88:88,,MATCH(L$2,FS_H!$3:$3,0))</f>
        <v/>
      </c>
      <c r="M88" s="102">
        <f>INDEX(FS_H!88:88,,MATCH(M$2,FS_H!$3:$3,0))</f>
        <v/>
      </c>
      <c r="N88" s="102">
        <f>INDEX(FS_H!88:88,,MATCH(N$2,FS_H!$3:$3,0))</f>
        <v/>
      </c>
      <c r="O88" s="102">
        <f>INDEX(FS_H!88:88,,MATCH(O$2,FS_H!$3:$3,0))</f>
        <v/>
      </c>
      <c r="P88" s="102">
        <f>INDEX(FS_H!88:88,,MATCH(P$2,FS_H!$3:$3,0))</f>
        <v/>
      </c>
      <c r="Q88" s="102">
        <f>INDEX(FS_H!88:88,,MATCH(Q$2,FS_H!$3:$3,0))</f>
        <v/>
      </c>
      <c r="R88" s="102">
        <f>INDEX(FS_H!88:88,,MATCH(R$2,FS_H!$3:$3,0))</f>
        <v/>
      </c>
      <c r="S88" s="102">
        <f>INDEX(FS_H!88:88,,MATCH(S$2,FS_H!$3:$3,0))</f>
        <v/>
      </c>
      <c r="T88" s="102">
        <f>INDEX(FS_H!88:88,,MATCH(T$2,FS_H!$3:$3,0))</f>
        <v/>
      </c>
      <c r="U88" s="102">
        <f>INDEX(FS_H!88:88,,MATCH(U$2,FS_H!$3:$3,0))</f>
        <v/>
      </c>
    </row>
    <row r="89">
      <c r="A89" s="22" t="inlineStr">
        <is>
          <t>Subtotal</t>
        </is>
      </c>
      <c r="G89" s="123">
        <f>SUM(G87:G88)</f>
        <v/>
      </c>
      <c r="H89" s="123">
        <f>SUM(H87:H88)</f>
        <v/>
      </c>
      <c r="I89" s="123">
        <f>SUM(I87:I88)</f>
        <v/>
      </c>
      <c r="J89" s="123">
        <f>SUM(J87:J88)</f>
        <v/>
      </c>
      <c r="K89" s="123">
        <f>SUM(K87:K88)</f>
        <v/>
      </c>
      <c r="L89" s="123">
        <f>SUM(L87:L88)</f>
        <v/>
      </c>
      <c r="M89" s="123">
        <f>SUM(M87:M88)</f>
        <v/>
      </c>
      <c r="N89" s="123">
        <f>SUM(N87:N88)</f>
        <v/>
      </c>
      <c r="O89" s="123">
        <f>SUM(O87:O88)</f>
        <v/>
      </c>
      <c r="P89" s="123">
        <f>SUM(P87:P88)</f>
        <v/>
      </c>
      <c r="Q89" s="123">
        <f>SUM(Q87:Q88)</f>
        <v/>
      </c>
      <c r="R89" s="123">
        <f>SUM(R87:R88)</f>
        <v/>
      </c>
      <c r="S89" s="123">
        <f>SUM(S87:S88)</f>
        <v/>
      </c>
      <c r="T89" s="123">
        <f>SUM(T87:T88)</f>
        <v/>
      </c>
      <c r="U89" s="123">
        <f>SUM(U87:U88)</f>
        <v/>
      </c>
    </row>
    <row r="90">
      <c r="A90" s="22" t="n"/>
      <c r="G90" s="76" t="n"/>
      <c r="H90" s="76" t="n"/>
      <c r="I90" s="76" t="n"/>
      <c r="J90" s="76" t="n"/>
      <c r="K90" s="76" t="n"/>
      <c r="L90" s="76" t="n"/>
      <c r="M90" s="76" t="n"/>
      <c r="N90" s="76" t="n"/>
      <c r="O90" s="76" t="n"/>
      <c r="P90" s="76" t="n"/>
      <c r="Q90" s="76" t="n"/>
      <c r="R90" s="76" t="n"/>
      <c r="S90" s="76" t="n"/>
      <c r="T90" s="76" t="n"/>
      <c r="U90" s="76" t="n"/>
    </row>
    <row r="91">
      <c r="A91" s="44">
        <f>#REF!</f>
        <v/>
      </c>
      <c r="G91" s="102">
        <f>INDEX(FS_H!91:91,,MATCH(G$2,FS_H!$3:$3,0))</f>
        <v/>
      </c>
      <c r="H91" s="102">
        <f>INDEX(FS_H!91:91,,MATCH(H$2,FS_H!$3:$3,0))</f>
        <v/>
      </c>
      <c r="I91" s="102">
        <f>INDEX(FS_H!91:91,,MATCH(I$2,FS_H!$3:$3,0))</f>
        <v/>
      </c>
      <c r="J91" s="102">
        <f>INDEX(FS_H!91:91,,MATCH(J$2,FS_H!$3:$3,0))</f>
        <v/>
      </c>
      <c r="K91" s="102">
        <f>INDEX(FS_H!91:91,,MATCH(K$2,FS_H!$3:$3,0))</f>
        <v/>
      </c>
      <c r="L91" s="102">
        <f>INDEX(FS_H!91:91,,MATCH(L$2,FS_H!$3:$3,0))</f>
        <v/>
      </c>
      <c r="M91" s="102">
        <f>INDEX(FS_H!91:91,,MATCH(M$2,FS_H!$3:$3,0))</f>
        <v/>
      </c>
      <c r="N91" s="102">
        <f>INDEX(FS_H!91:91,,MATCH(N$2,FS_H!$3:$3,0))</f>
        <v/>
      </c>
      <c r="O91" s="102">
        <f>INDEX(FS_H!91:91,,MATCH(O$2,FS_H!$3:$3,0))</f>
        <v/>
      </c>
      <c r="P91" s="102">
        <f>INDEX(FS_H!91:91,,MATCH(P$2,FS_H!$3:$3,0))</f>
        <v/>
      </c>
      <c r="Q91" s="102">
        <f>INDEX(FS_H!91:91,,MATCH(Q$2,FS_H!$3:$3,0))</f>
        <v/>
      </c>
      <c r="R91" s="102">
        <f>INDEX(FS_H!91:91,,MATCH(R$2,FS_H!$3:$3,0))</f>
        <v/>
      </c>
      <c r="S91" s="102">
        <f>INDEX(FS_H!91:91,,MATCH(S$2,FS_H!$3:$3,0))</f>
        <v/>
      </c>
      <c r="T91" s="102">
        <f>INDEX(FS_H!91:91,,MATCH(T$2,FS_H!$3:$3,0))</f>
        <v/>
      </c>
      <c r="U91" s="102">
        <f>INDEX(FS_H!91:91,,MATCH(U$2,FS_H!$3:$3,0))</f>
        <v/>
      </c>
    </row>
    <row r="92">
      <c r="A92" s="22" t="inlineStr">
        <is>
          <t>Total Equity</t>
        </is>
      </c>
      <c r="G92" s="121">
        <f>G89+G91</f>
        <v/>
      </c>
      <c r="H92" s="121">
        <f>H89+H91</f>
        <v/>
      </c>
      <c r="I92" s="121">
        <f>I89+I91</f>
        <v/>
      </c>
      <c r="J92" s="121">
        <f>J89+J91</f>
        <v/>
      </c>
      <c r="K92" s="121">
        <f>K89+K91</f>
        <v/>
      </c>
      <c r="L92" s="121">
        <f>L89+L91</f>
        <v/>
      </c>
      <c r="M92" s="121">
        <f>M89+M91</f>
        <v/>
      </c>
      <c r="N92" s="121">
        <f>N89+N91</f>
        <v/>
      </c>
      <c r="O92" s="121">
        <f>O89+O91</f>
        <v/>
      </c>
      <c r="P92" s="121">
        <f>P89+P91</f>
        <v/>
      </c>
      <c r="Q92" s="121">
        <f>Q89+Q91</f>
        <v/>
      </c>
      <c r="R92" s="121">
        <f>R89+R91</f>
        <v/>
      </c>
      <c r="S92" s="121">
        <f>S89+S91</f>
        <v/>
      </c>
      <c r="T92" s="121">
        <f>T89+T91</f>
        <v/>
      </c>
      <c r="U92" s="121">
        <f>U89+U91</f>
        <v/>
      </c>
    </row>
    <row r="93" customFormat="1" s="281">
      <c r="A93" s="279" t="inlineStr">
        <is>
          <t>Error Check</t>
        </is>
      </c>
      <c r="B93" s="283" t="n"/>
      <c r="C93" s="283" t="n"/>
      <c r="D93" s="283" t="n"/>
      <c r="E93" s="283" t="n"/>
      <c r="F93" s="283" t="n"/>
      <c r="G93" s="280">
        <f>ROUND(G58-G81-G92,0)</f>
        <v/>
      </c>
      <c r="H93" s="280">
        <f>ROUND(H58-H81-H92,0)</f>
        <v/>
      </c>
      <c r="I93" s="280">
        <f>ROUND(I58-I81-I92,0)</f>
        <v/>
      </c>
      <c r="J93" s="280">
        <f>ROUND(J58-J81-J92,0)</f>
        <v/>
      </c>
      <c r="K93" s="280">
        <f>ROUND(K58-K81-K92,0)</f>
        <v/>
      </c>
      <c r="L93" s="280">
        <f>ROUND(L58-L81-L92,0)</f>
        <v/>
      </c>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row>
    <row r="94">
      <c r="A94" s="31" t="inlineStr">
        <is>
          <t>NC as % of total equity</t>
        </is>
      </c>
      <c r="G94" s="109">
        <f>G91/G92</f>
        <v/>
      </c>
      <c r="H94" s="109">
        <f>H91/H92</f>
        <v/>
      </c>
      <c r="I94" s="109">
        <f>I91/I92</f>
        <v/>
      </c>
      <c r="J94" s="109">
        <f>J91/J92</f>
        <v/>
      </c>
      <c r="K94" s="109">
        <f>K91/K92</f>
        <v/>
      </c>
      <c r="L94" s="109">
        <f>L91/L92</f>
        <v/>
      </c>
      <c r="M94" s="109">
        <f>M91/M92</f>
        <v/>
      </c>
      <c r="N94" s="109">
        <f>N91/N92</f>
        <v/>
      </c>
      <c r="O94" s="109">
        <f>O91/O92</f>
        <v/>
      </c>
      <c r="P94" s="109">
        <f>P91/P92</f>
        <v/>
      </c>
      <c r="Q94" s="109">
        <f>Q91/Q92</f>
        <v/>
      </c>
      <c r="R94" s="109">
        <f>R91/R92</f>
        <v/>
      </c>
      <c r="S94" s="109">
        <f>S91/S92</f>
        <v/>
      </c>
      <c r="T94" s="109">
        <f>T91/T92</f>
        <v/>
      </c>
      <c r="U94" s="109">
        <f>U91/U92</f>
        <v/>
      </c>
    </row>
    <row r="95">
      <c r="A95" s="31" t="n"/>
      <c r="G95" s="109" t="n"/>
      <c r="H95" s="109" t="n"/>
      <c r="I95" s="109" t="n"/>
      <c r="J95" s="109" t="n"/>
      <c r="K95" s="109" t="n"/>
      <c r="L95" s="109" t="n"/>
      <c r="M95" s="109" t="n"/>
      <c r="N95" s="109" t="n"/>
      <c r="O95" s="109" t="n"/>
      <c r="P95" s="109" t="n"/>
      <c r="Q95" s="109" t="n"/>
      <c r="R95" s="109" t="n"/>
      <c r="S95" s="109" t="n"/>
      <c r="T95" s="109" t="n"/>
      <c r="U95" s="109" t="n"/>
    </row>
    <row r="96">
      <c r="A96" s="22" t="inlineStr">
        <is>
          <t>BVPS  (Basic)</t>
        </is>
      </c>
      <c r="G96" s="381">
        <f>INDEX(FS_H!96:96,,MATCH(G$2,FS_H!$3:$3,0))</f>
        <v/>
      </c>
      <c r="H96" s="381">
        <f>INDEX(FS_H!96:96,,MATCH(H$2,FS_H!$3:$3,0))</f>
        <v/>
      </c>
      <c r="I96" s="381">
        <f>INDEX(FS_H!96:96,,MATCH(I$2,FS_H!$3:$3,0))</f>
        <v/>
      </c>
      <c r="J96" s="381">
        <f>INDEX(FS_H!96:96,,MATCH(J$2,FS_H!$3:$3,0))</f>
        <v/>
      </c>
      <c r="K96" s="381">
        <f>INDEX(FS_H!96:96,,MATCH(K$2,FS_H!$3:$3,0))</f>
        <v/>
      </c>
      <c r="L96" s="381">
        <f>INDEX(FS_H!96:96,,MATCH(L$2,FS_H!$3:$3,0))</f>
        <v/>
      </c>
      <c r="M96" s="381">
        <f>INDEX(FS_H!96:96,,MATCH(M$2,FS_H!$3:$3,0))</f>
        <v/>
      </c>
      <c r="N96" s="381">
        <f>INDEX(FS_H!96:96,,MATCH(N$2,FS_H!$3:$3,0))</f>
        <v/>
      </c>
      <c r="O96" s="381">
        <f>INDEX(FS_H!96:96,,MATCH(O$2,FS_H!$3:$3,0))</f>
        <v/>
      </c>
      <c r="P96" s="381">
        <f>INDEX(FS_H!96:96,,MATCH(P$2,FS_H!$3:$3,0))</f>
        <v/>
      </c>
      <c r="Q96" s="381">
        <f>INDEX(FS_H!96:96,,MATCH(Q$2,FS_H!$3:$3,0))</f>
        <v/>
      </c>
      <c r="R96" s="381">
        <f>INDEX(FS_H!96:96,,MATCH(R$2,FS_H!$3:$3,0))</f>
        <v/>
      </c>
      <c r="S96" s="381">
        <f>INDEX(FS_H!96:96,,MATCH(S$2,FS_H!$3:$3,0))</f>
        <v/>
      </c>
      <c r="T96" s="381">
        <f>INDEX(FS_H!96:96,,MATCH(T$2,FS_H!$3:$3,0))</f>
        <v/>
      </c>
      <c r="U96" s="381">
        <f>INDEX(FS_H!96:96,,MATCH(U$2,FS_H!$3:$3,0))</f>
        <v/>
      </c>
    </row>
    <row r="97">
      <c r="A97" s="22" t="inlineStr">
        <is>
          <t>BVPS  (Diluted)</t>
        </is>
      </c>
      <c r="G97" s="381">
        <f>INDEX(FS_H!97:97,,MATCH(G$2,FS_H!$3:$3,0))</f>
        <v/>
      </c>
      <c r="H97" s="381">
        <f>INDEX(FS_H!97:97,,MATCH(H$2,FS_H!$3:$3,0))</f>
        <v/>
      </c>
      <c r="I97" s="381">
        <f>INDEX(FS_H!97:97,,MATCH(I$2,FS_H!$3:$3,0))</f>
        <v/>
      </c>
      <c r="J97" s="381">
        <f>INDEX(FS_H!97:97,,MATCH(J$2,FS_H!$3:$3,0))</f>
        <v/>
      </c>
      <c r="K97" s="381">
        <f>INDEX(FS_H!97:97,,MATCH(K$2,FS_H!$3:$3,0))</f>
        <v/>
      </c>
      <c r="L97" s="381">
        <f>INDEX(FS_H!97:97,,MATCH(L$2,FS_H!$3:$3,0))</f>
        <v/>
      </c>
      <c r="M97" s="381">
        <f>INDEX(FS_H!97:97,,MATCH(M$2,FS_H!$3:$3,0))</f>
        <v/>
      </c>
      <c r="N97" s="381">
        <f>INDEX(FS_H!97:97,,MATCH(N$2,FS_H!$3:$3,0))</f>
        <v/>
      </c>
      <c r="O97" s="381">
        <f>INDEX(FS_H!97:97,,MATCH(O$2,FS_H!$3:$3,0))</f>
        <v/>
      </c>
      <c r="P97" s="381">
        <f>INDEX(FS_H!97:97,,MATCH(P$2,FS_H!$3:$3,0))</f>
        <v/>
      </c>
      <c r="Q97" s="381">
        <f>INDEX(FS_H!97:97,,MATCH(Q$2,FS_H!$3:$3,0))</f>
        <v/>
      </c>
      <c r="R97" s="381">
        <f>INDEX(FS_H!97:97,,MATCH(R$2,FS_H!$3:$3,0))</f>
        <v/>
      </c>
      <c r="S97" s="381">
        <f>INDEX(FS_H!97:97,,MATCH(S$2,FS_H!$3:$3,0))</f>
        <v/>
      </c>
      <c r="T97" s="381">
        <f>INDEX(FS_H!97:97,,MATCH(T$2,FS_H!$3:$3,0))</f>
        <v/>
      </c>
      <c r="U97" s="381">
        <f>INDEX(FS_H!97:97,,MATCH(U$2,FS_H!$3:$3,0))</f>
        <v/>
      </c>
    </row>
    <row r="98">
      <c r="A98" s="22" t="n"/>
      <c r="I98" s="128" t="n"/>
      <c r="J98" s="128" t="n"/>
      <c r="K98" s="128" t="n"/>
      <c r="L98" s="128" t="n"/>
      <c r="M98" s="128" t="n"/>
      <c r="N98" s="128" t="n"/>
      <c r="O98" s="128" t="n"/>
      <c r="P98" s="881" t="n"/>
      <c r="Q98" s="881" t="n"/>
      <c r="R98" s="881" t="n"/>
      <c r="S98" s="881" t="n"/>
      <c r="T98" s="881" t="n"/>
      <c r="U98" s="881" t="n"/>
    </row>
    <row r="99">
      <c r="A99" s="81" t="inlineStr">
        <is>
          <t>CONSOLIDATED CASH FLOW STATEMENT (RMB Million)</t>
        </is>
      </c>
      <c r="I99" s="128" t="n"/>
      <c r="J99" s="128" t="n"/>
      <c r="K99" s="128" t="n"/>
      <c r="L99" s="128" t="n"/>
      <c r="M99" s="128" t="n"/>
      <c r="N99" s="128" t="n"/>
      <c r="O99" s="128" t="n"/>
      <c r="P99" s="128" t="n"/>
      <c r="Q99" s="128" t="n"/>
      <c r="R99" s="128" t="n"/>
      <c r="S99" s="31" t="n"/>
      <c r="T99" s="128" t="n"/>
      <c r="U99" s="31" t="n"/>
    </row>
    <row r="100">
      <c r="I100" s="128" t="n"/>
      <c r="J100" s="128" t="n"/>
      <c r="K100" s="128" t="n"/>
      <c r="L100" s="128" t="n"/>
      <c r="M100" s="128" t="n"/>
      <c r="N100" s="128" t="n"/>
      <c r="O100" s="128" t="n"/>
      <c r="P100" s="128" t="n"/>
      <c r="Q100" s="128" t="n"/>
      <c r="R100" s="128" t="n"/>
      <c r="S100" s="140" t="n"/>
      <c r="T100" s="128" t="n"/>
      <c r="U100" s="140" t="n"/>
    </row>
    <row r="101">
      <c r="A101" s="22" t="inlineStr">
        <is>
          <t>Operating activities</t>
        </is>
      </c>
      <c r="I101" s="128" t="n"/>
      <c r="J101" s="128" t="n"/>
      <c r="K101" s="128" t="n"/>
      <c r="L101" s="128" t="n"/>
      <c r="M101" s="128" t="n"/>
      <c r="N101" s="128" t="n"/>
      <c r="O101" s="128" t="n"/>
      <c r="P101" s="128" t="n"/>
      <c r="Q101" s="128" t="n"/>
      <c r="R101" s="128" t="n"/>
      <c r="S101" s="31" t="n"/>
      <c r="T101" s="128" t="n"/>
      <c r="U101" s="31" t="n"/>
    </row>
    <row r="102">
      <c r="A102" s="105" t="inlineStr">
        <is>
          <t>Profit before taxation</t>
        </is>
      </c>
      <c r="G102" s="86">
        <f>G22</f>
        <v/>
      </c>
      <c r="H102" s="86">
        <f>H22</f>
        <v/>
      </c>
      <c r="I102" s="86">
        <f>I22</f>
        <v/>
      </c>
      <c r="J102" s="86">
        <f>J22</f>
        <v/>
      </c>
      <c r="K102" s="86">
        <f>K22</f>
        <v/>
      </c>
      <c r="L102" s="86">
        <f>L22</f>
        <v/>
      </c>
      <c r="M102" s="86">
        <f>M22</f>
        <v/>
      </c>
      <c r="N102" s="86">
        <f>N22</f>
        <v/>
      </c>
      <c r="O102" s="86">
        <f>O22</f>
        <v/>
      </c>
      <c r="P102" s="86">
        <f>P22</f>
        <v/>
      </c>
      <c r="Q102" s="86">
        <f>Q22</f>
        <v/>
      </c>
      <c r="R102" s="86">
        <f>R22</f>
        <v/>
      </c>
      <c r="S102" s="86">
        <f>S22</f>
        <v/>
      </c>
      <c r="T102" s="86">
        <f>T22</f>
        <v/>
      </c>
      <c r="U102" s="86">
        <f>U22</f>
        <v/>
      </c>
    </row>
    <row r="103">
      <c r="A103" t="inlineStr">
        <is>
          <t>Adjustments for:</t>
        </is>
      </c>
      <c r="G103" s="31" t="n"/>
      <c r="H103" s="31" t="n"/>
      <c r="I103" s="31" t="n"/>
      <c r="J103" s="31" t="n"/>
      <c r="K103" s="31" t="n"/>
      <c r="L103" s="31" t="n"/>
      <c r="M103" s="31" t="n"/>
      <c r="N103" s="31" t="n"/>
      <c r="O103" s="31" t="n"/>
      <c r="P103" s="31" t="n"/>
      <c r="Q103" s="31" t="n"/>
      <c r="R103" s="31" t="n"/>
      <c r="S103" s="31" t="n"/>
      <c r="T103" s="31" t="n"/>
      <c r="U103" s="31" t="n"/>
    </row>
    <row r="104">
      <c r="A104" s="74" t="inlineStr">
        <is>
          <t>Depreciation for property, plant and equipment</t>
        </is>
      </c>
      <c r="G104" s="141">
        <f>SUMIF(FS_H!$1:$1,G$1,FS_H!104:104)</f>
        <v/>
      </c>
      <c r="H104" s="141">
        <f>SUMIF(FS_H!$1:$1,H$1,FS_H!104:104)</f>
        <v/>
      </c>
      <c r="I104" s="141">
        <f>SUMIF(FS_H!$1:$1,I$1,FS_H!104:104)</f>
        <v/>
      </c>
      <c r="J104" s="141">
        <f>SUMIF(FS_H!$1:$1,J$1,FS_H!104:104)</f>
        <v/>
      </c>
      <c r="K104" s="141">
        <f>SUMIF(FS_H!$1:$1,K$1,FS_H!104:104)</f>
        <v/>
      </c>
      <c r="L104" s="141">
        <f>SUMIF(FS_H!$1:$1,L$1,FS_H!104:104)</f>
        <v/>
      </c>
      <c r="M104" s="141">
        <f>SUMIF(FS_H!$1:$1,M$1,FS_H!104:104)</f>
        <v/>
      </c>
      <c r="N104" s="141">
        <f>SUMIF(FS_H!$1:$1,N$1,FS_H!104:104)</f>
        <v/>
      </c>
      <c r="O104" s="141">
        <f>SUMIF(FS_H!$1:$1,O$1,FS_H!104:104)</f>
        <v/>
      </c>
      <c r="P104" s="141">
        <f>SUMIF(FS_H!$1:$1,P$1,FS_H!104:104)</f>
        <v/>
      </c>
      <c r="Q104" s="141">
        <f>SUMIF(FS_H!$1:$1,Q$1,FS_H!104:104)</f>
        <v/>
      </c>
      <c r="R104" s="141">
        <f>SUMIF(FS_H!$1:$1,R$1,FS_H!104:104)</f>
        <v/>
      </c>
      <c r="S104" s="141">
        <f>SUMIF(FS_H!$1:$1,S$1,FS_H!104:104)</f>
        <v/>
      </c>
      <c r="T104" s="141">
        <f>SUMIF(FS_H!$1:$1,T$1,FS_H!104:104)</f>
        <v/>
      </c>
      <c r="U104" s="141">
        <f>SUMIF(FS_H!$1:$1,U$1,FS_H!104:104)</f>
        <v/>
      </c>
    </row>
    <row r="105">
      <c r="A105" s="74" t="inlineStr">
        <is>
          <t>Amortization</t>
        </is>
      </c>
      <c r="G105" s="141">
        <f>SUMIF(FS_H!$1:$1,G$1,FS_H!105:105)</f>
        <v/>
      </c>
      <c r="H105" s="141">
        <f>SUMIF(FS_H!$1:$1,H$1,FS_H!105:105)</f>
        <v/>
      </c>
      <c r="I105" s="141">
        <f>SUMIF(FS_H!$1:$1,I$1,FS_H!105:105)</f>
        <v/>
      </c>
      <c r="J105" s="141">
        <f>SUMIF(FS_H!$1:$1,J$1,FS_H!105:105)</f>
        <v/>
      </c>
      <c r="K105" s="141">
        <f>SUMIF(FS_H!$1:$1,K$1,FS_H!105:105)</f>
        <v/>
      </c>
      <c r="L105" s="141">
        <f>SUMIF(FS_H!$1:$1,L$1,FS_H!105:105)</f>
        <v/>
      </c>
      <c r="M105" s="141">
        <f>SUMIF(FS_H!$1:$1,M$1,FS_H!105:105)</f>
        <v/>
      </c>
      <c r="N105" s="141">
        <f>SUMIF(FS_H!$1:$1,N$1,FS_H!105:105)</f>
        <v/>
      </c>
      <c r="O105" s="141">
        <f>SUMIF(FS_H!$1:$1,O$1,FS_H!105:105)</f>
        <v/>
      </c>
      <c r="P105" s="141">
        <f>SUMIF(FS_H!$1:$1,P$1,FS_H!105:105)</f>
        <v/>
      </c>
      <c r="Q105" s="141">
        <f>SUMIF(FS_H!$1:$1,Q$1,FS_H!105:105)</f>
        <v/>
      </c>
      <c r="R105" s="141">
        <f>SUMIF(FS_H!$1:$1,R$1,FS_H!105:105)</f>
        <v/>
      </c>
      <c r="S105" s="141">
        <f>SUMIF(FS_H!$1:$1,S$1,FS_H!105:105)</f>
        <v/>
      </c>
      <c r="T105" s="141">
        <f>SUMIF(FS_H!$1:$1,T$1,FS_H!105:105)</f>
        <v/>
      </c>
      <c r="U105" s="141">
        <f>SUMIF(FS_H!$1:$1,U$1,FS_H!105:105)</f>
        <v/>
      </c>
    </row>
    <row r="106">
      <c r="A106" s="74" t="inlineStr">
        <is>
          <t>Interest Expense</t>
        </is>
      </c>
      <c r="G106" s="152">
        <f>-G20-G19</f>
        <v/>
      </c>
      <c r="H106" s="152">
        <f>-H20-H19</f>
        <v/>
      </c>
      <c r="I106" s="152">
        <f>-I20-I19</f>
        <v/>
      </c>
      <c r="J106" s="152">
        <f>-J20-J19</f>
        <v/>
      </c>
      <c r="K106" s="152">
        <f>-K20-K19</f>
        <v/>
      </c>
      <c r="L106" s="152">
        <f>-L20-L19</f>
        <v/>
      </c>
      <c r="M106" s="152">
        <f>-M20-M19</f>
        <v/>
      </c>
      <c r="N106" s="152">
        <f>-N20-N19</f>
        <v/>
      </c>
      <c r="O106" s="152">
        <f>-O20-O19</f>
        <v/>
      </c>
      <c r="P106" s="152">
        <f>-P20-P19</f>
        <v/>
      </c>
      <c r="Q106" s="152">
        <f>-Q20-Q19</f>
        <v/>
      </c>
      <c r="R106" s="152">
        <f>-R20-R19</f>
        <v/>
      </c>
      <c r="S106" s="152">
        <f>-S20-S19</f>
        <v/>
      </c>
      <c r="T106" s="152">
        <f>-T20-T19</f>
        <v/>
      </c>
      <c r="U106" s="152">
        <f>-U20-U19</f>
        <v/>
      </c>
    </row>
    <row r="107">
      <c r="A107" s="74" t="inlineStr">
        <is>
          <t>Other Income</t>
        </is>
      </c>
      <c r="G107" s="86">
        <f>-G16</f>
        <v/>
      </c>
      <c r="H107" s="86">
        <f>-H16</f>
        <v/>
      </c>
      <c r="I107" s="86">
        <f>-I16</f>
        <v/>
      </c>
      <c r="J107" s="86">
        <f>-J16</f>
        <v/>
      </c>
      <c r="K107" s="86">
        <f>-K16</f>
        <v/>
      </c>
      <c r="L107" s="86">
        <f>-L16</f>
        <v/>
      </c>
      <c r="M107" s="86">
        <f>-M16</f>
        <v/>
      </c>
      <c r="N107" s="86">
        <f>-N16</f>
        <v/>
      </c>
      <c r="O107" s="86">
        <f>-O16</f>
        <v/>
      </c>
      <c r="P107" s="86">
        <f>-P16</f>
        <v/>
      </c>
      <c r="Q107" s="86">
        <f>-Q16</f>
        <v/>
      </c>
      <c r="R107" s="86">
        <f>-R16</f>
        <v/>
      </c>
      <c r="S107" s="86">
        <f>-S16</f>
        <v/>
      </c>
      <c r="T107" s="86">
        <f>-T16</f>
        <v/>
      </c>
      <c r="U107" s="86">
        <f>-U16</f>
        <v/>
      </c>
    </row>
    <row r="108">
      <c r="A108" s="74">
        <f>+A21</f>
        <v/>
      </c>
      <c r="G108" s="86">
        <f>-G21</f>
        <v/>
      </c>
      <c r="H108" s="86">
        <f>-H21</f>
        <v/>
      </c>
      <c r="I108" s="86">
        <f>-I21</f>
        <v/>
      </c>
      <c r="J108" s="86">
        <f>-J21</f>
        <v/>
      </c>
      <c r="K108" s="86">
        <f>-K21</f>
        <v/>
      </c>
      <c r="L108" s="86">
        <f>-L21</f>
        <v/>
      </c>
      <c r="M108" s="86">
        <f>-M21</f>
        <v/>
      </c>
      <c r="N108" s="86">
        <f>-N21</f>
        <v/>
      </c>
      <c r="O108" s="86">
        <f>-O21</f>
        <v/>
      </c>
      <c r="P108" s="86">
        <f>-P21</f>
        <v/>
      </c>
      <c r="Q108" s="86">
        <f>-Q21</f>
        <v/>
      </c>
      <c r="R108" s="86">
        <f>-R21</f>
        <v/>
      </c>
      <c r="S108" s="86">
        <f>-S21</f>
        <v/>
      </c>
      <c r="T108" s="86">
        <f>-T21</f>
        <v/>
      </c>
      <c r="U108" s="86">
        <f>-U21</f>
        <v/>
      </c>
    </row>
    <row r="109">
      <c r="A109" s="74" t="inlineStr">
        <is>
          <t>Decrease in loans receivable</t>
        </is>
      </c>
      <c r="G109" s="86">
        <f>-(G40+G53-F40-F53)</f>
        <v/>
      </c>
      <c r="H109" s="86">
        <f>-(H40+H53-G40-G53)</f>
        <v/>
      </c>
      <c r="I109" s="86">
        <f>-(I40+I53-H40-H53)</f>
        <v/>
      </c>
      <c r="J109" s="86">
        <f>-(J40+J53-I40-I53)</f>
        <v/>
      </c>
      <c r="K109" s="86">
        <f>-(K40+K53-J40-J53)</f>
        <v/>
      </c>
      <c r="L109" s="86">
        <f>-(L40+L53-K40-K53)</f>
        <v/>
      </c>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row>
    <row r="110">
      <c r="A110" s="105" t="inlineStr">
        <is>
          <t>Operating cash flows before movements in working capital</t>
        </is>
      </c>
      <c r="G110" s="86">
        <f>SUM(G102,G104:G109)</f>
        <v/>
      </c>
      <c r="H110" s="86">
        <f>SUM(H102,H104:H109)</f>
        <v/>
      </c>
      <c r="I110" s="86">
        <f>SUM(I102,I104:I109)</f>
        <v/>
      </c>
      <c r="J110" s="86">
        <f>SUM(J102,J104:J109)</f>
        <v/>
      </c>
      <c r="K110" s="86">
        <f>SUM(K102,K104:K109)</f>
        <v/>
      </c>
      <c r="L110" s="86">
        <f>SUM(L102,L104:L109)</f>
        <v/>
      </c>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row>
    <row r="111">
      <c r="A111" s="74" t="inlineStr">
        <is>
          <t>Decrease in inventories</t>
        </is>
      </c>
      <c r="G111" s="86">
        <f>-(G42-F42)</f>
        <v/>
      </c>
      <c r="H111" s="86">
        <f>-(H42-G42)</f>
        <v/>
      </c>
      <c r="I111" s="86">
        <f>-(I42-H42)</f>
        <v/>
      </c>
      <c r="J111" s="86">
        <f>-(J42-I42)</f>
        <v/>
      </c>
      <c r="K111" s="86">
        <f>-(K42-J42)</f>
        <v/>
      </c>
      <c r="L111" s="86">
        <f>-(L42-K42)</f>
        <v/>
      </c>
      <c r="M111" s="86">
        <f>-(M42-L42)</f>
        <v/>
      </c>
      <c r="N111" s="86">
        <f>-(N42-M42)</f>
        <v/>
      </c>
      <c r="O111" s="86">
        <f>-(O42-N42)</f>
        <v/>
      </c>
      <c r="P111" s="86">
        <f>-(P42-O42)</f>
        <v/>
      </c>
      <c r="Q111" s="86">
        <f>-(Q42-P42)</f>
        <v/>
      </c>
      <c r="R111" s="86">
        <f>-(R42-Q42)</f>
        <v/>
      </c>
      <c r="S111" s="86">
        <f>-(S42-R42)</f>
        <v/>
      </c>
      <c r="T111" s="86">
        <f>-(T42-S42)</f>
        <v/>
      </c>
      <c r="U111" s="86">
        <f>-(U42-T42)</f>
        <v/>
      </c>
    </row>
    <row r="112">
      <c r="A112" s="74" t="inlineStr">
        <is>
          <t>Decrease in receivables</t>
        </is>
      </c>
      <c r="G112" s="86">
        <f>-(SUM(G39,G41)-SUM(F39,F41))</f>
        <v/>
      </c>
      <c r="H112" s="86">
        <f>-(SUM(H39,H41)-SUM(G39,G41))</f>
        <v/>
      </c>
      <c r="I112" s="86">
        <f>-(SUM(I39,I41)-SUM(H39,H41))</f>
        <v/>
      </c>
      <c r="J112" s="86">
        <f>-(SUM(J39,J41)-SUM(I39,I41))</f>
        <v/>
      </c>
      <c r="K112" s="86">
        <f>-(SUM(K39,K41)-SUM(J39,J41))</f>
        <v/>
      </c>
      <c r="L112" s="86">
        <f>-(SUM(L39,L41)-SUM(K39,K41))</f>
        <v/>
      </c>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row>
    <row r="113">
      <c r="A113" s="74" t="inlineStr">
        <is>
          <t>Decrease in construction contracts</t>
        </is>
      </c>
      <c r="G113" s="86">
        <f>-(G43-F43)</f>
        <v/>
      </c>
      <c r="H113" s="86">
        <f>-(H43-G43)</f>
        <v/>
      </c>
      <c r="I113" s="86">
        <f>-(I43-H43)</f>
        <v/>
      </c>
      <c r="J113" s="86">
        <f>-(J43-I43)</f>
        <v/>
      </c>
      <c r="K113" s="86">
        <f>-(K43-J43)</f>
        <v/>
      </c>
      <c r="L113" s="86">
        <f>-(L43-K43)</f>
        <v/>
      </c>
      <c r="M113" s="86">
        <f>-(M43-L43)</f>
        <v/>
      </c>
      <c r="N113" s="86">
        <f>-(N43-M43)</f>
        <v/>
      </c>
      <c r="O113" s="86">
        <f>-(O43-N43)</f>
        <v/>
      </c>
      <c r="P113" s="86">
        <f>-(P43-O43)</f>
        <v/>
      </c>
      <c r="Q113" s="86">
        <f>-(Q43-P43)</f>
        <v/>
      </c>
      <c r="R113" s="86">
        <f>-(R43-Q43)</f>
        <v/>
      </c>
      <c r="S113" s="86">
        <f>-(S43-R43)</f>
        <v/>
      </c>
      <c r="T113" s="86">
        <f>-(T43-S43)</f>
        <v/>
      </c>
      <c r="U113" s="86">
        <f>-(U43-T43)</f>
        <v/>
      </c>
    </row>
    <row r="114">
      <c r="A114" s="74" t="inlineStr">
        <is>
          <t>Increase in payables</t>
        </is>
      </c>
      <c r="G114" s="86">
        <f>(G61-F61)+(G62-F62)</f>
        <v/>
      </c>
      <c r="H114" s="86">
        <f>(H61-G61)+(H62-G62)</f>
        <v/>
      </c>
      <c r="I114" s="86">
        <f>(I61-H61)+(I62-H62)</f>
        <v/>
      </c>
      <c r="J114" s="86">
        <f>(J61-I61)+(J62-I62)</f>
        <v/>
      </c>
      <c r="K114" s="86">
        <f>(K61-J61)+(K62-J62)</f>
        <v/>
      </c>
      <c r="L114" s="86">
        <f>(L61-K61)+(L62-K62)</f>
        <v/>
      </c>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row>
    <row r="115">
      <c r="A115" s="74" t="inlineStr">
        <is>
          <t>Increase in Provision</t>
        </is>
      </c>
      <c r="G115" s="86">
        <f>(G76-F76)+(G64-F64)</f>
        <v/>
      </c>
      <c r="H115" s="86">
        <f>(H76-G76)+(H64-G64)</f>
        <v/>
      </c>
      <c r="I115" s="86">
        <f>(I76-H76)+(I64-H64)</f>
        <v/>
      </c>
      <c r="J115" s="86">
        <f>(J76-I76)+(J64-I64)</f>
        <v/>
      </c>
      <c r="K115" s="86">
        <f>(K76-J76)+(K64-J64)</f>
        <v/>
      </c>
      <c r="L115" s="86">
        <f>(L76-K76)+(L64-K64)</f>
        <v/>
      </c>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row>
    <row r="116">
      <c r="A116" t="inlineStr">
        <is>
          <t>Cash generated from operations</t>
        </is>
      </c>
      <c r="G116" s="86">
        <f>SUM(G110,G111:G115)</f>
        <v/>
      </c>
      <c r="H116" s="86">
        <f>SUM(H110,H111:H115)</f>
        <v/>
      </c>
      <c r="I116" s="86">
        <f>SUM(I110,I111:I115)</f>
        <v/>
      </c>
      <c r="J116" s="86">
        <f>SUM(J110,J111:J115)</f>
        <v/>
      </c>
      <c r="K116" s="86">
        <f>SUM(K110,K111:K115)</f>
        <v/>
      </c>
      <c r="L116" s="86">
        <f>SUM(L110,L111:L115)</f>
        <v/>
      </c>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row>
    <row r="117">
      <c r="A117" s="74" t="inlineStr">
        <is>
          <t>Income tax paid</t>
        </is>
      </c>
      <c r="G117" s="86">
        <f>(G77-F77)+(G65-F65)-(G54-F54)+G23</f>
        <v/>
      </c>
      <c r="H117" s="86">
        <f>(H77-G77)+(H65-G65)-(H54-G54)+H23</f>
        <v/>
      </c>
      <c r="I117" s="86">
        <f>(I77-H77)+(I65-H65)-(I54-H54)+I23</f>
        <v/>
      </c>
      <c r="J117" s="86">
        <f>(J77-I77)+(J65-I65)-(J54-I54)+J23</f>
        <v/>
      </c>
      <c r="K117" s="86">
        <f>(K77-J77)+(K65-J65)-(K54-J54)+K23</f>
        <v/>
      </c>
      <c r="L117" s="86">
        <f>(L77-K77)+(L65-K65)-(L54-K54)+L23</f>
        <v/>
      </c>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row>
    <row r="118">
      <c r="A118" t="inlineStr">
        <is>
          <t>Adjustments for historical</t>
        </is>
      </c>
      <c r="G118" s="143">
        <f>G119-(G116+G117)</f>
        <v/>
      </c>
      <c r="H118" s="143">
        <f>H119-(H116+H117)</f>
        <v/>
      </c>
      <c r="I118" s="143">
        <f>I119-(I116+I117)</f>
        <v/>
      </c>
      <c r="J118" s="143">
        <f>J119-(J116+J117)</f>
        <v/>
      </c>
      <c r="K118" s="143">
        <f>K119-(K116+K117)</f>
        <v/>
      </c>
      <c r="L118" s="143">
        <f>L119-(L116+L117)</f>
        <v/>
      </c>
      <c r="M118" s="143">
        <f>M119-(M116+M117)</f>
        <v/>
      </c>
      <c r="N118" s="143">
        <f>N119-(N116+N117)</f>
        <v/>
      </c>
      <c r="O118" s="143">
        <f>O119-(O116+O117)</f>
        <v/>
      </c>
      <c r="P118" s="143">
        <f>P119-(P116+P117)</f>
        <v/>
      </c>
      <c r="Q118" s="143">
        <f>Q119-(Q116+Q117)</f>
        <v/>
      </c>
      <c r="R118" s="143">
        <f>R119-(R116+R117)</f>
        <v/>
      </c>
      <c r="S118" s="143">
        <f>S119-(S116+S117)</f>
        <v/>
      </c>
      <c r="T118" s="143">
        <f>T119-(T116+T117)</f>
        <v/>
      </c>
      <c r="U118" s="143">
        <f>U119-(U116+U117)</f>
        <v/>
      </c>
    </row>
    <row r="119">
      <c r="A119" s="22" t="inlineStr">
        <is>
          <t>Net Cash flows from operating activities</t>
        </is>
      </c>
      <c r="G119" s="121">
        <f>SUMIF(FS_H!$1:$1,G$1,FS_H!119:119)</f>
        <v/>
      </c>
      <c r="H119" s="121">
        <f>SUMIF(FS_H!$1:$1,H$1,FS_H!119:119)</f>
        <v/>
      </c>
      <c r="I119" s="121">
        <f>SUMIF(FS_H!$1:$1,I$1,FS_H!119:119)</f>
        <v/>
      </c>
      <c r="J119" s="121">
        <f>SUMIF(FS_H!$1:$1,J$1,FS_H!119:119)</f>
        <v/>
      </c>
      <c r="K119" s="121">
        <f>SUMIF(FS_H!$1:$1,K$1,FS_H!119:119)</f>
        <v/>
      </c>
      <c r="L119" s="121">
        <f>SUMIF(FS_H!$1:$1,L$1,FS_H!119:119)</f>
        <v/>
      </c>
      <c r="M119" s="121">
        <f>SUMIF(FS_H!$1:$1,M$1,FS_H!119:119)</f>
        <v/>
      </c>
      <c r="N119" s="121">
        <f>SUMIF(FS_H!$1:$1,N$1,FS_H!119:119)</f>
        <v/>
      </c>
      <c r="O119" s="121">
        <f>SUMIF(FS_H!$1:$1,O$1,FS_H!119:119)</f>
        <v/>
      </c>
      <c r="P119" s="121">
        <f>SUMIF(FS_H!$1:$1,P$1,FS_H!119:119)</f>
        <v/>
      </c>
      <c r="Q119" s="121">
        <f>SUMIF(FS_H!$1:$1,Q$1,FS_H!119:119)</f>
        <v/>
      </c>
      <c r="R119" s="121">
        <f>SUMIF(FS_H!$1:$1,R$1,FS_H!119:119)</f>
        <v/>
      </c>
      <c r="S119" s="121">
        <f>SUMIF(FS_H!$1:$1,S$1,FS_H!119:119)</f>
        <v/>
      </c>
      <c r="T119" s="121">
        <f>SUMIF(FS_H!$1:$1,T$1,FS_H!119:119)</f>
        <v/>
      </c>
      <c r="U119" s="121">
        <f>SUMIF(FS_H!$1:$1,U$1,FS_H!119:119)</f>
        <v/>
      </c>
    </row>
    <row r="120">
      <c r="G120" s="31" t="n"/>
      <c r="H120" s="31" t="n"/>
      <c r="I120" s="31" t="n"/>
      <c r="J120" s="31" t="n"/>
      <c r="K120" s="31" t="n"/>
      <c r="L120" s="31" t="n"/>
      <c r="M120" s="31" t="n"/>
      <c r="N120" s="31" t="n"/>
      <c r="O120" s="31" t="n"/>
      <c r="P120" s="31" t="n"/>
      <c r="Q120" s="31" t="n"/>
      <c r="R120" s="31" t="n"/>
      <c r="S120" s="31" t="n"/>
      <c r="T120" s="31" t="n"/>
      <c r="U120" s="31" t="n"/>
    </row>
    <row r="121">
      <c r="A121" s="77" t="inlineStr">
        <is>
          <t>Cash flows from investing activities</t>
        </is>
      </c>
      <c r="G121" s="31" t="n"/>
      <c r="H121" s="31" t="n"/>
      <c r="I121" s="31" t="n"/>
      <c r="J121" s="31" t="n"/>
      <c r="K121" s="31" t="n"/>
      <c r="L121" s="31" t="n"/>
      <c r="M121" s="31" t="n"/>
      <c r="N121" s="31" t="n"/>
      <c r="O121" s="31" t="n"/>
      <c r="P121" s="31" t="n"/>
      <c r="Q121" s="31" t="n"/>
      <c r="R121" s="31" t="n"/>
      <c r="S121" s="31" t="n"/>
      <c r="T121" s="31" t="n"/>
      <c r="U121" s="31" t="n"/>
    </row>
    <row r="122">
      <c r="A122" s="74" t="inlineStr">
        <is>
          <t>Cash paid to acquire fixed assets</t>
        </is>
      </c>
      <c r="G122" s="141">
        <f>SUMIF(FS_H!$1:$1,G$1,FS_H!122:122)</f>
        <v/>
      </c>
      <c r="H122" s="141">
        <f>SUMIF(FS_H!$1:$1,H$1,FS_H!122:122)</f>
        <v/>
      </c>
      <c r="I122" s="141">
        <f>SUMIF(FS_H!$1:$1,I$1,FS_H!122:122)</f>
        <v/>
      </c>
      <c r="J122" s="141">
        <f>SUMIF(FS_H!$1:$1,J$1,FS_H!122:122)</f>
        <v/>
      </c>
      <c r="K122" s="141">
        <f>SUMIF(FS_H!$1:$1,K$1,FS_H!122:122)</f>
        <v/>
      </c>
      <c r="L122" s="141">
        <f>SUMIF(FS_H!$1:$1,L$1,FS_H!122:122)</f>
        <v/>
      </c>
      <c r="M122" s="141">
        <f>SUMIF(FS_H!$1:$1,M$1,FS_H!122:122)</f>
        <v/>
      </c>
      <c r="N122" s="141">
        <f>SUMIF(FS_H!$1:$1,N$1,FS_H!122:122)</f>
        <v/>
      </c>
      <c r="O122" s="141">
        <f>SUMIF(FS_H!$1:$1,O$1,FS_H!122:122)</f>
        <v/>
      </c>
      <c r="P122" s="141">
        <f>SUMIF(FS_H!$1:$1,P$1,FS_H!122:122)</f>
        <v/>
      </c>
      <c r="Q122" s="141">
        <f>SUMIF(FS_H!$1:$1,Q$1,FS_H!122:122)</f>
        <v/>
      </c>
      <c r="R122" s="141">
        <f>SUMIF(FS_H!$1:$1,R$1,FS_H!122:122)</f>
        <v/>
      </c>
      <c r="S122" s="141">
        <f>SUMIF(FS_H!$1:$1,S$1,FS_H!122:122)</f>
        <v/>
      </c>
      <c r="T122" s="141">
        <f>SUMIF(FS_H!$1:$1,T$1,FS_H!122:122)</f>
        <v/>
      </c>
      <c r="U122" s="141">
        <f>SUMIF(FS_H!$1:$1,U$1,FS_H!122:122)</f>
        <v/>
      </c>
    </row>
    <row r="123">
      <c r="A123" s="74" t="inlineStr">
        <is>
          <t>Cash paid to acquire intangible assets</t>
        </is>
      </c>
      <c r="G123" s="141">
        <f>SUMIF(FS_H!$1:$1,G$1,FS_H!123:123)</f>
        <v/>
      </c>
      <c r="H123" s="141">
        <f>SUMIF(FS_H!$1:$1,H$1,FS_H!123:123)</f>
        <v/>
      </c>
      <c r="I123" s="141">
        <f>SUMIF(FS_H!$1:$1,I$1,FS_H!123:123)</f>
        <v/>
      </c>
      <c r="J123" s="141">
        <f>SUMIF(FS_H!$1:$1,J$1,FS_H!123:123)</f>
        <v/>
      </c>
      <c r="K123" s="141">
        <f>SUMIF(FS_H!$1:$1,K$1,FS_H!123:123)</f>
        <v/>
      </c>
      <c r="L123" s="141">
        <f>SUMIF(FS_H!$1:$1,L$1,FS_H!123:123)</f>
        <v/>
      </c>
      <c r="M123" s="141">
        <f>SUMIF(FS_H!$1:$1,M$1,FS_H!123:123)</f>
        <v/>
      </c>
      <c r="N123" s="141">
        <f>SUMIF(FS_H!$1:$1,N$1,FS_H!123:123)</f>
        <v/>
      </c>
      <c r="O123" s="141">
        <f>SUMIF(FS_H!$1:$1,O$1,FS_H!123:123)</f>
        <v/>
      </c>
      <c r="P123" s="141">
        <f>SUMIF(FS_H!$1:$1,P$1,FS_H!123:123)</f>
        <v/>
      </c>
      <c r="Q123" s="141">
        <f>SUMIF(FS_H!$1:$1,Q$1,FS_H!123:123)</f>
        <v/>
      </c>
      <c r="R123" s="141">
        <f>SUMIF(FS_H!$1:$1,R$1,FS_H!123:123)</f>
        <v/>
      </c>
      <c r="S123" s="141">
        <f>SUMIF(FS_H!$1:$1,S$1,FS_H!123:123)</f>
        <v/>
      </c>
      <c r="T123" s="141">
        <f>SUMIF(FS_H!$1:$1,T$1,FS_H!123:123)</f>
        <v/>
      </c>
      <c r="U123" s="141">
        <f>SUMIF(FS_H!$1:$1,U$1,FS_H!123:123)</f>
        <v/>
      </c>
    </row>
    <row r="124">
      <c r="A124" s="74" t="inlineStr">
        <is>
          <t>Changes in prepaid land lease payments</t>
        </is>
      </c>
      <c r="G124" s="152">
        <f>-(G49-F49)</f>
        <v/>
      </c>
      <c r="H124" s="152">
        <f>-(H49-G49)</f>
        <v/>
      </c>
      <c r="I124" s="152">
        <f>-(I49-H49)</f>
        <v/>
      </c>
      <c r="J124" s="152">
        <f>-(J49-I49)</f>
        <v/>
      </c>
      <c r="K124" s="152">
        <f>-(K49-J49)</f>
        <v/>
      </c>
      <c r="L124" s="152">
        <f>-(L49-K49)</f>
        <v/>
      </c>
      <c r="M124" s="152">
        <f>-(M49-L49)</f>
        <v/>
      </c>
      <c r="N124" s="152">
        <f>-(N49-M49)</f>
        <v/>
      </c>
      <c r="O124" s="152">
        <f>-(O49-N49)</f>
        <v/>
      </c>
      <c r="P124" s="152">
        <f>-(P49-O49)</f>
        <v/>
      </c>
      <c r="Q124" s="152">
        <f>-(Q49-P49)</f>
        <v/>
      </c>
      <c r="R124" s="152">
        <f>-(R49-Q49)</f>
        <v/>
      </c>
      <c r="S124" s="152">
        <f>-(S49-R49)</f>
        <v/>
      </c>
      <c r="T124" s="152">
        <f>-(T49-S49)</f>
        <v/>
      </c>
      <c r="U124" s="152">
        <f>-(U49-T49)</f>
        <v/>
      </c>
    </row>
    <row r="125">
      <c r="A125" s="74" t="inlineStr">
        <is>
          <t>Increase in investments</t>
        </is>
      </c>
      <c r="G125" s="86">
        <f>-(G44-F44)+(G78-F78)-(G52-F52)-(G55-F55)+(G66-F66)</f>
        <v/>
      </c>
      <c r="H125" s="86">
        <f>-(H44-G44)+(H78-G78)-(H52-G52)-(H55-G55)+(H66-G66)</f>
        <v/>
      </c>
      <c r="I125" s="86">
        <f>-(I44-H44)+(I78-H78)-(I52-H52)-(I55-H55)+(I66-H66)</f>
        <v/>
      </c>
      <c r="J125" s="86">
        <f>-(J44-I44)+(J78-I78)-(J52-I52)-(J55-I55)+(J66-I66)</f>
        <v/>
      </c>
      <c r="K125" s="86">
        <f>-(K44-J44)+(K78-J78)-(K52-J52)-(K55-J55)+(K66-J66)</f>
        <v/>
      </c>
      <c r="L125" s="86">
        <f>-(L44-K44)+(L78-K78)-(L52-K52)-(L55-K55)+(L66-K66)</f>
        <v/>
      </c>
      <c r="M125" s="86">
        <f>-(M44-L44)+(M78-L78)-(M52-L52)-(M55-L55)+(M66-L66)</f>
        <v/>
      </c>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row>
    <row r="126">
      <c r="A126" s="74" t="inlineStr">
        <is>
          <t>Finance income / (costs)</t>
        </is>
      </c>
      <c r="G126" s="86">
        <f>-G106</f>
        <v/>
      </c>
      <c r="H126" s="86">
        <f>-H106</f>
        <v/>
      </c>
      <c r="I126" s="86">
        <f>-I106</f>
        <v/>
      </c>
      <c r="J126" s="86">
        <f>-J106</f>
        <v/>
      </c>
      <c r="K126" s="86">
        <f>-K106</f>
        <v/>
      </c>
      <c r="L126" s="86">
        <f>-L106</f>
        <v/>
      </c>
      <c r="M126" s="86">
        <f>-M106</f>
        <v/>
      </c>
      <c r="N126" s="86">
        <f>-N106</f>
        <v/>
      </c>
      <c r="O126" s="86">
        <f>-O106</f>
        <v/>
      </c>
      <c r="P126" s="86">
        <f>-P106</f>
        <v/>
      </c>
      <c r="Q126" s="86">
        <f>-Q106</f>
        <v/>
      </c>
      <c r="R126" s="86">
        <f>-R106</f>
        <v/>
      </c>
      <c r="S126" s="86">
        <f>-S106</f>
        <v/>
      </c>
      <c r="T126" s="86">
        <f>-T106</f>
        <v/>
      </c>
      <c r="U126" s="86">
        <f>-U106</f>
        <v/>
      </c>
    </row>
    <row r="127">
      <c r="A127" s="74">
        <f>+A21</f>
        <v/>
      </c>
      <c r="G127" s="86">
        <f>+G21</f>
        <v/>
      </c>
      <c r="H127" s="86">
        <f>+H21</f>
        <v/>
      </c>
      <c r="I127" s="86">
        <f>+I21</f>
        <v/>
      </c>
      <c r="J127" s="86">
        <f>+J21</f>
        <v/>
      </c>
      <c r="K127" s="86">
        <f>+K21</f>
        <v/>
      </c>
      <c r="L127" s="86">
        <f>+L21</f>
        <v/>
      </c>
      <c r="M127" s="86">
        <f>+M21</f>
        <v/>
      </c>
      <c r="N127" s="86">
        <f>+N21</f>
        <v/>
      </c>
      <c r="O127" s="86">
        <f>+O21</f>
        <v/>
      </c>
      <c r="P127" s="86">
        <f>+P21</f>
        <v/>
      </c>
      <c r="Q127" s="86">
        <f>+Q21</f>
        <v/>
      </c>
      <c r="R127" s="86">
        <f>+R21</f>
        <v/>
      </c>
      <c r="S127" s="86">
        <f>+S21</f>
        <v/>
      </c>
      <c r="T127" s="86">
        <f>+T21</f>
        <v/>
      </c>
      <c r="U127" s="86">
        <f>+U21</f>
        <v/>
      </c>
    </row>
    <row r="128">
      <c r="A128" s="74" t="inlineStr">
        <is>
          <t>Other Income</t>
        </is>
      </c>
      <c r="G128" s="86">
        <f>-G107</f>
        <v/>
      </c>
      <c r="H128" s="86">
        <f>-H107</f>
        <v/>
      </c>
      <c r="I128" s="86">
        <f>-I107</f>
        <v/>
      </c>
      <c r="J128" s="86">
        <f>-J107</f>
        <v/>
      </c>
      <c r="K128" s="86">
        <f>-K107</f>
        <v/>
      </c>
      <c r="L128" s="86">
        <f>-L107</f>
        <v/>
      </c>
      <c r="M128" s="86">
        <f>-M107</f>
        <v/>
      </c>
      <c r="N128" s="86">
        <f>-N107</f>
        <v/>
      </c>
      <c r="O128" s="86">
        <f>-O107</f>
        <v/>
      </c>
      <c r="P128" s="86">
        <f>-P107</f>
        <v/>
      </c>
      <c r="Q128" s="86">
        <f>-Q107</f>
        <v/>
      </c>
      <c r="R128" s="86">
        <f>-R107</f>
        <v/>
      </c>
      <c r="S128" s="86">
        <f>-S107</f>
        <v/>
      </c>
      <c r="T128" s="86">
        <f>-T107</f>
        <v/>
      </c>
      <c r="U128" s="86">
        <f>-U107</f>
        <v/>
      </c>
    </row>
    <row r="129">
      <c r="A129" t="inlineStr">
        <is>
          <t>Adjustments for historical</t>
        </is>
      </c>
      <c r="G129" s="76">
        <f>+G130-SUM(G122:G128)</f>
        <v/>
      </c>
      <c r="H129" s="76">
        <f>+H130-SUM(H122:H128)</f>
        <v/>
      </c>
      <c r="I129" s="76">
        <f>+I130-SUM(I122:I128)</f>
        <v/>
      </c>
      <c r="J129" s="76">
        <f>+J130-SUM(J122:J128)</f>
        <v/>
      </c>
      <c r="K129" s="76">
        <f>+K130-SUM(K122:K128)</f>
        <v/>
      </c>
      <c r="L129" s="76">
        <f>+L130-SUM(L122:L128)</f>
        <v/>
      </c>
      <c r="M129" s="76">
        <f>+M130-SUM(M122:M128)</f>
        <v/>
      </c>
      <c r="N129" s="76">
        <f>+N130-SUM(N122:N128)</f>
        <v/>
      </c>
      <c r="O129" s="76">
        <f>+O130-SUM(O122:O128)</f>
        <v/>
      </c>
      <c r="P129" s="76">
        <f>+P130-SUM(P122:P128)</f>
        <v/>
      </c>
      <c r="Q129" s="76">
        <f>+Q130-SUM(Q122:Q128)</f>
        <v/>
      </c>
      <c r="R129" s="76">
        <f>+R130-SUM(R122:R128)</f>
        <v/>
      </c>
      <c r="S129" s="76">
        <f>+S130-SUM(S122:S128)</f>
        <v/>
      </c>
      <c r="T129" s="76">
        <f>+T130-SUM(T122:T128)</f>
        <v/>
      </c>
      <c r="U129" s="76">
        <f>+U130-SUM(U122:U128)</f>
        <v/>
      </c>
    </row>
    <row r="130">
      <c r="A130" s="22" t="inlineStr">
        <is>
          <t>Net cash flows used in investing activities</t>
        </is>
      </c>
      <c r="G130" s="121">
        <f>SUMIF(FS_H!$1:$1,G$1,FS_H!130:130)</f>
        <v/>
      </c>
      <c r="H130" s="121">
        <f>SUMIF(FS_H!$1:$1,H$1,FS_H!130:130)</f>
        <v/>
      </c>
      <c r="I130" s="121">
        <f>SUMIF(FS_H!$1:$1,I$1,FS_H!130:130)</f>
        <v/>
      </c>
      <c r="J130" s="121">
        <f>SUMIF(FS_H!$1:$1,J$1,FS_H!130:130)</f>
        <v/>
      </c>
      <c r="K130" s="121">
        <f>SUMIF(FS_H!$1:$1,K$1,FS_H!130:130)</f>
        <v/>
      </c>
      <c r="L130" s="121">
        <f>SUMIF(FS_H!$1:$1,L$1,FS_H!130:130)</f>
        <v/>
      </c>
      <c r="M130" s="121">
        <f>SUMIF(FS_H!$1:$1,M$1,FS_H!130:130)</f>
        <v/>
      </c>
      <c r="N130" s="121">
        <f>SUMIF(FS_H!$1:$1,N$1,FS_H!130:130)</f>
        <v/>
      </c>
      <c r="O130" s="121">
        <f>SUMIF(FS_H!$1:$1,O$1,FS_H!130:130)</f>
        <v/>
      </c>
      <c r="P130" s="121">
        <f>SUMIF(FS_H!$1:$1,P$1,FS_H!130:130)</f>
        <v/>
      </c>
      <c r="Q130" s="121">
        <f>SUMIF(FS_H!$1:$1,Q$1,FS_H!130:130)</f>
        <v/>
      </c>
      <c r="R130" s="121">
        <f>SUMIF(FS_H!$1:$1,R$1,FS_H!130:130)</f>
        <v/>
      </c>
      <c r="S130" s="121">
        <f>SUMIF(FS_H!$1:$1,S$1,FS_H!130:130)</f>
        <v/>
      </c>
      <c r="T130" s="121">
        <f>SUMIF(FS_H!$1:$1,T$1,FS_H!130:130)</f>
        <v/>
      </c>
      <c r="U130" s="121">
        <f>SUMIF(FS_H!$1:$1,U$1,FS_H!130:130)</f>
        <v/>
      </c>
    </row>
    <row r="131">
      <c r="G131" s="31" t="n"/>
      <c r="H131" s="31" t="n"/>
      <c r="I131" s="31" t="n"/>
      <c r="J131" s="31" t="n"/>
      <c r="K131" s="31" t="n"/>
      <c r="L131" s="31" t="n"/>
      <c r="M131" s="31" t="n"/>
      <c r="N131" s="31" t="n"/>
      <c r="O131" s="31" t="n"/>
      <c r="P131" s="31" t="n"/>
      <c r="Q131" s="31" t="n"/>
      <c r="R131" s="31" t="n"/>
      <c r="S131" s="31" t="n"/>
      <c r="T131" s="31" t="n"/>
      <c r="U131" s="31" t="n"/>
    </row>
    <row r="132">
      <c r="A132" s="77" t="inlineStr">
        <is>
          <t>Cash flows from financing activities</t>
        </is>
      </c>
      <c r="G132" s="31" t="n"/>
      <c r="H132" s="31" t="n"/>
      <c r="I132" s="31" t="n"/>
      <c r="J132" s="31" t="n"/>
      <c r="K132" s="31" t="n"/>
      <c r="L132" s="31" t="n"/>
      <c r="M132" s="31" t="n"/>
      <c r="N132" s="31" t="n"/>
      <c r="O132" s="31" t="n"/>
      <c r="P132" s="31" t="n"/>
      <c r="Q132" s="31" t="n"/>
      <c r="R132" s="31" t="n"/>
      <c r="S132" s="31" t="n"/>
      <c r="T132" s="31" t="n"/>
      <c r="U132" s="31" t="n"/>
    </row>
    <row r="133">
      <c r="A133" s="74" t="inlineStr">
        <is>
          <t>Increase in borrowings</t>
        </is>
      </c>
      <c r="G133" s="86">
        <f>+G63-F63+G73-F73</f>
        <v/>
      </c>
      <c r="H133" s="86">
        <f>+H63-G63+H73-G73</f>
        <v/>
      </c>
      <c r="I133" s="86">
        <f>+I63-H63+I73-H73</f>
        <v/>
      </c>
      <c r="J133" s="86">
        <f>+J63-I63+J73-I73</f>
        <v/>
      </c>
      <c r="K133" s="86">
        <f>+K63-J63+K73-J73</f>
        <v/>
      </c>
      <c r="L133" s="86">
        <f>+L63-K63+L73-K73</f>
        <v/>
      </c>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row>
    <row r="134">
      <c r="A134" s="74" t="inlineStr">
        <is>
          <t>Convertible Bond issuance proceeds</t>
        </is>
      </c>
      <c r="G134" s="141">
        <f>SUMIF(FS_H!$1:$1,G$1,FS_H!134:134)</f>
        <v/>
      </c>
      <c r="H134" s="141">
        <f>SUMIF(FS_H!$1:$1,H$1,FS_H!134:134)</f>
        <v/>
      </c>
      <c r="I134" s="141">
        <f>SUMIF(FS_H!$1:$1,I$1,FS_H!134:134)</f>
        <v/>
      </c>
      <c r="J134" s="141">
        <f>SUMIF(FS_H!$1:$1,J$1,FS_H!134:134)</f>
        <v/>
      </c>
      <c r="K134" s="141">
        <f>SUMIF(FS_H!$1:$1,K$1,FS_H!134:134)</f>
        <v/>
      </c>
      <c r="L134" s="141">
        <f>SUMIF(FS_H!$1:$1,L$1,FS_H!134:134)</f>
        <v/>
      </c>
      <c r="M134" s="141">
        <f>SUMIF(FS_H!$1:$1,M$1,FS_H!134:134)</f>
        <v/>
      </c>
      <c r="N134" s="141">
        <f>SUMIF(FS_H!$1:$1,N$1,FS_H!134:134)</f>
        <v/>
      </c>
      <c r="O134" s="141">
        <f>SUMIF(FS_H!$1:$1,O$1,FS_H!134:134)</f>
        <v/>
      </c>
      <c r="P134" s="141">
        <f>SUMIF(FS_H!$1:$1,P$1,FS_H!134:134)</f>
        <v/>
      </c>
      <c r="Q134" s="141">
        <f>SUMIF(FS_H!$1:$1,Q$1,FS_H!134:134)</f>
        <v/>
      </c>
      <c r="R134" s="141">
        <f>SUMIF(FS_H!$1:$1,R$1,FS_H!134:134)</f>
        <v/>
      </c>
      <c r="S134" s="141">
        <f>SUMIF(FS_H!$1:$1,S$1,FS_H!134:134)</f>
        <v/>
      </c>
      <c r="T134" s="141">
        <f>SUMIF(FS_H!$1:$1,T$1,FS_H!134:134)</f>
        <v/>
      </c>
      <c r="U134" s="141">
        <f>SUMIF(FS_H!$1:$1,U$1,FS_H!134:134)</f>
        <v/>
      </c>
    </row>
    <row r="135">
      <c r="A135" s="74" t="inlineStr">
        <is>
          <t>Share issuance proceeds</t>
        </is>
      </c>
      <c r="G135" s="141">
        <f>SUMIF(FS_H!$1:$1,G$1,FS_H!135:135)</f>
        <v/>
      </c>
      <c r="H135" s="141">
        <f>SUMIF(FS_H!$1:$1,H$1,FS_H!135:135)</f>
        <v/>
      </c>
      <c r="I135" s="141">
        <f>SUMIF(FS_H!$1:$1,I$1,FS_H!135:135)</f>
        <v/>
      </c>
      <c r="J135" s="141">
        <f>SUMIF(FS_H!$1:$1,J$1,FS_H!135:135)</f>
        <v/>
      </c>
      <c r="K135" s="141">
        <f>SUMIF(FS_H!$1:$1,K$1,FS_H!135:135)</f>
        <v/>
      </c>
      <c r="L135" s="141">
        <f>SUMIF(FS_H!$1:$1,L$1,FS_H!135:135)</f>
        <v/>
      </c>
      <c r="M135" s="141">
        <f>SUMIF(FS_H!$1:$1,M$1,FS_H!135:135)</f>
        <v/>
      </c>
      <c r="N135" s="141">
        <f>SUMIF(FS_H!$1:$1,N$1,FS_H!135:135)</f>
        <v/>
      </c>
      <c r="O135" s="141">
        <f>SUMIF(FS_H!$1:$1,O$1,FS_H!135:135)</f>
        <v/>
      </c>
      <c r="P135" s="141">
        <f>SUMIF(FS_H!$1:$1,P$1,FS_H!135:135)</f>
        <v/>
      </c>
      <c r="Q135" s="141">
        <f>SUMIF(FS_H!$1:$1,Q$1,FS_H!135:135)</f>
        <v/>
      </c>
      <c r="R135" s="141">
        <f>SUMIF(FS_H!$1:$1,R$1,FS_H!135:135)</f>
        <v/>
      </c>
      <c r="S135" s="141">
        <f>SUMIF(FS_H!$1:$1,S$1,FS_H!135:135)</f>
        <v/>
      </c>
      <c r="T135" s="141">
        <f>SUMIF(FS_H!$1:$1,T$1,FS_H!135:135)</f>
        <v/>
      </c>
      <c r="U135" s="141">
        <f>SUMIF(FS_H!$1:$1,U$1,FS_H!135:135)</f>
        <v/>
      </c>
    </row>
    <row r="136">
      <c r="A136" s="74" t="inlineStr">
        <is>
          <t>Change in government grants</t>
        </is>
      </c>
      <c r="G136" s="141">
        <f>SUMIF(FS_H!$1:$1,G$1,FS_H!136:136)</f>
        <v/>
      </c>
      <c r="H136" s="141">
        <f>SUMIF(FS_H!$1:$1,H$1,FS_H!136:136)</f>
        <v/>
      </c>
      <c r="I136" s="141">
        <f>SUMIF(FS_H!$1:$1,I$1,FS_H!136:136)</f>
        <v/>
      </c>
      <c r="J136" s="141">
        <f>SUMIF(FS_H!$1:$1,J$1,FS_H!136:136)</f>
        <v/>
      </c>
      <c r="K136" s="141">
        <f>SUMIF(FS_H!$1:$1,K$1,FS_H!136:136)</f>
        <v/>
      </c>
      <c r="L136" s="141">
        <f>SUMIF(FS_H!$1:$1,L$1,FS_H!136:136)</f>
        <v/>
      </c>
      <c r="M136" s="141">
        <f>SUMIF(FS_H!$1:$1,M$1,FS_H!136:136)</f>
        <v/>
      </c>
      <c r="N136" s="141">
        <f>SUMIF(FS_H!$1:$1,N$1,FS_H!136:136)</f>
        <v/>
      </c>
      <c r="O136" s="141">
        <f>SUMIF(FS_H!$1:$1,O$1,FS_H!136:136)</f>
        <v/>
      </c>
      <c r="P136" s="141">
        <f>SUMIF(FS_H!$1:$1,P$1,FS_H!136:136)</f>
        <v/>
      </c>
      <c r="Q136" s="141">
        <f>SUMIF(FS_H!$1:$1,Q$1,FS_H!136:136)</f>
        <v/>
      </c>
      <c r="R136" s="141">
        <f>SUMIF(FS_H!$1:$1,R$1,FS_H!136:136)</f>
        <v/>
      </c>
      <c r="S136" s="141">
        <f>SUMIF(FS_H!$1:$1,S$1,FS_H!136:136)</f>
        <v/>
      </c>
      <c r="T136" s="141">
        <f>SUMIF(FS_H!$1:$1,T$1,FS_H!136:136)</f>
        <v/>
      </c>
      <c r="U136" s="141">
        <f>SUMIF(FS_H!$1:$1,U$1,FS_H!136:136)</f>
        <v/>
      </c>
    </row>
    <row r="137">
      <c r="A137" s="74" t="inlineStr">
        <is>
          <t>Dividends paid</t>
        </is>
      </c>
      <c r="G137" s="141">
        <f>SUMIF(FS_H!$1:$1,G$1,FS_H!137:137)</f>
        <v/>
      </c>
      <c r="H137" s="141">
        <f>SUMIF(FS_H!$1:$1,H$1,FS_H!137:137)</f>
        <v/>
      </c>
      <c r="I137" s="141">
        <f>SUMIF(FS_H!$1:$1,I$1,FS_H!137:137)</f>
        <v/>
      </c>
      <c r="J137" s="141">
        <f>SUMIF(FS_H!$1:$1,J$1,FS_H!137:137)</f>
        <v/>
      </c>
      <c r="K137" s="141">
        <f>SUMIF(FS_H!$1:$1,K$1,FS_H!137:137)</f>
        <v/>
      </c>
      <c r="L137" s="141">
        <f>SUMIF(FS_H!$1:$1,L$1,FS_H!137:137)</f>
        <v/>
      </c>
      <c r="M137" s="141">
        <f>SUMIF(FS_H!$1:$1,M$1,FS_H!137:137)</f>
        <v/>
      </c>
      <c r="N137" s="141">
        <f>SUMIF(FS_H!$1:$1,N$1,FS_H!137:137)</f>
        <v/>
      </c>
      <c r="O137" s="141">
        <f>SUMIF(FS_H!$1:$1,O$1,FS_H!137:137)</f>
        <v/>
      </c>
      <c r="P137" s="141">
        <f>SUMIF(FS_H!$1:$1,P$1,FS_H!137:137)</f>
        <v/>
      </c>
      <c r="Q137" s="141">
        <f>SUMIF(FS_H!$1:$1,Q$1,FS_H!137:137)</f>
        <v/>
      </c>
      <c r="R137" s="141">
        <f>SUMIF(FS_H!$1:$1,R$1,FS_H!137:137)</f>
        <v/>
      </c>
      <c r="S137" s="141">
        <f>SUMIF(FS_H!$1:$1,S$1,FS_H!137:137)</f>
        <v/>
      </c>
      <c r="T137" s="141">
        <f>SUMIF(FS_H!$1:$1,T$1,FS_H!137:137)</f>
        <v/>
      </c>
      <c r="U137" s="141">
        <f>SUMIF(FS_H!$1:$1,U$1,FS_H!137:137)</f>
        <v/>
      </c>
    </row>
    <row r="138">
      <c r="A138" t="inlineStr">
        <is>
          <t>Adjustments for historical</t>
        </is>
      </c>
      <c r="G138" s="76">
        <f>G139-SUM(G133:G137)</f>
        <v/>
      </c>
      <c r="H138" s="76">
        <f>H139-SUM(H133:H137)</f>
        <v/>
      </c>
      <c r="I138" s="76">
        <f>I139-SUM(I133:I137)</f>
        <v/>
      </c>
      <c r="J138" s="76">
        <f>J139-SUM(J133:J137)</f>
        <v/>
      </c>
      <c r="K138" s="76">
        <f>K139-SUM(K133:K137)</f>
        <v/>
      </c>
      <c r="L138" s="76">
        <f>L139-SUM(L133:L137)</f>
        <v/>
      </c>
      <c r="M138" s="76">
        <f>M139-SUM(M133:M137)</f>
        <v/>
      </c>
      <c r="N138" s="76">
        <f>N139-SUM(N133:N137)</f>
        <v/>
      </c>
      <c r="O138" s="76">
        <f>O139-SUM(O133:O137)</f>
        <v/>
      </c>
      <c r="P138" s="76">
        <f>P139-SUM(P133:P137)</f>
        <v/>
      </c>
      <c r="Q138" s="76">
        <f>Q139-SUM(Q133:Q137)</f>
        <v/>
      </c>
      <c r="R138" s="76">
        <f>R139-SUM(R133:R137)</f>
        <v/>
      </c>
      <c r="S138" s="76">
        <f>S139-SUM(S133:S137)</f>
        <v/>
      </c>
      <c r="T138" s="76">
        <f>T139-SUM(T133:T137)</f>
        <v/>
      </c>
      <c r="U138" s="76">
        <f>U139-SUM(U133:U137)</f>
        <v/>
      </c>
    </row>
    <row r="139">
      <c r="A139" s="22" t="inlineStr">
        <is>
          <t>Net cash flows (used in)/from financing activities</t>
        </is>
      </c>
      <c r="G139" s="121">
        <f>SUMIF(FS_H!$1:$1,G$1,FS_H!139:139)</f>
        <v/>
      </c>
      <c r="H139" s="121">
        <f>SUMIF(FS_H!$1:$1,H$1,FS_H!139:139)</f>
        <v/>
      </c>
      <c r="I139" s="121">
        <f>SUMIF(FS_H!$1:$1,I$1,FS_H!139:139)</f>
        <v/>
      </c>
      <c r="J139" s="121">
        <f>SUMIF(FS_H!$1:$1,J$1,FS_H!139:139)</f>
        <v/>
      </c>
      <c r="K139" s="121">
        <f>SUMIF(FS_H!$1:$1,K$1,FS_H!139:139)</f>
        <v/>
      </c>
      <c r="L139" s="121">
        <f>SUMIF(FS_H!$1:$1,L$1,FS_H!139:139)</f>
        <v/>
      </c>
      <c r="M139" s="121">
        <f>SUMIF(FS_H!$1:$1,M$1,FS_H!139:139)</f>
        <v/>
      </c>
      <c r="N139" s="121">
        <f>SUMIF(FS_H!$1:$1,N$1,FS_H!139:139)</f>
        <v/>
      </c>
      <c r="O139" s="121">
        <f>SUMIF(FS_H!$1:$1,O$1,FS_H!139:139)</f>
        <v/>
      </c>
      <c r="P139" s="121">
        <f>SUMIF(FS_H!$1:$1,P$1,FS_H!139:139)</f>
        <v/>
      </c>
      <c r="Q139" s="121">
        <f>SUMIF(FS_H!$1:$1,Q$1,FS_H!139:139)</f>
        <v/>
      </c>
      <c r="R139" s="121">
        <f>SUMIF(FS_H!$1:$1,R$1,FS_H!139:139)</f>
        <v/>
      </c>
      <c r="S139" s="121">
        <f>SUMIF(FS_H!$1:$1,S$1,FS_H!139:139)</f>
        <v/>
      </c>
      <c r="T139" s="121">
        <f>SUMIF(FS_H!$1:$1,T$1,FS_H!139:139)</f>
        <v/>
      </c>
      <c r="U139" s="121">
        <f>SUMIF(FS_H!$1:$1,U$1,FS_H!139:139)</f>
        <v/>
      </c>
    </row>
    <row r="140">
      <c r="G140" s="31" t="n"/>
      <c r="H140" s="31" t="n"/>
      <c r="I140" s="31" t="n"/>
      <c r="J140" s="31" t="n"/>
      <c r="K140" s="31" t="n"/>
      <c r="L140" s="31" t="n"/>
      <c r="M140" s="31" t="n"/>
      <c r="N140" s="31" t="n"/>
      <c r="O140" s="31" t="n"/>
      <c r="P140" s="31" t="n"/>
      <c r="Q140" s="31" t="n"/>
      <c r="R140" s="31" t="n"/>
      <c r="S140" s="31" t="n"/>
      <c r="T140" s="31" t="n"/>
      <c r="U140" s="31" t="n"/>
    </row>
    <row r="141">
      <c r="A141" s="22" t="inlineStr">
        <is>
          <t>Net (decrease)/increase in cash and cash equivalents</t>
        </is>
      </c>
      <c r="H141" s="121">
        <f>H119+H130+H139</f>
        <v/>
      </c>
      <c r="I141" s="121">
        <f>I119+I130+I139</f>
        <v/>
      </c>
      <c r="J141" s="121">
        <f>J119+J130+J139</f>
        <v/>
      </c>
      <c r="K141" s="121">
        <f>K119+K130+K139</f>
        <v/>
      </c>
      <c r="L141" s="121">
        <f>L119+L130+L139</f>
        <v/>
      </c>
      <c r="M141" s="121">
        <f>M119+M130+M139</f>
        <v/>
      </c>
      <c r="N141" s="121">
        <f>N119+N130+N139</f>
        <v/>
      </c>
      <c r="O141" s="121">
        <f>O119+O130+O139</f>
        <v/>
      </c>
      <c r="P141" s="121">
        <f>P119+P130+P139</f>
        <v/>
      </c>
      <c r="Q141" s="121">
        <f>Q119+Q130+Q139</f>
        <v/>
      </c>
      <c r="R141" s="121">
        <f>R119+R130+R139</f>
        <v/>
      </c>
      <c r="S141" s="121">
        <f>S119+S130+S139</f>
        <v/>
      </c>
      <c r="T141" s="121">
        <f>T119+T130+T139</f>
        <v/>
      </c>
      <c r="U141" s="121">
        <f>U119+U130+U139</f>
        <v/>
      </c>
    </row>
    <row r="142">
      <c r="A142" t="inlineStr">
        <is>
          <t>Cash and cash equivalents at beginning of Period</t>
        </is>
      </c>
      <c r="H142" s="86">
        <f>+G145</f>
        <v/>
      </c>
      <c r="I142" s="86">
        <f>+H145</f>
        <v/>
      </c>
      <c r="J142" s="86">
        <f>+I145</f>
        <v/>
      </c>
      <c r="K142" s="86">
        <f>+J145</f>
        <v/>
      </c>
      <c r="L142" s="86">
        <f>+K145</f>
        <v/>
      </c>
      <c r="M142" s="86">
        <f>+L145</f>
        <v/>
      </c>
      <c r="N142" s="86">
        <f>+M145</f>
        <v/>
      </c>
      <c r="O142" s="86">
        <f>+N145</f>
        <v/>
      </c>
      <c r="P142" s="86">
        <f>+O145</f>
        <v/>
      </c>
      <c r="Q142" s="86">
        <f>+P145</f>
        <v/>
      </c>
      <c r="R142" s="86">
        <f>+Q145</f>
        <v/>
      </c>
      <c r="S142" s="86">
        <f>+R145</f>
        <v/>
      </c>
      <c r="T142" s="86">
        <f>+S145</f>
        <v/>
      </c>
      <c r="U142" s="86">
        <f>+T145</f>
        <v/>
      </c>
    </row>
    <row r="143">
      <c r="A143" t="inlineStr">
        <is>
          <t>Effect of foreign exchange rate changes</t>
        </is>
      </c>
      <c r="H143" s="141">
        <f>SUMIF(FS_H!$1:$1,H$1,FS_H!143:143)</f>
        <v/>
      </c>
      <c r="I143" s="141">
        <f>SUMIF(FS_H!$1:$1,I$1,FS_H!143:143)</f>
        <v/>
      </c>
      <c r="J143" s="141">
        <f>SUMIF(FS_H!$1:$1,J$1,FS_H!143:143)</f>
        <v/>
      </c>
      <c r="K143" s="141">
        <f>SUMIF(FS_H!$1:$1,K$1,FS_H!143:143)</f>
        <v/>
      </c>
      <c r="L143" s="141">
        <f>SUMIF(FS_H!$1:$1,L$1,FS_H!143:143)</f>
        <v/>
      </c>
      <c r="M143" s="141">
        <f>SUMIF(FS_H!$1:$1,M$1,FS_H!143:143)</f>
        <v/>
      </c>
      <c r="N143" s="141">
        <f>SUMIF(FS_H!$1:$1,N$1,FS_H!143:143)</f>
        <v/>
      </c>
      <c r="O143" s="141">
        <f>SUMIF(FS_H!$1:$1,O$1,FS_H!143:143)</f>
        <v/>
      </c>
      <c r="P143" s="141">
        <f>SUMIF(FS_H!$1:$1,P$1,FS_H!143:143)</f>
        <v/>
      </c>
      <c r="Q143" s="141">
        <f>SUMIF(FS_H!$1:$1,Q$1,FS_H!143:143)</f>
        <v/>
      </c>
      <c r="R143" s="141">
        <f>SUMIF(FS_H!$1:$1,R$1,FS_H!143:143)</f>
        <v/>
      </c>
      <c r="S143" s="141">
        <f>SUMIF(FS_H!$1:$1,S$1,FS_H!143:143)</f>
        <v/>
      </c>
      <c r="T143" s="141">
        <f>SUMIF(FS_H!$1:$1,T$1,FS_H!143:143)</f>
        <v/>
      </c>
      <c r="U143" s="141">
        <f>SUMIF(FS_H!$1:$1,U$1,FS_H!143:143)</f>
        <v/>
      </c>
    </row>
    <row r="144">
      <c r="A144" t="inlineStr">
        <is>
          <t>Adjustments for historical</t>
        </is>
      </c>
      <c r="H144" s="143">
        <f>H145-SUM(H141:H143)</f>
        <v/>
      </c>
      <c r="I144" s="143">
        <f>I145-SUM(I141:I143)</f>
        <v/>
      </c>
      <c r="J144" s="143">
        <f>J145-SUM(J141:J143)</f>
        <v/>
      </c>
      <c r="K144" s="143">
        <f>K145-SUM(K141:K143)</f>
        <v/>
      </c>
      <c r="L144" s="143">
        <f>L145-SUM(L141:L143)</f>
        <v/>
      </c>
      <c r="M144" s="143">
        <f>M145-SUM(M141:M143)</f>
        <v/>
      </c>
      <c r="N144" s="143">
        <f>N145-SUM(N141:N143)</f>
        <v/>
      </c>
      <c r="O144" s="143">
        <f>O145-SUM(O141:O143)</f>
        <v/>
      </c>
      <c r="P144" s="143">
        <f>P145-SUM(P141:P143)</f>
        <v/>
      </c>
      <c r="Q144" s="143">
        <f>Q145-SUM(Q141:Q143)</f>
        <v/>
      </c>
      <c r="R144" s="143">
        <f>R145-SUM(R141:R143)</f>
        <v/>
      </c>
      <c r="S144" s="143">
        <f>S145-SUM(S141:S143)</f>
        <v/>
      </c>
      <c r="T144" s="143">
        <f>T145-SUM(T141:T143)</f>
        <v/>
      </c>
      <c r="U144" s="143">
        <f>U145-SUM(U141:U143)</f>
        <v/>
      </c>
    </row>
    <row r="145">
      <c r="A145" s="22" t="inlineStr">
        <is>
          <t>Cash and cash equivalents at end of period</t>
        </is>
      </c>
      <c r="G145" s="86">
        <f>+G38</f>
        <v/>
      </c>
      <c r="H145" s="86">
        <f>+H38</f>
        <v/>
      </c>
      <c r="I145" s="86">
        <f>+I38</f>
        <v/>
      </c>
      <c r="J145" s="86">
        <f>+J38</f>
        <v/>
      </c>
      <c r="K145" s="86">
        <f>+K38</f>
        <v/>
      </c>
      <c r="L145" s="86">
        <f>+L38</f>
        <v/>
      </c>
      <c r="M145" s="86">
        <f>+M38</f>
        <v/>
      </c>
      <c r="N145" s="86">
        <f>+N38</f>
        <v/>
      </c>
      <c r="O145" s="86">
        <f>+O38</f>
        <v/>
      </c>
      <c r="P145" s="86">
        <f>+P38</f>
        <v/>
      </c>
      <c r="Q145" s="86">
        <f>+Q38</f>
        <v/>
      </c>
      <c r="R145" s="86">
        <f>+R38</f>
        <v/>
      </c>
      <c r="S145" s="86">
        <f>+S38</f>
        <v/>
      </c>
      <c r="T145" s="86">
        <f>+T38</f>
        <v/>
      </c>
      <c r="U145" s="86">
        <f>+U38</f>
        <v/>
      </c>
    </row>
    <row r="146">
      <c r="A146" s="22" t="n"/>
      <c r="I146" s="128" t="n"/>
      <c r="J146" s="128" t="n"/>
      <c r="K146" s="128" t="n"/>
      <c r="L146" s="128" t="n"/>
      <c r="M146" s="128" t="n"/>
      <c r="N146" s="128" t="n"/>
      <c r="O146" s="128" t="n"/>
      <c r="P146" s="128" t="n"/>
      <c r="Q146" s="128" t="n"/>
      <c r="R146" s="128" t="n"/>
      <c r="S146" s="31" t="n"/>
      <c r="T146" s="128" t="n"/>
      <c r="U146" s="31" t="n"/>
    </row>
    <row r="147">
      <c r="I147" s="128" t="n"/>
      <c r="J147" s="128" t="n"/>
      <c r="K147" s="128" t="n"/>
      <c r="L147" s="128" t="n"/>
      <c r="M147" s="128" t="n"/>
      <c r="N147" s="128" t="n"/>
      <c r="O147" s="128" t="n"/>
      <c r="P147" s="128" t="n"/>
      <c r="Q147" s="128" t="n"/>
      <c r="R147" s="128" t="n"/>
      <c r="S147" s="31" t="n"/>
      <c r="T147" s="128" t="n"/>
      <c r="U147" s="31" t="n"/>
    </row>
    <row r="148">
      <c r="A148" s="81" t="inlineStr">
        <is>
          <t>KEY OPERATIONAL INDICATORS</t>
        </is>
      </c>
      <c r="I148" s="128" t="n"/>
      <c r="J148" s="128" t="n"/>
      <c r="K148" s="128" t="n"/>
      <c r="L148" s="128" t="n"/>
      <c r="M148" s="128" t="n"/>
      <c r="N148" s="128" t="n"/>
      <c r="O148" s="128" t="n"/>
      <c r="P148" s="128" t="n"/>
      <c r="Q148" s="128" t="n"/>
      <c r="R148" s="128" t="n"/>
      <c r="S148" s="31" t="n"/>
      <c r="T148" s="128" t="n"/>
      <c r="U148" s="31" t="n"/>
    </row>
    <row r="149">
      <c r="A149" s="169" t="n"/>
      <c r="I149" s="128" t="n"/>
      <c r="J149" s="128" t="n"/>
      <c r="K149" s="128" t="n"/>
      <c r="L149" s="128" t="n"/>
      <c r="M149" s="128" t="n"/>
      <c r="N149" s="128" t="n"/>
      <c r="O149" s="128" t="n"/>
      <c r="P149" s="128" t="n"/>
      <c r="Q149" s="128" t="n"/>
      <c r="R149" s="128" t="n"/>
      <c r="S149" s="31" t="n"/>
      <c r="T149" s="128" t="n"/>
      <c r="U149" s="31" t="n"/>
    </row>
    <row r="150">
      <c r="A150" s="40" t="inlineStr">
        <is>
          <t>Organic turnover</t>
        </is>
      </c>
      <c r="G150" s="86">
        <f>G11</f>
        <v/>
      </c>
      <c r="H150" s="86">
        <f>H11</f>
        <v/>
      </c>
      <c r="I150" s="86">
        <f>I11</f>
        <v/>
      </c>
      <c r="J150" s="86">
        <f>J11</f>
        <v/>
      </c>
      <c r="K150" s="86">
        <f>K11</f>
        <v/>
      </c>
      <c r="L150" s="86">
        <f>L11</f>
        <v/>
      </c>
      <c r="M150" s="86">
        <f>M11</f>
        <v/>
      </c>
      <c r="N150" s="86">
        <f>N11</f>
        <v/>
      </c>
      <c r="O150" s="86">
        <f>O11</f>
        <v/>
      </c>
      <c r="P150" s="86">
        <f>P11</f>
        <v/>
      </c>
      <c r="Q150" s="86">
        <f>Q11</f>
        <v/>
      </c>
      <c r="R150" s="86">
        <f>R11</f>
        <v/>
      </c>
      <c r="S150" s="86">
        <f>S11</f>
        <v/>
      </c>
      <c r="T150" s="86">
        <f>T11</f>
        <v/>
      </c>
      <c r="U150" s="86">
        <f>U11</f>
        <v/>
      </c>
    </row>
    <row r="151" hidden="1">
      <c r="A151" s="74" t="n"/>
      <c r="G151" s="882" t="n"/>
      <c r="H151" s="882" t="n"/>
      <c r="I151" s="882" t="n"/>
      <c r="J151" s="882" t="n"/>
      <c r="K151" s="882" t="n"/>
      <c r="L151" s="882" t="n"/>
      <c r="M151" s="882" t="n"/>
      <c r="N151" s="882" t="n"/>
      <c r="O151" s="882" t="n"/>
      <c r="P151" s="882" t="n"/>
      <c r="Q151" s="882" t="n"/>
      <c r="R151" s="882" t="n"/>
      <c r="S151" s="882" t="n"/>
      <c r="T151" s="882" t="n"/>
      <c r="U151" s="882" t="n"/>
    </row>
    <row r="152">
      <c r="A152" s="74" t="inlineStr">
        <is>
          <t>YoY Growth</t>
        </is>
      </c>
      <c r="G152" s="882" t="n"/>
      <c r="H152" s="882">
        <f>H150/G150-1</f>
        <v/>
      </c>
      <c r="I152" s="882">
        <f>I150/H150-1</f>
        <v/>
      </c>
      <c r="J152" s="882">
        <f>J150/I150-1</f>
        <v/>
      </c>
      <c r="K152" s="882">
        <f>K150/J150-1</f>
        <v/>
      </c>
      <c r="L152" s="882">
        <f>L150/K150-1</f>
        <v/>
      </c>
      <c r="M152" s="882">
        <f>M150/L150-1</f>
        <v/>
      </c>
      <c r="N152" s="882">
        <f>N150/M150-1</f>
        <v/>
      </c>
      <c r="O152" s="882">
        <f>O150/N150-1</f>
        <v/>
      </c>
      <c r="P152" s="882">
        <f>P150/O150-1</f>
        <v/>
      </c>
      <c r="Q152" s="882">
        <f>Q150/P150-1</f>
        <v/>
      </c>
      <c r="R152" s="882">
        <f>R150/Q150-1</f>
        <v/>
      </c>
      <c r="S152" s="882">
        <f>S150/R150-1</f>
        <v/>
      </c>
      <c r="T152" s="882">
        <f>T150/S150-1</f>
        <v/>
      </c>
      <c r="U152" s="882">
        <f>U150/T150-1</f>
        <v/>
      </c>
    </row>
    <row r="153">
      <c r="G153" s="31" t="n"/>
      <c r="H153" s="31" t="n"/>
      <c r="I153" s="31" t="n"/>
      <c r="J153" s="31" t="n"/>
      <c r="K153" s="31" t="n"/>
      <c r="L153" s="31" t="n"/>
      <c r="M153" s="31" t="n"/>
      <c r="N153" s="31" t="n"/>
      <c r="O153" s="31" t="n"/>
      <c r="P153" s="76" t="n"/>
      <c r="Q153" s="31" t="n"/>
      <c r="R153" s="31" t="n"/>
      <c r="S153" s="31" t="n"/>
      <c r="T153" s="31" t="n"/>
      <c r="U153" s="31" t="n"/>
    </row>
    <row r="154">
      <c r="A154" s="40" t="inlineStr">
        <is>
          <t>EBITDA</t>
        </is>
      </c>
      <c r="G154" s="86">
        <f>+G18+G104+G105</f>
        <v/>
      </c>
      <c r="H154" s="86">
        <f>+H18+H104+H105</f>
        <v/>
      </c>
      <c r="I154" s="86">
        <f>+I18+I104+I105</f>
        <v/>
      </c>
      <c r="J154" s="86">
        <f>+J18+J104+J105</f>
        <v/>
      </c>
      <c r="K154" s="86">
        <f>+K18+K104+K105</f>
        <v/>
      </c>
      <c r="L154" s="86">
        <f>+L18+L104+L105</f>
        <v/>
      </c>
      <c r="M154" s="86">
        <f>+M18+M104+M105</f>
        <v/>
      </c>
      <c r="N154" s="86">
        <f>+N18+N104+N105</f>
        <v/>
      </c>
      <c r="O154" s="86">
        <f>+O18+O104+O105</f>
        <v/>
      </c>
      <c r="P154" s="86">
        <f>+P18+P104+P105</f>
        <v/>
      </c>
      <c r="Q154" s="86">
        <f>+Q18+Q104+Q105</f>
        <v/>
      </c>
      <c r="R154" s="86">
        <f>+R18+R104+R105</f>
        <v/>
      </c>
      <c r="S154" s="86">
        <f>+S18+S104+S105</f>
        <v/>
      </c>
      <c r="T154" s="86">
        <f>+T18+T104+T105</f>
        <v/>
      </c>
      <c r="U154" s="86">
        <f>+U18+U104+U105</f>
        <v/>
      </c>
    </row>
    <row r="155">
      <c r="A155" s="74" t="inlineStr">
        <is>
          <t>YoY growth</t>
        </is>
      </c>
      <c r="G155" s="31" t="n"/>
      <c r="H155" s="190">
        <f>H154/G154-1</f>
        <v/>
      </c>
      <c r="I155" s="190">
        <f>I154/H154-1</f>
        <v/>
      </c>
      <c r="J155" s="190">
        <f>J154/I154-1</f>
        <v/>
      </c>
      <c r="K155" s="190">
        <f>K154/J154-1</f>
        <v/>
      </c>
      <c r="L155" s="190">
        <f>L154/K154-1</f>
        <v/>
      </c>
      <c r="M155" s="190">
        <f>M154/L154-1</f>
        <v/>
      </c>
      <c r="N155" s="190">
        <f>N154/M154-1</f>
        <v/>
      </c>
      <c r="O155" s="190">
        <f>O154/N154-1</f>
        <v/>
      </c>
      <c r="P155" s="190">
        <f>P154/O154-1</f>
        <v/>
      </c>
      <c r="Q155" s="190">
        <f>Q154/P154-1</f>
        <v/>
      </c>
      <c r="R155" s="190">
        <f>R154/Q154-1</f>
        <v/>
      </c>
      <c r="S155" s="190">
        <f>S154/R154-1</f>
        <v/>
      </c>
      <c r="T155" s="190">
        <f>T154/S154-1</f>
        <v/>
      </c>
      <c r="U155" s="190">
        <f>U154/T154-1</f>
        <v/>
      </c>
    </row>
    <row r="156">
      <c r="A156" s="22" t="inlineStr">
        <is>
          <t>Cash and cash equivalent from balance sheet</t>
        </is>
      </c>
      <c r="G156" s="86">
        <f>G38</f>
        <v/>
      </c>
      <c r="H156" s="86">
        <f>H38</f>
        <v/>
      </c>
      <c r="I156" s="86">
        <f>I38</f>
        <v/>
      </c>
      <c r="J156" s="86">
        <f>J38</f>
        <v/>
      </c>
      <c r="K156" s="86">
        <f>K38</f>
        <v/>
      </c>
      <c r="L156" s="86">
        <f>L38</f>
        <v/>
      </c>
      <c r="M156" s="86">
        <f>M38</f>
        <v/>
      </c>
      <c r="N156" s="86">
        <f>N38</f>
        <v/>
      </c>
      <c r="O156" s="86">
        <f>O38</f>
        <v/>
      </c>
      <c r="P156" s="86">
        <f>P38</f>
        <v/>
      </c>
      <c r="Q156" s="86">
        <f>Q38</f>
        <v/>
      </c>
      <c r="R156" s="86">
        <f>R38</f>
        <v/>
      </c>
      <c r="S156" s="86">
        <f>S38</f>
        <v/>
      </c>
      <c r="T156" s="86">
        <f>T38</f>
        <v/>
      </c>
      <c r="U156" s="86">
        <f>U38</f>
        <v/>
      </c>
    </row>
    <row r="157">
      <c r="A157" s="104" t="inlineStr">
        <is>
          <t>Excess cash (above 10% of annualized revenue)</t>
        </is>
      </c>
      <c r="G157" s="88">
        <f>G156-(0.1*G11*G$223)</f>
        <v/>
      </c>
      <c r="H157" s="88">
        <f>H156-(0.1*H11*H$223)</f>
        <v/>
      </c>
      <c r="I157" s="88">
        <f>I156-(0.1*I11*I$223)</f>
        <v/>
      </c>
      <c r="J157" s="88">
        <f>J156-(0.1*J11*J$223)</f>
        <v/>
      </c>
      <c r="K157" s="88">
        <f>K156-(0.1*K11*K$223)</f>
        <v/>
      </c>
      <c r="L157" s="88">
        <f>L156-(0.1*L11*L$223)</f>
        <v/>
      </c>
      <c r="M157" s="88">
        <f>M156-(0.1*M11*M$223)</f>
        <v/>
      </c>
      <c r="N157" s="88">
        <f>N156-(0.1*N11*N$223)</f>
        <v/>
      </c>
      <c r="O157" s="88">
        <f>O156-(0.1*O11*O$223)</f>
        <v/>
      </c>
      <c r="P157" s="88">
        <f>P156-(0.1*P11*P$223)</f>
        <v/>
      </c>
      <c r="Q157" s="88">
        <f>Q156-(0.1*Q11*Q$223)</f>
        <v/>
      </c>
      <c r="R157" s="88">
        <f>R156-(0.1*R11*R$223)</f>
        <v/>
      </c>
      <c r="S157" s="88">
        <f>S156-(0.1*S11*S$223)</f>
        <v/>
      </c>
      <c r="T157" s="88">
        <f>T156-(0.1*T11*T$223)</f>
        <v/>
      </c>
      <c r="U157" s="88">
        <f>U156-(0.1*U11*U$223)</f>
        <v/>
      </c>
    </row>
    <row r="158">
      <c r="A158" s="104" t="inlineStr">
        <is>
          <t>Working cash</t>
        </is>
      </c>
      <c r="G158" s="88">
        <f>+G156-G157</f>
        <v/>
      </c>
      <c r="H158" s="88">
        <f>+H156-H157</f>
        <v/>
      </c>
      <c r="I158" s="88">
        <f>+I156-I157</f>
        <v/>
      </c>
      <c r="J158" s="88">
        <f>+J156-J157</f>
        <v/>
      </c>
      <c r="K158" s="88">
        <f>+K156-K157</f>
        <v/>
      </c>
      <c r="L158" s="88">
        <f>+L156-L157</f>
        <v/>
      </c>
      <c r="M158" s="88">
        <f>+M156-M157</f>
        <v/>
      </c>
      <c r="N158" s="88">
        <f>+N156-N157</f>
        <v/>
      </c>
      <c r="O158" s="88">
        <f>+O156-O157</f>
        <v/>
      </c>
      <c r="P158" s="88">
        <f>+P156-P157</f>
        <v/>
      </c>
      <c r="Q158" s="88">
        <f>+Q156-Q157</f>
        <v/>
      </c>
      <c r="R158" s="88">
        <f>+R156-R157</f>
        <v/>
      </c>
      <c r="S158" s="88">
        <f>+S156-S157</f>
        <v/>
      </c>
      <c r="T158" s="88">
        <f>+T156-T157</f>
        <v/>
      </c>
      <c r="U158" s="88">
        <f>+U156-U157</f>
        <v/>
      </c>
    </row>
    <row r="159">
      <c r="A159" s="104" t="n"/>
      <c r="G159" s="143" t="n"/>
      <c r="H159" s="143" t="n"/>
      <c r="I159" s="143" t="n"/>
      <c r="J159" s="143" t="n"/>
      <c r="K159" s="143" t="n"/>
      <c r="L159" s="143" t="n"/>
      <c r="M159" s="143" t="n"/>
      <c r="N159" s="143" t="n"/>
      <c r="O159" s="143" t="n"/>
      <c r="P159" s="143" t="n"/>
      <c r="Q159" s="143" t="n"/>
      <c r="R159" s="143" t="n"/>
      <c r="S159" s="143" t="n"/>
      <c r="T159" s="143" t="n"/>
      <c r="U159" s="143" t="n"/>
    </row>
    <row r="160">
      <c r="A160" s="22" t="inlineStr">
        <is>
          <t>Total debt</t>
        </is>
      </c>
      <c r="G160" s="143" t="n"/>
      <c r="H160" s="143" t="n"/>
      <c r="I160" s="143" t="n"/>
      <c r="J160" s="143" t="n"/>
      <c r="K160" s="143" t="n"/>
      <c r="L160" s="143" t="n"/>
      <c r="M160" s="143" t="n"/>
      <c r="N160" s="143" t="n"/>
      <c r="O160" s="143" t="n"/>
      <c r="P160" s="143" t="n"/>
      <c r="Q160" s="143" t="n"/>
      <c r="R160" s="143" t="n"/>
      <c r="S160" s="143" t="n"/>
      <c r="T160" s="143" t="n"/>
      <c r="U160" s="143" t="n"/>
    </row>
    <row r="161">
      <c r="A161" s="89" t="inlineStr">
        <is>
          <t>Current</t>
        </is>
      </c>
      <c r="G161" s="88">
        <f>G63</f>
        <v/>
      </c>
      <c r="H161" s="88">
        <f>H63</f>
        <v/>
      </c>
      <c r="I161" s="88">
        <f>I63</f>
        <v/>
      </c>
      <c r="J161" s="88">
        <f>J63</f>
        <v/>
      </c>
      <c r="K161" s="88">
        <f>K63</f>
        <v/>
      </c>
      <c r="L161" s="88">
        <f>L63</f>
        <v/>
      </c>
      <c r="M161" s="88">
        <f>M63</f>
        <v/>
      </c>
      <c r="N161" s="88">
        <f>N63</f>
        <v/>
      </c>
      <c r="O161" s="88">
        <f>O63</f>
        <v/>
      </c>
      <c r="P161" s="88">
        <f>P63</f>
        <v/>
      </c>
      <c r="Q161" s="88">
        <f>Q63</f>
        <v/>
      </c>
      <c r="R161" s="88">
        <f>R63</f>
        <v/>
      </c>
      <c r="S161" s="88">
        <f>S63</f>
        <v/>
      </c>
      <c r="T161" s="88">
        <f>T63</f>
        <v/>
      </c>
      <c r="U161" s="88">
        <f>U63</f>
        <v/>
      </c>
    </row>
    <row r="162">
      <c r="A162" s="89" t="inlineStr">
        <is>
          <t>Non-current</t>
        </is>
      </c>
      <c r="G162" s="88">
        <f>G73+G74</f>
        <v/>
      </c>
      <c r="H162" s="88">
        <f>H73+H74</f>
        <v/>
      </c>
      <c r="I162" s="88">
        <f>I73+I74</f>
        <v/>
      </c>
      <c r="J162" s="88">
        <f>J73+J74</f>
        <v/>
      </c>
      <c r="K162" s="88">
        <f>K73+K74</f>
        <v/>
      </c>
      <c r="L162" s="88">
        <f>L73+L74</f>
        <v/>
      </c>
      <c r="M162" s="88">
        <f>M73+M74</f>
        <v/>
      </c>
      <c r="N162" s="88">
        <f>N73+N74</f>
        <v/>
      </c>
      <c r="O162" s="88">
        <f>O73+O74</f>
        <v/>
      </c>
      <c r="P162" s="88">
        <f>P73+P74</f>
        <v/>
      </c>
      <c r="Q162" s="88">
        <f>Q73+Q74</f>
        <v/>
      </c>
      <c r="R162" s="88">
        <f>R73+R74</f>
        <v/>
      </c>
      <c r="S162" s="88">
        <f>S73+S74</f>
        <v/>
      </c>
      <c r="T162" s="88">
        <f>T73+T74</f>
        <v/>
      </c>
      <c r="U162" s="88">
        <f>U73+U74</f>
        <v/>
      </c>
    </row>
    <row r="163">
      <c r="A163" s="90" t="inlineStr">
        <is>
          <t>Total debt</t>
        </is>
      </c>
      <c r="G163" s="123">
        <f>SUM(G161:G162)</f>
        <v/>
      </c>
      <c r="H163" s="123">
        <f>SUM(H161:H162)</f>
        <v/>
      </c>
      <c r="I163" s="123">
        <f>SUM(I161:I162)</f>
        <v/>
      </c>
      <c r="J163" s="123">
        <f>SUM(J161:J162)</f>
        <v/>
      </c>
      <c r="K163" s="123">
        <f>SUM(K161:K162)</f>
        <v/>
      </c>
      <c r="L163" s="123">
        <f>SUM(L161:L162)</f>
        <v/>
      </c>
      <c r="M163" s="123">
        <f>SUM(M161:M162)</f>
        <v/>
      </c>
      <c r="N163" s="123">
        <f>SUM(N161:N162)</f>
        <v/>
      </c>
      <c r="O163" s="123">
        <f>SUM(O161:O162)</f>
        <v/>
      </c>
      <c r="P163" s="123">
        <f>SUM(P161:P162)</f>
        <v/>
      </c>
      <c r="Q163" s="123">
        <f>SUM(Q161:Q162)</f>
        <v/>
      </c>
      <c r="R163" s="123">
        <f>SUM(R161:R162)</f>
        <v/>
      </c>
      <c r="S163" s="123">
        <f>SUM(S161:S162)</f>
        <v/>
      </c>
      <c r="T163" s="123">
        <f>SUM(T161:T162)</f>
        <v/>
      </c>
      <c r="U163" s="123">
        <f>SUM(U161:U162)</f>
        <v/>
      </c>
    </row>
    <row r="164">
      <c r="A164" s="92" t="inlineStr">
        <is>
          <t>Total debt to equity ratio</t>
        </is>
      </c>
      <c r="G164" s="883">
        <f>G163/G83</f>
        <v/>
      </c>
      <c r="H164" s="883">
        <f>H163/H83</f>
        <v/>
      </c>
      <c r="I164" s="883">
        <f>I163/I83</f>
        <v/>
      </c>
      <c r="J164" s="883">
        <f>J163/J83</f>
        <v/>
      </c>
      <c r="K164" s="883">
        <f>K163/K83</f>
        <v/>
      </c>
      <c r="L164" s="883">
        <f>L163/L83</f>
        <v/>
      </c>
      <c r="M164" s="883">
        <f>M163/M83</f>
        <v/>
      </c>
      <c r="N164" s="883">
        <f>N163/N83</f>
        <v/>
      </c>
      <c r="O164" s="883">
        <f>O163/O83</f>
        <v/>
      </c>
      <c r="P164" s="883">
        <f>P163/P83</f>
        <v/>
      </c>
      <c r="Q164" s="883">
        <f>Q163/Q83</f>
        <v/>
      </c>
      <c r="R164" s="883">
        <f>R163/R83</f>
        <v/>
      </c>
      <c r="S164" s="883">
        <f>S163/S83</f>
        <v/>
      </c>
      <c r="T164" s="883">
        <f>T163/T83</f>
        <v/>
      </c>
      <c r="U164" s="883">
        <f>U163/U83</f>
        <v/>
      </c>
    </row>
    <row r="165">
      <c r="A165" s="92" t="n"/>
      <c r="G165" s="93" t="n"/>
      <c r="H165" s="93" t="n"/>
      <c r="I165" s="93" t="n"/>
      <c r="J165" s="93" t="n"/>
      <c r="K165" s="93" t="n"/>
      <c r="L165" s="93" t="n"/>
      <c r="M165" s="93" t="n"/>
      <c r="N165" s="93" t="n"/>
      <c r="O165" s="93" t="n"/>
      <c r="P165" s="93" t="n"/>
      <c r="Q165" s="93" t="n"/>
      <c r="R165" s="93" t="n"/>
      <c r="S165" s="93" t="n"/>
      <c r="T165" s="93" t="n"/>
      <c r="U165" s="93" t="n"/>
    </row>
    <row r="166">
      <c r="A166" s="22" t="inlineStr">
        <is>
          <t>Net debt</t>
        </is>
      </c>
      <c r="G166" s="86">
        <f>G163-G157</f>
        <v/>
      </c>
      <c r="H166" s="86">
        <f>H163-H157</f>
        <v/>
      </c>
      <c r="I166" s="86">
        <f>I163-I157</f>
        <v/>
      </c>
      <c r="J166" s="86">
        <f>J163-J157</f>
        <v/>
      </c>
      <c r="K166" s="86">
        <f>K163-K157</f>
        <v/>
      </c>
      <c r="L166" s="86">
        <f>L163-L157</f>
        <v/>
      </c>
      <c r="M166" s="86">
        <f>M163-M157</f>
        <v/>
      </c>
      <c r="N166" s="86">
        <f>N163-N157</f>
        <v/>
      </c>
      <c r="O166" s="86">
        <f>O163-O157</f>
        <v/>
      </c>
      <c r="P166" s="86">
        <f>P163-P157</f>
        <v/>
      </c>
      <c r="Q166" s="86">
        <f>Q163-Q157</f>
        <v/>
      </c>
      <c r="R166" s="86">
        <f>R163-R157</f>
        <v/>
      </c>
      <c r="S166" s="86">
        <f>S163-S157</f>
        <v/>
      </c>
      <c r="T166" s="86">
        <f>T163-T157</f>
        <v/>
      </c>
      <c r="U166" s="86">
        <f>U163-U157</f>
        <v/>
      </c>
    </row>
    <row r="167">
      <c r="A167" s="105" t="inlineStr">
        <is>
          <t>EBITDA / interest expense</t>
        </is>
      </c>
      <c r="G167" s="94">
        <f>-G154/G20</f>
        <v/>
      </c>
      <c r="H167" s="94">
        <f>-H154/H20</f>
        <v/>
      </c>
      <c r="I167" s="94">
        <f>-I154/I20</f>
        <v/>
      </c>
      <c r="J167" s="94">
        <f>-J154/J20</f>
        <v/>
      </c>
      <c r="K167" s="94">
        <f>-K154/K20</f>
        <v/>
      </c>
      <c r="L167" s="94">
        <f>-L154/L20</f>
        <v/>
      </c>
      <c r="M167" s="94">
        <f>-M154/M20</f>
        <v/>
      </c>
      <c r="N167" s="94">
        <f>-N154/N20</f>
        <v/>
      </c>
      <c r="O167" s="94">
        <f>-O154/O20</f>
        <v/>
      </c>
      <c r="P167" s="94">
        <f>-P154/P20</f>
        <v/>
      </c>
      <c r="Q167" s="94">
        <f>-Q154/Q20</f>
        <v/>
      </c>
      <c r="R167" s="94">
        <f>-R154/R20</f>
        <v/>
      </c>
      <c r="S167" s="94">
        <f>-S154/S20</f>
        <v/>
      </c>
      <c r="T167" s="94">
        <f>-T154/T20</f>
        <v/>
      </c>
      <c r="U167" s="94">
        <f>-U154/U20</f>
        <v/>
      </c>
    </row>
    <row r="168">
      <c r="G168" s="76" t="n"/>
      <c r="H168" s="76" t="n"/>
      <c r="I168" s="76" t="n"/>
      <c r="J168" s="76" t="n"/>
      <c r="K168" s="76" t="n"/>
      <c r="L168" s="76" t="n"/>
      <c r="M168" s="76" t="n"/>
      <c r="N168" s="76" t="n"/>
      <c r="O168" s="76" t="n"/>
      <c r="P168" s="76" t="n"/>
      <c r="Q168" s="76" t="n"/>
      <c r="R168" s="76" t="n"/>
      <c r="S168" s="76" t="n"/>
      <c r="T168" s="76" t="n"/>
      <c r="U168" s="76" t="n"/>
    </row>
    <row r="169">
      <c r="A169" s="22" t="inlineStr">
        <is>
          <t>Total trade receivable (trade +bills)</t>
        </is>
      </c>
      <c r="G169" s="86">
        <f>G39+G41</f>
        <v/>
      </c>
      <c r="H169" s="86">
        <f>H39+H41</f>
        <v/>
      </c>
      <c r="I169" s="86">
        <f>I39+I41</f>
        <v/>
      </c>
      <c r="J169" s="86">
        <f>J39+J41</f>
        <v/>
      </c>
      <c r="K169" s="86">
        <f>K39+K41</f>
        <v/>
      </c>
      <c r="L169" s="86">
        <f>L39+L41</f>
        <v/>
      </c>
      <c r="M169" s="86">
        <f>M39+M41</f>
        <v/>
      </c>
      <c r="N169" s="86">
        <f>N39+N41</f>
        <v/>
      </c>
      <c r="O169" s="86">
        <f>O39+O41</f>
        <v/>
      </c>
      <c r="P169" s="86">
        <f>P39+P41</f>
        <v/>
      </c>
      <c r="Q169" s="86">
        <f>Q39+Q41</f>
        <v/>
      </c>
      <c r="R169" s="86">
        <f>R39+R41</f>
        <v/>
      </c>
      <c r="S169" s="86">
        <f>S39+S41</f>
        <v/>
      </c>
      <c r="T169" s="86">
        <f>T39+T41</f>
        <v/>
      </c>
      <c r="U169" s="86">
        <f>U39+U41</f>
        <v/>
      </c>
    </row>
    <row r="170">
      <c r="A170" s="74" t="inlineStr">
        <is>
          <t>In turnover days</t>
        </is>
      </c>
      <c r="G170" s="884">
        <f>G169/(G$11/G221)</f>
        <v/>
      </c>
      <c r="H170" s="884">
        <f>H169/(H$11/H221)</f>
        <v/>
      </c>
      <c r="I170" s="884">
        <f>I169/(I$11/I221)</f>
        <v/>
      </c>
      <c r="J170" s="884">
        <f>J169/(J$11/J221)</f>
        <v/>
      </c>
      <c r="K170" s="884">
        <f>K169/(K$11/K221)</f>
        <v/>
      </c>
      <c r="L170" s="884">
        <f>L169/(L$11/L221)</f>
        <v/>
      </c>
      <c r="M170" s="884">
        <f>M169/(M$11/M221)</f>
        <v/>
      </c>
      <c r="N170" s="884">
        <f>N169/(N$11/N221)</f>
        <v/>
      </c>
      <c r="O170" s="884">
        <f>O169/(O$11/O221)</f>
        <v/>
      </c>
      <c r="P170" s="884">
        <f>P169/(P$11/P221)</f>
        <v/>
      </c>
      <c r="Q170" s="884">
        <f>Q169/(Q$11/Q221)</f>
        <v/>
      </c>
      <c r="R170" s="884">
        <f>R169/(R$11/R221)</f>
        <v/>
      </c>
      <c r="S170" s="884">
        <f>S169/(S$11/S221)</f>
        <v/>
      </c>
      <c r="T170" s="884">
        <f>T169/(T$11/T221)</f>
        <v/>
      </c>
      <c r="U170" s="884">
        <f>U169/(U$11/U221)</f>
        <v/>
      </c>
    </row>
    <row r="171">
      <c r="A171" s="22" t="inlineStr">
        <is>
          <t>Inventory turnover days</t>
        </is>
      </c>
      <c r="G171" s="884">
        <f>-G42/(G$12/G221)</f>
        <v/>
      </c>
      <c r="H171" s="884">
        <f>-H42/(H$12/H221)</f>
        <v/>
      </c>
      <c r="I171" s="884">
        <f>-I42/(I$12/I221)</f>
        <v/>
      </c>
      <c r="J171" s="884">
        <f>-J42/(J$12/J221)</f>
        <v/>
      </c>
      <c r="K171" s="884">
        <f>-K42/(K$12/K221)</f>
        <v/>
      </c>
      <c r="L171" s="884">
        <f>-L42/(L$12/L221)</f>
        <v/>
      </c>
      <c r="M171" s="884">
        <f>-M42/(M$12/M221)</f>
        <v/>
      </c>
      <c r="N171" s="884">
        <f>-N42/(N$12/N221)</f>
        <v/>
      </c>
      <c r="O171" s="884">
        <f>-O42/(O$12/O221)</f>
        <v/>
      </c>
      <c r="P171" s="884">
        <f>-P42/(P$12/P221)</f>
        <v/>
      </c>
      <c r="Q171" s="884">
        <f>-Q42/(Q$12/Q221)</f>
        <v/>
      </c>
      <c r="R171" s="884">
        <f>-R42/(R$12/R221)</f>
        <v/>
      </c>
      <c r="S171" s="884">
        <f>-S42/(S$12/S221)</f>
        <v/>
      </c>
      <c r="T171" s="884">
        <f>-T42/(T$12/T221)</f>
        <v/>
      </c>
      <c r="U171" s="884">
        <f>-U42/(U$12/U221)</f>
        <v/>
      </c>
    </row>
    <row r="172">
      <c r="A172" s="74" t="n"/>
      <c r="G172" s="31" t="n"/>
      <c r="H172" s="31" t="n"/>
      <c r="I172" s="31" t="n"/>
      <c r="J172" s="31" t="n"/>
      <c r="K172" s="31" t="n"/>
      <c r="L172" s="31" t="n"/>
      <c r="M172" s="31" t="n"/>
      <c r="N172" s="31" t="n"/>
      <c r="O172" s="31" t="n"/>
      <c r="P172" s="31" t="n"/>
      <c r="Q172" s="31" t="n"/>
      <c r="R172" s="31" t="n"/>
      <c r="S172" s="31" t="n"/>
      <c r="T172" s="31" t="n"/>
      <c r="U172" s="31" t="n"/>
    </row>
    <row r="173">
      <c r="A173" s="40" t="inlineStr">
        <is>
          <t>Capex total (ppe+intangible)</t>
        </is>
      </c>
      <c r="G173" s="86">
        <f>-G122-G123-G124</f>
        <v/>
      </c>
      <c r="H173" s="86">
        <f>-H122-H123-H124</f>
        <v/>
      </c>
      <c r="I173" s="86">
        <f>-I122-I123-I124</f>
        <v/>
      </c>
      <c r="J173" s="86">
        <f>-J122-J123-J124</f>
        <v/>
      </c>
      <c r="K173" s="86">
        <f>-K122-K123-K124</f>
        <v/>
      </c>
      <c r="L173" s="86">
        <f>-L122-L123-L124</f>
        <v/>
      </c>
      <c r="M173" s="86">
        <f>-M122-M123-M124</f>
        <v/>
      </c>
      <c r="N173" s="86">
        <f>-N122-N123-N124</f>
        <v/>
      </c>
      <c r="O173" s="86">
        <f>-O122-O123-O124</f>
        <v/>
      </c>
      <c r="P173" s="86">
        <f>-P122-P123-P124</f>
        <v/>
      </c>
      <c r="Q173" s="86">
        <f>-Q122-Q123-Q124</f>
        <v/>
      </c>
      <c r="R173" s="86">
        <f>-R122-R123-R124</f>
        <v/>
      </c>
      <c r="S173" s="86">
        <f>-S122-S123-S124</f>
        <v/>
      </c>
      <c r="T173" s="86">
        <f>-T122-T123-T124</f>
        <v/>
      </c>
      <c r="U173" s="86">
        <f>-U122-U123-U124</f>
        <v/>
      </c>
    </row>
    <row r="174">
      <c r="A174" s="74" t="inlineStr">
        <is>
          <t>As % of sales (capital intensity)</t>
        </is>
      </c>
      <c r="G174" s="882">
        <f>G173/G11</f>
        <v/>
      </c>
      <c r="H174" s="882">
        <f>H173/H11</f>
        <v/>
      </c>
      <c r="I174" s="882">
        <f>I173/I11</f>
        <v/>
      </c>
      <c r="J174" s="882">
        <f>J173/J11</f>
        <v/>
      </c>
      <c r="K174" s="882">
        <f>K173/K11</f>
        <v/>
      </c>
      <c r="L174" s="882">
        <f>L173/L11</f>
        <v/>
      </c>
      <c r="M174" s="882">
        <f>M173/M11</f>
        <v/>
      </c>
      <c r="N174" s="882">
        <f>N173/N11</f>
        <v/>
      </c>
      <c r="O174" s="882">
        <f>O173/O11</f>
        <v/>
      </c>
      <c r="P174" s="882">
        <f>P173/P11</f>
        <v/>
      </c>
      <c r="Q174" s="882">
        <f>Q173/Q11</f>
        <v/>
      </c>
      <c r="R174" s="882">
        <f>R173/R11</f>
        <v/>
      </c>
      <c r="S174" s="882">
        <f>S173/S11</f>
        <v/>
      </c>
      <c r="T174" s="882">
        <f>T173/T11</f>
        <v/>
      </c>
      <c r="U174" s="882">
        <f>U173/U11</f>
        <v/>
      </c>
    </row>
    <row r="175">
      <c r="A175" s="74" t="n"/>
      <c r="G175" s="31" t="n"/>
      <c r="H175" s="31" t="n"/>
      <c r="I175" s="31" t="n"/>
      <c r="J175" s="31" t="n"/>
      <c r="K175" s="31" t="n"/>
      <c r="L175" s="31" t="n"/>
      <c r="M175" s="31" t="n"/>
      <c r="N175" s="31" t="n"/>
      <c r="O175" s="31" t="n"/>
      <c r="P175" s="31" t="n"/>
      <c r="Q175" s="31" t="n"/>
      <c r="R175" s="31" t="n"/>
      <c r="S175" s="31" t="n"/>
      <c r="T175" s="31" t="n"/>
      <c r="U175" s="31" t="n"/>
    </row>
    <row r="176">
      <c r="A176" t="inlineStr">
        <is>
          <t>Dividends per share</t>
        </is>
      </c>
      <c r="G176" s="381">
        <f>SUMIF(FS_H!$1:$1,G$1,FS_H!176:176)</f>
        <v/>
      </c>
      <c r="H176" s="381">
        <f>SUMIF(FS_H!$1:$1,H$1,FS_H!176:176)</f>
        <v/>
      </c>
      <c r="I176" s="381">
        <f>SUMIF(FS_H!$1:$1,I$1,FS_H!176:176)</f>
        <v/>
      </c>
      <c r="J176" s="381">
        <f>SUMIF(FS_H!$1:$1,J$1,FS_H!176:176)</f>
        <v/>
      </c>
      <c r="K176" s="381">
        <f>SUMIF(FS_H!$1:$1,K$1,FS_H!176:176)</f>
        <v/>
      </c>
      <c r="L176" s="381">
        <f>SUMIF(FS_H!$1:$1,L$1,FS_H!176:176)</f>
        <v/>
      </c>
      <c r="M176" s="381">
        <f>SUMIF(FS_H!$1:$1,M$1,FS_H!176:176)</f>
        <v/>
      </c>
      <c r="N176" s="381">
        <f>SUMIF(FS_H!$1:$1,N$1,FS_H!176:176)</f>
        <v/>
      </c>
      <c r="O176" s="381">
        <f>SUMIF(FS_H!$1:$1,O$1,FS_H!176:176)</f>
        <v/>
      </c>
      <c r="P176" s="381">
        <f>SUMIF(FS_H!$1:$1,P$1,FS_H!176:176)</f>
        <v/>
      </c>
      <c r="Q176" s="381">
        <f>SUMIF(FS_H!$1:$1,Q$1,FS_H!176:176)</f>
        <v/>
      </c>
      <c r="R176" s="381">
        <f>SUMIF(FS_H!$1:$1,R$1,FS_H!176:176)</f>
        <v/>
      </c>
      <c r="S176" s="381">
        <f>SUMIF(FS_H!$1:$1,S$1,FS_H!176:176)</f>
        <v/>
      </c>
      <c r="T176" s="381">
        <f>SUMIF(FS_H!$1:$1,T$1,FS_H!176:176)</f>
        <v/>
      </c>
      <c r="U176" s="381">
        <f>SUMIF(FS_H!$1:$1,U$1,FS_H!176:176)</f>
        <v/>
      </c>
    </row>
    <row r="177">
      <c r="G177" s="31" t="n"/>
      <c r="H177" s="31" t="n"/>
      <c r="I177" s="31" t="n"/>
      <c r="J177" s="31" t="n"/>
      <c r="K177" s="31" t="n"/>
      <c r="L177" s="31" t="n"/>
      <c r="M177" s="31" t="n"/>
      <c r="N177" s="31" t="n"/>
      <c r="O177" s="31" t="n"/>
      <c r="P177" s="31" t="n"/>
      <c r="Q177" s="31" t="n"/>
      <c r="R177" s="31" t="n"/>
      <c r="S177" s="31" t="n"/>
      <c r="T177" s="31" t="n"/>
      <c r="U177" s="31" t="n"/>
    </row>
    <row r="178">
      <c r="A178" t="inlineStr">
        <is>
          <t>Total assets</t>
        </is>
      </c>
      <c r="G178" s="86">
        <f>G58</f>
        <v/>
      </c>
      <c r="H178" s="86">
        <f>H58</f>
        <v/>
      </c>
      <c r="I178" s="86">
        <f>I58</f>
        <v/>
      </c>
      <c r="J178" s="86">
        <f>J58</f>
        <v/>
      </c>
      <c r="K178" s="86">
        <f>K58</f>
        <v/>
      </c>
      <c r="L178" s="86">
        <f>L58</f>
        <v/>
      </c>
      <c r="M178" s="86">
        <f>M58</f>
        <v/>
      </c>
      <c r="N178" s="86">
        <f>N58</f>
        <v/>
      </c>
      <c r="O178" s="86">
        <f>O58</f>
        <v/>
      </c>
      <c r="P178" s="86">
        <f>P58</f>
        <v/>
      </c>
      <c r="Q178" s="86">
        <f>Q58</f>
        <v/>
      </c>
      <c r="R178" s="86">
        <f>R58</f>
        <v/>
      </c>
      <c r="S178" s="86">
        <f>S58</f>
        <v/>
      </c>
      <c r="T178" s="86">
        <f>T58</f>
        <v/>
      </c>
      <c r="U178" s="86">
        <f>U58</f>
        <v/>
      </c>
    </row>
    <row r="179">
      <c r="A179" s="105" t="inlineStr">
        <is>
          <t>add Off balance sheet operating lease</t>
        </is>
      </c>
      <c r="G179" s="141">
        <f>SUMIF(FS_H!$1:$1,G$1,FS_H!179:179)</f>
        <v/>
      </c>
      <c r="H179" s="141">
        <f>SUMIF(FS_H!$1:$1,H$1,FS_H!179:179)</f>
        <v/>
      </c>
      <c r="I179" s="141">
        <f>SUMIF(FS_H!$1:$1,I$1,FS_H!179:179)</f>
        <v/>
      </c>
      <c r="J179" s="141">
        <f>SUMIF(FS_H!$1:$1,J$1,FS_H!179:179)</f>
        <v/>
      </c>
      <c r="K179" s="141">
        <f>SUMIF(FS_H!$1:$1,K$1,FS_H!179:179)</f>
        <v/>
      </c>
      <c r="L179" s="141">
        <f>SUMIF(FS_H!$1:$1,L$1,FS_H!179:179)</f>
        <v/>
      </c>
      <c r="M179" s="141">
        <f>SUMIF(FS_H!$1:$1,M$1,FS_H!179:179)</f>
        <v/>
      </c>
      <c r="N179" s="141">
        <f>SUMIF(FS_H!$1:$1,N$1,FS_H!179:179)</f>
        <v/>
      </c>
      <c r="O179" s="141">
        <f>SUMIF(FS_H!$1:$1,O$1,FS_H!179:179)</f>
        <v/>
      </c>
      <c r="P179" s="141">
        <f>SUMIF(FS_H!$1:$1,P$1,FS_H!179:179)</f>
        <v/>
      </c>
      <c r="Q179" s="141">
        <f>SUMIF(FS_H!$1:$1,Q$1,FS_H!179:179)</f>
        <v/>
      </c>
      <c r="R179" s="141">
        <f>SUMIF(FS_H!$1:$1,R$1,FS_H!179:179)</f>
        <v/>
      </c>
      <c r="S179" s="141">
        <f>SUMIF(FS_H!$1:$1,S$1,FS_H!179:179)</f>
        <v/>
      </c>
      <c r="T179" s="141">
        <f>SUMIF(FS_H!$1:$1,T$1,FS_H!179:179)</f>
        <v/>
      </c>
      <c r="U179" s="141">
        <f>SUMIF(FS_H!$1:$1,U$1,FS_H!179:179)</f>
        <v/>
      </c>
    </row>
    <row r="180">
      <c r="A180" s="105" t="inlineStr">
        <is>
          <t>less Non operating assets</t>
        </is>
      </c>
      <c r="G180" s="86">
        <f>SUM(G157,G55,G44)</f>
        <v/>
      </c>
      <c r="H180" s="86">
        <f>SUM(H157,H55,H44)</f>
        <v/>
      </c>
      <c r="I180" s="86">
        <f>SUM(I157,I55,I44)</f>
        <v/>
      </c>
      <c r="J180" s="86">
        <f>SUM(J157,J55,J44)</f>
        <v/>
      </c>
      <c r="K180" s="86">
        <f>SUM(K157,K55,K44)</f>
        <v/>
      </c>
      <c r="L180" s="86">
        <f>SUM(L157,L55,L44)</f>
        <v/>
      </c>
      <c r="M180" s="86">
        <f>SUM(M157,M55,M44)</f>
        <v/>
      </c>
      <c r="N180" s="86">
        <f>SUM(N157,N55,N44)</f>
        <v/>
      </c>
      <c r="O180" s="86">
        <f>SUM(O157,O55,O44)</f>
        <v/>
      </c>
      <c r="P180" s="86">
        <f>SUM(P157,P55,P44)</f>
        <v/>
      </c>
      <c r="Q180" s="86">
        <f>SUM(Q157,Q55,Q44)</f>
        <v/>
      </c>
      <c r="R180" s="86">
        <f>SUM(R157,R55,R44)</f>
        <v/>
      </c>
      <c r="S180" s="86">
        <f>SUM(S157,S55,S44)</f>
        <v/>
      </c>
      <c r="T180" s="86">
        <f>SUM(T157,T55,T44)</f>
        <v/>
      </c>
      <c r="U180" s="86">
        <f>SUM(U157,U55,U44)</f>
        <v/>
      </c>
    </row>
    <row r="181">
      <c r="A181" s="105" t="inlineStr">
        <is>
          <t>less Operating liabilities</t>
        </is>
      </c>
      <c r="G181" s="86">
        <f>SUM(G61,G65,G76,G66,G62,G77,G64)</f>
        <v/>
      </c>
      <c r="H181" s="86">
        <f>SUM(H61,H65,H76,H66,H62,H77,H64)</f>
        <v/>
      </c>
      <c r="I181" s="86">
        <f>SUM(I61,I65,I76,I66,I62,I77,I64)</f>
        <v/>
      </c>
      <c r="J181" s="86">
        <f>SUM(J61,J65,J76,J66,J62,J77,J64)</f>
        <v/>
      </c>
      <c r="K181" s="86">
        <f>SUM(K61,K65,K76,K66,K62,K77,K64)</f>
        <v/>
      </c>
      <c r="L181" s="86">
        <f>SUM(L61,L65,L76,L66,L62,L77,L64)</f>
        <v/>
      </c>
      <c r="M181" s="86">
        <f>SUM(M61,M65,M76,M66,M62,M77,M64)</f>
        <v/>
      </c>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row>
    <row r="182">
      <c r="A182" s="22" t="inlineStr">
        <is>
          <t>Invested capital including goodwill</t>
        </is>
      </c>
      <c r="G182" s="86">
        <f>G178+G179-G180-G181</f>
        <v/>
      </c>
      <c r="H182" s="86">
        <f>H178+H179-H180-H181</f>
        <v/>
      </c>
      <c r="I182" s="86">
        <f>I178+I179-I180-I181</f>
        <v/>
      </c>
      <c r="J182" s="86">
        <f>J178+J179-J180-J181</f>
        <v/>
      </c>
      <c r="K182" s="86">
        <f>K178+K179-K180-K181</f>
        <v/>
      </c>
      <c r="L182" s="86">
        <f>L178+L179-L180-L181</f>
        <v/>
      </c>
      <c r="M182" s="86">
        <f>M178+M179-M180-M181</f>
        <v/>
      </c>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row>
    <row r="183">
      <c r="A183" s="22" t="inlineStr">
        <is>
          <t>Invested capital excluding goodwill</t>
        </is>
      </c>
      <c r="G183" s="86">
        <f>G182-G50</f>
        <v/>
      </c>
      <c r="H183" s="86">
        <f>H182-H50</f>
        <v/>
      </c>
      <c r="I183" s="86">
        <f>I182-I50</f>
        <v/>
      </c>
      <c r="J183" s="86">
        <f>J182-J50</f>
        <v/>
      </c>
      <c r="K183" s="86">
        <f>K182-K50</f>
        <v/>
      </c>
      <c r="L183" s="86">
        <f>L182-L50</f>
        <v/>
      </c>
      <c r="M183" s="86">
        <f>M182-M50</f>
        <v/>
      </c>
      <c r="N183" s="86">
        <f>N182-N50</f>
        <v/>
      </c>
      <c r="O183" s="86">
        <f>O182-O50</f>
        <v/>
      </c>
      <c r="P183" s="86">
        <f>P182-P50</f>
        <v/>
      </c>
      <c r="Q183" s="86">
        <f>Q182-Q50</f>
        <v/>
      </c>
      <c r="R183" s="86">
        <f>R182-R50</f>
        <v/>
      </c>
      <c r="S183" s="86">
        <f>S182-S50</f>
        <v/>
      </c>
      <c r="T183" s="86">
        <f>T182-T50</f>
        <v/>
      </c>
      <c r="U183" s="86">
        <f>U182-U50</f>
        <v/>
      </c>
    </row>
    <row r="184">
      <c r="G184" s="31" t="n"/>
      <c r="H184" s="31" t="n"/>
      <c r="I184" s="31" t="n"/>
      <c r="J184" s="31" t="n"/>
      <c r="K184" s="31" t="n"/>
      <c r="L184" s="31" t="n"/>
      <c r="M184" s="31" t="n"/>
      <c r="N184" s="31" t="n"/>
      <c r="O184" s="31" t="n"/>
      <c r="P184" s="31" t="n"/>
      <c r="Q184" s="31" t="n"/>
      <c r="R184" s="31" t="n"/>
      <c r="S184" s="31" t="n"/>
      <c r="T184" s="31" t="n"/>
      <c r="U184" s="31" t="n"/>
    </row>
    <row r="185">
      <c r="A185" s="105" t="inlineStr">
        <is>
          <t>Net profit from operations + earning from JV and associates</t>
        </is>
      </c>
      <c r="G185" s="86">
        <f>G18+G21</f>
        <v/>
      </c>
      <c r="H185" s="86">
        <f>H18+H21</f>
        <v/>
      </c>
      <c r="I185" s="86">
        <f>I18+I21</f>
        <v/>
      </c>
      <c r="J185" s="86">
        <f>J18+J21</f>
        <v/>
      </c>
      <c r="K185" s="86">
        <f>K18+K21</f>
        <v/>
      </c>
      <c r="L185" s="86">
        <f>L18+L21</f>
        <v/>
      </c>
      <c r="M185" s="86">
        <f>M18+M21</f>
        <v/>
      </c>
      <c r="N185" s="86">
        <f>N18+N21</f>
        <v/>
      </c>
      <c r="O185" s="86">
        <f>O18+O21</f>
        <v/>
      </c>
      <c r="P185" s="86">
        <f>P18+P21</f>
        <v/>
      </c>
      <c r="Q185" s="86">
        <f>Q18+Q21</f>
        <v/>
      </c>
      <c r="R185" s="86">
        <f>R18+R21</f>
        <v/>
      </c>
      <c r="S185" s="86">
        <f>S18+S21</f>
        <v/>
      </c>
      <c r="T185" s="86">
        <f>T18+T21</f>
        <v/>
      </c>
      <c r="U185" s="86">
        <f>U18+U21</f>
        <v/>
      </c>
    </row>
    <row r="186">
      <c r="A186" s="105" t="inlineStr">
        <is>
          <t>Income tax rate (marginal)</t>
        </is>
      </c>
      <c r="G186" s="885" t="n">
        <v>0.25</v>
      </c>
      <c r="H186" s="885" t="n">
        <v>0.25</v>
      </c>
      <c r="I186" s="885" t="n">
        <v>0.25</v>
      </c>
      <c r="J186" s="885" t="n">
        <v>0.25</v>
      </c>
      <c r="K186" s="885" t="n">
        <v>0.25</v>
      </c>
      <c r="L186" s="885" t="n">
        <v>0.25</v>
      </c>
      <c r="M186" s="885" t="n">
        <v>0.25</v>
      </c>
      <c r="N186" s="885" t="n">
        <v>0.25</v>
      </c>
      <c r="O186" s="885" t="n">
        <v>0.25</v>
      </c>
      <c r="P186" s="885" t="n">
        <v>0.25</v>
      </c>
      <c r="Q186" s="885" t="n">
        <v>0.25</v>
      </c>
      <c r="R186" s="885" t="n">
        <v>0.25</v>
      </c>
      <c r="S186" s="885" t="n">
        <v>0.25</v>
      </c>
      <c r="T186" s="885" t="n">
        <v>0.25</v>
      </c>
      <c r="U186" s="885" t="n">
        <v>0.25</v>
      </c>
    </row>
    <row r="187">
      <c r="A187" s="40" t="inlineStr">
        <is>
          <t>NOPLAT</t>
        </is>
      </c>
      <c r="G187" s="123">
        <f>G185*(1-G$186)</f>
        <v/>
      </c>
      <c r="H187" s="123">
        <f>H185*(1-H$186)</f>
        <v/>
      </c>
      <c r="I187" s="123">
        <f>I185*(1-I$186)</f>
        <v/>
      </c>
      <c r="J187" s="123">
        <f>J185*(1-J$186)</f>
        <v/>
      </c>
      <c r="K187" s="123">
        <f>K185*(1-K$186)</f>
        <v/>
      </c>
      <c r="L187" s="123">
        <f>L185*(1-L$186)</f>
        <v/>
      </c>
      <c r="M187" s="123">
        <f>M185*(1-M$186)</f>
        <v/>
      </c>
      <c r="N187" s="123">
        <f>N185*(1-N$186)</f>
        <v/>
      </c>
      <c r="O187" s="123">
        <f>O185*(1-O$186)</f>
        <v/>
      </c>
      <c r="P187" s="123">
        <f>P185*(1-P$186)</f>
        <v/>
      </c>
      <c r="Q187" s="123">
        <f>Q185*(1-Q$186)</f>
        <v/>
      </c>
      <c r="R187" s="123">
        <f>R185*(1-R$186)</f>
        <v/>
      </c>
      <c r="S187" s="123">
        <f>S185*(1-S$186)</f>
        <v/>
      </c>
      <c r="T187" s="123">
        <f>T185*(1-T$186)</f>
        <v/>
      </c>
      <c r="U187" s="123">
        <f>U185*(1-U$186)</f>
        <v/>
      </c>
    </row>
    <row r="188">
      <c r="A188" s="174" t="inlineStr">
        <is>
          <t>Add: Depreciation and amortization</t>
        </is>
      </c>
      <c r="G188" s="86">
        <f>G104+G105</f>
        <v/>
      </c>
      <c r="H188" s="86">
        <f>H104+H105</f>
        <v/>
      </c>
      <c r="I188" s="86">
        <f>I104+I105</f>
        <v/>
      </c>
      <c r="J188" s="86">
        <f>J104+J105</f>
        <v/>
      </c>
      <c r="K188" s="86">
        <f>K104+K105</f>
        <v/>
      </c>
      <c r="L188" s="86">
        <f>L104+L105</f>
        <v/>
      </c>
      <c r="M188" s="86">
        <f>M104+M105</f>
        <v/>
      </c>
      <c r="N188" s="86">
        <f>N104+N105</f>
        <v/>
      </c>
      <c r="O188" s="86">
        <f>O104+O105</f>
        <v/>
      </c>
      <c r="P188" s="86">
        <f>P104+P105</f>
        <v/>
      </c>
      <c r="Q188" s="86">
        <f>Q104+Q105</f>
        <v/>
      </c>
      <c r="R188" s="86">
        <f>R104+R105</f>
        <v/>
      </c>
      <c r="S188" s="86">
        <f>S104+S105</f>
        <v/>
      </c>
      <c r="T188" s="86">
        <f>T104+T105</f>
        <v/>
      </c>
      <c r="U188" s="86">
        <f>U104+U105</f>
        <v/>
      </c>
    </row>
    <row r="189">
      <c r="A189" s="105" t="inlineStr">
        <is>
          <t>Gross cash flow</t>
        </is>
      </c>
      <c r="G189" s="86">
        <f>G187+G188</f>
        <v/>
      </c>
      <c r="H189" s="86">
        <f>H187+H188</f>
        <v/>
      </c>
      <c r="I189" s="86">
        <f>I187+I188</f>
        <v/>
      </c>
      <c r="J189" s="86">
        <f>J187+J188</f>
        <v/>
      </c>
      <c r="K189" s="86">
        <f>K187+K188</f>
        <v/>
      </c>
      <c r="L189" s="86">
        <f>L187+L188</f>
        <v/>
      </c>
      <c r="M189" s="86">
        <f>M187+M188</f>
        <v/>
      </c>
      <c r="N189" s="86">
        <f>N187+N188</f>
        <v/>
      </c>
      <c r="O189" s="86">
        <f>O187+O188</f>
        <v/>
      </c>
      <c r="P189" s="86">
        <f>P187+P188</f>
        <v/>
      </c>
      <c r="Q189" s="86">
        <f>Q187+Q188</f>
        <v/>
      </c>
      <c r="R189" s="86">
        <f>R187+R188</f>
        <v/>
      </c>
      <c r="S189" s="86">
        <f>S187+S188</f>
        <v/>
      </c>
      <c r="T189" s="86">
        <f>T187+T188</f>
        <v/>
      </c>
      <c r="U189" s="86">
        <f>U187+U188</f>
        <v/>
      </c>
    </row>
    <row r="190">
      <c r="A190" s="105" t="inlineStr">
        <is>
          <t>Gross investment, including</t>
        </is>
      </c>
      <c r="G190" s="86">
        <f>SUM(G191:G196)</f>
        <v/>
      </c>
      <c r="H190" s="86">
        <f>SUM(H191:H196)</f>
        <v/>
      </c>
      <c r="I190" s="86">
        <f>SUM(I191:I196)</f>
        <v/>
      </c>
      <c r="J190" s="86">
        <f>SUM(J191:J196)</f>
        <v/>
      </c>
      <c r="K190" s="86">
        <f>SUM(K191:K196)</f>
        <v/>
      </c>
      <c r="L190" s="86">
        <f>SUM(L191:L196)</f>
        <v/>
      </c>
      <c r="M190" s="86">
        <f>SUM(M191:M196)</f>
        <v/>
      </c>
      <c r="N190" s="86">
        <f>SUM(N191:N196)</f>
        <v/>
      </c>
      <c r="O190" s="86">
        <f>SUM(O191:O196)</f>
        <v/>
      </c>
      <c r="P190" s="86">
        <f>SUM(P191:P196)</f>
        <v/>
      </c>
      <c r="Q190" s="86">
        <f>SUM(Q191:Q196)</f>
        <v/>
      </c>
      <c r="R190" s="86">
        <f>SUM(R191:R196)</f>
        <v/>
      </c>
      <c r="S190" s="86">
        <f>SUM(S191:S196)</f>
        <v/>
      </c>
      <c r="T190" s="86">
        <f>SUM(T191:T196)</f>
        <v/>
      </c>
      <c r="U190" s="86">
        <f>SUM(U191:U196)</f>
        <v/>
      </c>
    </row>
    <row r="191">
      <c r="A191" s="74" t="inlineStr">
        <is>
          <t>Increase in working capital</t>
        </is>
      </c>
      <c r="G191" s="86">
        <f>-SUM(G111:G115)</f>
        <v/>
      </c>
      <c r="H191" s="86">
        <f>-SUM(H111:H115)</f>
        <v/>
      </c>
      <c r="I191" s="86">
        <f>-SUM(I111:I115)</f>
        <v/>
      </c>
      <c r="J191" s="86">
        <f>-SUM(J111:J115)</f>
        <v/>
      </c>
      <c r="K191" s="86">
        <f>-SUM(K111:K115)</f>
        <v/>
      </c>
      <c r="L191" s="86">
        <f>-SUM(L111:L115)</f>
        <v/>
      </c>
      <c r="M191" s="86">
        <f>-SUM(M111:M115)</f>
        <v/>
      </c>
      <c r="N191" s="86">
        <f>-SUM(N111:N115)</f>
        <v/>
      </c>
      <c r="O191" s="86">
        <f>-SUM(O111:O115)</f>
        <v/>
      </c>
      <c r="P191" s="86">
        <f>-SUM(P111:P115)</f>
        <v/>
      </c>
      <c r="Q191" s="86">
        <f>-SUM(Q111:Q115)</f>
        <v/>
      </c>
      <c r="R191" s="86">
        <f>-SUM(R111:R115)</f>
        <v/>
      </c>
      <c r="S191" s="86">
        <f>-SUM(S111:S115)</f>
        <v/>
      </c>
      <c r="T191" s="86">
        <f>-SUM(T111:T115)</f>
        <v/>
      </c>
      <c r="U191" s="86">
        <f>-SUM(U111:U115)</f>
        <v/>
      </c>
    </row>
    <row r="192">
      <c r="A192" s="74" t="inlineStr">
        <is>
          <t>Increase in working cash</t>
        </is>
      </c>
      <c r="G192" s="86">
        <f>G158-F158</f>
        <v/>
      </c>
      <c r="H192" s="86">
        <f>H158-G158</f>
        <v/>
      </c>
      <c r="I192" s="86">
        <f>I158-H158</f>
        <v/>
      </c>
      <c r="J192" s="86">
        <f>J158-I158</f>
        <v/>
      </c>
      <c r="K192" s="86">
        <f>K158-J158</f>
        <v/>
      </c>
      <c r="L192" s="86">
        <f>L158-K158</f>
        <v/>
      </c>
      <c r="M192" s="86">
        <f>M158-L158</f>
        <v/>
      </c>
      <c r="N192" s="86">
        <f>N158-M158</f>
        <v/>
      </c>
      <c r="O192" s="86">
        <f>O158-N158</f>
        <v/>
      </c>
      <c r="P192" s="86">
        <f>P158-O158</f>
        <v/>
      </c>
      <c r="Q192" s="86">
        <f>Q158-P158</f>
        <v/>
      </c>
      <c r="R192" s="86">
        <f>R158-Q158</f>
        <v/>
      </c>
      <c r="S192" s="86">
        <f>S158-R158</f>
        <v/>
      </c>
      <c r="T192" s="86">
        <f>T158-S158</f>
        <v/>
      </c>
      <c r="U192" s="86">
        <f>U158-T158</f>
        <v/>
      </c>
    </row>
    <row r="193">
      <c r="A193" s="74" t="inlineStr">
        <is>
          <t>Increase in loans receivables</t>
        </is>
      </c>
      <c r="G193" s="86">
        <f>-G109</f>
        <v/>
      </c>
      <c r="H193" s="86">
        <f>-H109</f>
        <v/>
      </c>
      <c r="I193" s="86">
        <f>-I109</f>
        <v/>
      </c>
      <c r="J193" s="86">
        <f>-J109</f>
        <v/>
      </c>
      <c r="K193" s="86">
        <f>-K109</f>
        <v/>
      </c>
      <c r="L193" s="86">
        <f>-L109</f>
        <v/>
      </c>
      <c r="M193" s="86">
        <f>-M109</f>
        <v/>
      </c>
      <c r="N193" s="86">
        <f>-N109</f>
        <v/>
      </c>
      <c r="O193" s="86">
        <f>-O109</f>
        <v/>
      </c>
      <c r="P193" s="86">
        <f>-P109</f>
        <v/>
      </c>
      <c r="Q193" s="86">
        <f>-Q109</f>
        <v/>
      </c>
      <c r="R193" s="86">
        <f>-R109</f>
        <v/>
      </c>
      <c r="S193" s="86">
        <f>-S109</f>
        <v/>
      </c>
      <c r="T193" s="86">
        <f>-T109</f>
        <v/>
      </c>
      <c r="U193" s="86">
        <f>-U109</f>
        <v/>
      </c>
    </row>
    <row r="194">
      <c r="A194" s="74" t="inlineStr">
        <is>
          <t>Increase in net tax assets</t>
        </is>
      </c>
      <c r="G194" s="86">
        <f>G54-F54-(G75-F75+G65-F65)</f>
        <v/>
      </c>
      <c r="H194" s="86">
        <f>H54-G54-(H75-G75+H65-G65)</f>
        <v/>
      </c>
      <c r="I194" s="86">
        <f>I54-H54-(I75-H75+I65-H65)</f>
        <v/>
      </c>
      <c r="J194" s="86">
        <f>J54-I54-(J75-I75+J65-I65)</f>
        <v/>
      </c>
      <c r="K194" s="86">
        <f>K54-J54-(K75-J75+K65-J65)</f>
        <v/>
      </c>
      <c r="L194" s="86">
        <f>L54-K54-(L75-K75+L65-K65)</f>
        <v/>
      </c>
      <c r="M194" s="86">
        <f>M54-L54-(M75-L75+M65-L65)</f>
        <v/>
      </c>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row>
    <row r="195">
      <c r="A195" s="74" t="inlineStr">
        <is>
          <t>Increase in investment in JV/Associates</t>
        </is>
      </c>
      <c r="G195" s="86">
        <f>G52-F52</f>
        <v/>
      </c>
      <c r="H195" s="86">
        <f>H52-G52</f>
        <v/>
      </c>
      <c r="I195" s="86">
        <f>I52-H52</f>
        <v/>
      </c>
      <c r="J195" s="86">
        <f>J52-I52</f>
        <v/>
      </c>
      <c r="K195" s="86">
        <f>K52-J52</f>
        <v/>
      </c>
      <c r="L195" s="86">
        <f>L52-K52</f>
        <v/>
      </c>
      <c r="M195" s="86">
        <f>M52-L52</f>
        <v/>
      </c>
      <c r="N195" s="86">
        <f>N52-M52</f>
        <v/>
      </c>
      <c r="O195" s="86">
        <f>O52-N52</f>
        <v/>
      </c>
      <c r="P195" s="86">
        <f>P52-O52</f>
        <v/>
      </c>
      <c r="Q195" s="86">
        <f>Q52-P52</f>
        <v/>
      </c>
      <c r="R195" s="86">
        <f>R52-Q52</f>
        <v/>
      </c>
      <c r="S195" s="86">
        <f>S52-R52</f>
        <v/>
      </c>
      <c r="T195" s="86">
        <f>T52-S52</f>
        <v/>
      </c>
      <c r="U195" s="86">
        <f>U52-T52</f>
        <v/>
      </c>
    </row>
    <row r="196">
      <c r="A196" s="74" t="inlineStr">
        <is>
          <t>Capex</t>
        </is>
      </c>
      <c r="G196" s="86">
        <f>G173</f>
        <v/>
      </c>
      <c r="H196" s="86">
        <f>H173</f>
        <v/>
      </c>
      <c r="I196" s="86">
        <f>I173</f>
        <v/>
      </c>
      <c r="J196" s="86">
        <f>J173</f>
        <v/>
      </c>
      <c r="K196" s="86">
        <f>K173</f>
        <v/>
      </c>
      <c r="L196" s="86">
        <f>L173</f>
        <v/>
      </c>
      <c r="M196" s="86">
        <f>M173</f>
        <v/>
      </c>
      <c r="N196" s="86">
        <f>N173</f>
        <v/>
      </c>
      <c r="O196" s="86">
        <f>O173</f>
        <v/>
      </c>
      <c r="P196" s="86">
        <f>P173</f>
        <v/>
      </c>
      <c r="Q196" s="86">
        <f>Q173</f>
        <v/>
      </c>
      <c r="R196" s="86">
        <f>R173</f>
        <v/>
      </c>
      <c r="S196" s="86">
        <f>S173</f>
        <v/>
      </c>
      <c r="T196" s="86">
        <f>T173</f>
        <v/>
      </c>
      <c r="U196" s="86">
        <f>U173</f>
        <v/>
      </c>
    </row>
    <row r="197">
      <c r="A197" s="40" t="inlineStr">
        <is>
          <t>FCF</t>
        </is>
      </c>
      <c r="G197" s="158">
        <f>G189-G190</f>
        <v/>
      </c>
      <c r="H197" s="158">
        <f>H189-H190</f>
        <v/>
      </c>
      <c r="I197" s="158">
        <f>I189-I190</f>
        <v/>
      </c>
      <c r="J197" s="158">
        <f>J189-J190</f>
        <v/>
      </c>
      <c r="K197" s="158">
        <f>K189-K190</f>
        <v/>
      </c>
      <c r="L197" s="158">
        <f>L189-L190</f>
        <v/>
      </c>
      <c r="M197" s="158">
        <f>M189-M190</f>
        <v/>
      </c>
      <c r="N197" s="158">
        <f>N189-N190</f>
        <v/>
      </c>
      <c r="O197" s="158">
        <f>O189-O190</f>
        <v/>
      </c>
      <c r="P197" s="158">
        <f>P189-P190</f>
        <v/>
      </c>
      <c r="Q197" s="158">
        <f>Q189-Q190</f>
        <v/>
      </c>
      <c r="R197" s="158">
        <f>R189-R190</f>
        <v/>
      </c>
      <c r="S197" s="158">
        <f>S189-S190</f>
        <v/>
      </c>
      <c r="T197" s="158">
        <f>T189-T190</f>
        <v/>
      </c>
      <c r="U197" s="158">
        <f>U189-U190</f>
        <v/>
      </c>
    </row>
    <row r="198" outlineLevel="1">
      <c r="A198" s="106" t="inlineStr">
        <is>
          <t>FCF (alt. NOPLAT - NET CHANGE IN IC)</t>
        </is>
      </c>
      <c r="G198" s="159">
        <f>G187-(G182-F182)</f>
        <v/>
      </c>
      <c r="H198" s="159">
        <f>H187-(H182-G182)</f>
        <v/>
      </c>
      <c r="I198" s="159">
        <f>I187-(I182-H182)</f>
        <v/>
      </c>
      <c r="J198" s="159">
        <f>J187-(J182-I182)</f>
        <v/>
      </c>
      <c r="K198" s="159">
        <f>K187-(K182-J182)</f>
        <v/>
      </c>
      <c r="L198" s="159">
        <f>L187-(L182-K182)</f>
        <v/>
      </c>
      <c r="M198" s="159">
        <f>M187-(M182-L182)</f>
        <v/>
      </c>
      <c r="N198" s="159">
        <f>N187-(N182-M182)</f>
        <v/>
      </c>
      <c r="O198" s="159">
        <f>O187-(O182-N182)</f>
        <v/>
      </c>
      <c r="P198" s="159">
        <f>P187-(P182-O182)</f>
        <v/>
      </c>
      <c r="Q198" s="159">
        <f>Q187-(Q182-P182)</f>
        <v/>
      </c>
      <c r="R198" s="159">
        <f>R187-(R182-Q182)</f>
        <v/>
      </c>
      <c r="S198" s="159">
        <f>S187-(S182-R182)</f>
        <v/>
      </c>
      <c r="T198" s="159">
        <f>T187-(T182-S182)</f>
        <v/>
      </c>
      <c r="U198" s="159">
        <f>U187-(U182-T182)</f>
        <v/>
      </c>
    </row>
    <row r="199" outlineLevel="1">
      <c r="A199" s="22" t="inlineStr">
        <is>
          <t>ROIC including goodwill</t>
        </is>
      </c>
      <c r="G199" s="886">
        <f>G187/AVERAGE(F182,G182)*G223</f>
        <v/>
      </c>
      <c r="H199" s="886">
        <f>H187/AVERAGE(G182,H182)*H223</f>
        <v/>
      </c>
      <c r="I199" s="886">
        <f>I187/AVERAGE(H182,I182)*I223</f>
        <v/>
      </c>
      <c r="J199" s="886">
        <f>J187/AVERAGE(I182,J182)*J223</f>
        <v/>
      </c>
      <c r="K199" s="886">
        <f>K187/AVERAGE(J182,K182)*K223</f>
        <v/>
      </c>
      <c r="L199" s="886">
        <f>L187/AVERAGE(K182,L182)*L223</f>
        <v/>
      </c>
      <c r="M199" s="886">
        <f>M187/AVERAGE(L182,M182)*M223</f>
        <v/>
      </c>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row>
    <row r="200" outlineLevel="1">
      <c r="A200" s="22" t="inlineStr">
        <is>
          <t>ROIC excluding goodwill</t>
        </is>
      </c>
      <c r="G200" s="887">
        <f>G187/AVERAGE(F183,G183)*G223</f>
        <v/>
      </c>
      <c r="H200" s="887">
        <f>H187/AVERAGE(G183,H183)*H223</f>
        <v/>
      </c>
      <c r="I200" s="887">
        <f>I187/AVERAGE(H183,I183)*I223</f>
        <v/>
      </c>
      <c r="J200" s="887">
        <f>J187/AVERAGE(I183,J183)*J223</f>
        <v/>
      </c>
      <c r="K200" s="887">
        <f>K187/AVERAGE(J183,K183)*K223</f>
        <v/>
      </c>
      <c r="L200" s="887">
        <f>L187/AVERAGE(K183,L183)*L223</f>
        <v/>
      </c>
      <c r="M200" s="887">
        <f>M187/AVERAGE(L183,M183)*M223</f>
        <v/>
      </c>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row>
    <row r="201" outlineLevel="1">
      <c r="A201" s="22" t="inlineStr">
        <is>
          <t>ROE</t>
        </is>
      </c>
      <c r="G201" s="882">
        <f>G24/AVERAGE(G92,F92)*G223</f>
        <v/>
      </c>
      <c r="H201" s="882">
        <f>H24/AVERAGE(H92,G92)*H223</f>
        <v/>
      </c>
      <c r="I201" s="882">
        <f>I24/AVERAGE(I92,H92)*I223</f>
        <v/>
      </c>
      <c r="J201" s="882">
        <f>J24/AVERAGE(J92,I92)*J223</f>
        <v/>
      </c>
      <c r="K201" s="882">
        <f>K24/AVERAGE(K92,J92)*K223</f>
        <v/>
      </c>
      <c r="L201" s="882">
        <f>L24/AVERAGE(L92,K92)*L223</f>
        <v/>
      </c>
      <c r="M201" s="882">
        <f>M24/AVERAGE(M92,L92)*M223</f>
        <v/>
      </c>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row>
    <row r="202" outlineLevel="1">
      <c r="A202" s="21" t="inlineStr">
        <is>
          <t>RONIC</t>
        </is>
      </c>
      <c r="G202" s="882">
        <f>(G187-F187)/(G182-F182)</f>
        <v/>
      </c>
      <c r="H202" s="882">
        <f>(H187-G187)/(H182-G182)</f>
        <v/>
      </c>
      <c r="I202" s="882">
        <f>(I187-H187)/(I182-H182)</f>
        <v/>
      </c>
      <c r="J202" s="882">
        <f>(J187-I187)/(J182-I182)</f>
        <v/>
      </c>
      <c r="K202" s="882">
        <f>(K187-J187)/(K182-J182)</f>
        <v/>
      </c>
      <c r="L202" s="882">
        <f>(L187-K187)/(L182-K182)</f>
        <v/>
      </c>
      <c r="M202" s="882">
        <f>(M187-L187)/(M182-L182)</f>
        <v/>
      </c>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row>
    <row r="203" outlineLevel="1">
      <c r="G203" s="31" t="n"/>
      <c r="H203" s="31" t="n"/>
      <c r="I203" s="31" t="n"/>
      <c r="J203" s="31" t="n"/>
      <c r="K203" s="31" t="n"/>
      <c r="L203" s="31" t="n"/>
      <c r="M203" s="31" t="n"/>
      <c r="N203" s="31" t="n"/>
      <c r="O203" s="31" t="n"/>
      <c r="P203" s="31" t="n"/>
      <c r="Q203" s="31" t="n"/>
      <c r="R203" s="31" t="n"/>
      <c r="S203" s="31" t="n"/>
      <c r="T203" s="31" t="n"/>
      <c r="U203" s="31" t="n"/>
    </row>
    <row r="204" outlineLevel="1">
      <c r="A204" s="105" t="inlineStr">
        <is>
          <t>Working capital</t>
        </is>
      </c>
      <c r="G204" s="86">
        <f>G39+G41+G42+G43-G61-G62-G64-G76</f>
        <v/>
      </c>
      <c r="H204" s="86">
        <f>H39+H41+H42+H43-H61-H62-H64-H76</f>
        <v/>
      </c>
      <c r="I204" s="86">
        <f>I39+I41+I42+I43-I61-I62-I64-I76</f>
        <v/>
      </c>
      <c r="J204" s="86">
        <f>J39+J41+J42+J43-J61-J62-J64-J76</f>
        <v/>
      </c>
      <c r="K204" s="86">
        <f>K39+K41+K42+K43-K61-K62-K64-K76</f>
        <v/>
      </c>
      <c r="L204" s="86">
        <f>L39+L41+L42+L43-L61-L62-L64-L76</f>
        <v/>
      </c>
      <c r="M204" s="86">
        <f>M39+M41+M42+M43-M61-M62-M64-M76</f>
        <v/>
      </c>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row>
    <row r="205" outlineLevel="1">
      <c r="A205" s="74" t="inlineStr">
        <is>
          <t>% of invested capital excluding goodwill</t>
        </is>
      </c>
      <c r="G205" s="882">
        <f>G204/G$183</f>
        <v/>
      </c>
      <c r="H205" s="882">
        <f>H204/H$183</f>
        <v/>
      </c>
      <c r="I205" s="882">
        <f>I204/I$183</f>
        <v/>
      </c>
      <c r="J205" s="882">
        <f>J204/J$183</f>
        <v/>
      </c>
      <c r="K205" s="882">
        <f>K204/K$183</f>
        <v/>
      </c>
      <c r="L205" s="882">
        <f>L204/L$183</f>
        <v/>
      </c>
      <c r="M205" s="882">
        <f>M204/M$183</f>
        <v/>
      </c>
      <c r="N205" s="882">
        <f>N204/N$183</f>
        <v/>
      </c>
      <c r="O205" s="882">
        <f>O204/O$183</f>
        <v/>
      </c>
      <c r="P205" s="882">
        <f>P204/P$183</f>
        <v/>
      </c>
      <c r="Q205" s="882">
        <f>Q204/Q$183</f>
        <v/>
      </c>
      <c r="R205" s="882">
        <f>R204/R$183</f>
        <v/>
      </c>
      <c r="S205" s="882">
        <f>S204/S$183</f>
        <v/>
      </c>
      <c r="T205" s="882">
        <f>T204/T$183</f>
        <v/>
      </c>
      <c r="U205" s="882">
        <f>U204/U$183</f>
        <v/>
      </c>
    </row>
    <row r="206" outlineLevel="1">
      <c r="A206" s="105" t="inlineStr">
        <is>
          <t>PPE</t>
        </is>
      </c>
      <c r="G206" s="86">
        <f>G48</f>
        <v/>
      </c>
      <c r="H206" s="86">
        <f>H48</f>
        <v/>
      </c>
      <c r="I206" s="86">
        <f>I48</f>
        <v/>
      </c>
      <c r="J206" s="86">
        <f>J48</f>
        <v/>
      </c>
      <c r="K206" s="86">
        <f>K48</f>
        <v/>
      </c>
      <c r="L206" s="86">
        <f>L48</f>
        <v/>
      </c>
      <c r="M206" s="86">
        <f>M48</f>
        <v/>
      </c>
      <c r="N206" s="86">
        <f>N48</f>
        <v/>
      </c>
      <c r="O206" s="86">
        <f>O48</f>
        <v/>
      </c>
      <c r="P206" s="86">
        <f>P48</f>
        <v/>
      </c>
      <c r="Q206" s="86">
        <f>Q48</f>
        <v/>
      </c>
      <c r="R206" s="86">
        <f>R48</f>
        <v/>
      </c>
      <c r="S206" s="86">
        <f>S48</f>
        <v/>
      </c>
      <c r="T206" s="86">
        <f>T48</f>
        <v/>
      </c>
      <c r="U206" s="86">
        <f>U48</f>
        <v/>
      </c>
    </row>
    <row r="207" outlineLevel="1">
      <c r="A207" s="74" t="inlineStr">
        <is>
          <t>% of invested capital excluding goodwill</t>
        </is>
      </c>
      <c r="G207" s="882">
        <f>G206/G$183</f>
        <v/>
      </c>
      <c r="H207" s="882">
        <f>H206/H$183</f>
        <v/>
      </c>
      <c r="I207" s="882">
        <f>I206/I$183</f>
        <v/>
      </c>
      <c r="J207" s="882">
        <f>J206/J$183</f>
        <v/>
      </c>
      <c r="K207" s="882">
        <f>K206/K$183</f>
        <v/>
      </c>
      <c r="L207" s="882">
        <f>L206/L$183</f>
        <v/>
      </c>
      <c r="M207" s="882">
        <f>M206/M$183</f>
        <v/>
      </c>
      <c r="N207" s="882">
        <f>N206/N$183</f>
        <v/>
      </c>
      <c r="O207" s="882">
        <f>O206/O$183</f>
        <v/>
      </c>
      <c r="P207" s="882">
        <f>P206/P$183</f>
        <v/>
      </c>
      <c r="Q207" s="882">
        <f>Q206/Q$183</f>
        <v/>
      </c>
      <c r="R207" s="882">
        <f>R206/R$183</f>
        <v/>
      </c>
      <c r="S207" s="882">
        <f>S206/S$183</f>
        <v/>
      </c>
      <c r="T207" s="882">
        <f>T206/T$183</f>
        <v/>
      </c>
      <c r="U207" s="882">
        <f>U206/U$183</f>
        <v/>
      </c>
    </row>
    <row r="208" outlineLevel="1">
      <c r="A208" s="105" t="inlineStr">
        <is>
          <t>Prepaid land lease and other intangible</t>
        </is>
      </c>
      <c r="G208" s="86">
        <f>G51+G49</f>
        <v/>
      </c>
      <c r="H208" s="86">
        <f>H51+H49</f>
        <v/>
      </c>
      <c r="I208" s="86">
        <f>I51+I49</f>
        <v/>
      </c>
      <c r="J208" s="86">
        <f>J51+J49</f>
        <v/>
      </c>
      <c r="K208" s="86">
        <f>K51+K49</f>
        <v/>
      </c>
      <c r="L208" s="86">
        <f>L51+L49</f>
        <v/>
      </c>
      <c r="M208" s="86">
        <f>M51+M49</f>
        <v/>
      </c>
      <c r="N208" s="86">
        <f>N51+N49</f>
        <v/>
      </c>
      <c r="O208" s="86">
        <f>O51+O49</f>
        <v/>
      </c>
      <c r="P208" s="86">
        <f>P51+P49</f>
        <v/>
      </c>
      <c r="Q208" s="86">
        <f>Q51+Q49</f>
        <v/>
      </c>
      <c r="R208" s="86">
        <f>R51+R49</f>
        <v/>
      </c>
      <c r="S208" s="86">
        <f>S51+S49</f>
        <v/>
      </c>
      <c r="T208" s="86">
        <f>T51+T49</f>
        <v/>
      </c>
      <c r="U208" s="86">
        <f>U51+U49</f>
        <v/>
      </c>
    </row>
    <row r="209" outlineLevel="1">
      <c r="A209" s="74" t="inlineStr">
        <is>
          <t>% of invested capital excluding goodwill</t>
        </is>
      </c>
      <c r="G209" s="882">
        <f>G208/G$183</f>
        <v/>
      </c>
      <c r="H209" s="882">
        <f>H208/H$183</f>
        <v/>
      </c>
      <c r="I209" s="882">
        <f>I208/I$183</f>
        <v/>
      </c>
      <c r="J209" s="882">
        <f>J208/J$183</f>
        <v/>
      </c>
      <c r="K209" s="882">
        <f>K208/K$183</f>
        <v/>
      </c>
      <c r="L209" s="882">
        <f>L208/L$183</f>
        <v/>
      </c>
      <c r="M209" s="882">
        <f>M208/M$183</f>
        <v/>
      </c>
      <c r="N209" s="882">
        <f>N208/N$183</f>
        <v/>
      </c>
      <c r="O209" s="882">
        <f>O208/O$183</f>
        <v/>
      </c>
      <c r="P209" s="882">
        <f>P208/P$183</f>
        <v/>
      </c>
      <c r="Q209" s="882">
        <f>Q208/Q$183</f>
        <v/>
      </c>
      <c r="R209" s="882">
        <f>R208/R$183</f>
        <v/>
      </c>
      <c r="S209" s="882">
        <f>S208/S$183</f>
        <v/>
      </c>
      <c r="T209" s="882">
        <f>T208/T$183</f>
        <v/>
      </c>
      <c r="U209" s="882">
        <f>U208/U$183</f>
        <v/>
      </c>
    </row>
    <row r="210" outlineLevel="1">
      <c r="A210" s="105" t="inlineStr">
        <is>
          <t>Working cash</t>
        </is>
      </c>
      <c r="G210" s="86">
        <f>G158+G53</f>
        <v/>
      </c>
      <c r="H210" s="86">
        <f>H158+H53</f>
        <v/>
      </c>
      <c r="I210" s="86">
        <f>I158+I53</f>
        <v/>
      </c>
      <c r="J210" s="86">
        <f>J158+J53</f>
        <v/>
      </c>
      <c r="K210" s="86">
        <f>K158+K53</f>
        <v/>
      </c>
      <c r="L210" s="86">
        <f>L158+L53</f>
        <v/>
      </c>
      <c r="M210" s="86">
        <f>M158+M53</f>
        <v/>
      </c>
      <c r="N210" s="86">
        <f>N158+N53</f>
        <v/>
      </c>
      <c r="O210" s="86">
        <f>O158+O53</f>
        <v/>
      </c>
      <c r="P210" s="86">
        <f>P158+P53</f>
        <v/>
      </c>
      <c r="Q210" s="86">
        <f>Q158+Q53</f>
        <v/>
      </c>
      <c r="R210" s="86">
        <f>R158+R53</f>
        <v/>
      </c>
      <c r="S210" s="86">
        <f>S158+S53</f>
        <v/>
      </c>
      <c r="T210" s="86">
        <f>T158+T53</f>
        <v/>
      </c>
      <c r="U210" s="86">
        <f>U158+U53</f>
        <v/>
      </c>
    </row>
    <row r="211" outlineLevel="1">
      <c r="A211" s="74" t="inlineStr">
        <is>
          <t>% of invested capital excluding goodwill</t>
        </is>
      </c>
      <c r="G211" s="882">
        <f>G210/G$183</f>
        <v/>
      </c>
      <c r="H211" s="882">
        <f>H210/H$183</f>
        <v/>
      </c>
      <c r="I211" s="882">
        <f>I210/I$183</f>
        <v/>
      </c>
      <c r="J211" s="882">
        <f>J210/J$183</f>
        <v/>
      </c>
      <c r="K211" s="882">
        <f>K210/K$183</f>
        <v/>
      </c>
      <c r="L211" s="882">
        <f>L210/L$183</f>
        <v/>
      </c>
      <c r="M211" s="882">
        <f>M210/M$183</f>
        <v/>
      </c>
      <c r="N211" s="882">
        <f>N210/N$183</f>
        <v/>
      </c>
      <c r="O211" s="882">
        <f>O210/O$183</f>
        <v/>
      </c>
      <c r="P211" s="882">
        <f>P210/P$183</f>
        <v/>
      </c>
      <c r="Q211" s="882">
        <f>Q210/Q$183</f>
        <v/>
      </c>
      <c r="R211" s="882">
        <f>R210/R$183</f>
        <v/>
      </c>
      <c r="S211" s="882">
        <f>S210/S$183</f>
        <v/>
      </c>
      <c r="T211" s="882">
        <f>T210/T$183</f>
        <v/>
      </c>
      <c r="U211" s="882">
        <f>U210/U$183</f>
        <v/>
      </c>
    </row>
    <row r="212" outlineLevel="1">
      <c r="A212" s="105" t="inlineStr">
        <is>
          <t>Others</t>
        </is>
      </c>
      <c r="G212" s="883">
        <f>1-G205-G207-G209-G211</f>
        <v/>
      </c>
      <c r="H212" s="883">
        <f>1-H205-H207-H209-H211</f>
        <v/>
      </c>
      <c r="I212" s="883">
        <f>1-I205-I207-I209-I211</f>
        <v/>
      </c>
      <c r="J212" s="883">
        <f>1-J205-J207-J209-J211</f>
        <v/>
      </c>
      <c r="K212" s="883">
        <f>1-K205-K207-K209-K211</f>
        <v/>
      </c>
      <c r="L212" s="883">
        <f>1-L205-L207-L209-L211</f>
        <v/>
      </c>
      <c r="M212" s="883">
        <f>1-M205-M207-M209-M211</f>
        <v/>
      </c>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row>
    <row r="213" outlineLevel="1">
      <c r="A213" s="40" t="n"/>
      <c r="I213" s="128" t="n"/>
      <c r="J213" s="128" t="n"/>
      <c r="K213" s="128" t="n"/>
      <c r="L213" s="128" t="n"/>
      <c r="M213" s="128" t="n"/>
      <c r="N213" s="128" t="n"/>
      <c r="O213" s="128" t="n"/>
      <c r="P213" s="128" t="n"/>
      <c r="Q213" s="128" t="n"/>
      <c r="R213" s="128" t="n"/>
      <c r="S213" s="128" t="n"/>
      <c r="T213" s="128" t="n"/>
      <c r="U213" s="128" t="n"/>
    </row>
    <row r="214" outlineLevel="1">
      <c r="A214" s="40" t="n"/>
      <c r="I214" s="128" t="n"/>
      <c r="J214" s="128" t="n"/>
      <c r="K214" s="128" t="n"/>
      <c r="L214" s="128" t="n"/>
      <c r="M214" s="128" t="n"/>
      <c r="N214" s="128" t="n"/>
      <c r="O214" s="128" t="n"/>
      <c r="P214" s="128" t="n"/>
      <c r="Q214" s="128" t="n"/>
      <c r="R214" s="128" t="n"/>
      <c r="S214" s="128" t="n"/>
      <c r="T214" s="128" t="n"/>
      <c r="U214" s="128" t="n"/>
    </row>
    <row r="215" outlineLevel="1"/>
    <row r="216" outlineLevel="1">
      <c r="A216" s="81" t="inlineStr">
        <is>
          <t>Annualization - Half</t>
        </is>
      </c>
    </row>
    <row r="217" outlineLevel="1">
      <c r="A217" s="44" t="inlineStr">
        <is>
          <t>Period Start</t>
        </is>
      </c>
      <c r="B217" s="46">
        <f>DATE(B1,1,1)</f>
        <v/>
      </c>
      <c r="C217" s="46">
        <f>DATE(C1,1,1)</f>
        <v/>
      </c>
      <c r="D217" s="46">
        <f>DATE(D1,1,1)</f>
        <v/>
      </c>
      <c r="E217" s="46">
        <f>DATE(E1,1,1)</f>
        <v/>
      </c>
      <c r="F217" s="46">
        <f>DATE(F1,1,1)</f>
        <v/>
      </c>
      <c r="G217" s="46">
        <f>DATE(G1,1,1)</f>
        <v/>
      </c>
      <c r="H217" s="46">
        <f>DATE(H1,1,1)</f>
        <v/>
      </c>
      <c r="I217" s="46">
        <f>DATE(I1,1,1)</f>
        <v/>
      </c>
      <c r="J217" s="46">
        <f>DATE(J1,1,1)</f>
        <v/>
      </c>
      <c r="K217" s="46">
        <f>DATE(K1,1,1)</f>
        <v/>
      </c>
      <c r="L217" s="46">
        <f>DATE(L1,1,1)</f>
        <v/>
      </c>
      <c r="M217" s="46">
        <f>DATE(M1,1,1)</f>
        <v/>
      </c>
      <c r="N217" s="46">
        <f>DATE(N1,1,1)</f>
        <v/>
      </c>
      <c r="O217" s="46">
        <f>DATE(O1,1,1)</f>
        <v/>
      </c>
      <c r="P217" s="46">
        <f>DATE(P1,1,1)</f>
        <v/>
      </c>
      <c r="Q217" s="46">
        <f>DATE(Q1,1,1)</f>
        <v/>
      </c>
      <c r="R217" s="46">
        <f>DATE(R1,1,1)</f>
        <v/>
      </c>
      <c r="S217" s="46">
        <f>DATE(S1,1,1)</f>
        <v/>
      </c>
      <c r="T217" s="46">
        <f>DATE(T1,1,1)</f>
        <v/>
      </c>
      <c r="U217" s="46">
        <f>DATE(U1,1,1)</f>
        <v/>
      </c>
    </row>
    <row r="218" outlineLevel="1">
      <c r="A218" s="44" t="inlineStr">
        <is>
          <t>Period Ends</t>
        </is>
      </c>
      <c r="B218" s="46">
        <f>EOMONTH(B217,11)</f>
        <v/>
      </c>
      <c r="C218" s="46">
        <f>EOMONTH(C217,11)</f>
        <v/>
      </c>
      <c r="D218" s="46">
        <f>EOMONTH(D217,11)</f>
        <v/>
      </c>
      <c r="E218" s="46">
        <f>EOMONTH(E217,11)</f>
        <v/>
      </c>
      <c r="F218" s="46">
        <f>EOMONTH(F217,11)</f>
        <v/>
      </c>
      <c r="G218" s="46">
        <f>EOMONTH(G217,11)</f>
        <v/>
      </c>
      <c r="H218" s="46">
        <f>EOMONTH(H217,11)</f>
        <v/>
      </c>
      <c r="I218" s="46">
        <f>EOMONTH(I217,11)</f>
        <v/>
      </c>
      <c r="J218" s="46">
        <f>EOMONTH(J217,11)</f>
        <v/>
      </c>
      <c r="K218" s="46">
        <f>EOMONTH(K217,11)</f>
        <v/>
      </c>
      <c r="L218" s="46">
        <f>EOMONTH(L217,11)</f>
        <v/>
      </c>
      <c r="M218" s="46">
        <f>EOMONTH(M217,11)</f>
        <v/>
      </c>
      <c r="N218" s="46">
        <f>EOMONTH(N217,11)</f>
        <v/>
      </c>
      <c r="O218" s="46">
        <f>EOMONTH(O217,11)</f>
        <v/>
      </c>
      <c r="P218" s="46">
        <f>EOMONTH(P217,11)</f>
        <v/>
      </c>
      <c r="Q218" s="46">
        <f>EOMONTH(Q217,11)</f>
        <v/>
      </c>
      <c r="R218" s="46">
        <f>EOMONTH(R217,11)</f>
        <v/>
      </c>
      <c r="S218" s="46">
        <f>EOMONTH(S217,11)</f>
        <v/>
      </c>
      <c r="T218" s="46">
        <f>EOMONTH(T217,11)</f>
        <v/>
      </c>
      <c r="U218" s="46">
        <f>EOMONTH(U217,11)</f>
        <v/>
      </c>
    </row>
    <row r="219" outlineLevel="1">
      <c r="A219" s="44" t="inlineStr">
        <is>
          <t>Year Starts</t>
        </is>
      </c>
      <c r="B219" s="46">
        <f>+B217</f>
        <v/>
      </c>
      <c r="C219" s="46">
        <f>+C217</f>
        <v/>
      </c>
      <c r="D219" s="46">
        <f>+D217</f>
        <v/>
      </c>
      <c r="E219" s="46">
        <f>+E217</f>
        <v/>
      </c>
      <c r="F219" s="46">
        <f>+F217</f>
        <v/>
      </c>
      <c r="G219" s="46">
        <f>+G217</f>
        <v/>
      </c>
      <c r="H219" s="46">
        <f>+H217</f>
        <v/>
      </c>
      <c r="I219" s="46">
        <f>+I217</f>
        <v/>
      </c>
      <c r="J219" s="46">
        <f>+J217</f>
        <v/>
      </c>
      <c r="K219" s="46">
        <f>+K217</f>
        <v/>
      </c>
      <c r="L219" s="46">
        <f>+L217</f>
        <v/>
      </c>
      <c r="M219" s="46">
        <f>+M217</f>
        <v/>
      </c>
      <c r="N219" s="46">
        <f>+N217</f>
        <v/>
      </c>
      <c r="O219" s="46">
        <f>+O217</f>
        <v/>
      </c>
      <c r="P219" s="46">
        <f>+P217</f>
        <v/>
      </c>
      <c r="Q219" s="46">
        <f>+Q217</f>
        <v/>
      </c>
      <c r="R219" s="46">
        <f>+R217</f>
        <v/>
      </c>
      <c r="S219" s="46">
        <f>+S217</f>
        <v/>
      </c>
      <c r="T219" s="46">
        <f>+T217</f>
        <v/>
      </c>
      <c r="U219" s="46">
        <f>+U217</f>
        <v/>
      </c>
    </row>
    <row r="220" outlineLevel="1">
      <c r="A220" s="44" t="inlineStr">
        <is>
          <t>Year Ends</t>
        </is>
      </c>
      <c r="B220" s="46">
        <f>+B218</f>
        <v/>
      </c>
      <c r="C220" s="46">
        <f>+C218</f>
        <v/>
      </c>
      <c r="D220" s="46">
        <f>+D218</f>
        <v/>
      </c>
      <c r="E220" s="46">
        <f>+E218</f>
        <v/>
      </c>
      <c r="F220" s="46">
        <f>+F218</f>
        <v/>
      </c>
      <c r="G220" s="46">
        <f>+G218</f>
        <v/>
      </c>
      <c r="H220" s="46">
        <f>+H218</f>
        <v/>
      </c>
      <c r="I220" s="46">
        <f>+I218</f>
        <v/>
      </c>
      <c r="J220" s="46">
        <f>+J218</f>
        <v/>
      </c>
      <c r="K220" s="46">
        <f>+K218</f>
        <v/>
      </c>
      <c r="L220" s="46">
        <f>+L218</f>
        <v/>
      </c>
      <c r="M220" s="46">
        <f>+M218</f>
        <v/>
      </c>
      <c r="N220" s="46">
        <f>+N218</f>
        <v/>
      </c>
      <c r="O220" s="46">
        <f>+O218</f>
        <v/>
      </c>
      <c r="P220" s="46">
        <f>+P218</f>
        <v/>
      </c>
      <c r="Q220" s="46">
        <f>+Q218</f>
        <v/>
      </c>
      <c r="R220" s="46">
        <f>+R218</f>
        <v/>
      </c>
      <c r="S220" s="46">
        <f>+S218</f>
        <v/>
      </c>
      <c r="T220" s="46">
        <f>+T218</f>
        <v/>
      </c>
      <c r="U220" s="46">
        <f>+U218</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47">
        <f>+M222/M221</f>
        <v/>
      </c>
      <c r="N223" s="47">
        <f>+N222/N221</f>
        <v/>
      </c>
      <c r="O223" s="47">
        <f>+O222/O221</f>
        <v/>
      </c>
      <c r="P223" s="47">
        <f>+P222/P221</f>
        <v/>
      </c>
      <c r="Q223" s="47">
        <f>+Q222/Q221</f>
        <v/>
      </c>
      <c r="R223" s="47">
        <f>+R222/R221</f>
        <v/>
      </c>
      <c r="S223" s="47">
        <f>+S222/S221</f>
        <v/>
      </c>
      <c r="T223" s="47">
        <f>+T222/T221</f>
        <v/>
      </c>
      <c r="U223" s="47">
        <f>+U222/U221</f>
        <v/>
      </c>
    </row>
    <row r="224" outlineLevel="1"/>
    <row r="225" outlineLevel="1">
      <c r="A225" s="81" t="inlineStr">
        <is>
          <t>FX Rate</t>
        </is>
      </c>
    </row>
    <row r="226" outlineLevel="1">
      <c r="A226" s="888" t="inlineStr">
        <is>
          <t>RMB per HKD</t>
        </is>
      </c>
      <c r="B226" s="888" t="n">
        <v>1.06135</v>
      </c>
      <c r="C226" s="888" t="n">
        <v>1.06131</v>
      </c>
      <c r="D226" s="888" t="n">
        <v>1.0629</v>
      </c>
      <c r="E226" s="888" t="n">
        <v>1.06269</v>
      </c>
      <c r="F226" s="888" t="n">
        <v>1.05337</v>
      </c>
      <c r="G226" s="888" t="n">
        <v>1.0263</v>
      </c>
      <c r="H226" s="888" t="n">
        <v>0.97499</v>
      </c>
      <c r="I226" s="888" t="n">
        <v>0.89252</v>
      </c>
      <c r="J226" s="888" t="n">
        <v>0.88128</v>
      </c>
      <c r="K226" s="888" t="n">
        <v>0.8712</v>
      </c>
      <c r="L226" s="888" t="n">
        <v>0.8303</v>
      </c>
      <c r="M226" s="888" t="n">
        <v>0.8134</v>
      </c>
      <c r="N226" s="888" t="n">
        <v>0.79264</v>
      </c>
      <c r="O226" s="888" t="n">
        <v>0.79459</v>
      </c>
      <c r="P226" s="889">
        <f>+O226</f>
        <v/>
      </c>
      <c r="Q226" s="889">
        <f>+P226</f>
        <v/>
      </c>
      <c r="R226" s="889">
        <f>+Q226</f>
        <v/>
      </c>
      <c r="S226" s="889">
        <f>+R226</f>
        <v/>
      </c>
      <c r="T226" s="889">
        <f>+S226</f>
        <v/>
      </c>
      <c r="U226" s="889">
        <f>+T226</f>
        <v/>
      </c>
    </row>
    <row r="227" outlineLevel="1">
      <c r="J227" s="890" t="n"/>
      <c r="K227" s="890" t="n"/>
      <c r="L227" s="890" t="n"/>
      <c r="M227" s="890" t="n"/>
      <c r="N227" s="890" t="n"/>
      <c r="O227" s="890" t="n"/>
      <c r="P227" s="333" t="n"/>
      <c r="Q227" s="333" t="n"/>
      <c r="R227" s="333" t="n"/>
      <c r="S227" s="333" t="n"/>
      <c r="T227" s="333" t="n"/>
      <c r="U227" s="333" t="n"/>
    </row>
    <row r="228" outlineLevel="1">
      <c r="A228" s="81" t="inlineStr">
        <is>
          <t>EV Bridge</t>
        </is>
      </c>
    </row>
    <row r="229" outlineLevel="1">
      <c r="A229" s="20" t="inlineStr">
        <is>
          <t>Net Debt</t>
        </is>
      </c>
      <c r="B229" s="166">
        <f>+B176</f>
        <v/>
      </c>
      <c r="C229" s="166">
        <f>+C176</f>
        <v/>
      </c>
      <c r="D229" s="166">
        <f>+D176</f>
        <v/>
      </c>
      <c r="E229" s="166">
        <f>+E176</f>
        <v/>
      </c>
      <c r="F229" s="166">
        <f>+F176</f>
        <v/>
      </c>
      <c r="G229" s="166">
        <f>+G166</f>
        <v/>
      </c>
      <c r="H229" s="166">
        <f>+H166</f>
        <v/>
      </c>
      <c r="I229" s="166">
        <f>+I166</f>
        <v/>
      </c>
      <c r="J229" s="166">
        <f>+J166</f>
        <v/>
      </c>
      <c r="K229" s="166">
        <f>+K166</f>
        <v/>
      </c>
      <c r="L229" s="166">
        <f>+L166</f>
        <v/>
      </c>
      <c r="M229" s="166">
        <f>+M166</f>
        <v/>
      </c>
      <c r="N229" s="166">
        <f>+N166</f>
        <v/>
      </c>
      <c r="O229" s="166">
        <f>+O166</f>
        <v/>
      </c>
      <c r="P229" s="166">
        <f>+P166</f>
        <v/>
      </c>
      <c r="Q229" s="166">
        <f>+Q166</f>
        <v/>
      </c>
      <c r="R229" s="166">
        <f>+R166</f>
        <v/>
      </c>
      <c r="S229" s="166">
        <f>+S166</f>
        <v/>
      </c>
      <c r="T229" s="166">
        <f>+T166</f>
        <v/>
      </c>
      <c r="U229" s="166">
        <f>+U166</f>
        <v/>
      </c>
    </row>
    <row r="230" outlineLevel="1">
      <c r="A230" s="20" t="inlineStr">
        <is>
          <t>Non-controlling interest</t>
        </is>
      </c>
      <c r="B230" s="166">
        <f>+B88</f>
        <v/>
      </c>
      <c r="C230" s="166">
        <f>+C88</f>
        <v/>
      </c>
      <c r="D230" s="166">
        <f>+D88</f>
        <v/>
      </c>
      <c r="E230" s="166">
        <f>+E88</f>
        <v/>
      </c>
      <c r="F230" s="166">
        <f>+F88</f>
        <v/>
      </c>
      <c r="G230" s="166">
        <f>+G91</f>
        <v/>
      </c>
      <c r="H230" s="166">
        <f>+H91</f>
        <v/>
      </c>
      <c r="I230" s="166">
        <f>+I91</f>
        <v/>
      </c>
      <c r="J230" s="166">
        <f>+J91</f>
        <v/>
      </c>
      <c r="K230" s="166">
        <f>+K91</f>
        <v/>
      </c>
      <c r="L230" s="166">
        <f>+L91</f>
        <v/>
      </c>
      <c r="M230" s="166">
        <f>+M91</f>
        <v/>
      </c>
      <c r="N230" s="166">
        <f>+N91</f>
        <v/>
      </c>
      <c r="O230" s="166">
        <f>+O91</f>
        <v/>
      </c>
      <c r="P230" s="166">
        <f>+P91</f>
        <v/>
      </c>
      <c r="Q230" s="166">
        <f>+Q91</f>
        <v/>
      </c>
      <c r="R230" s="166">
        <f>+R91</f>
        <v/>
      </c>
      <c r="S230" s="166">
        <f>+S91</f>
        <v/>
      </c>
      <c r="T230" s="166">
        <f>+T91</f>
        <v/>
      </c>
      <c r="U230" s="166">
        <f>+U91</f>
        <v/>
      </c>
    </row>
    <row r="231" outlineLevel="1" customFormat="1" s="21">
      <c r="A231" s="21" t="inlineStr">
        <is>
          <t>Total</t>
        </is>
      </c>
      <c r="B231" s="342">
        <f>SUM(B229:B230)</f>
        <v/>
      </c>
      <c r="C231" s="342">
        <f>SUM(C229:C230)</f>
        <v/>
      </c>
      <c r="D231" s="342">
        <f>SUM(D229:D230)</f>
        <v/>
      </c>
      <c r="E231" s="342">
        <f>SUM(E229:E230)</f>
        <v/>
      </c>
      <c r="F231" s="342">
        <f>SUM(F229:F230)</f>
        <v/>
      </c>
      <c r="G231" s="342">
        <f>SUM(G229:G230)</f>
        <v/>
      </c>
      <c r="H231" s="342">
        <f>SUM(H229:H230)</f>
        <v/>
      </c>
      <c r="I231" s="342">
        <f>SUM(I229:I230)</f>
        <v/>
      </c>
      <c r="J231" s="342">
        <f>SUM(J229:J230)</f>
        <v/>
      </c>
      <c r="K231" s="342">
        <f>SUM(K229:K230)</f>
        <v/>
      </c>
      <c r="L231" s="342">
        <f>SUM(L229:L230)</f>
        <v/>
      </c>
      <c r="M231" s="342">
        <f>SUM(M229:M230)</f>
        <v/>
      </c>
      <c r="N231" s="342">
        <f>SUM(N229:N230)</f>
        <v/>
      </c>
      <c r="O231" s="342">
        <f>SUM(O229:O230)</f>
        <v/>
      </c>
      <c r="P231" s="342">
        <f>SUM(P229:P230)</f>
        <v/>
      </c>
      <c r="Q231" s="342">
        <f>SUM(Q229:Q230)</f>
        <v/>
      </c>
      <c r="R231" s="342">
        <f>SUM(R229:R230)</f>
        <v/>
      </c>
      <c r="S231" s="342">
        <f>SUM(S229:S230)</f>
        <v/>
      </c>
      <c r="T231" s="342">
        <f>SUM(T229:T230)</f>
        <v/>
      </c>
      <c r="U231" s="342">
        <f>SUM(U229:U230)</f>
        <v/>
      </c>
    </row>
    <row r="232" outlineLevel="1"/>
    <row r="233" outlineLevel="1">
      <c r="A233" s="81" t="inlineStr">
        <is>
          <t>In RMB</t>
        </is>
      </c>
    </row>
    <row r="234" outlineLevel="1">
      <c r="A234" t="inlineStr">
        <is>
          <t>EPS</t>
        </is>
      </c>
      <c r="B234" s="48">
        <f>+B26/B31</f>
        <v/>
      </c>
      <c r="C234" s="48">
        <f>+C26/C31</f>
        <v/>
      </c>
      <c r="D234" s="48">
        <f>+D26/D31</f>
        <v/>
      </c>
      <c r="E234" s="48">
        <f>+E26/E31</f>
        <v/>
      </c>
      <c r="F234" s="48">
        <f>+F26/F31</f>
        <v/>
      </c>
      <c r="G234" s="48">
        <f>+G26/G31</f>
        <v/>
      </c>
      <c r="H234" s="48">
        <f>+H26/H31</f>
        <v/>
      </c>
      <c r="I234" s="48">
        <f>+I26/I31</f>
        <v/>
      </c>
      <c r="J234" s="48">
        <f>+J26/J31</f>
        <v/>
      </c>
      <c r="K234" s="48">
        <f>+K26/K31</f>
        <v/>
      </c>
      <c r="L234" s="48">
        <f>+L26/L31</f>
        <v/>
      </c>
      <c r="M234" s="48">
        <f>+M26/M31</f>
        <v/>
      </c>
      <c r="N234" s="48">
        <f>+N26/N31</f>
        <v/>
      </c>
      <c r="O234" s="48">
        <f>+O26/O31</f>
        <v/>
      </c>
      <c r="P234" s="48">
        <f>+P26/P31</f>
        <v/>
      </c>
      <c r="Q234" s="48">
        <f>+Q26/Q31</f>
        <v/>
      </c>
      <c r="R234" s="48">
        <f>+R26/R31</f>
        <v/>
      </c>
      <c r="S234" s="48">
        <f>+S26/S31</f>
        <v/>
      </c>
      <c r="T234" s="48">
        <f>+T26/T31</f>
        <v/>
      </c>
      <c r="U234" s="48">
        <f>+U26/U31</f>
        <v/>
      </c>
    </row>
    <row r="235" outlineLevel="1">
      <c r="A235" t="inlineStr">
        <is>
          <t>BVPS</t>
        </is>
      </c>
      <c r="B235" s="48">
        <f>B96*B226</f>
        <v/>
      </c>
      <c r="C235" s="48">
        <f>C96*C226</f>
        <v/>
      </c>
      <c r="D235" s="48">
        <f>D96*D226</f>
        <v/>
      </c>
      <c r="E235" s="48">
        <f>E96*E226</f>
        <v/>
      </c>
      <c r="F235" s="48">
        <f>F96*F226</f>
        <v/>
      </c>
      <c r="G235" s="48">
        <f>G96*G226</f>
        <v/>
      </c>
      <c r="H235" s="48">
        <f>H96*H226</f>
        <v/>
      </c>
      <c r="I235" s="48">
        <f>I96*I226</f>
        <v/>
      </c>
      <c r="J235" s="48">
        <f>J96*J226</f>
        <v/>
      </c>
      <c r="K235" s="48">
        <f>K96*K226</f>
        <v/>
      </c>
      <c r="L235" s="48">
        <f>L96*L226</f>
        <v/>
      </c>
      <c r="M235" s="48">
        <f>M96*M226</f>
        <v/>
      </c>
      <c r="N235" s="48">
        <f>N96*N226</f>
        <v/>
      </c>
      <c r="O235" s="48">
        <f>O96*O226</f>
        <v/>
      </c>
      <c r="P235" s="48">
        <f>P96*P226</f>
        <v/>
      </c>
      <c r="Q235" s="48">
        <f>Q96*Q226</f>
        <v/>
      </c>
      <c r="R235" s="48">
        <f>R96*R226</f>
        <v/>
      </c>
      <c r="S235" s="48">
        <f>S96*S226</f>
        <v/>
      </c>
      <c r="T235" s="48">
        <f>T96*T226</f>
        <v/>
      </c>
      <c r="U235" s="48">
        <f>U96*U226</f>
        <v/>
      </c>
    </row>
    <row r="236" outlineLevel="1">
      <c r="A236" t="inlineStr">
        <is>
          <t>DPS</t>
        </is>
      </c>
      <c r="B236" s="48">
        <f>+B176*B226</f>
        <v/>
      </c>
      <c r="C236" s="48">
        <f>+C176*C226</f>
        <v/>
      </c>
      <c r="D236" s="48">
        <f>+D176*D226</f>
        <v/>
      </c>
      <c r="E236" s="48">
        <f>+E176*E226</f>
        <v/>
      </c>
      <c r="F236" s="48">
        <f>+F176*F226</f>
        <v/>
      </c>
      <c r="G236" s="48">
        <f>+G176*G226</f>
        <v/>
      </c>
      <c r="H236" s="48">
        <f>+H176*H226</f>
        <v/>
      </c>
      <c r="I236" s="48">
        <f>+I176*I226</f>
        <v/>
      </c>
      <c r="J236" s="48">
        <f>+J176*J226</f>
        <v/>
      </c>
      <c r="K236" s="48">
        <f>+K176*K226</f>
        <v/>
      </c>
      <c r="L236" s="48">
        <f>+L176*L226</f>
        <v/>
      </c>
      <c r="M236" s="48">
        <f>+M176*M226</f>
        <v/>
      </c>
      <c r="N236" s="48">
        <f>+N176*N226</f>
        <v/>
      </c>
      <c r="O236" s="48">
        <f>+O176*O226</f>
        <v/>
      </c>
      <c r="P236" s="48">
        <f>+P176*P226</f>
        <v/>
      </c>
      <c r="Q236" s="48">
        <f>+Q176*Q226</f>
        <v/>
      </c>
      <c r="R236" s="48">
        <f>+R176*R226</f>
        <v/>
      </c>
      <c r="S236" s="48">
        <f>+S176*S226</f>
        <v/>
      </c>
      <c r="T236" s="48">
        <f>+T176*T226</f>
        <v/>
      </c>
      <c r="U236" s="48">
        <f>+U176*U226</f>
        <v/>
      </c>
    </row>
  </sheetData>
  <pageMargins left="0.7" right="0.7" top="0.75" bottom="0.75" header="0.3" footer="0.3"/>
  <pageSetup orientation="portrait" paperSize="9" horizontalDpi="300" verticalDpi="300"/>
</worksheet>
</file>

<file path=xl/worksheets/sheet4.xml><?xml version="1.0" encoding="utf-8"?>
<worksheet xmlns="http://schemas.openxmlformats.org/spreadsheetml/2006/main">
  <sheetPr codeName="Sheet6">
    <tabColor theme="1"/>
    <outlinePr summaryBelow="1" summaryRight="1"/>
    <pageSetUpPr fitToPage="1"/>
  </sheetPr>
  <dimension ref="A1:AQ226"/>
  <sheetViews>
    <sheetView workbookViewId="0">
      <selection activeCell="A1" sqref="A1"/>
    </sheetView>
  </sheetViews>
  <sheetFormatPr baseColWidth="10" defaultColWidth="9.33203125" defaultRowHeight="13" outlineLevelRow="1"/>
  <cols>
    <col width="45.6640625" customWidth="1" style="20" min="1" max="1"/>
    <col hidden="1" outlineLevel="1" width="15.6640625" customWidth="1" style="20" min="2" max="12"/>
    <col collapsed="1" width="15.6640625" customWidth="1" style="20" min="13" max="13"/>
    <col width="15.6640625" customWidth="1" style="20" min="14" max="41"/>
    <col width="9.33203125" customWidth="1" style="20" min="42" max="16384"/>
  </cols>
  <sheetData>
    <row r="1">
      <c r="A1" s="22">
        <f>Summary!$B$5</f>
        <v/>
      </c>
      <c r="B1" s="23">
        <f>#REF!</f>
        <v/>
      </c>
      <c r="C1" s="23">
        <f>#REF!</f>
        <v/>
      </c>
      <c r="D1" s="23">
        <f>#REF!</f>
        <v/>
      </c>
      <c r="E1" s="23">
        <f>#REF!</f>
        <v/>
      </c>
      <c r="F1" s="23">
        <f>#REF!</f>
        <v/>
      </c>
      <c r="G1" s="23">
        <f>#REF!</f>
        <v/>
      </c>
      <c r="H1" s="23">
        <f>#REF!</f>
        <v/>
      </c>
      <c r="I1" s="23">
        <f>#REF!</f>
        <v/>
      </c>
      <c r="J1" s="23">
        <f>#REF!</f>
        <v/>
      </c>
      <c r="K1" s="23">
        <f>#REF!</f>
        <v/>
      </c>
      <c r="L1" s="23">
        <f>#REF!</f>
        <v/>
      </c>
      <c r="M1" s="23">
        <f>#REF!</f>
        <v/>
      </c>
      <c r="N1" s="23">
        <f>#REF!</f>
        <v/>
      </c>
      <c r="O1" s="23">
        <f>#REF!</f>
        <v/>
      </c>
      <c r="P1" s="23">
        <f>#REF!</f>
        <v/>
      </c>
      <c r="Q1" s="23">
        <f>#REF!</f>
        <v/>
      </c>
      <c r="R1" s="23">
        <f>#REF!</f>
        <v/>
      </c>
      <c r="S1" s="23">
        <f>#REF!</f>
        <v/>
      </c>
      <c r="T1" s="23">
        <f>#REF!</f>
        <v/>
      </c>
      <c r="U1" s="23">
        <f>#REF!</f>
        <v/>
      </c>
      <c r="V1" s="23">
        <f>#REF!</f>
        <v/>
      </c>
      <c r="W1" s="23">
        <f>#REF!</f>
        <v/>
      </c>
      <c r="X1" s="23">
        <f>#REF!</f>
        <v/>
      </c>
      <c r="Y1" s="23">
        <f>#REF!</f>
        <v/>
      </c>
      <c r="Z1" s="23">
        <f>#REF!</f>
        <v/>
      </c>
      <c r="AA1" s="23">
        <f>#REF!</f>
        <v/>
      </c>
      <c r="AB1" s="23">
        <f>#REF!</f>
        <v/>
      </c>
      <c r="AC1" s="23">
        <f>#REF!</f>
        <v/>
      </c>
      <c r="AD1" s="23">
        <f>#REF!</f>
        <v/>
      </c>
      <c r="AE1" s="23">
        <f>#REF!</f>
        <v/>
      </c>
      <c r="AF1" s="23">
        <f>#REF!</f>
        <v/>
      </c>
      <c r="AG1" s="23">
        <f>#REF!</f>
        <v/>
      </c>
      <c r="AH1" s="23">
        <f>#REF!</f>
        <v/>
      </c>
      <c r="AI1" s="23">
        <f>#REF!</f>
        <v/>
      </c>
      <c r="AJ1" s="23">
        <f>#REF!</f>
        <v/>
      </c>
      <c r="AK1" s="23">
        <f>#REF!</f>
        <v/>
      </c>
      <c r="AL1" s="23">
        <f>#REF!</f>
        <v/>
      </c>
      <c r="AM1" s="23">
        <f>#REF!</f>
        <v/>
      </c>
      <c r="AN1" s="23">
        <f>#REF!</f>
        <v/>
      </c>
      <c r="AO1" s="23">
        <f>#REF!</f>
        <v/>
      </c>
    </row>
    <row r="2">
      <c r="A2" t="inlineStr">
        <is>
          <t>Financial Statements</t>
        </is>
      </c>
      <c r="B2" s="24">
        <f>#REF!</f>
        <v/>
      </c>
      <c r="C2" s="24">
        <f>#REF!</f>
        <v/>
      </c>
      <c r="D2" s="24">
        <f>#REF!</f>
        <v/>
      </c>
      <c r="E2" s="24">
        <f>#REF!</f>
        <v/>
      </c>
      <c r="F2" s="24">
        <f>#REF!</f>
        <v/>
      </c>
      <c r="G2" s="24">
        <f>#REF!</f>
        <v/>
      </c>
      <c r="H2" s="24">
        <f>#REF!</f>
        <v/>
      </c>
      <c r="I2" s="24">
        <f>#REF!</f>
        <v/>
      </c>
      <c r="J2" s="24">
        <f>#REF!</f>
        <v/>
      </c>
      <c r="K2" s="24">
        <f>#REF!</f>
        <v/>
      </c>
      <c r="L2" s="24">
        <f>#REF!</f>
        <v/>
      </c>
      <c r="M2" s="24">
        <f>#REF!</f>
        <v/>
      </c>
      <c r="N2" s="24">
        <f>#REF!</f>
        <v/>
      </c>
      <c r="O2" s="24">
        <f>#REF!</f>
        <v/>
      </c>
      <c r="P2" s="24">
        <f>#REF!</f>
        <v/>
      </c>
      <c r="Q2" s="24">
        <f>#REF!</f>
        <v/>
      </c>
      <c r="R2" s="24">
        <f>#REF!</f>
        <v/>
      </c>
      <c r="S2" s="24">
        <f>#REF!</f>
        <v/>
      </c>
      <c r="T2" s="24">
        <f>#REF!</f>
        <v/>
      </c>
      <c r="U2" s="24">
        <f>#REF!</f>
        <v/>
      </c>
      <c r="V2" s="24">
        <f>#REF!</f>
        <v/>
      </c>
      <c r="W2" s="24">
        <f>#REF!</f>
        <v/>
      </c>
      <c r="X2" s="24">
        <f>#REF!</f>
        <v/>
      </c>
      <c r="Y2" s="24">
        <f>#REF!</f>
        <v/>
      </c>
      <c r="Z2" s="24">
        <f>#REF!</f>
        <v/>
      </c>
      <c r="AA2" s="24">
        <f>#REF!</f>
        <v/>
      </c>
      <c r="AB2" s="24">
        <f>#REF!</f>
        <v/>
      </c>
      <c r="AC2" s="24">
        <f>#REF!</f>
        <v/>
      </c>
      <c r="AD2" s="24">
        <f>#REF!</f>
        <v/>
      </c>
      <c r="AE2" s="24">
        <f>#REF!</f>
        <v/>
      </c>
      <c r="AF2" s="24">
        <f>#REF!</f>
        <v/>
      </c>
      <c r="AG2" s="24">
        <f>#REF!</f>
        <v/>
      </c>
      <c r="AH2" s="24">
        <f>#REF!</f>
        <v/>
      </c>
      <c r="AI2" s="24">
        <f>#REF!</f>
        <v/>
      </c>
      <c r="AJ2" s="24">
        <f>#REF!</f>
        <v/>
      </c>
      <c r="AK2" s="24">
        <f>#REF!</f>
        <v/>
      </c>
      <c r="AL2" s="24">
        <f>#REF!</f>
        <v/>
      </c>
      <c r="AM2" s="24">
        <f>#REF!</f>
        <v/>
      </c>
      <c r="AN2" s="24">
        <f>#REF!</f>
        <v/>
      </c>
      <c r="AO2" s="24">
        <f>#REF!</f>
        <v/>
      </c>
    </row>
    <row r="3">
      <c r="A3" t="inlineStr">
        <is>
          <t>Semi-annual</t>
        </is>
      </c>
      <c r="B3" s="24">
        <f>#REF!</f>
        <v/>
      </c>
      <c r="C3" s="24">
        <f>#REF!</f>
        <v/>
      </c>
      <c r="D3" s="24">
        <f>#REF!</f>
        <v/>
      </c>
      <c r="E3" s="24">
        <f>#REF!</f>
        <v/>
      </c>
      <c r="F3" s="24">
        <f>#REF!</f>
        <v/>
      </c>
      <c r="G3" s="24">
        <f>#REF!</f>
        <v/>
      </c>
      <c r="H3" s="24">
        <f>#REF!</f>
        <v/>
      </c>
      <c r="I3" s="24">
        <f>#REF!</f>
        <v/>
      </c>
      <c r="J3" s="24">
        <f>#REF!</f>
        <v/>
      </c>
      <c r="K3" s="24">
        <f>#REF!</f>
        <v/>
      </c>
      <c r="L3" s="24">
        <f>#REF!</f>
        <v/>
      </c>
      <c r="M3" s="24">
        <f>#REF!</f>
        <v/>
      </c>
      <c r="N3" s="24">
        <f>#REF!</f>
        <v/>
      </c>
      <c r="O3" s="24">
        <f>#REF!</f>
        <v/>
      </c>
      <c r="P3" s="24">
        <f>#REF!</f>
        <v/>
      </c>
      <c r="Q3" s="24">
        <f>#REF!</f>
        <v/>
      </c>
      <c r="R3" s="24">
        <f>#REF!</f>
        <v/>
      </c>
      <c r="S3" s="24">
        <f>#REF!</f>
        <v/>
      </c>
      <c r="T3" s="24">
        <f>#REF!</f>
        <v/>
      </c>
      <c r="U3" s="24">
        <f>#REF!</f>
        <v/>
      </c>
      <c r="V3" s="24">
        <f>#REF!</f>
        <v/>
      </c>
      <c r="W3" s="24">
        <f>#REF!</f>
        <v/>
      </c>
      <c r="X3" s="24">
        <f>#REF!</f>
        <v/>
      </c>
      <c r="Y3" s="24">
        <f>#REF!</f>
        <v/>
      </c>
      <c r="Z3" s="24">
        <f>#REF!</f>
        <v/>
      </c>
      <c r="AA3" s="24">
        <f>#REF!</f>
        <v/>
      </c>
      <c r="AB3" s="24">
        <f>#REF!</f>
        <v/>
      </c>
      <c r="AC3" s="24">
        <f>#REF!</f>
        <v/>
      </c>
      <c r="AD3" s="24">
        <f>#REF!</f>
        <v/>
      </c>
      <c r="AE3" s="24">
        <f>#REF!</f>
        <v/>
      </c>
      <c r="AF3" s="24">
        <f>#REF!</f>
        <v/>
      </c>
      <c r="AG3" s="24">
        <f>#REF!</f>
        <v/>
      </c>
      <c r="AH3" s="24">
        <f>#REF!</f>
        <v/>
      </c>
      <c r="AI3" s="24">
        <f>#REF!</f>
        <v/>
      </c>
      <c r="AJ3" s="24">
        <f>#REF!</f>
        <v/>
      </c>
      <c r="AK3" s="24">
        <f>#REF!</f>
        <v/>
      </c>
      <c r="AL3" s="24">
        <f>#REF!</f>
        <v/>
      </c>
      <c r="AM3" s="24">
        <f>#REF!</f>
        <v/>
      </c>
      <c r="AN3" s="24">
        <f>#REF!</f>
        <v/>
      </c>
      <c r="AO3" s="24">
        <f>#REF!</f>
        <v/>
      </c>
    </row>
    <row r="4"/>
    <row r="5">
      <c r="A5" s="282">
        <f>IF(SUM(93:93)=0,"","Check Balance Sheet")</f>
        <v/>
      </c>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AD3&amp;"E"</f>
        <v/>
      </c>
      <c r="AE5" s="26">
        <f>AE3&amp;"E"</f>
        <v/>
      </c>
      <c r="AF5" s="26">
        <f>AF3&amp;"E"</f>
        <v/>
      </c>
      <c r="AG5" s="26">
        <f>AG3&amp;"E"</f>
        <v/>
      </c>
      <c r="AH5" s="26">
        <f>AH3&amp;"E"</f>
        <v/>
      </c>
      <c r="AI5" s="26">
        <f>AI3&amp;"E"</f>
        <v/>
      </c>
      <c r="AJ5" s="26">
        <f>AJ3&amp;"E"</f>
        <v/>
      </c>
      <c r="AK5" s="26">
        <f>AK3&amp;"E"</f>
        <v/>
      </c>
      <c r="AL5" s="26">
        <f>AL3&amp;"E"</f>
        <v/>
      </c>
      <c r="AM5" s="26">
        <f>AM3&amp;"E"</f>
        <v/>
      </c>
      <c r="AN5" s="26">
        <f>AN3&amp;"E"</f>
        <v/>
      </c>
      <c r="AO5" s="26">
        <f>AO3&amp;"E"</f>
        <v/>
      </c>
    </row>
    <row r="6">
      <c r="V6" s="36" t="n"/>
      <c r="W6" s="36" t="n"/>
      <c r="X6" s="36" t="n"/>
      <c r="Y6" s="36" t="n"/>
      <c r="Z6" s="36" t="n"/>
      <c r="AA6" s="36" t="n"/>
      <c r="AB6" s="36" t="n"/>
      <c r="AC6" s="36" t="n"/>
      <c r="AD6" s="36" t="n"/>
      <c r="AE6" s="36" t="n"/>
      <c r="AF6" s="36" t="n"/>
      <c r="AG6" s="36" t="n"/>
      <c r="AH6" s="36" t="n"/>
      <c r="AI6" s="36" t="n"/>
      <c r="AJ6" s="36" t="n"/>
      <c r="AK6" s="36" t="n"/>
      <c r="AL6" s="36" t="n"/>
      <c r="AM6" s="36" t="n"/>
      <c r="AN6" s="36" t="n"/>
      <c r="AO6" s="36" t="n"/>
    </row>
    <row r="7" ht="16" customHeight="1">
      <c r="A7" s="27" t="inlineStr">
        <is>
          <t>FINANCIAL STATEMENTS - HKFRS</t>
        </is>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37" t="n"/>
      <c r="X7" s="28" t="n"/>
      <c r="Y7" s="37" t="n"/>
      <c r="Z7" s="28" t="n"/>
      <c r="AA7" s="37" t="n"/>
      <c r="AB7" s="28" t="n"/>
      <c r="AC7" s="28" t="n"/>
      <c r="AD7" s="28" t="n"/>
      <c r="AE7" s="28" t="n"/>
      <c r="AF7" s="28" t="n"/>
      <c r="AG7" s="28" t="n"/>
      <c r="AH7" s="28" t="n"/>
      <c r="AI7" s="28" t="n"/>
      <c r="AJ7" s="28" t="n"/>
      <c r="AK7" s="28" t="n"/>
      <c r="AL7" s="28" t="n"/>
      <c r="AM7" s="28" t="n"/>
      <c r="AN7" s="28" t="n"/>
      <c r="AO7" s="28" t="n"/>
    </row>
    <row r="8"/>
    <row r="9">
      <c r="A9" s="81" t="inlineStr">
        <is>
          <t>CONSOLIDATED INCOME STATEMENT (RMB Million)</t>
        </is>
      </c>
    </row>
    <row r="10"/>
    <row r="11">
      <c r="A11" s="22" t="inlineStr">
        <is>
          <t>Revenue</t>
        </is>
      </c>
      <c r="B11" s="133" t="n"/>
      <c r="C11" s="133" t="n"/>
      <c r="D11" s="133" t="n"/>
      <c r="E11" s="133" t="n"/>
      <c r="F11" s="148" t="n"/>
      <c r="G11" s="148" t="n"/>
      <c r="H11" s="148" t="n"/>
      <c r="I11" s="148" t="n"/>
      <c r="J11" s="148" t="n"/>
      <c r="K11" s="148" t="n"/>
      <c r="L11" s="148" t="n"/>
      <c r="M11" s="149">
        <f>IF(M$2=1,#REF!,#REF!-#REF!)</f>
        <v/>
      </c>
      <c r="N11" s="149">
        <f>IF(N$2=1,#REF!,#REF!-#REF!)</f>
        <v/>
      </c>
      <c r="O11" s="149">
        <f>IF(O$2=1,#REF!,#REF!-#REF!)</f>
        <v/>
      </c>
      <c r="P11" s="149">
        <f>IF(P$2=1,#REF!,#REF!-#REF!)</f>
        <v/>
      </c>
      <c r="Q11" s="149">
        <f>IF(Q$2=1,#REF!,#REF!-#REF!)</f>
        <v/>
      </c>
      <c r="R11" s="149">
        <f>IF(R$2=1,#REF!,#REF!-#REF!)</f>
        <v/>
      </c>
      <c r="S11" s="149">
        <f>IF(S$2=1,#REF!,#REF!-#REF!)</f>
        <v/>
      </c>
      <c r="T11" s="149">
        <f>IF(T$2=1,#REF!,#REF!-#REF!)</f>
        <v/>
      </c>
      <c r="U11" s="149">
        <f>IF(U$2=1,#REF!,#REF!-#REF!)</f>
        <v/>
      </c>
      <c r="V11" s="149">
        <f>IF(V$2=1,#REF!,#REF!-#REF!)</f>
        <v/>
      </c>
      <c r="W11" s="149">
        <f>IF(W$2=1,#REF!,#REF!-#REF!)</f>
        <v/>
      </c>
      <c r="X11" s="149">
        <f>IF(X$2=1,#REF!,#REF!-#REF!)</f>
        <v/>
      </c>
      <c r="Y11" s="149">
        <f>IF(Y$2=1,#REF!,#REF!-#REF!)</f>
        <v/>
      </c>
      <c r="Z11" s="149">
        <f>IF(Z$2=1,#REF!,#REF!-#REF!)</f>
        <v/>
      </c>
      <c r="AA11" s="149">
        <f>IF(AA$2=1,#REF!,#REF!-#REF!)</f>
        <v/>
      </c>
      <c r="AB11" s="149">
        <f>IF(AB$2=1,#REF!,#REF!-#REF!)</f>
        <v/>
      </c>
      <c r="AC11" s="149">
        <f>IF(AC$2=1,#REF!,#REF!-#REF!)</f>
        <v/>
      </c>
      <c r="AD11" s="149">
        <f>Assumption!H20</f>
        <v/>
      </c>
      <c r="AE11" s="149">
        <f>Assumption!I20</f>
        <v/>
      </c>
      <c r="AF11" s="149">
        <f>Assumption!J20</f>
        <v/>
      </c>
      <c r="AG11" s="149">
        <f>Assumption!K20</f>
        <v/>
      </c>
      <c r="AH11" s="149">
        <f>Assumption!L20</f>
        <v/>
      </c>
      <c r="AI11" s="149">
        <f>Assumption!M20</f>
        <v/>
      </c>
      <c r="AJ11" s="149">
        <f>Assumption!N20</f>
        <v/>
      </c>
      <c r="AK11" s="149">
        <f>Assumption!O20</f>
        <v/>
      </c>
      <c r="AL11" s="149">
        <f>Assumption!P20</f>
        <v/>
      </c>
      <c r="AM11" s="149">
        <f>Assumption!Q20</f>
        <v/>
      </c>
      <c r="AN11" s="149">
        <f>Assumption!R20</f>
        <v/>
      </c>
      <c r="AO11" s="149">
        <f>Assumption!S20</f>
        <v/>
      </c>
      <c r="AP11" s="108" t="n"/>
    </row>
    <row r="12">
      <c r="A12" s="74" t="inlineStr">
        <is>
          <t>Cost of sales and services</t>
        </is>
      </c>
      <c r="B12" s="145" t="n"/>
      <c r="C12" s="145" t="n"/>
      <c r="D12" s="145" t="n"/>
      <c r="E12" s="145" t="n"/>
      <c r="F12" s="141" t="n"/>
      <c r="G12" s="141" t="n"/>
      <c r="H12" s="141" t="n"/>
      <c r="I12" s="141" t="n"/>
      <c r="J12" s="141" t="n"/>
      <c r="K12" s="141" t="n"/>
      <c r="L12" s="141" t="n"/>
      <c r="M12" s="175">
        <f>IF(M$2=1,#REF!,#REF!-#REF!)</f>
        <v/>
      </c>
      <c r="N12" s="175">
        <f>IF(N$2=1,#REF!,#REF!-#REF!)</f>
        <v/>
      </c>
      <c r="O12" s="175">
        <f>IF(O$2=1,#REF!,#REF!-#REF!)</f>
        <v/>
      </c>
      <c r="P12" s="175">
        <f>IF(P$2=1,#REF!,#REF!-#REF!)</f>
        <v/>
      </c>
      <c r="Q12" s="175">
        <f>IF(Q$2=1,#REF!,#REF!-#REF!)</f>
        <v/>
      </c>
      <c r="R12" s="175">
        <f>IF(R$2=1,#REF!,#REF!-#REF!)</f>
        <v/>
      </c>
      <c r="S12" s="175">
        <f>IF(S$2=1,#REF!,#REF!-#REF!)</f>
        <v/>
      </c>
      <c r="T12" s="175">
        <f>IF(T$2=1,#REF!,#REF!-#REF!)</f>
        <v/>
      </c>
      <c r="U12" s="175">
        <f>IF(U$2=1,#REF!,#REF!-#REF!)</f>
        <v/>
      </c>
      <c r="V12" s="175">
        <f>IF(V$2=1,#REF!,#REF!-#REF!)</f>
        <v/>
      </c>
      <c r="W12" s="175">
        <f>IF(W$2=1,#REF!,#REF!-#REF!)</f>
        <v/>
      </c>
      <c r="X12" s="175">
        <f>IF(X$2=1,#REF!,#REF!-#REF!)</f>
        <v/>
      </c>
      <c r="Y12" s="175">
        <f>IF(Y$2=1,#REF!,#REF!-#REF!)</f>
        <v/>
      </c>
      <c r="Z12" s="175">
        <f>IF(Z$2=1,#REF!,#REF!-#REF!)</f>
        <v/>
      </c>
      <c r="AA12" s="175">
        <f>IF(AA$2=1,#REF!,#REF!-#REF!)</f>
        <v/>
      </c>
      <c r="AB12" s="175">
        <f>IF(AB$2=1,#REF!,#REF!-#REF!)</f>
        <v/>
      </c>
      <c r="AC12" s="175">
        <f>IF(AC$2=1,#REF!,#REF!-#REF!)</f>
        <v/>
      </c>
      <c r="AD12" s="175">
        <f>Assumption!H64</f>
        <v/>
      </c>
      <c r="AE12" s="175">
        <f>Assumption!I64</f>
        <v/>
      </c>
      <c r="AF12" s="175">
        <f>Assumption!J64</f>
        <v/>
      </c>
      <c r="AG12" s="175">
        <f>Assumption!K64</f>
        <v/>
      </c>
      <c r="AH12" s="175">
        <f>Assumption!L64</f>
        <v/>
      </c>
      <c r="AI12" s="175">
        <f>Assumption!M64</f>
        <v/>
      </c>
      <c r="AJ12" s="175">
        <f>Assumption!N64</f>
        <v/>
      </c>
      <c r="AK12" s="175">
        <f>Assumption!O64</f>
        <v/>
      </c>
      <c r="AL12" s="175">
        <f>Assumption!P64</f>
        <v/>
      </c>
      <c r="AM12" s="175">
        <f>Assumption!Q64</f>
        <v/>
      </c>
      <c r="AN12" s="175">
        <f>Assumption!R64</f>
        <v/>
      </c>
      <c r="AO12" s="175">
        <f>Assumption!S64</f>
        <v/>
      </c>
      <c r="AP12" s="108" t="n"/>
    </row>
    <row r="13">
      <c r="A13" s="22" t="inlineStr">
        <is>
          <t>Gross profit</t>
        </is>
      </c>
      <c r="B13" s="133" t="n"/>
      <c r="C13" s="133" t="n"/>
      <c r="D13" s="133" t="n"/>
      <c r="E13" s="133" t="n"/>
      <c r="F13" s="131" t="n"/>
      <c r="G13" s="131" t="n"/>
      <c r="H13" s="131" t="n"/>
      <c r="I13" s="131" t="n"/>
      <c r="J13" s="131" t="n"/>
      <c r="K13" s="131" t="n"/>
      <c r="L13" s="131" t="n"/>
      <c r="M13" s="123">
        <f>M11+M12</f>
        <v/>
      </c>
      <c r="N13" s="123">
        <f>N11+N12</f>
        <v/>
      </c>
      <c r="O13" s="123">
        <f>O11+O12</f>
        <v/>
      </c>
      <c r="P13" s="123">
        <f>P11+P12</f>
        <v/>
      </c>
      <c r="Q13" s="123">
        <f>Q11+Q12</f>
        <v/>
      </c>
      <c r="R13" s="123">
        <f>R11+R12</f>
        <v/>
      </c>
      <c r="S13" s="123">
        <f>S11+S12</f>
        <v/>
      </c>
      <c r="T13" s="123">
        <f>T11+T12</f>
        <v/>
      </c>
      <c r="U13" s="123">
        <f>U11+U12</f>
        <v/>
      </c>
      <c r="V13" s="123">
        <f>V11+V12</f>
        <v/>
      </c>
      <c r="W13" s="123">
        <f>W11+W12</f>
        <v/>
      </c>
      <c r="X13" s="123">
        <f>X11+X12</f>
        <v/>
      </c>
      <c r="Y13" s="123">
        <f>Y11+Y12</f>
        <v/>
      </c>
      <c r="Z13" s="123">
        <f>Z11+Z12</f>
        <v/>
      </c>
      <c r="AA13" s="123">
        <f>AA11+AA12</f>
        <v/>
      </c>
      <c r="AB13" s="123">
        <f>AB11+AB12</f>
        <v/>
      </c>
      <c r="AC13" s="123">
        <f>AC11+AC12</f>
        <v/>
      </c>
      <c r="AD13" s="123">
        <f>AD11+AD12</f>
        <v/>
      </c>
      <c r="AE13" s="123">
        <f>AE11+AE12</f>
        <v/>
      </c>
      <c r="AF13" s="123">
        <f>AF11+AF12</f>
        <v/>
      </c>
      <c r="AG13" s="123">
        <f>AG11+AG12</f>
        <v/>
      </c>
      <c r="AH13" s="123">
        <f>AH11+AH12</f>
        <v/>
      </c>
      <c r="AI13" s="123">
        <f>AI11+AI12</f>
        <v/>
      </c>
      <c r="AJ13" s="123">
        <f>AJ11+AJ12</f>
        <v/>
      </c>
      <c r="AK13" s="123">
        <f>AK11+AK12</f>
        <v/>
      </c>
      <c r="AL13" s="123">
        <f>AL11+AL12</f>
        <v/>
      </c>
      <c r="AM13" s="123">
        <f>AM11+AM12</f>
        <v/>
      </c>
      <c r="AN13" s="123">
        <f>AN11+AN12</f>
        <v/>
      </c>
      <c r="AO13" s="123">
        <f>AO11+AO12</f>
        <v/>
      </c>
      <c r="AP13" s="108" t="n"/>
    </row>
    <row r="14">
      <c r="A14" s="74">
        <f>#REF!</f>
        <v/>
      </c>
      <c r="B14" s="145" t="n"/>
      <c r="C14" s="145" t="n"/>
      <c r="D14" s="145" t="n"/>
      <c r="E14" s="145" t="n"/>
      <c r="F14" s="141" t="n"/>
      <c r="G14" s="141" t="n"/>
      <c r="H14" s="141" t="n"/>
      <c r="I14" s="141" t="n"/>
      <c r="J14" s="141" t="n"/>
      <c r="K14" s="141" t="n"/>
      <c r="L14" s="141" t="n"/>
      <c r="M14" s="175">
        <f>IF(M$2=1,#REF!,#REF!-#REF!)</f>
        <v/>
      </c>
      <c r="N14" s="175">
        <f>IF(N$2=1,#REF!,#REF!-#REF!)</f>
        <v/>
      </c>
      <c r="O14" s="175">
        <f>IF(O$2=1,#REF!,#REF!-#REF!)</f>
        <v/>
      </c>
      <c r="P14" s="175">
        <f>IF(P$2=1,#REF!,#REF!-#REF!)</f>
        <v/>
      </c>
      <c r="Q14" s="175">
        <f>IF(Q$2=1,#REF!,#REF!-#REF!)</f>
        <v/>
      </c>
      <c r="R14" s="175">
        <f>IF(R$2=1,#REF!,#REF!-#REF!)</f>
        <v/>
      </c>
      <c r="S14" s="175">
        <f>IF(S$2=1,#REF!,#REF!-#REF!)</f>
        <v/>
      </c>
      <c r="T14" s="175">
        <f>IF(T$2=1,#REF!,#REF!-#REF!)</f>
        <v/>
      </c>
      <c r="U14" s="175">
        <f>IF(U$2=1,#REF!,#REF!-#REF!)</f>
        <v/>
      </c>
      <c r="V14" s="175">
        <f>IF(V$2=1,#REF!,#REF!-#REF!)</f>
        <v/>
      </c>
      <c r="W14" s="175">
        <f>IF(W$2=1,#REF!,#REF!-#REF!)</f>
        <v/>
      </c>
      <c r="X14" s="175">
        <f>IF(X$2=1,#REF!,#REF!-#REF!)</f>
        <v/>
      </c>
      <c r="Y14" s="175">
        <f>IF(Y$2=1,#REF!,#REF!-#REF!)</f>
        <v/>
      </c>
      <c r="Z14" s="175">
        <f>IF(Z$2=1,#REF!,#REF!-#REF!)</f>
        <v/>
      </c>
      <c r="AA14" s="175">
        <f>IF(AA$2=1,#REF!,#REF!-#REF!)</f>
        <v/>
      </c>
      <c r="AB14" s="175">
        <f>IF(AB$2=1,#REF!,#REF!-#REF!)</f>
        <v/>
      </c>
      <c r="AC14" s="175">
        <f>IF(AC$2=1,#REF!,#REF!-#REF!)</f>
        <v/>
      </c>
      <c r="AD14" s="175">
        <f>Assumption!H73</f>
        <v/>
      </c>
      <c r="AE14" s="175">
        <f>Assumption!I73</f>
        <v/>
      </c>
      <c r="AF14" s="175">
        <f>Assumption!J73</f>
        <v/>
      </c>
      <c r="AG14" s="175">
        <f>Assumption!K73</f>
        <v/>
      </c>
      <c r="AH14" s="175">
        <f>Assumption!L73</f>
        <v/>
      </c>
      <c r="AI14" s="175">
        <f>Assumption!M73</f>
        <v/>
      </c>
      <c r="AJ14" s="175">
        <f>Assumption!N73</f>
        <v/>
      </c>
      <c r="AK14" s="175">
        <f>Assumption!O73</f>
        <v/>
      </c>
      <c r="AL14" s="175">
        <f>Assumption!P73</f>
        <v/>
      </c>
      <c r="AM14" s="175">
        <f>Assumption!Q73</f>
        <v/>
      </c>
      <c r="AN14" s="175">
        <f>Assumption!R73</f>
        <v/>
      </c>
      <c r="AO14" s="175">
        <f>Assumption!S73</f>
        <v/>
      </c>
      <c r="AP14" s="108" t="n"/>
    </row>
    <row r="15">
      <c r="A15" s="74">
        <f>#REF!</f>
        <v/>
      </c>
      <c r="B15" s="145" t="n"/>
      <c r="C15" s="145" t="n"/>
      <c r="D15" s="145" t="n"/>
      <c r="E15" s="145" t="n"/>
      <c r="F15" s="141" t="n"/>
      <c r="G15" s="141" t="n"/>
      <c r="H15" s="141" t="n"/>
      <c r="I15" s="141" t="n"/>
      <c r="J15" s="141" t="n"/>
      <c r="K15" s="141" t="n"/>
      <c r="L15" s="141" t="n"/>
      <c r="M15" s="175">
        <f>IF(M$2=1,#REF!,#REF!-#REF!)</f>
        <v/>
      </c>
      <c r="N15" s="175">
        <f>IF(N$2=1,#REF!,#REF!-#REF!)</f>
        <v/>
      </c>
      <c r="O15" s="175">
        <f>IF(O$2=1,#REF!,#REF!-#REF!)</f>
        <v/>
      </c>
      <c r="P15" s="175">
        <f>IF(P$2=1,#REF!,#REF!-#REF!)</f>
        <v/>
      </c>
      <c r="Q15" s="175">
        <f>IF(Q$2=1,#REF!,#REF!-#REF!)</f>
        <v/>
      </c>
      <c r="R15" s="175">
        <f>IF(R$2=1,#REF!,#REF!-#REF!)</f>
        <v/>
      </c>
      <c r="S15" s="175">
        <f>IF(S$2=1,#REF!,#REF!-#REF!)</f>
        <v/>
      </c>
      <c r="T15" s="175">
        <f>IF(T$2=1,#REF!,#REF!-#REF!)</f>
        <v/>
      </c>
      <c r="U15" s="175">
        <f>IF(U$2=1,#REF!,#REF!-#REF!)</f>
        <v/>
      </c>
      <c r="V15" s="175">
        <f>IF(V$2=1,#REF!,#REF!-#REF!)</f>
        <v/>
      </c>
      <c r="W15" s="175">
        <f>IF(W$2=1,#REF!,#REF!-#REF!)</f>
        <v/>
      </c>
      <c r="X15" s="175">
        <f>IF(X$2=1,#REF!,#REF!-#REF!)</f>
        <v/>
      </c>
      <c r="Y15" s="175">
        <f>IF(Y$2=1,#REF!,#REF!-#REF!)</f>
        <v/>
      </c>
      <c r="Z15" s="175">
        <f>IF(Z$2=1,#REF!,#REF!-#REF!)</f>
        <v/>
      </c>
      <c r="AA15" s="175">
        <f>IF(AA$2=1,#REF!,#REF!-#REF!)</f>
        <v/>
      </c>
      <c r="AB15" s="175">
        <f>IF(AB$2=1,#REF!,#REF!-#REF!)</f>
        <v/>
      </c>
      <c r="AC15" s="175">
        <f>IF(AC$2=1,#REF!,#REF!-#REF!)</f>
        <v/>
      </c>
      <c r="AD15" s="175">
        <f>Assumption!H93</f>
        <v/>
      </c>
      <c r="AE15" s="175">
        <f>Assumption!I93</f>
        <v/>
      </c>
      <c r="AF15" s="175">
        <f>Assumption!J93</f>
        <v/>
      </c>
      <c r="AG15" s="175">
        <f>Assumption!K93</f>
        <v/>
      </c>
      <c r="AH15" s="175">
        <f>Assumption!L93</f>
        <v/>
      </c>
      <c r="AI15" s="175">
        <f>Assumption!M93</f>
        <v/>
      </c>
      <c r="AJ15" s="175">
        <f>Assumption!N93</f>
        <v/>
      </c>
      <c r="AK15" s="175">
        <f>Assumption!O93</f>
        <v/>
      </c>
      <c r="AL15" s="175">
        <f>Assumption!P93</f>
        <v/>
      </c>
      <c r="AM15" s="175">
        <f>Assumption!Q93</f>
        <v/>
      </c>
      <c r="AN15" s="175">
        <f>Assumption!R93</f>
        <v/>
      </c>
      <c r="AO15" s="175">
        <f>Assumption!S93</f>
        <v/>
      </c>
      <c r="AP15" s="108" t="n"/>
    </row>
    <row r="16">
      <c r="A16" s="74">
        <f>#REF!</f>
        <v/>
      </c>
      <c r="B16" s="145" t="n"/>
      <c r="C16" s="145" t="n"/>
      <c r="D16" s="145" t="n"/>
      <c r="E16" s="145" t="n"/>
      <c r="F16" s="141" t="n"/>
      <c r="G16" s="141" t="n"/>
      <c r="H16" s="141" t="n"/>
      <c r="I16" s="141" t="n"/>
      <c r="J16" s="141" t="n"/>
      <c r="K16" s="141" t="n"/>
      <c r="L16" s="141" t="n"/>
      <c r="M16" s="175">
        <f>IF(M$2=1,#REF!,#REF!-#REF!)</f>
        <v/>
      </c>
      <c r="N16" s="175">
        <f>IF(N$2=1,#REF!,#REF!-#REF!)</f>
        <v/>
      </c>
      <c r="O16" s="175">
        <f>IF(O$2=1,#REF!,#REF!-#REF!)</f>
        <v/>
      </c>
      <c r="P16" s="175">
        <f>IF(P$2=1,#REF!,#REF!-#REF!)</f>
        <v/>
      </c>
      <c r="Q16" s="175">
        <f>IF(Q$2=1,#REF!,#REF!-#REF!)</f>
        <v/>
      </c>
      <c r="R16" s="175">
        <f>IF(R$2=1,#REF!,#REF!-#REF!)</f>
        <v/>
      </c>
      <c r="S16" s="175">
        <f>IF(S$2=1,#REF!,#REF!-#REF!)</f>
        <v/>
      </c>
      <c r="T16" s="175">
        <f>IF(T$2=1,#REF!,#REF!-#REF!)</f>
        <v/>
      </c>
      <c r="U16" s="175">
        <f>IF(U$2=1,#REF!,#REF!-#REF!)</f>
        <v/>
      </c>
      <c r="V16" s="175">
        <f>IF(V$2=1,#REF!,#REF!-#REF!)</f>
        <v/>
      </c>
      <c r="W16" s="175">
        <f>IF(W$2=1,#REF!,#REF!-#REF!)</f>
        <v/>
      </c>
      <c r="X16" s="175">
        <f>IF(X$2=1,#REF!,#REF!-#REF!)</f>
        <v/>
      </c>
      <c r="Y16" s="175">
        <f>IF(Y$2=1,#REF!,#REF!-#REF!)</f>
        <v/>
      </c>
      <c r="Z16" s="175">
        <f>IF(Z$2=1,#REF!,#REF!-#REF!)</f>
        <v/>
      </c>
      <c r="AA16" s="175">
        <f>IF(AA$2=1,#REF!,#REF!-#REF!)</f>
        <v/>
      </c>
      <c r="AB16" s="175">
        <f>IF(AB$2=1,#REF!,#REF!-#REF!)</f>
        <v/>
      </c>
      <c r="AC16" s="175">
        <f>IF(AC$2=1,#REF!,#REF!-#REF!)</f>
        <v/>
      </c>
      <c r="AD16" s="175">
        <f>Assumption!H99</f>
        <v/>
      </c>
      <c r="AE16" s="175">
        <f>Assumption!I99</f>
        <v/>
      </c>
      <c r="AF16" s="175">
        <f>Assumption!J99</f>
        <v/>
      </c>
      <c r="AG16" s="175">
        <f>Assumption!K99</f>
        <v/>
      </c>
      <c r="AH16" s="175">
        <f>Assumption!L99</f>
        <v/>
      </c>
      <c r="AI16" s="175">
        <f>Assumption!M99</f>
        <v/>
      </c>
      <c r="AJ16" s="175">
        <f>Assumption!N99</f>
        <v/>
      </c>
      <c r="AK16" s="175">
        <f>Assumption!O99</f>
        <v/>
      </c>
      <c r="AL16" s="175">
        <f>Assumption!P99</f>
        <v/>
      </c>
      <c r="AM16" s="175">
        <f>Assumption!Q99</f>
        <v/>
      </c>
      <c r="AN16" s="175">
        <f>Assumption!R99</f>
        <v/>
      </c>
      <c r="AO16" s="175">
        <f>Assumption!S99</f>
        <v/>
      </c>
      <c r="AP16" s="108" t="n"/>
    </row>
    <row r="17">
      <c r="A17" s="74">
        <f>#REF!</f>
        <v/>
      </c>
      <c r="B17" s="145" t="n"/>
      <c r="C17" s="145" t="n"/>
      <c r="D17" s="145" t="n"/>
      <c r="E17" s="145" t="n"/>
      <c r="F17" s="141" t="n"/>
      <c r="G17" s="141" t="n"/>
      <c r="H17" s="141" t="n"/>
      <c r="I17" s="141" t="n"/>
      <c r="J17" s="141" t="n"/>
      <c r="K17" s="141" t="n"/>
      <c r="L17" s="141" t="n"/>
      <c r="M17" s="175">
        <f>IF(M$2=1,#REF!,#REF!-#REF!)</f>
        <v/>
      </c>
      <c r="N17" s="175">
        <f>IF(N$2=1,#REF!,#REF!-#REF!)</f>
        <v/>
      </c>
      <c r="O17" s="175">
        <f>IF(O$2=1,#REF!,#REF!-#REF!)</f>
        <v/>
      </c>
      <c r="P17" s="175">
        <f>IF(P$2=1,#REF!,#REF!-#REF!)</f>
        <v/>
      </c>
      <c r="Q17" s="175">
        <f>IF(Q$2=1,#REF!,#REF!-#REF!)</f>
        <v/>
      </c>
      <c r="R17" s="175">
        <f>IF(R$2=1,#REF!,#REF!-#REF!)</f>
        <v/>
      </c>
      <c r="S17" s="175">
        <f>IF(S$2=1,#REF!,#REF!-#REF!)</f>
        <v/>
      </c>
      <c r="T17" s="175">
        <f>IF(T$2=1,#REF!,#REF!-#REF!)</f>
        <v/>
      </c>
      <c r="U17" s="175">
        <f>IF(U$2=1,#REF!,#REF!-#REF!)</f>
        <v/>
      </c>
      <c r="V17" s="175">
        <f>IF(V$2=1,#REF!,#REF!-#REF!)</f>
        <v/>
      </c>
      <c r="W17" s="175">
        <f>IF(W$2=1,#REF!,#REF!-#REF!)</f>
        <v/>
      </c>
      <c r="X17" s="175">
        <f>IF(X$2=1,#REF!,#REF!-#REF!)</f>
        <v/>
      </c>
      <c r="Y17" s="175">
        <f>IF(Y$2=1,#REF!,#REF!-#REF!)</f>
        <v/>
      </c>
      <c r="Z17" s="175">
        <f>IF(Z$2=1,#REF!,#REF!-#REF!)</f>
        <v/>
      </c>
      <c r="AA17" s="175">
        <f>IF(AA$2=1,#REF!,#REF!-#REF!)</f>
        <v/>
      </c>
      <c r="AB17" s="175">
        <f>IF(AB$2=1,#REF!,#REF!-#REF!)</f>
        <v/>
      </c>
      <c r="AC17" s="175">
        <f>IF(AC$2=1,#REF!,#REF!-#REF!)</f>
        <v/>
      </c>
      <c r="AD17" s="175">
        <f>Assumption!H108</f>
        <v/>
      </c>
      <c r="AE17" s="175">
        <f>Assumption!I108</f>
        <v/>
      </c>
      <c r="AF17" s="175">
        <f>Assumption!J108</f>
        <v/>
      </c>
      <c r="AG17" s="175">
        <f>Assumption!K108</f>
        <v/>
      </c>
      <c r="AH17" s="175">
        <f>Assumption!L108</f>
        <v/>
      </c>
      <c r="AI17" s="175">
        <f>Assumption!M108</f>
        <v/>
      </c>
      <c r="AJ17" s="175">
        <f>Assumption!N108</f>
        <v/>
      </c>
      <c r="AK17" s="175">
        <f>Assumption!O108</f>
        <v/>
      </c>
      <c r="AL17" s="175">
        <f>Assumption!P108</f>
        <v/>
      </c>
      <c r="AM17" s="175">
        <f>Assumption!Q108</f>
        <v/>
      </c>
      <c r="AN17" s="175">
        <f>Assumption!R108</f>
        <v/>
      </c>
      <c r="AO17" s="175">
        <f>Assumption!S108</f>
        <v/>
      </c>
      <c r="AP17" s="108" t="n"/>
    </row>
    <row r="18">
      <c r="A18" s="146" t="inlineStr">
        <is>
          <t>Profit from continued operations / EBIT (Calculated)</t>
        </is>
      </c>
      <c r="B18" s="133" t="n"/>
      <c r="C18" s="133" t="n"/>
      <c r="D18" s="133" t="n"/>
      <c r="E18" s="133" t="n"/>
      <c r="F18" s="147" t="n"/>
      <c r="G18" s="147" t="n"/>
      <c r="H18" s="147" t="n"/>
      <c r="I18" s="147" t="n"/>
      <c r="J18" s="147" t="n"/>
      <c r="K18" s="147" t="n"/>
      <c r="L18" s="141" t="n"/>
      <c r="M18" s="123">
        <f>M13+SUM(M14:M17)</f>
        <v/>
      </c>
      <c r="N18" s="123">
        <f>N13+SUM(N14:N17)</f>
        <v/>
      </c>
      <c r="O18" s="123">
        <f>O13+SUM(O14:O17)</f>
        <v/>
      </c>
      <c r="P18" s="123">
        <f>P13+SUM(P14:P17)</f>
        <v/>
      </c>
      <c r="Q18" s="123">
        <f>Q13+SUM(Q14:Q17)</f>
        <v/>
      </c>
      <c r="R18" s="123">
        <f>R13+SUM(R14:R17)</f>
        <v/>
      </c>
      <c r="S18" s="123">
        <f>S13+SUM(S14:S17)</f>
        <v/>
      </c>
      <c r="T18" s="123">
        <f>T13+SUM(T14:T17)</f>
        <v/>
      </c>
      <c r="U18" s="123">
        <f>U13+SUM(U14:U17)</f>
        <v/>
      </c>
      <c r="V18" s="123">
        <f>V13+SUM(V14:V17)</f>
        <v/>
      </c>
      <c r="W18" s="123">
        <f>W13+SUM(W14:W17)</f>
        <v/>
      </c>
      <c r="X18" s="123">
        <f>X13+SUM(X14:X17)</f>
        <v/>
      </c>
      <c r="Y18" s="123">
        <f>Y13+SUM(Y14:Y17)</f>
        <v/>
      </c>
      <c r="Z18" s="123">
        <f>Z13+SUM(Z14:Z17)</f>
        <v/>
      </c>
      <c r="AA18" s="123">
        <f>AA13+SUM(AA14:AA17)</f>
        <v/>
      </c>
      <c r="AB18" s="123">
        <f>AB13+SUM(AB14:AB17)</f>
        <v/>
      </c>
      <c r="AC18" s="123">
        <f>AC13+SUM(AC14:AC17)</f>
        <v/>
      </c>
      <c r="AD18" s="123">
        <f>AD13+SUM(AD14:AD17)</f>
        <v/>
      </c>
      <c r="AE18" s="123">
        <f>AE13+SUM(AE14:AE17)</f>
        <v/>
      </c>
      <c r="AF18" s="123">
        <f>AF13+SUM(AF14:AF17)</f>
        <v/>
      </c>
      <c r="AG18" s="123">
        <f>AG13+SUM(AG14:AG17)</f>
        <v/>
      </c>
      <c r="AH18" s="123">
        <f>AH13+SUM(AH14:AH17)</f>
        <v/>
      </c>
      <c r="AI18" s="123">
        <f>AI13+SUM(AI14:AI17)</f>
        <v/>
      </c>
      <c r="AJ18" s="123">
        <f>AJ13+SUM(AJ14:AJ17)</f>
        <v/>
      </c>
      <c r="AK18" s="123">
        <f>AK13+SUM(AK14:AK17)</f>
        <v/>
      </c>
      <c r="AL18" s="123">
        <f>AL13+SUM(AL14:AL17)</f>
        <v/>
      </c>
      <c r="AM18" s="123">
        <f>AM13+SUM(AM14:AM17)</f>
        <v/>
      </c>
      <c r="AN18" s="123">
        <f>AN13+SUM(AN14:AN17)</f>
        <v/>
      </c>
      <c r="AO18" s="123">
        <f>AO13+SUM(AO14:AO17)</f>
        <v/>
      </c>
      <c r="AP18" s="108" t="n"/>
    </row>
    <row r="19">
      <c r="A19" s="74">
        <f>#REF!</f>
        <v/>
      </c>
      <c r="B19" s="145" t="n"/>
      <c r="C19" s="145" t="n"/>
      <c r="D19" s="145" t="n"/>
      <c r="E19" s="145" t="n"/>
      <c r="F19" s="141" t="n"/>
      <c r="G19" s="141" t="n"/>
      <c r="H19" s="141" t="n"/>
      <c r="I19" s="141" t="n"/>
      <c r="J19" s="141" t="n"/>
      <c r="K19" s="141" t="n"/>
      <c r="L19" s="141" t="n"/>
      <c r="M19" s="175">
        <f>IF(M$2=1,#REF!,#REF!-#REF!)</f>
        <v/>
      </c>
      <c r="N19" s="175">
        <f>IF(N$2=1,#REF!,#REF!-#REF!)</f>
        <v/>
      </c>
      <c r="O19" s="175">
        <f>IF(O$2=1,#REF!,#REF!-#REF!)</f>
        <v/>
      </c>
      <c r="P19" s="175">
        <f>IF(P$2=1,#REF!,#REF!-#REF!)</f>
        <v/>
      </c>
      <c r="Q19" s="175">
        <f>IF(Q$2=1,#REF!,#REF!-#REF!)</f>
        <v/>
      </c>
      <c r="R19" s="175">
        <f>IF(R$2=1,#REF!,#REF!-#REF!)</f>
        <v/>
      </c>
      <c r="S19" s="175">
        <f>IF(S$2=1,#REF!,#REF!-#REF!)</f>
        <v/>
      </c>
      <c r="T19" s="175">
        <f>IF(T$2=1,#REF!,#REF!-#REF!)</f>
        <v/>
      </c>
      <c r="U19" s="175">
        <f>IF(U$2=1,#REF!,#REF!-#REF!)</f>
        <v/>
      </c>
      <c r="V19" s="175">
        <f>IF(V$2=1,#REF!,#REF!-#REF!)</f>
        <v/>
      </c>
      <c r="W19" s="175">
        <f>IF(W$2=1,#REF!,#REF!-#REF!)</f>
        <v/>
      </c>
      <c r="X19" s="175">
        <f>IF(X$2=1,#REF!,#REF!-#REF!)</f>
        <v/>
      </c>
      <c r="Y19" s="175">
        <f>IF(Y$2=1,#REF!,#REF!-#REF!)</f>
        <v/>
      </c>
      <c r="Z19" s="175">
        <f>IF(Z$2=1,#REF!,#REF!-#REF!)</f>
        <v/>
      </c>
      <c r="AA19" s="175">
        <f>IF(AA$2=1,#REF!,#REF!-#REF!)</f>
        <v/>
      </c>
      <c r="AB19" s="175">
        <f>IF(AB$2=1,#REF!,#REF!-#REF!)</f>
        <v/>
      </c>
      <c r="AC19" s="175">
        <f>IF(AC$2=1,#REF!,#REF!-#REF!)</f>
        <v/>
      </c>
      <c r="AD19" s="175">
        <f>Assumption!#REF!</f>
        <v/>
      </c>
      <c r="AE19" s="175">
        <f>Assumption!#REF!</f>
        <v/>
      </c>
      <c r="AF19" s="175">
        <f>Assumption!#REF!</f>
        <v/>
      </c>
      <c r="AG19" s="175">
        <f>Assumption!#REF!</f>
        <v/>
      </c>
      <c r="AH19" s="175">
        <f>Assumption!#REF!</f>
        <v/>
      </c>
      <c r="AI19" s="175">
        <f>Assumption!#REF!</f>
        <v/>
      </c>
      <c r="AJ19" s="175">
        <f>Assumption!#REF!</f>
        <v/>
      </c>
      <c r="AK19" s="175">
        <f>Assumption!#REF!</f>
        <v/>
      </c>
      <c r="AL19" s="175">
        <f>Assumption!#REF!</f>
        <v/>
      </c>
      <c r="AM19" s="175">
        <f>Assumption!#REF!</f>
        <v/>
      </c>
      <c r="AN19" s="175">
        <f>Assumption!#REF!</f>
        <v/>
      </c>
      <c r="AO19" s="175">
        <f>Assumption!#REF!</f>
        <v/>
      </c>
      <c r="AP19" s="108" t="n"/>
    </row>
    <row r="20">
      <c r="A20" s="74">
        <f>#REF!</f>
        <v/>
      </c>
      <c r="B20" s="145" t="n"/>
      <c r="C20" s="145" t="n"/>
      <c r="D20" s="145" t="n"/>
      <c r="E20" s="145" t="n"/>
      <c r="F20" s="141" t="n"/>
      <c r="G20" s="141" t="n"/>
      <c r="H20" s="141" t="n"/>
      <c r="I20" s="141" t="n"/>
      <c r="J20" s="141" t="n"/>
      <c r="K20" s="141" t="n"/>
      <c r="L20" s="141" t="n"/>
      <c r="M20" s="175">
        <f>IF(M$2=1,#REF!,#REF!-#REF!)</f>
        <v/>
      </c>
      <c r="N20" s="175">
        <f>IF(N$2=1,#REF!,#REF!-#REF!)</f>
        <v/>
      </c>
      <c r="O20" s="175">
        <f>IF(O$2=1,#REF!,#REF!-#REF!)</f>
        <v/>
      </c>
      <c r="P20" s="175">
        <f>IF(P$2=1,#REF!,#REF!-#REF!)</f>
        <v/>
      </c>
      <c r="Q20" s="175">
        <f>IF(Q$2=1,#REF!,#REF!-#REF!)</f>
        <v/>
      </c>
      <c r="R20" s="175">
        <f>IF(R$2=1,#REF!,#REF!-#REF!)</f>
        <v/>
      </c>
      <c r="S20" s="175">
        <f>IF(S$2=1,#REF!,#REF!-#REF!)</f>
        <v/>
      </c>
      <c r="T20" s="175">
        <f>IF(T$2=1,#REF!,#REF!-#REF!)</f>
        <v/>
      </c>
      <c r="U20" s="175">
        <f>IF(U$2=1,#REF!,#REF!-#REF!)</f>
        <v/>
      </c>
      <c r="V20" s="175">
        <f>IF(V$2=1,#REF!,#REF!-#REF!)</f>
        <v/>
      </c>
      <c r="W20" s="175">
        <f>IF(W$2=1,#REF!,#REF!-#REF!)</f>
        <v/>
      </c>
      <c r="X20" s="175">
        <f>IF(X$2=1,#REF!,#REF!-#REF!)</f>
        <v/>
      </c>
      <c r="Y20" s="175">
        <f>IF(Y$2=1,#REF!,#REF!-#REF!)</f>
        <v/>
      </c>
      <c r="Z20" s="175">
        <f>IF(Z$2=1,#REF!,#REF!-#REF!)</f>
        <v/>
      </c>
      <c r="AA20" s="175">
        <f>IF(AA$2=1,#REF!,#REF!-#REF!)</f>
        <v/>
      </c>
      <c r="AB20" s="175">
        <f>IF(AB$2=1,#REF!,#REF!-#REF!)</f>
        <v/>
      </c>
      <c r="AC20" s="175">
        <f>IF(AC$2=1,#REF!,#REF!-#REF!)</f>
        <v/>
      </c>
      <c r="AD20" s="175">
        <f>Assumption!#REF!</f>
        <v/>
      </c>
      <c r="AE20" s="175">
        <f>Assumption!#REF!</f>
        <v/>
      </c>
      <c r="AF20" s="175">
        <f>Assumption!#REF!</f>
        <v/>
      </c>
      <c r="AG20" s="175">
        <f>Assumption!#REF!</f>
        <v/>
      </c>
      <c r="AH20" s="175">
        <f>Assumption!#REF!</f>
        <v/>
      </c>
      <c r="AI20" s="175">
        <f>Assumption!#REF!</f>
        <v/>
      </c>
      <c r="AJ20" s="175">
        <f>Assumption!#REF!</f>
        <v/>
      </c>
      <c r="AK20" s="175">
        <f>Assumption!#REF!</f>
        <v/>
      </c>
      <c r="AL20" s="175">
        <f>Assumption!#REF!</f>
        <v/>
      </c>
      <c r="AM20" s="175">
        <f>Assumption!#REF!</f>
        <v/>
      </c>
      <c r="AN20" s="175">
        <f>Assumption!#REF!</f>
        <v/>
      </c>
      <c r="AO20" s="175">
        <f>Assumption!#REF!</f>
        <v/>
      </c>
      <c r="AP20" s="108" t="n"/>
    </row>
    <row r="21">
      <c r="A21" s="74" t="inlineStr">
        <is>
          <t>Share of profits and losses of JV/Associates</t>
        </is>
      </c>
      <c r="B21" s="145" t="n"/>
      <c r="C21" s="145" t="n"/>
      <c r="D21" s="145" t="n"/>
      <c r="E21" s="145" t="n"/>
      <c r="F21" s="141" t="n"/>
      <c r="G21" s="141" t="n"/>
      <c r="H21" s="141" t="n"/>
      <c r="I21" s="141" t="n"/>
      <c r="J21" s="141" t="n"/>
      <c r="K21" s="141" t="n"/>
      <c r="L21" s="141" t="n"/>
      <c r="M21" s="175">
        <f>IF(M$2=1,#REF!,#REF!-#REF!)+IF(M$2=1,#REF!,#REF!-#REF!)</f>
        <v/>
      </c>
      <c r="N21" s="175">
        <f>IF(N$2=1,#REF!,#REF!-#REF!)+IF(N$2=1,#REF!,#REF!-#REF!)</f>
        <v/>
      </c>
      <c r="O21" s="175">
        <f>IF(O$2=1,#REF!,#REF!-#REF!)+IF(O$2=1,#REF!,#REF!-#REF!)</f>
        <v/>
      </c>
      <c r="P21" s="175">
        <f>IF(P$2=1,#REF!,#REF!-#REF!)+IF(P$2=1,#REF!,#REF!-#REF!)</f>
        <v/>
      </c>
      <c r="Q21" s="175">
        <f>IF(Q$2=1,#REF!,#REF!-#REF!)+IF(Q$2=1,#REF!,#REF!-#REF!)</f>
        <v/>
      </c>
      <c r="R21" s="175">
        <f>IF(R$2=1,#REF!,#REF!-#REF!)+IF(R$2=1,#REF!,#REF!-#REF!)</f>
        <v/>
      </c>
      <c r="S21" s="175">
        <f>IF(S$2=1,#REF!,#REF!-#REF!)+IF(S$2=1,#REF!,#REF!-#REF!)</f>
        <v/>
      </c>
      <c r="T21" s="175">
        <f>IF(T$2=1,#REF!,#REF!-#REF!)+IF(T$2=1,#REF!,#REF!-#REF!)</f>
        <v/>
      </c>
      <c r="U21" s="175">
        <f>IF(U$2=1,#REF!,#REF!-#REF!)+IF(U$2=1,#REF!,#REF!-#REF!)</f>
        <v/>
      </c>
      <c r="V21" s="175">
        <f>IF(V$2=1,#REF!,#REF!-#REF!)+IF(V$2=1,#REF!,#REF!-#REF!)</f>
        <v/>
      </c>
      <c r="W21" s="175">
        <f>IF(W$2=1,#REF!,#REF!-#REF!)+IF(W$2=1,#REF!,#REF!-#REF!)</f>
        <v/>
      </c>
      <c r="X21" s="175">
        <f>IF(X$2=1,#REF!,#REF!-#REF!)+IF(X$2=1,#REF!,#REF!-#REF!)</f>
        <v/>
      </c>
      <c r="Y21" s="175">
        <f>IF(Y$2=1,#REF!,#REF!-#REF!)+IF(Y$2=1,#REF!,#REF!-#REF!)</f>
        <v/>
      </c>
      <c r="Z21" s="175">
        <f>IF(Z$2=1,#REF!,#REF!-#REF!)+IF(Z$2=1,#REF!,#REF!-#REF!)</f>
        <v/>
      </c>
      <c r="AA21" s="175">
        <f>IF(AA$2=1,#REF!,#REF!-#REF!)+IF(AA$2=1,#REF!,#REF!-#REF!)</f>
        <v/>
      </c>
      <c r="AB21" s="175">
        <f>IF(AB$2=1,#REF!,#REF!-#REF!)+IF(AB$2=1,#REF!,#REF!-#REF!)</f>
        <v/>
      </c>
      <c r="AC21" s="175">
        <f>IF(AC$2=1,#REF!,#REF!-#REF!)+IF(AC$2=1,#REF!,#REF!-#REF!)</f>
        <v/>
      </c>
      <c r="AD21" s="175">
        <f>Assumption!#REF!</f>
        <v/>
      </c>
      <c r="AE21" s="175">
        <f>Assumption!#REF!</f>
        <v/>
      </c>
      <c r="AF21" s="175">
        <f>Assumption!#REF!</f>
        <v/>
      </c>
      <c r="AG21" s="175">
        <f>Assumption!#REF!</f>
        <v/>
      </c>
      <c r="AH21" s="175">
        <f>Assumption!#REF!</f>
        <v/>
      </c>
      <c r="AI21" s="175">
        <f>Assumption!#REF!</f>
        <v/>
      </c>
      <c r="AJ21" s="175">
        <f>Assumption!#REF!</f>
        <v/>
      </c>
      <c r="AK21" s="175">
        <f>Assumption!#REF!</f>
        <v/>
      </c>
      <c r="AL21" s="175">
        <f>Assumption!#REF!</f>
        <v/>
      </c>
      <c r="AM21" s="175">
        <f>Assumption!#REF!</f>
        <v/>
      </c>
      <c r="AN21" s="175">
        <f>Assumption!#REF!</f>
        <v/>
      </c>
      <c r="AO21" s="175">
        <f>Assumption!#REF!</f>
        <v/>
      </c>
      <c r="AP21" s="108" t="n"/>
    </row>
    <row r="22">
      <c r="A22" s="22" t="inlineStr">
        <is>
          <t>Profit before tax</t>
        </is>
      </c>
      <c r="B22" s="145" t="n"/>
      <c r="C22" s="145" t="n"/>
      <c r="D22" s="145" t="n"/>
      <c r="E22" s="145" t="n"/>
      <c r="F22" s="131" t="n"/>
      <c r="G22" s="131" t="n"/>
      <c r="H22" s="131" t="n"/>
      <c r="I22" s="131" t="n"/>
      <c r="J22" s="131" t="n"/>
      <c r="K22" s="131" t="n"/>
      <c r="L22" s="131" t="n"/>
      <c r="M22" s="123">
        <f>SUM(M18:M21)</f>
        <v/>
      </c>
      <c r="N22" s="123">
        <f>SUM(N18:N21)</f>
        <v/>
      </c>
      <c r="O22" s="123">
        <f>SUM(O18:O21)</f>
        <v/>
      </c>
      <c r="P22" s="123">
        <f>SUM(P18:P21)</f>
        <v/>
      </c>
      <c r="Q22" s="123">
        <f>SUM(Q18:Q21)</f>
        <v/>
      </c>
      <c r="R22" s="123">
        <f>SUM(R18:R21)</f>
        <v/>
      </c>
      <c r="S22" s="123">
        <f>SUM(S18:S21)</f>
        <v/>
      </c>
      <c r="T22" s="123">
        <f>SUM(T18:T21)</f>
        <v/>
      </c>
      <c r="U22" s="123">
        <f>SUM(U18:U21)</f>
        <v/>
      </c>
      <c r="V22" s="123">
        <f>SUM(V18:V21)</f>
        <v/>
      </c>
      <c r="W22" s="123">
        <f>SUM(W18:W21)</f>
        <v/>
      </c>
      <c r="X22" s="123">
        <f>SUM(X18:X21)</f>
        <v/>
      </c>
      <c r="Y22" s="123">
        <f>SUM(Y18:Y21)</f>
        <v/>
      </c>
      <c r="Z22" s="123">
        <f>SUM(Z18:Z21)</f>
        <v/>
      </c>
      <c r="AA22" s="123">
        <f>SUM(AA18:AA21)</f>
        <v/>
      </c>
      <c r="AB22" s="123">
        <f>SUM(AB18:AB21)</f>
        <v/>
      </c>
      <c r="AC22" s="123">
        <f>SUM(AC18:AC21)</f>
        <v/>
      </c>
      <c r="AD22" s="123">
        <f>SUM(AD18:AD21)</f>
        <v/>
      </c>
      <c r="AE22" s="123">
        <f>SUM(AE18:AE21)</f>
        <v/>
      </c>
      <c r="AF22" s="123">
        <f>SUM(AF18:AF21)</f>
        <v/>
      </c>
      <c r="AG22" s="123">
        <f>SUM(AG18:AG21)</f>
        <v/>
      </c>
      <c r="AH22" s="123">
        <f>SUM(AH18:AH21)</f>
        <v/>
      </c>
      <c r="AI22" s="123">
        <f>SUM(AI18:AI21)</f>
        <v/>
      </c>
      <c r="AJ22" s="123">
        <f>SUM(AJ18:AJ21)</f>
        <v/>
      </c>
      <c r="AK22" s="123">
        <f>SUM(AK18:AK21)</f>
        <v/>
      </c>
      <c r="AL22" s="123">
        <f>SUM(AL18:AL21)</f>
        <v/>
      </c>
      <c r="AM22" s="123">
        <f>SUM(AM18:AM21)</f>
        <v/>
      </c>
      <c r="AN22" s="123">
        <f>SUM(AN18:AN21)</f>
        <v/>
      </c>
      <c r="AO22" s="123">
        <f>SUM(AO18:AO21)</f>
        <v/>
      </c>
      <c r="AP22" s="108" t="n"/>
    </row>
    <row r="23">
      <c r="A23" s="74" t="inlineStr">
        <is>
          <t>Income tax expense</t>
        </is>
      </c>
      <c r="B23" s="145" t="n"/>
      <c r="C23" s="145" t="n"/>
      <c r="D23" s="145" t="n"/>
      <c r="E23" s="145" t="n"/>
      <c r="F23" s="141" t="n"/>
      <c r="G23" s="141" t="n"/>
      <c r="H23" s="141" t="n"/>
      <c r="I23" s="141" t="n"/>
      <c r="J23" s="141" t="n"/>
      <c r="K23" s="141" t="n"/>
      <c r="L23" s="141" t="n"/>
      <c r="M23" s="175">
        <f>IF(M$2=1,#REF!,#REF!-#REF!)</f>
        <v/>
      </c>
      <c r="N23" s="175">
        <f>IF(N$2=1,#REF!,#REF!-#REF!)</f>
        <v/>
      </c>
      <c r="O23" s="175">
        <f>IF(O$2=1,#REF!,#REF!-#REF!)</f>
        <v/>
      </c>
      <c r="P23" s="175">
        <f>IF(P$2=1,#REF!,#REF!-#REF!)</f>
        <v/>
      </c>
      <c r="Q23" s="175">
        <f>IF(Q$2=1,#REF!,#REF!-#REF!)</f>
        <v/>
      </c>
      <c r="R23" s="175">
        <f>IF(R$2=1,#REF!,#REF!-#REF!)</f>
        <v/>
      </c>
      <c r="S23" s="175">
        <f>IF(S$2=1,#REF!,#REF!-#REF!)</f>
        <v/>
      </c>
      <c r="T23" s="175">
        <f>IF(T$2=1,#REF!,#REF!-#REF!)</f>
        <v/>
      </c>
      <c r="U23" s="175">
        <f>IF(U$2=1,#REF!,#REF!-#REF!)</f>
        <v/>
      </c>
      <c r="V23" s="175">
        <f>IF(V$2=1,#REF!,#REF!-#REF!)</f>
        <v/>
      </c>
      <c r="W23" s="175">
        <f>IF(W$2=1,#REF!,#REF!-#REF!)</f>
        <v/>
      </c>
      <c r="X23" s="175">
        <f>IF(X$2=1,#REF!,#REF!-#REF!)</f>
        <v/>
      </c>
      <c r="Y23" s="175">
        <f>IF(Y$2=1,#REF!,#REF!-#REF!)</f>
        <v/>
      </c>
      <c r="Z23" s="175">
        <f>IF(Z$2=1,#REF!,#REF!-#REF!)</f>
        <v/>
      </c>
      <c r="AA23" s="175">
        <f>IF(AA$2=1,#REF!,#REF!-#REF!)</f>
        <v/>
      </c>
      <c r="AB23" s="175">
        <f>IF(AB$2=1,#REF!,#REF!-#REF!)</f>
        <v/>
      </c>
      <c r="AC23" s="175">
        <f>IF(AC$2=1,#REF!,#REF!-#REF!)</f>
        <v/>
      </c>
      <c r="AD23" s="175">
        <f>Assumption!#REF!</f>
        <v/>
      </c>
      <c r="AE23" s="175">
        <f>Assumption!#REF!</f>
        <v/>
      </c>
      <c r="AF23" s="175">
        <f>Assumption!#REF!</f>
        <v/>
      </c>
      <c r="AG23" s="175">
        <f>Assumption!#REF!</f>
        <v/>
      </c>
      <c r="AH23" s="175">
        <f>Assumption!#REF!</f>
        <v/>
      </c>
      <c r="AI23" s="175">
        <f>Assumption!#REF!</f>
        <v/>
      </c>
      <c r="AJ23" s="175">
        <f>Assumption!#REF!</f>
        <v/>
      </c>
      <c r="AK23" s="175">
        <f>Assumption!#REF!</f>
        <v/>
      </c>
      <c r="AL23" s="175">
        <f>Assumption!#REF!</f>
        <v/>
      </c>
      <c r="AM23" s="175">
        <f>Assumption!#REF!</f>
        <v/>
      </c>
      <c r="AN23" s="175">
        <f>Assumption!#REF!</f>
        <v/>
      </c>
      <c r="AO23" s="175">
        <f>Assumption!#REF!</f>
        <v/>
      </c>
      <c r="AP23" s="108" t="n"/>
    </row>
    <row r="24">
      <c r="A24" s="22" t="inlineStr">
        <is>
          <t>Profit for the period</t>
        </is>
      </c>
      <c r="B24" s="147" t="n"/>
      <c r="C24" s="147" t="n"/>
      <c r="D24" s="147" t="n"/>
      <c r="E24" s="147" t="n"/>
      <c r="F24" s="147" t="n"/>
      <c r="G24" s="147" t="n"/>
      <c r="H24" s="147" t="n"/>
      <c r="I24" s="147" t="n"/>
      <c r="J24" s="147" t="n"/>
      <c r="K24" s="147" t="n"/>
      <c r="L24" s="147" t="n"/>
      <c r="M24" s="123">
        <f>M22+M23</f>
        <v/>
      </c>
      <c r="N24" s="123">
        <f>N22+N23</f>
        <v/>
      </c>
      <c r="O24" s="123">
        <f>O22+O23</f>
        <v/>
      </c>
      <c r="P24" s="123">
        <f>P22+P23</f>
        <v/>
      </c>
      <c r="Q24" s="123">
        <f>Q22+Q23</f>
        <v/>
      </c>
      <c r="R24" s="123">
        <f>R22+R23</f>
        <v/>
      </c>
      <c r="S24" s="123">
        <f>S22+S23</f>
        <v/>
      </c>
      <c r="T24" s="123">
        <f>T22+T23</f>
        <v/>
      </c>
      <c r="U24" s="123">
        <f>U22+U23</f>
        <v/>
      </c>
      <c r="V24" s="123">
        <f>V22+V23</f>
        <v/>
      </c>
      <c r="W24" s="123">
        <f>W22+W23</f>
        <v/>
      </c>
      <c r="X24" s="123">
        <f>X22+X23</f>
        <v/>
      </c>
      <c r="Y24" s="123">
        <f>Y22+Y23</f>
        <v/>
      </c>
      <c r="Z24" s="123">
        <f>Z22+Z23</f>
        <v/>
      </c>
      <c r="AA24" s="123">
        <f>AA22+AA23</f>
        <v/>
      </c>
      <c r="AB24" s="123">
        <f>AB22+AB23</f>
        <v/>
      </c>
      <c r="AC24" s="123">
        <f>AC22+AC23</f>
        <v/>
      </c>
      <c r="AD24" s="123">
        <f>AD22+AD23</f>
        <v/>
      </c>
      <c r="AE24" s="123">
        <f>AE22+AE23</f>
        <v/>
      </c>
      <c r="AF24" s="123">
        <f>AF22+AF23</f>
        <v/>
      </c>
      <c r="AG24" s="123">
        <f>AG22+AG23</f>
        <v/>
      </c>
      <c r="AH24" s="123">
        <f>AH22+AH23</f>
        <v/>
      </c>
      <c r="AI24" s="123">
        <f>AI22+AI23</f>
        <v/>
      </c>
      <c r="AJ24" s="123">
        <f>AJ22+AJ23</f>
        <v/>
      </c>
      <c r="AK24" s="123">
        <f>AK22+AK23</f>
        <v/>
      </c>
      <c r="AL24" s="123">
        <f>AL22+AL23</f>
        <v/>
      </c>
      <c r="AM24" s="123">
        <f>AM22+AM23</f>
        <v/>
      </c>
      <c r="AN24" s="123">
        <f>AN22+AN23</f>
        <v/>
      </c>
      <c r="AO24" s="123">
        <f>AO22+AO23</f>
        <v/>
      </c>
      <c r="AP24" s="108" t="n"/>
    </row>
    <row r="25">
      <c r="A25" s="74" t="inlineStr">
        <is>
          <t>Attributable to:</t>
        </is>
      </c>
      <c r="F25" s="145" t="n"/>
      <c r="G25" s="145" t="n"/>
      <c r="H25" s="145" t="n"/>
      <c r="I25" s="145" t="n"/>
      <c r="J25" s="145" t="n"/>
      <c r="K25" s="145" t="n"/>
      <c r="L25" s="145" t="n"/>
      <c r="M25" s="143" t="n"/>
      <c r="N25" s="143" t="n"/>
      <c r="O25" s="143" t="n"/>
      <c r="P25" s="143" t="n"/>
      <c r="Q25" s="143" t="n"/>
      <c r="R25" s="143" t="n"/>
      <c r="S25" s="143" t="n"/>
      <c r="T25" s="143" t="n"/>
      <c r="U25" s="143" t="n"/>
      <c r="V25" s="143" t="n"/>
      <c r="W25" s="143" t="n"/>
      <c r="X25" s="143" t="n"/>
      <c r="Y25" s="143" t="n"/>
      <c r="Z25" s="143" t="n"/>
      <c r="AA25" s="143" t="n"/>
      <c r="AB25" s="143" t="n"/>
      <c r="AC25" s="143" t="n"/>
      <c r="AD25" s="143" t="n"/>
      <c r="AE25" s="143" t="n"/>
      <c r="AF25" s="143" t="n"/>
      <c r="AG25" s="143" t="n"/>
      <c r="AH25" s="143" t="n"/>
      <c r="AI25" s="143" t="n"/>
      <c r="AJ25" s="143" t="n"/>
      <c r="AK25" s="143" t="n"/>
      <c r="AL25" s="143" t="n"/>
      <c r="AM25" s="143" t="n"/>
      <c r="AN25" s="143" t="n"/>
      <c r="AO25" s="143" t="n"/>
      <c r="AP25" s="108" t="n"/>
    </row>
    <row r="26">
      <c r="A26" s="33" t="inlineStr">
        <is>
          <t>Equity shareholders of the Company</t>
        </is>
      </c>
      <c r="B26" s="145" t="n"/>
      <c r="C26" s="145" t="n"/>
      <c r="D26" s="145" t="n"/>
      <c r="E26" s="145" t="n"/>
      <c r="F26" s="141" t="n"/>
      <c r="G26" s="141" t="n"/>
      <c r="H26" s="141" t="n"/>
      <c r="I26" s="141" t="n"/>
      <c r="J26" s="141" t="n"/>
      <c r="K26" s="141" t="n"/>
      <c r="L26" s="141" t="n"/>
      <c r="M26" s="175">
        <f>IF(M$2=1,#REF!,#REF!-#REF!)</f>
        <v/>
      </c>
      <c r="N26" s="175">
        <f>IF(N$2=1,#REF!,#REF!-#REF!)</f>
        <v/>
      </c>
      <c r="O26" s="175">
        <f>IF(O$2=1,#REF!,#REF!-#REF!)</f>
        <v/>
      </c>
      <c r="P26" s="175">
        <f>IF(P$2=1,#REF!,#REF!-#REF!)</f>
        <v/>
      </c>
      <c r="Q26" s="175">
        <f>IF(Q$2=1,#REF!,#REF!-#REF!)</f>
        <v/>
      </c>
      <c r="R26" s="175">
        <f>IF(R$2=1,#REF!,#REF!-#REF!)</f>
        <v/>
      </c>
      <c r="S26" s="175">
        <f>IF(S$2=1,#REF!,#REF!-#REF!)</f>
        <v/>
      </c>
      <c r="T26" s="175">
        <f>IF(T$2=1,#REF!,#REF!-#REF!)</f>
        <v/>
      </c>
      <c r="U26" s="175">
        <f>IF(U$2=1,#REF!,#REF!-#REF!)</f>
        <v/>
      </c>
      <c r="V26" s="175">
        <f>IF(V$2=1,#REF!,#REF!-#REF!)</f>
        <v/>
      </c>
      <c r="W26" s="175">
        <f>IF(W$2=1,#REF!,#REF!-#REF!)</f>
        <v/>
      </c>
      <c r="X26" s="175">
        <f>IF(X$2=1,#REF!,#REF!-#REF!)</f>
        <v/>
      </c>
      <c r="Y26" s="175">
        <f>IF(Y$2=1,#REF!,#REF!-#REF!)</f>
        <v/>
      </c>
      <c r="Z26" s="175">
        <f>IF(Z$2=1,#REF!,#REF!-#REF!)</f>
        <v/>
      </c>
      <c r="AA26" s="175">
        <f>IF(AA$2=1,#REF!,#REF!-#REF!)</f>
        <v/>
      </c>
      <c r="AB26" s="175">
        <f>IF(AB$2=1,#REF!,#REF!-#REF!)</f>
        <v/>
      </c>
      <c r="AC26" s="175">
        <f>IF(AC$2=1,#REF!,#REF!-#REF!)</f>
        <v/>
      </c>
      <c r="AD26" s="88">
        <f>+AD24-AD27</f>
        <v/>
      </c>
      <c r="AE26" s="88">
        <f>+AE24-AE27</f>
        <v/>
      </c>
      <c r="AF26" s="88">
        <f>+AF24-AF27</f>
        <v/>
      </c>
      <c r="AG26" s="88">
        <f>+AG24-AG27</f>
        <v/>
      </c>
      <c r="AH26" s="88">
        <f>+AH24-AH27</f>
        <v/>
      </c>
      <c r="AI26" s="88">
        <f>+AI24-AI27</f>
        <v/>
      </c>
      <c r="AJ26" s="88">
        <f>+AJ24-AJ27</f>
        <v/>
      </c>
      <c r="AK26" s="88">
        <f>+AK24-AK27</f>
        <v/>
      </c>
      <c r="AL26" s="88">
        <f>+AL24-AL27</f>
        <v/>
      </c>
      <c r="AM26" s="88">
        <f>+AM24-AM27</f>
        <v/>
      </c>
      <c r="AN26" s="88">
        <f>+AN24-AN27</f>
        <v/>
      </c>
      <c r="AO26" s="88">
        <f>+AO24-AO27</f>
        <v/>
      </c>
      <c r="AP26" s="108" t="n"/>
    </row>
    <row r="27">
      <c r="A27" s="33" t="inlineStr">
        <is>
          <t>Non-controlling interests</t>
        </is>
      </c>
      <c r="B27" s="145" t="n"/>
      <c r="C27" s="145" t="n"/>
      <c r="D27" s="145" t="n"/>
      <c r="E27" s="145" t="n"/>
      <c r="F27" s="141" t="n"/>
      <c r="G27" s="141" t="n"/>
      <c r="H27" s="141" t="n"/>
      <c r="I27" s="141" t="n"/>
      <c r="J27" s="141" t="n"/>
      <c r="K27" s="141" t="n"/>
      <c r="L27" s="141" t="n"/>
      <c r="M27" s="175">
        <f>IF(M$2=1,#REF!,#REF!-#REF!)</f>
        <v/>
      </c>
      <c r="N27" s="175">
        <f>IF(N$2=1,#REF!,#REF!-#REF!)</f>
        <v/>
      </c>
      <c r="O27" s="175">
        <f>IF(O$2=1,#REF!,#REF!-#REF!)</f>
        <v/>
      </c>
      <c r="P27" s="175">
        <f>IF(P$2=1,#REF!,#REF!-#REF!)</f>
        <v/>
      </c>
      <c r="Q27" s="175">
        <f>IF(Q$2=1,#REF!,#REF!-#REF!)</f>
        <v/>
      </c>
      <c r="R27" s="175">
        <f>IF(R$2=1,#REF!,#REF!-#REF!)</f>
        <v/>
      </c>
      <c r="S27" s="175">
        <f>IF(S$2=1,#REF!,#REF!-#REF!)</f>
        <v/>
      </c>
      <c r="T27" s="175">
        <f>IF(T$2=1,#REF!,#REF!-#REF!)</f>
        <v/>
      </c>
      <c r="U27" s="175">
        <f>IF(U$2=1,#REF!,#REF!-#REF!)</f>
        <v/>
      </c>
      <c r="V27" s="175">
        <f>IF(V$2=1,#REF!,#REF!-#REF!)</f>
        <v/>
      </c>
      <c r="W27" s="175">
        <f>IF(W$2=1,#REF!,#REF!-#REF!)</f>
        <v/>
      </c>
      <c r="X27" s="175">
        <f>IF(X$2=1,#REF!,#REF!-#REF!)</f>
        <v/>
      </c>
      <c r="Y27" s="175">
        <f>IF(Y$2=1,#REF!,#REF!-#REF!)</f>
        <v/>
      </c>
      <c r="Z27" s="175">
        <f>IF(Z$2=1,#REF!,#REF!-#REF!)</f>
        <v/>
      </c>
      <c r="AA27" s="175">
        <f>IF(AA$2=1,#REF!,#REF!-#REF!)</f>
        <v/>
      </c>
      <c r="AB27" s="175">
        <f>IF(AB$2=1,#REF!,#REF!-#REF!)</f>
        <v/>
      </c>
      <c r="AC27" s="175">
        <f>IF(AC$2=1,#REF!,#REF!-#REF!)</f>
        <v/>
      </c>
      <c r="AD27" s="175">
        <f>Assumption!#REF!</f>
        <v/>
      </c>
      <c r="AE27" s="175">
        <f>Assumption!#REF!</f>
        <v/>
      </c>
      <c r="AF27" s="175">
        <f>Assumption!#REF!</f>
        <v/>
      </c>
      <c r="AG27" s="175">
        <f>Assumption!#REF!</f>
        <v/>
      </c>
      <c r="AH27" s="175">
        <f>Assumption!#REF!</f>
        <v/>
      </c>
      <c r="AI27" s="175">
        <f>Assumption!#REF!</f>
        <v/>
      </c>
      <c r="AJ27" s="175">
        <f>Assumption!#REF!</f>
        <v/>
      </c>
      <c r="AK27" s="175">
        <f>Assumption!#REF!</f>
        <v/>
      </c>
      <c r="AL27" s="175">
        <f>Assumption!#REF!</f>
        <v/>
      </c>
      <c r="AM27" s="175">
        <f>Assumption!#REF!</f>
        <v/>
      </c>
      <c r="AN27" s="175">
        <f>Assumption!#REF!</f>
        <v/>
      </c>
      <c r="AO27" s="175">
        <f>Assumption!#REF!</f>
        <v/>
      </c>
      <c r="AP27" s="108" t="n"/>
    </row>
    <row r="28">
      <c r="F28" s="143" t="n"/>
      <c r="G28" s="143" t="n"/>
      <c r="H28" s="143" t="n"/>
      <c r="I28" s="143" t="n"/>
      <c r="J28" s="143" t="n"/>
      <c r="K28" s="143" t="n"/>
      <c r="L28" s="143" t="n"/>
      <c r="M28" s="190" t="n"/>
      <c r="N28" s="190" t="n"/>
      <c r="O28" s="190" t="n"/>
      <c r="P28" s="190" t="n"/>
      <c r="Q28" s="190" t="n"/>
      <c r="R28" s="190" t="n"/>
      <c r="S28" s="190" t="n"/>
      <c r="T28" s="190" t="n"/>
      <c r="U28" s="190" t="n"/>
      <c r="V28" s="190" t="n"/>
      <c r="W28" s="190" t="n"/>
      <c r="X28" s="190" t="n"/>
      <c r="Y28" s="190" t="n"/>
      <c r="Z28" s="190" t="n"/>
      <c r="AA28" s="190" t="n"/>
      <c r="AB28" s="190" t="n"/>
      <c r="AC28" s="190" t="n"/>
      <c r="AD28" s="190" t="n"/>
      <c r="AE28" s="190" t="n"/>
      <c r="AF28" s="190" t="n"/>
      <c r="AG28" s="190" t="n"/>
      <c r="AH28" s="190" t="n"/>
      <c r="AI28" s="190" t="n"/>
      <c r="AJ28" s="190" t="n"/>
      <c r="AK28" s="190" t="n"/>
      <c r="AL28" s="190" t="n"/>
      <c r="AM28" s="190" t="n"/>
      <c r="AN28" s="190" t="n"/>
      <c r="AO28" s="190" t="n"/>
      <c r="AP28" s="108" t="n"/>
    </row>
    <row r="29">
      <c r="A29" s="22" t="inlineStr">
        <is>
          <t>Basic earnings per share  (HKD)</t>
        </is>
      </c>
      <c r="B29" s="95" t="n"/>
      <c r="C29" s="95" t="n"/>
      <c r="D29" s="95" t="n"/>
      <c r="E29" s="95" t="n"/>
      <c r="F29" s="139" t="n"/>
      <c r="G29" s="139" t="n"/>
      <c r="H29" s="139" t="n"/>
      <c r="I29" s="139" t="n"/>
      <c r="J29" s="139" t="n"/>
      <c r="K29" s="139" t="n"/>
      <c r="L29" s="139" t="n"/>
      <c r="M29" s="150">
        <f>IF(M$2=1,#REF!,#REF!-#REF!)/M226</f>
        <v/>
      </c>
      <c r="N29" s="150">
        <f>IF(N$2=1,#REF!,#REF!-#REF!)/N226</f>
        <v/>
      </c>
      <c r="O29" s="150">
        <f>IF(O$2=1,#REF!,#REF!-#REF!)/O226</f>
        <v/>
      </c>
      <c r="P29" s="150">
        <f>IF(P$2=1,#REF!,#REF!-#REF!)/P226</f>
        <v/>
      </c>
      <c r="Q29" s="150">
        <f>IF(Q$2=1,#REF!,#REF!-#REF!)/Q226</f>
        <v/>
      </c>
      <c r="R29" s="150">
        <f>IF(R$2=1,#REF!,#REF!-#REF!)/R226</f>
        <v/>
      </c>
      <c r="S29" s="150">
        <f>IF(S$2=1,#REF!,#REF!-#REF!)/S226</f>
        <v/>
      </c>
      <c r="T29" s="150">
        <f>IF(T$2=1,#REF!,#REF!-#REF!)/T226</f>
        <v/>
      </c>
      <c r="U29" s="150">
        <f>IF(U$2=1,#REF!,#REF!-#REF!)/U226</f>
        <v/>
      </c>
      <c r="V29" s="150">
        <f>IF(V$2=1,#REF!,#REF!-#REF!)/V226</f>
        <v/>
      </c>
      <c r="W29" s="150">
        <f>IF(W$2=1,#REF!,#REF!-#REF!)/W226</f>
        <v/>
      </c>
      <c r="X29" s="150">
        <f>IF(X$2=1,#REF!,#REF!-#REF!)/X226</f>
        <v/>
      </c>
      <c r="Y29" s="150">
        <f>IF(Y$2=1,#REF!,#REF!-#REF!)/Y226</f>
        <v/>
      </c>
      <c r="Z29" s="150">
        <f>IF(Z$2=1,#REF!,#REF!-#REF!)/Z226</f>
        <v/>
      </c>
      <c r="AA29" s="150">
        <f>IF(AA$2=1,#REF!,#REF!-#REF!)/AA226</f>
        <v/>
      </c>
      <c r="AB29" s="150">
        <f>IF(AB$2=1,#REF!,#REF!-#REF!)/AB226</f>
        <v/>
      </c>
      <c r="AC29" s="150">
        <f>IF(AC$2=1,#REF!,#REF!-#REF!)/AC226</f>
        <v/>
      </c>
      <c r="AD29" s="118">
        <f>1/AD226*AD26/AD31</f>
        <v/>
      </c>
      <c r="AE29" s="118">
        <f>1/AE226*AE26/AE31</f>
        <v/>
      </c>
      <c r="AF29" s="118">
        <f>1/AF226*AF26/AF31</f>
        <v/>
      </c>
      <c r="AG29" s="118">
        <f>1/AG226*AG26/AG31</f>
        <v/>
      </c>
      <c r="AH29" s="118">
        <f>1/AH226*AH26/AH31</f>
        <v/>
      </c>
      <c r="AI29" s="118">
        <f>1/AI226*AI26/AI31</f>
        <v/>
      </c>
      <c r="AJ29" s="118">
        <f>1/AJ226*AJ26/AJ31</f>
        <v/>
      </c>
      <c r="AK29" s="118">
        <f>1/AK226*AK26/AK31</f>
        <v/>
      </c>
      <c r="AL29" s="118">
        <f>1/AL226*AL26/AL31</f>
        <v/>
      </c>
      <c r="AM29" s="118">
        <f>1/AM226*AM26/AM31</f>
        <v/>
      </c>
      <c r="AN29" s="118">
        <f>1/AN226*AN26/AN31</f>
        <v/>
      </c>
      <c r="AO29" s="118">
        <f>1/AO226*AO26/AO31</f>
        <v/>
      </c>
      <c r="AP29" s="108" t="n"/>
    </row>
    <row r="30">
      <c r="A30" s="22" t="inlineStr">
        <is>
          <t>Diluted earnings per share  (HKD)</t>
        </is>
      </c>
      <c r="B30" s="95" t="n"/>
      <c r="C30" s="95" t="n"/>
      <c r="D30" s="95" t="n"/>
      <c r="E30" s="95" t="n"/>
      <c r="F30" s="139" t="n"/>
      <c r="G30" s="139" t="n"/>
      <c r="H30" s="139" t="n"/>
      <c r="I30" s="139" t="n"/>
      <c r="J30" s="139" t="n"/>
      <c r="K30" s="139" t="n"/>
      <c r="L30" s="139" t="n"/>
      <c r="M30" s="150">
        <f>IF(M$2=1,#REF!,#REF!-#REF!)/M226</f>
        <v/>
      </c>
      <c r="N30" s="150">
        <f>IF(N$2=1,#REF!,#REF!-#REF!)/N226</f>
        <v/>
      </c>
      <c r="O30" s="150">
        <f>IF(O$2=1,#REF!,#REF!-#REF!)/O226</f>
        <v/>
      </c>
      <c r="P30" s="150">
        <f>IF(P$2=1,#REF!,#REF!-#REF!)/P226</f>
        <v/>
      </c>
      <c r="Q30" s="150">
        <f>IF(Q$2=1,#REF!,#REF!-#REF!)/Q226</f>
        <v/>
      </c>
      <c r="R30" s="150">
        <f>IF(R$2=1,#REF!,#REF!-#REF!)/R226</f>
        <v/>
      </c>
      <c r="S30" s="150">
        <f>IF(S$2=1,#REF!,#REF!-#REF!)/S226</f>
        <v/>
      </c>
      <c r="T30" s="150">
        <f>IF(T$2=1,#REF!,#REF!-#REF!)/T226</f>
        <v/>
      </c>
      <c r="U30" s="150">
        <f>IF(U$2=1,#REF!,#REF!-#REF!)/U226</f>
        <v/>
      </c>
      <c r="V30" s="150">
        <f>IF(V$2=1,#REF!,#REF!-#REF!)/V226</f>
        <v/>
      </c>
      <c r="W30" s="150">
        <f>IF(W$2=1,#REF!,#REF!-#REF!)/W226</f>
        <v/>
      </c>
      <c r="X30" s="150">
        <f>IF(X$2=1,#REF!,#REF!-#REF!)/X226</f>
        <v/>
      </c>
      <c r="Y30" s="150">
        <f>IF(Y$2=1,#REF!,#REF!-#REF!)/Y226</f>
        <v/>
      </c>
      <c r="Z30" s="150">
        <f>IF(Z$2=1,#REF!,#REF!-#REF!)/Z226</f>
        <v/>
      </c>
      <c r="AA30" s="150">
        <f>IF(AA$2=1,#REF!,#REF!-#REF!)/AA226</f>
        <v/>
      </c>
      <c r="AB30" s="150">
        <f>IF(AB$2=1,#REF!,#REF!-#REF!)/AB226</f>
        <v/>
      </c>
      <c r="AC30" s="150">
        <f>IF(AC$2=1,#REF!,#REF!-#REF!)/AC226</f>
        <v/>
      </c>
      <c r="AD30" s="118">
        <f>1/AD226*AD26/AD32</f>
        <v/>
      </c>
      <c r="AE30" s="118">
        <f>1/AE226*AE26/AE32</f>
        <v/>
      </c>
      <c r="AF30" s="118">
        <f>1/AF226*AF26/AF32</f>
        <v/>
      </c>
      <c r="AG30" s="118">
        <f>1/AG226*AG26/AG32</f>
        <v/>
      </c>
      <c r="AH30" s="118">
        <f>1/AH226*AH26/AH32</f>
        <v/>
      </c>
      <c r="AI30" s="118">
        <f>1/AI226*AI26/AI32</f>
        <v/>
      </c>
      <c r="AJ30" s="118">
        <f>1/AJ226*AJ26/AJ32</f>
        <v/>
      </c>
      <c r="AK30" s="118">
        <f>1/AK226*AK26/AK32</f>
        <v/>
      </c>
      <c r="AL30" s="118">
        <f>1/AL226*AL26/AL32</f>
        <v/>
      </c>
      <c r="AM30" s="118">
        <f>1/AM226*AM26/AM32</f>
        <v/>
      </c>
      <c r="AN30" s="118">
        <f>1/AN226*AN26/AN32</f>
        <v/>
      </c>
      <c r="AO30" s="118">
        <f>1/AO226*AO26/AO32</f>
        <v/>
      </c>
      <c r="AP30" s="108" t="n"/>
    </row>
    <row r="31">
      <c r="A31" t="inlineStr">
        <is>
          <t>Weighted average number of shares (basic)</t>
        </is>
      </c>
      <c r="F31" s="141" t="n"/>
      <c r="G31" s="141" t="n"/>
      <c r="H31" s="141" t="n"/>
      <c r="I31" s="141" t="n"/>
      <c r="J31" s="141" t="n"/>
      <c r="K31" s="141" t="n"/>
      <c r="L31" s="141" t="n"/>
      <c r="M31" s="175">
        <f>Assumption!#REF!</f>
        <v/>
      </c>
      <c r="N31" s="175">
        <f>Assumption!#REF!</f>
        <v/>
      </c>
      <c r="O31" s="175">
        <f>Assumption!#REF!</f>
        <v/>
      </c>
      <c r="P31" s="175">
        <f>Assumption!#REF!</f>
        <v/>
      </c>
      <c r="Q31" s="175">
        <f>Assumption!#REF!</f>
        <v/>
      </c>
      <c r="R31" s="175">
        <f>Assumption!#REF!</f>
        <v/>
      </c>
      <c r="S31" s="175">
        <f>Assumption!#REF!</f>
        <v/>
      </c>
      <c r="T31" s="175">
        <f>Assumption!#REF!</f>
        <v/>
      </c>
      <c r="U31" s="175">
        <f>Assumption!#REF!</f>
        <v/>
      </c>
      <c r="V31" s="175">
        <f>Assumption!#REF!</f>
        <v/>
      </c>
      <c r="W31" s="175">
        <f>Assumption!#REF!</f>
        <v/>
      </c>
      <c r="X31" s="175">
        <f>Assumption!#REF!</f>
        <v/>
      </c>
      <c r="Y31" s="175">
        <f>Assumption!#REF!</f>
        <v/>
      </c>
      <c r="Z31" s="175">
        <f>Assumption!#REF!</f>
        <v/>
      </c>
      <c r="AA31" s="175">
        <f>Assumption!#REF!</f>
        <v/>
      </c>
      <c r="AB31" s="175">
        <f>Assumption!#REF!</f>
        <v/>
      </c>
      <c r="AC31" s="175">
        <f>Assumption!#REF!</f>
        <v/>
      </c>
      <c r="AD31" s="175">
        <f>Assumption!#REF!</f>
        <v/>
      </c>
      <c r="AE31" s="175">
        <f>Assumption!#REF!</f>
        <v/>
      </c>
      <c r="AF31" s="175">
        <f>Assumption!#REF!</f>
        <v/>
      </c>
      <c r="AG31" s="175">
        <f>Assumption!#REF!</f>
        <v/>
      </c>
      <c r="AH31" s="175">
        <f>Assumption!#REF!</f>
        <v/>
      </c>
      <c r="AI31" s="175">
        <f>Assumption!#REF!</f>
        <v/>
      </c>
      <c r="AJ31" s="175">
        <f>Assumption!#REF!</f>
        <v/>
      </c>
      <c r="AK31" s="175">
        <f>Assumption!#REF!</f>
        <v/>
      </c>
      <c r="AL31" s="175">
        <f>Assumption!#REF!</f>
        <v/>
      </c>
      <c r="AM31" s="175">
        <f>Assumption!#REF!</f>
        <v/>
      </c>
      <c r="AN31" s="175">
        <f>Assumption!#REF!</f>
        <v/>
      </c>
      <c r="AO31" s="175">
        <f>Assumption!#REF!</f>
        <v/>
      </c>
      <c r="AP31" s="108" t="n"/>
    </row>
    <row r="32">
      <c r="A32" t="inlineStr">
        <is>
          <t>Weighted average number of shares (diluted)</t>
        </is>
      </c>
      <c r="F32" s="141" t="n"/>
      <c r="G32" s="141" t="n"/>
      <c r="H32" s="141" t="n"/>
      <c r="I32" s="141" t="n"/>
      <c r="J32" s="141" t="n"/>
      <c r="K32" s="141" t="n"/>
      <c r="L32" s="141" t="n"/>
      <c r="M32" s="175">
        <f>Assumption!#REF!</f>
        <v/>
      </c>
      <c r="N32" s="175">
        <f>Assumption!#REF!</f>
        <v/>
      </c>
      <c r="O32" s="175">
        <f>Assumption!#REF!</f>
        <v/>
      </c>
      <c r="P32" s="175">
        <f>Assumption!#REF!</f>
        <v/>
      </c>
      <c r="Q32" s="175">
        <f>Assumption!#REF!</f>
        <v/>
      </c>
      <c r="R32" s="175">
        <f>Assumption!#REF!</f>
        <v/>
      </c>
      <c r="S32" s="175">
        <f>Assumption!#REF!</f>
        <v/>
      </c>
      <c r="T32" s="175">
        <f>Assumption!#REF!</f>
        <v/>
      </c>
      <c r="U32" s="175">
        <f>Assumption!#REF!</f>
        <v/>
      </c>
      <c r="V32" s="175">
        <f>Assumption!#REF!</f>
        <v/>
      </c>
      <c r="W32" s="175">
        <f>Assumption!#REF!</f>
        <v/>
      </c>
      <c r="X32" s="175">
        <f>Assumption!#REF!</f>
        <v/>
      </c>
      <c r="Y32" s="175">
        <f>Assumption!#REF!</f>
        <v/>
      </c>
      <c r="Z32" s="175">
        <f>Assumption!#REF!</f>
        <v/>
      </c>
      <c r="AA32" s="175">
        <f>Assumption!#REF!</f>
        <v/>
      </c>
      <c r="AB32" s="175">
        <f>Assumption!#REF!</f>
        <v/>
      </c>
      <c r="AC32" s="175">
        <f>Assumption!#REF!</f>
        <v/>
      </c>
      <c r="AD32" s="175">
        <f>Assumption!#REF!</f>
        <v/>
      </c>
      <c r="AE32" s="175">
        <f>Assumption!#REF!</f>
        <v/>
      </c>
      <c r="AF32" s="175">
        <f>Assumption!#REF!</f>
        <v/>
      </c>
      <c r="AG32" s="175">
        <f>Assumption!#REF!</f>
        <v/>
      </c>
      <c r="AH32" s="175">
        <f>Assumption!#REF!</f>
        <v/>
      </c>
      <c r="AI32" s="175">
        <f>Assumption!#REF!</f>
        <v/>
      </c>
      <c r="AJ32" s="175">
        <f>Assumption!#REF!</f>
        <v/>
      </c>
      <c r="AK32" s="175">
        <f>Assumption!#REF!</f>
        <v/>
      </c>
      <c r="AL32" s="175">
        <f>Assumption!#REF!</f>
        <v/>
      </c>
      <c r="AM32" s="175">
        <f>Assumption!#REF!</f>
        <v/>
      </c>
      <c r="AN32" s="175">
        <f>Assumption!#REF!</f>
        <v/>
      </c>
      <c r="AO32" s="175">
        <f>Assumption!#REF!</f>
        <v/>
      </c>
      <c r="AP32" s="108" t="n"/>
    </row>
    <row r="33">
      <c r="F33" s="141" t="n"/>
      <c r="G33" s="141" t="n"/>
      <c r="H33" s="141" t="n"/>
      <c r="I33" s="141" t="n"/>
      <c r="J33" s="141" t="n"/>
      <c r="K33" s="141" t="n"/>
      <c r="L33" s="141" t="n"/>
      <c r="M33" s="891" t="n"/>
      <c r="N33" s="891" t="n"/>
      <c r="O33" s="891" t="n"/>
      <c r="P33" s="891" t="n"/>
      <c r="Q33" s="891" t="n"/>
      <c r="R33" s="891" t="n"/>
      <c r="S33" s="891" t="n"/>
      <c r="T33" s="891" t="n"/>
      <c r="U33" s="891" t="n"/>
      <c r="V33" s="891" t="n"/>
      <c r="W33" s="891" t="n"/>
      <c r="X33" s="891" t="n"/>
      <c r="Y33" s="891" t="n"/>
      <c r="Z33" s="891" t="n"/>
      <c r="AA33" s="891" t="n"/>
      <c r="AB33" s="891" t="n"/>
      <c r="AC33" s="891" t="n"/>
      <c r="AD33" s="891" t="n"/>
      <c r="AE33" s="891" t="n"/>
      <c r="AF33" s="891" t="n"/>
      <c r="AG33" s="891" t="n"/>
      <c r="AH33" s="891" t="n"/>
      <c r="AI33" s="891" t="n"/>
      <c r="AJ33" s="891" t="n"/>
      <c r="AK33" s="891" t="n"/>
      <c r="AL33" s="891" t="n"/>
      <c r="AM33" s="891" t="n"/>
      <c r="AN33" s="891" t="n"/>
      <c r="AO33" s="891" t="n"/>
      <c r="AP33" s="108" t="n"/>
    </row>
    <row r="34">
      <c r="F34" s="142" t="n"/>
      <c r="G34" s="142" t="n"/>
      <c r="H34" s="142" t="n"/>
      <c r="I34" s="142" t="n"/>
      <c r="J34" s="142" t="n"/>
      <c r="K34" s="142" t="n"/>
      <c r="L34" s="142" t="n"/>
      <c r="M34" s="143" t="n"/>
      <c r="N34" s="143" t="n"/>
      <c r="O34" s="143" t="n"/>
      <c r="P34" s="143" t="n"/>
      <c r="Q34" s="143" t="n"/>
      <c r="R34" s="143" t="n"/>
      <c r="S34" s="143" t="n"/>
      <c r="T34" s="143" t="n"/>
      <c r="U34" s="143" t="n"/>
      <c r="V34" s="143" t="n"/>
      <c r="W34" s="143" t="n"/>
      <c r="X34" s="143" t="n"/>
      <c r="Y34" s="143" t="n"/>
      <c r="Z34" s="143" t="n"/>
      <c r="AA34" s="143" t="n"/>
      <c r="AB34" s="143" t="n"/>
      <c r="AC34" s="143" t="n"/>
      <c r="AD34" s="143" t="n"/>
      <c r="AE34" s="143" t="n"/>
      <c r="AF34" s="143" t="n"/>
      <c r="AG34" s="143" t="n"/>
      <c r="AH34" s="143" t="n"/>
      <c r="AI34" s="143" t="n"/>
      <c r="AJ34" s="143" t="n"/>
      <c r="AK34" s="143" t="n"/>
      <c r="AL34" s="143" t="n"/>
      <c r="AM34" s="143" t="n"/>
      <c r="AN34" s="143" t="n"/>
      <c r="AO34" s="143" t="n"/>
      <c r="AP34" s="108" t="n"/>
    </row>
    <row r="35">
      <c r="A35" s="81" t="inlineStr">
        <is>
          <t>CONSOLIDATED BALANCE SHEET (RMB Million)</t>
        </is>
      </c>
      <c r="F35" s="142" t="n"/>
      <c r="G35" s="142" t="n"/>
      <c r="H35" s="142" t="n"/>
      <c r="I35" s="142" t="n"/>
      <c r="J35" s="142" t="n"/>
      <c r="K35" s="142" t="n"/>
      <c r="L35" s="142" t="n"/>
      <c r="M35" s="143" t="n"/>
      <c r="N35" s="143" t="n"/>
      <c r="O35" s="143" t="n"/>
      <c r="P35" s="143" t="n"/>
      <c r="Q35" s="143" t="n"/>
      <c r="R35" s="143" t="n"/>
      <c r="S35" s="143" t="n"/>
      <c r="T35" s="143" t="n"/>
      <c r="U35" s="143" t="n"/>
      <c r="V35" s="143" t="n"/>
      <c r="W35" s="143" t="n"/>
      <c r="X35" s="143" t="n"/>
      <c r="Y35" s="143" t="n"/>
      <c r="Z35" s="143" t="n"/>
      <c r="AA35" s="143" t="n"/>
      <c r="AB35" s="143" t="n"/>
      <c r="AC35" s="143" t="n"/>
      <c r="AD35" s="143" t="n"/>
      <c r="AE35" s="143" t="n"/>
      <c r="AF35" s="143" t="n"/>
      <c r="AG35" s="143" t="n"/>
      <c r="AH35" s="143" t="n"/>
      <c r="AI35" s="143" t="n"/>
      <c r="AJ35" s="143" t="n"/>
      <c r="AK35" s="143" t="n"/>
      <c r="AL35" s="143" t="n"/>
      <c r="AM35" s="143" t="n"/>
      <c r="AN35" s="143" t="n"/>
      <c r="AO35" s="143" t="n"/>
      <c r="AP35" s="108" t="n"/>
    </row>
    <row r="36">
      <c r="M36" s="31" t="n"/>
      <c r="N36" s="31" t="n"/>
      <c r="O36" s="31" t="n"/>
      <c r="P36" s="31" t="n"/>
      <c r="Q36" s="31" t="n"/>
      <c r="R36" s="31" t="n"/>
      <c r="S36" s="31" t="n"/>
      <c r="T36" s="31" t="n"/>
      <c r="U36" s="31" t="n"/>
      <c r="V36" s="31" t="n"/>
      <c r="W36" s="31" t="n"/>
      <c r="X36" s="31" t="n"/>
      <c r="Y36" s="31" t="n"/>
      <c r="Z36" s="31" t="n"/>
      <c r="AA36" s="31" t="n"/>
      <c r="AB36" s="31" t="n"/>
      <c r="AC36" s="31" t="n"/>
      <c r="AD36" s="31" t="n"/>
      <c r="AE36" s="31" t="n"/>
      <c r="AF36" s="31" t="n"/>
      <c r="AG36" s="31" t="n"/>
      <c r="AH36" s="31" t="n"/>
      <c r="AI36" s="31" t="n"/>
      <c r="AJ36" s="31" t="n"/>
      <c r="AK36" s="31" t="n"/>
      <c r="AL36" s="31" t="n"/>
      <c r="AM36" s="31" t="n"/>
      <c r="AN36" s="31" t="n"/>
      <c r="AO36" s="31" t="n"/>
      <c r="AP36" s="108" t="n"/>
    </row>
    <row r="37">
      <c r="A37" s="22" t="inlineStr">
        <is>
          <t>Current assets</t>
        </is>
      </c>
      <c r="M37" s="31" t="n"/>
      <c r="N37" s="31" t="n"/>
      <c r="O37" s="31" t="n"/>
      <c r="P37" s="31" t="n"/>
      <c r="Q37" s="31" t="n"/>
      <c r="R37" s="31" t="n"/>
      <c r="S37" s="31" t="n"/>
      <c r="T37" s="31" t="n"/>
      <c r="U37" s="31" t="n"/>
      <c r="V37" s="31" t="n"/>
      <c r="W37" s="31" t="n"/>
      <c r="X37" s="31" t="n"/>
      <c r="Y37" s="31" t="n"/>
      <c r="Z37" s="31" t="n"/>
      <c r="AA37" s="31" t="n"/>
      <c r="AB37" s="31" t="n"/>
      <c r="AC37" s="31" t="n"/>
      <c r="AD37" s="76" t="n"/>
      <c r="AE37" s="31" t="n"/>
      <c r="AF37" s="31" t="n"/>
      <c r="AG37" s="31" t="n"/>
      <c r="AH37" s="31" t="n"/>
      <c r="AI37" s="31" t="n"/>
      <c r="AJ37" s="31" t="n"/>
      <c r="AK37" s="31" t="n"/>
      <c r="AL37" s="31" t="n"/>
      <c r="AM37" s="31" t="n"/>
      <c r="AN37" s="31" t="n"/>
      <c r="AO37" s="31" t="n"/>
      <c r="AP37" s="108" t="n"/>
    </row>
    <row r="38">
      <c r="A38" s="74">
        <f>#REF!</f>
        <v/>
      </c>
      <c r="B38" s="145" t="n"/>
      <c r="C38" s="145" t="n"/>
      <c r="D38" s="145" t="n"/>
      <c r="E38" s="145" t="n"/>
      <c r="F38" s="141" t="n"/>
      <c r="G38" s="141" t="n"/>
      <c r="H38" s="141" t="n"/>
      <c r="I38" s="141" t="n"/>
      <c r="J38" s="141" t="n"/>
      <c r="K38" s="141" t="n"/>
      <c r="L38" s="141" t="n"/>
      <c r="M38" s="175">
        <f>#REF!</f>
        <v/>
      </c>
      <c r="N38" s="175">
        <f>#REF!</f>
        <v/>
      </c>
      <c r="O38" s="175">
        <f>#REF!</f>
        <v/>
      </c>
      <c r="P38" s="175">
        <f>#REF!</f>
        <v/>
      </c>
      <c r="Q38" s="175">
        <f>#REF!</f>
        <v/>
      </c>
      <c r="R38" s="175">
        <f>#REF!</f>
        <v/>
      </c>
      <c r="S38" s="175">
        <f>#REF!</f>
        <v/>
      </c>
      <c r="T38" s="175">
        <f>#REF!</f>
        <v/>
      </c>
      <c r="U38" s="175">
        <f>#REF!</f>
        <v/>
      </c>
      <c r="V38" s="175">
        <f>#REF!</f>
        <v/>
      </c>
      <c r="W38" s="175">
        <f>#REF!</f>
        <v/>
      </c>
      <c r="X38" s="175">
        <f>#REF!</f>
        <v/>
      </c>
      <c r="Y38" s="175">
        <f>#REF!</f>
        <v/>
      </c>
      <c r="Z38" s="175">
        <f>#REF!</f>
        <v/>
      </c>
      <c r="AA38" s="175">
        <f>#REF!</f>
        <v/>
      </c>
      <c r="AB38" s="175">
        <f>#REF!</f>
        <v/>
      </c>
      <c r="AC38" s="175">
        <f>#REF!</f>
        <v/>
      </c>
      <c r="AD38" s="88">
        <f>AD145</f>
        <v/>
      </c>
      <c r="AE38" s="88">
        <f>AE145</f>
        <v/>
      </c>
      <c r="AF38" s="88">
        <f>AF145</f>
        <v/>
      </c>
      <c r="AG38" s="88">
        <f>AG145</f>
        <v/>
      </c>
      <c r="AH38" s="88">
        <f>AH145</f>
        <v/>
      </c>
      <c r="AI38" s="88">
        <f>AI145</f>
        <v/>
      </c>
      <c r="AJ38" s="88">
        <f>AJ145</f>
        <v/>
      </c>
      <c r="AK38" s="88">
        <f>AK145</f>
        <v/>
      </c>
      <c r="AL38" s="88">
        <f>AL145</f>
        <v/>
      </c>
      <c r="AM38" s="88">
        <f>AM145</f>
        <v/>
      </c>
      <c r="AN38" s="88">
        <f>AN145</f>
        <v/>
      </c>
      <c r="AO38" s="88">
        <f>AO145</f>
        <v/>
      </c>
      <c r="AP38" s="108" t="n"/>
      <c r="AQ38">
        <f>AD38-AC38</f>
        <v/>
      </c>
    </row>
    <row r="39">
      <c r="A39" s="74" t="inlineStr">
        <is>
          <t>Trade receivables</t>
        </is>
      </c>
      <c r="B39" s="145" t="n"/>
      <c r="C39" s="145" t="n"/>
      <c r="D39" s="145" t="n"/>
      <c r="E39" s="145" t="n"/>
      <c r="F39" s="141" t="n"/>
      <c r="G39" s="141" t="n"/>
      <c r="H39" s="141" t="n"/>
      <c r="I39" s="141" t="n"/>
      <c r="J39" s="141" t="n"/>
      <c r="K39" s="141" t="n"/>
      <c r="L39" s="141" t="n"/>
      <c r="M39" s="175">
        <f>#REF!</f>
        <v/>
      </c>
      <c r="N39" s="175">
        <f>#REF!</f>
        <v/>
      </c>
      <c r="O39" s="175">
        <f>#REF!</f>
        <v/>
      </c>
      <c r="P39" s="175">
        <f>#REF!</f>
        <v/>
      </c>
      <c r="Q39" s="175">
        <f>#REF!</f>
        <v/>
      </c>
      <c r="R39" s="175">
        <f>#REF!</f>
        <v/>
      </c>
      <c r="S39" s="175">
        <f>#REF!</f>
        <v/>
      </c>
      <c r="T39" s="175">
        <f>#REF!</f>
        <v/>
      </c>
      <c r="U39" s="175">
        <f>#REF!</f>
        <v/>
      </c>
      <c r="V39" s="175">
        <f>#REF!</f>
        <v/>
      </c>
      <c r="W39" s="175">
        <f>#REF!</f>
        <v/>
      </c>
      <c r="X39" s="175">
        <f>#REF!</f>
        <v/>
      </c>
      <c r="Y39" s="175">
        <f>#REF!</f>
        <v/>
      </c>
      <c r="Z39" s="175">
        <f>#REF!</f>
        <v/>
      </c>
      <c r="AA39" s="175">
        <f>#REF!</f>
        <v/>
      </c>
      <c r="AB39" s="175">
        <f>#REF!</f>
        <v/>
      </c>
      <c r="AC39" s="175">
        <f>#REF!</f>
        <v/>
      </c>
      <c r="AD39" s="175">
        <f>Assumption!H157</f>
        <v/>
      </c>
      <c r="AE39" s="175">
        <f>Assumption!I157</f>
        <v/>
      </c>
      <c r="AF39" s="175">
        <f>Assumption!J157</f>
        <v/>
      </c>
      <c r="AG39" s="175">
        <f>Assumption!K157</f>
        <v/>
      </c>
      <c r="AH39" s="175">
        <f>Assumption!L157</f>
        <v/>
      </c>
      <c r="AI39" s="175">
        <f>Assumption!M157</f>
        <v/>
      </c>
      <c r="AJ39" s="175">
        <f>Assumption!N157</f>
        <v/>
      </c>
      <c r="AK39" s="175">
        <f>Assumption!O157</f>
        <v/>
      </c>
      <c r="AL39" s="175">
        <f>Assumption!P157</f>
        <v/>
      </c>
      <c r="AM39" s="175">
        <f>Assumption!Q157</f>
        <v/>
      </c>
      <c r="AN39" s="175">
        <f>Assumption!R157</f>
        <v/>
      </c>
      <c r="AO39" s="175">
        <f>Assumption!S157</f>
        <v/>
      </c>
      <c r="AP39" s="108" t="n"/>
      <c r="AQ39">
        <f>AD39-AC39</f>
        <v/>
      </c>
    </row>
    <row r="40">
      <c r="A40" s="74">
        <f>#REF!</f>
        <v/>
      </c>
      <c r="B40" s="145" t="n"/>
      <c r="C40" s="145" t="n"/>
      <c r="D40" s="145" t="n"/>
      <c r="E40" s="145" t="n"/>
      <c r="F40" s="141" t="n"/>
      <c r="G40" s="141" t="n"/>
      <c r="H40" s="141" t="n"/>
      <c r="I40" s="141" t="n"/>
      <c r="J40" s="141" t="n"/>
      <c r="K40" s="141" t="n"/>
      <c r="L40" s="141" t="n"/>
      <c r="M40" s="175">
        <f>#REF!</f>
        <v/>
      </c>
      <c r="N40" s="175">
        <f>#REF!</f>
        <v/>
      </c>
      <c r="O40" s="175">
        <f>#REF!</f>
        <v/>
      </c>
      <c r="P40" s="175">
        <f>#REF!</f>
        <v/>
      </c>
      <c r="Q40" s="175">
        <f>#REF!</f>
        <v/>
      </c>
      <c r="R40" s="175">
        <f>#REF!</f>
        <v/>
      </c>
      <c r="S40" s="175">
        <f>#REF!</f>
        <v/>
      </c>
      <c r="T40" s="175">
        <f>#REF!</f>
        <v/>
      </c>
      <c r="U40" s="175">
        <f>#REF!</f>
        <v/>
      </c>
      <c r="V40" s="175">
        <f>#REF!</f>
        <v/>
      </c>
      <c r="W40" s="175">
        <f>#REF!</f>
        <v/>
      </c>
      <c r="X40" s="175">
        <f>#REF!</f>
        <v/>
      </c>
      <c r="Y40" s="175">
        <f>#REF!</f>
        <v/>
      </c>
      <c r="Z40" s="175">
        <f>#REF!</f>
        <v/>
      </c>
      <c r="AA40" s="175">
        <f>#REF!</f>
        <v/>
      </c>
      <c r="AB40" s="175">
        <f>#REF!</f>
        <v/>
      </c>
      <c r="AC40" s="175">
        <f>#REF!</f>
        <v/>
      </c>
      <c r="AD40" s="175">
        <f>Assumption!#REF!</f>
        <v/>
      </c>
      <c r="AE40" s="175">
        <f>Assumption!#REF!</f>
        <v/>
      </c>
      <c r="AF40" s="175">
        <f>Assumption!#REF!</f>
        <v/>
      </c>
      <c r="AG40" s="175">
        <f>Assumption!#REF!</f>
        <v/>
      </c>
      <c r="AH40" s="175">
        <f>Assumption!#REF!</f>
        <v/>
      </c>
      <c r="AI40" s="175">
        <f>Assumption!#REF!</f>
        <v/>
      </c>
      <c r="AJ40" s="175">
        <f>Assumption!#REF!</f>
        <v/>
      </c>
      <c r="AK40" s="175">
        <f>Assumption!#REF!</f>
        <v/>
      </c>
      <c r="AL40" s="175">
        <f>Assumption!#REF!</f>
        <v/>
      </c>
      <c r="AM40" s="175">
        <f>Assumption!#REF!</f>
        <v/>
      </c>
      <c r="AN40" s="175">
        <f>Assumption!#REF!</f>
        <v/>
      </c>
      <c r="AO40" s="175">
        <f>Assumption!#REF!</f>
        <v/>
      </c>
      <c r="AP40" s="108" t="n"/>
      <c r="AQ40">
        <f>AD40-AC40</f>
        <v/>
      </c>
    </row>
    <row r="41">
      <c r="A41" s="74" t="inlineStr">
        <is>
          <t>Other receivable</t>
        </is>
      </c>
      <c r="B41" s="145" t="n"/>
      <c r="C41" s="145" t="n"/>
      <c r="D41" s="145" t="n"/>
      <c r="E41" s="145" t="n"/>
      <c r="F41" s="141" t="n"/>
      <c r="G41" s="141" t="n"/>
      <c r="H41" s="141" t="n"/>
      <c r="I41" s="141" t="n"/>
      <c r="J41" s="141" t="n"/>
      <c r="K41" s="141" t="n"/>
      <c r="L41" s="141" t="n"/>
      <c r="M41" s="175">
        <f>#REF!+#REF!+#REF!</f>
        <v/>
      </c>
      <c r="N41" s="175">
        <f>#REF!+#REF!+#REF!</f>
        <v/>
      </c>
      <c r="O41" s="175">
        <f>#REF!+#REF!+#REF!</f>
        <v/>
      </c>
      <c r="P41" s="175">
        <f>#REF!+#REF!+#REF!</f>
        <v/>
      </c>
      <c r="Q41" s="175">
        <f>#REF!+#REF!+#REF!</f>
        <v/>
      </c>
      <c r="R41" s="175">
        <f>#REF!+#REF!+#REF!</f>
        <v/>
      </c>
      <c r="S41" s="175">
        <f>#REF!+#REF!+#REF!</f>
        <v/>
      </c>
      <c r="T41" s="175">
        <f>#REF!+#REF!+#REF!</f>
        <v/>
      </c>
      <c r="U41" s="175">
        <f>#REF!+#REF!+#REF!</f>
        <v/>
      </c>
      <c r="V41" s="175">
        <f>#REF!+#REF!+#REF!</f>
        <v/>
      </c>
      <c r="W41" s="175">
        <f>#REF!+#REF!+#REF!</f>
        <v/>
      </c>
      <c r="X41" s="175">
        <f>#REF!+#REF!+#REF!</f>
        <v/>
      </c>
      <c r="Y41" s="175">
        <f>#REF!+#REF!+#REF!</f>
        <v/>
      </c>
      <c r="Z41" s="175">
        <f>#REF!+#REF!+#REF!</f>
        <v/>
      </c>
      <c r="AA41" s="175">
        <f>#REF!+#REF!+#REF!</f>
        <v/>
      </c>
      <c r="AB41" s="175">
        <f>#REF!+#REF!+#REF!</f>
        <v/>
      </c>
      <c r="AC41" s="175">
        <f>#REF!+#REF!+#REF!</f>
        <v/>
      </c>
      <c r="AD41" s="175">
        <f>Assumption!#REF!</f>
        <v/>
      </c>
      <c r="AE41" s="175">
        <f>Assumption!#REF!</f>
        <v/>
      </c>
      <c r="AF41" s="175">
        <f>Assumption!#REF!</f>
        <v/>
      </c>
      <c r="AG41" s="175">
        <f>Assumption!#REF!</f>
        <v/>
      </c>
      <c r="AH41" s="175">
        <f>Assumption!#REF!</f>
        <v/>
      </c>
      <c r="AI41" s="175">
        <f>Assumption!#REF!</f>
        <v/>
      </c>
      <c r="AJ41" s="175">
        <f>Assumption!#REF!</f>
        <v/>
      </c>
      <c r="AK41" s="175">
        <f>Assumption!#REF!</f>
        <v/>
      </c>
      <c r="AL41" s="175">
        <f>Assumption!#REF!</f>
        <v/>
      </c>
      <c r="AM41" s="175">
        <f>Assumption!#REF!</f>
        <v/>
      </c>
      <c r="AN41" s="175">
        <f>Assumption!#REF!</f>
        <v/>
      </c>
      <c r="AO41" s="175">
        <f>Assumption!#REF!</f>
        <v/>
      </c>
      <c r="AP41" s="108" t="n"/>
      <c r="AQ41">
        <f>AD41-AC41</f>
        <v/>
      </c>
    </row>
    <row r="42">
      <c r="A42" s="74">
        <f>#REF!</f>
        <v/>
      </c>
      <c r="B42" s="145" t="n"/>
      <c r="C42" s="145" t="n"/>
      <c r="D42" s="145" t="n"/>
      <c r="E42" s="145" t="n"/>
      <c r="F42" s="141" t="n"/>
      <c r="G42" s="141" t="n"/>
      <c r="H42" s="141" t="n"/>
      <c r="I42" s="141" t="n"/>
      <c r="J42" s="141" t="n"/>
      <c r="K42" s="141" t="n"/>
      <c r="L42" s="141" t="n"/>
      <c r="M42" s="175">
        <f>#REF!</f>
        <v/>
      </c>
      <c r="N42" s="175">
        <f>#REF!</f>
        <v/>
      </c>
      <c r="O42" s="175">
        <f>#REF!</f>
        <v/>
      </c>
      <c r="P42" s="175">
        <f>#REF!</f>
        <v/>
      </c>
      <c r="Q42" s="175">
        <f>#REF!</f>
        <v/>
      </c>
      <c r="R42" s="175">
        <f>#REF!</f>
        <v/>
      </c>
      <c r="S42" s="175">
        <f>#REF!</f>
        <v/>
      </c>
      <c r="T42" s="175">
        <f>#REF!</f>
        <v/>
      </c>
      <c r="U42" s="175">
        <f>#REF!</f>
        <v/>
      </c>
      <c r="V42" s="175">
        <f>#REF!</f>
        <v/>
      </c>
      <c r="W42" s="175">
        <f>#REF!</f>
        <v/>
      </c>
      <c r="X42" s="175">
        <f>#REF!</f>
        <v/>
      </c>
      <c r="Y42" s="175">
        <f>#REF!</f>
        <v/>
      </c>
      <c r="Z42" s="175">
        <f>#REF!</f>
        <v/>
      </c>
      <c r="AA42" s="175">
        <f>#REF!</f>
        <v/>
      </c>
      <c r="AB42" s="175">
        <f>#REF!</f>
        <v/>
      </c>
      <c r="AC42" s="175">
        <f>#REF!</f>
        <v/>
      </c>
      <c r="AD42" s="175">
        <f>Assumption!H160</f>
        <v/>
      </c>
      <c r="AE42" s="175">
        <f>Assumption!I160</f>
        <v/>
      </c>
      <c r="AF42" s="175">
        <f>Assumption!J160</f>
        <v/>
      </c>
      <c r="AG42" s="175">
        <f>Assumption!K160</f>
        <v/>
      </c>
      <c r="AH42" s="175">
        <f>Assumption!L160</f>
        <v/>
      </c>
      <c r="AI42" s="175">
        <f>Assumption!M160</f>
        <v/>
      </c>
      <c r="AJ42" s="175">
        <f>Assumption!N160</f>
        <v/>
      </c>
      <c r="AK42" s="175">
        <f>Assumption!O160</f>
        <v/>
      </c>
      <c r="AL42" s="175">
        <f>Assumption!P160</f>
        <v/>
      </c>
      <c r="AM42" s="175">
        <f>Assumption!Q160</f>
        <v/>
      </c>
      <c r="AN42" s="175">
        <f>Assumption!R160</f>
        <v/>
      </c>
      <c r="AO42" s="175">
        <f>Assumption!S160</f>
        <v/>
      </c>
      <c r="AP42" s="108" t="n"/>
      <c r="AQ42">
        <f>AD42-AC42</f>
        <v/>
      </c>
    </row>
    <row r="43">
      <c r="A43" s="74">
        <f>#REF!</f>
        <v/>
      </c>
      <c r="B43" s="145" t="n"/>
      <c r="C43" s="145" t="n"/>
      <c r="D43" s="145" t="n"/>
      <c r="E43" s="145" t="n"/>
      <c r="F43" s="141" t="n"/>
      <c r="G43" s="141" t="n"/>
      <c r="H43" s="141" t="n"/>
      <c r="I43" s="141" t="n"/>
      <c r="J43" s="141" t="n"/>
      <c r="K43" s="141" t="n"/>
      <c r="L43" s="141" t="n"/>
      <c r="M43" s="175">
        <f>#REF!</f>
        <v/>
      </c>
      <c r="N43" s="175">
        <f>#REF!</f>
        <v/>
      </c>
      <c r="O43" s="175">
        <f>#REF!</f>
        <v/>
      </c>
      <c r="P43" s="175">
        <f>#REF!</f>
        <v/>
      </c>
      <c r="Q43" s="175">
        <f>#REF!</f>
        <v/>
      </c>
      <c r="R43" s="175">
        <f>#REF!</f>
        <v/>
      </c>
      <c r="S43" s="175">
        <f>#REF!</f>
        <v/>
      </c>
      <c r="T43" s="175">
        <f>#REF!</f>
        <v/>
      </c>
      <c r="U43" s="175">
        <f>#REF!</f>
        <v/>
      </c>
      <c r="V43" s="175">
        <f>#REF!</f>
        <v/>
      </c>
      <c r="W43" s="175">
        <f>#REF!</f>
        <v/>
      </c>
      <c r="X43" s="175">
        <f>#REF!</f>
        <v/>
      </c>
      <c r="Y43" s="175">
        <f>#REF!</f>
        <v/>
      </c>
      <c r="Z43" s="175">
        <f>#REF!</f>
        <v/>
      </c>
      <c r="AA43" s="175">
        <f>#REF!</f>
        <v/>
      </c>
      <c r="AB43" s="175">
        <f>#REF!</f>
        <v/>
      </c>
      <c r="AC43" s="175">
        <f>#REF!</f>
        <v/>
      </c>
      <c r="AD43" s="175">
        <f>Assumption!H159</f>
        <v/>
      </c>
      <c r="AE43" s="175">
        <f>Assumption!I159</f>
        <v/>
      </c>
      <c r="AF43" s="175">
        <f>Assumption!J159</f>
        <v/>
      </c>
      <c r="AG43" s="175">
        <f>Assumption!K159</f>
        <v/>
      </c>
      <c r="AH43" s="175">
        <f>Assumption!L159</f>
        <v/>
      </c>
      <c r="AI43" s="175">
        <f>Assumption!M159</f>
        <v/>
      </c>
      <c r="AJ43" s="175">
        <f>Assumption!N159</f>
        <v/>
      </c>
      <c r="AK43" s="175">
        <f>Assumption!O159</f>
        <v/>
      </c>
      <c r="AL43" s="175">
        <f>Assumption!P159</f>
        <v/>
      </c>
      <c r="AM43" s="175">
        <f>Assumption!Q159</f>
        <v/>
      </c>
      <c r="AN43" s="175">
        <f>Assumption!R159</f>
        <v/>
      </c>
      <c r="AO43" s="175">
        <f>Assumption!S159</f>
        <v/>
      </c>
      <c r="AP43" s="108" t="n"/>
      <c r="AQ43">
        <f>AD43-AC43</f>
        <v/>
      </c>
    </row>
    <row r="44">
      <c r="A44" s="74" t="inlineStr">
        <is>
          <t>Others</t>
        </is>
      </c>
      <c r="B44" s="145" t="n"/>
      <c r="C44" s="145" t="n"/>
      <c r="D44" s="145" t="n"/>
      <c r="E44" s="145" t="n"/>
      <c r="F44" s="141" t="n"/>
      <c r="G44" s="141" t="n"/>
      <c r="H44" s="141" t="n"/>
      <c r="I44" s="141" t="n"/>
      <c r="J44" s="141" t="n"/>
      <c r="K44" s="141" t="n"/>
      <c r="L44" s="141" t="n"/>
      <c r="M44" s="86">
        <f>+M45-SUM(M38:M43)</f>
        <v/>
      </c>
      <c r="N44" s="86">
        <f>+N45-SUM(N38:N43)</f>
        <v/>
      </c>
      <c r="O44" s="86">
        <f>+O45-SUM(O38:O43)</f>
        <v/>
      </c>
      <c r="P44" s="86">
        <f>+P45-SUM(P38:P43)</f>
        <v/>
      </c>
      <c r="Q44" s="86">
        <f>+Q45-SUM(Q38:Q43)</f>
        <v/>
      </c>
      <c r="R44" s="86">
        <f>+R45-SUM(R38:R43)</f>
        <v/>
      </c>
      <c r="S44" s="86">
        <f>+S45-SUM(S38:S43)</f>
        <v/>
      </c>
      <c r="T44" s="86">
        <f>+T45-SUM(T38:T43)</f>
        <v/>
      </c>
      <c r="U44" s="86">
        <f>+U45-SUM(U38:U43)</f>
        <v/>
      </c>
      <c r="V44" s="86">
        <f>+V45-SUM(V38:V43)</f>
        <v/>
      </c>
      <c r="W44" s="86">
        <f>+W45-SUM(W38:W43)</f>
        <v/>
      </c>
      <c r="X44" s="86">
        <f>+X45-SUM(X38:X43)</f>
        <v/>
      </c>
      <c r="Y44" s="86">
        <f>+Y45-SUM(Y38:Y43)</f>
        <v/>
      </c>
      <c r="Z44" s="86">
        <f>+Z45-SUM(Z38:Z43)</f>
        <v/>
      </c>
      <c r="AA44" s="86">
        <f>+AA45-SUM(AA38:AA43)</f>
        <v/>
      </c>
      <c r="AB44" s="86">
        <f>+AB45-SUM(AB38:AB43)</f>
        <v/>
      </c>
      <c r="AC44" s="86">
        <f>+AC45-SUM(AC38:AC43)</f>
        <v/>
      </c>
      <c r="AD44" s="80">
        <f>Assumption!#REF!</f>
        <v/>
      </c>
      <c r="AE44" s="80">
        <f>Assumption!#REF!</f>
        <v/>
      </c>
      <c r="AF44" s="80">
        <f>Assumption!#REF!</f>
        <v/>
      </c>
      <c r="AG44" s="80">
        <f>Assumption!#REF!</f>
        <v/>
      </c>
      <c r="AH44" s="80">
        <f>Assumption!#REF!</f>
        <v/>
      </c>
      <c r="AI44" s="80">
        <f>Assumption!#REF!</f>
        <v/>
      </c>
      <c r="AJ44" s="80">
        <f>Assumption!#REF!</f>
        <v/>
      </c>
      <c r="AK44" s="80">
        <f>Assumption!#REF!</f>
        <v/>
      </c>
      <c r="AL44" s="80">
        <f>Assumption!#REF!</f>
        <v/>
      </c>
      <c r="AM44" s="80">
        <f>Assumption!#REF!</f>
        <v/>
      </c>
      <c r="AN44" s="80">
        <f>Assumption!#REF!</f>
        <v/>
      </c>
      <c r="AO44" s="80">
        <f>Assumption!#REF!</f>
        <v/>
      </c>
      <c r="AP44" s="108" t="n"/>
    </row>
    <row r="45">
      <c r="A45" s="40" t="inlineStr">
        <is>
          <t>Total current assets</t>
        </is>
      </c>
      <c r="B45" s="128" t="n"/>
      <c r="C45" s="128" t="n"/>
      <c r="D45" s="128" t="n"/>
      <c r="E45" s="128" t="n"/>
      <c r="F45" s="128" t="n"/>
      <c r="G45" s="128" t="n"/>
      <c r="H45" s="128" t="n"/>
      <c r="I45" s="128" t="n"/>
      <c r="J45" s="128" t="n"/>
      <c r="K45" s="128" t="n"/>
      <c r="L45" s="128" t="n"/>
      <c r="M45" s="149">
        <f>#REF!</f>
        <v/>
      </c>
      <c r="N45" s="149">
        <f>#REF!</f>
        <v/>
      </c>
      <c r="O45" s="149">
        <f>#REF!</f>
        <v/>
      </c>
      <c r="P45" s="149">
        <f>#REF!</f>
        <v/>
      </c>
      <c r="Q45" s="149">
        <f>#REF!</f>
        <v/>
      </c>
      <c r="R45" s="149">
        <f>#REF!</f>
        <v/>
      </c>
      <c r="S45" s="149">
        <f>#REF!</f>
        <v/>
      </c>
      <c r="T45" s="149">
        <f>#REF!</f>
        <v/>
      </c>
      <c r="U45" s="149">
        <f>#REF!</f>
        <v/>
      </c>
      <c r="V45" s="149">
        <f>#REF!</f>
        <v/>
      </c>
      <c r="W45" s="149">
        <f>#REF!</f>
        <v/>
      </c>
      <c r="X45" s="149">
        <f>#REF!</f>
        <v/>
      </c>
      <c r="Y45" s="149">
        <f>#REF!</f>
        <v/>
      </c>
      <c r="Z45" s="149">
        <f>#REF!</f>
        <v/>
      </c>
      <c r="AA45" s="149">
        <f>#REF!</f>
        <v/>
      </c>
      <c r="AB45" s="149">
        <f>#REF!</f>
        <v/>
      </c>
      <c r="AC45" s="149">
        <f>#REF!</f>
        <v/>
      </c>
      <c r="AD45" s="123">
        <f>SUM(AD38:AD44)</f>
        <v/>
      </c>
      <c r="AE45" s="123">
        <f>SUM(AE38:AE44)</f>
        <v/>
      </c>
      <c r="AF45" s="123">
        <f>SUM(AF38:AF44)</f>
        <v/>
      </c>
      <c r="AG45" s="123">
        <f>SUM(AG38:AG44)</f>
        <v/>
      </c>
      <c r="AH45" s="123">
        <f>SUM(AH38:AH44)</f>
        <v/>
      </c>
      <c r="AI45" s="123">
        <f>SUM(AI38:AI44)</f>
        <v/>
      </c>
      <c r="AJ45" s="123">
        <f>SUM(AJ38:AJ44)</f>
        <v/>
      </c>
      <c r="AK45" s="123">
        <f>SUM(AK38:AK44)</f>
        <v/>
      </c>
      <c r="AL45" s="123">
        <f>SUM(AL38:AL44)</f>
        <v/>
      </c>
      <c r="AM45" s="123">
        <f>SUM(AM38:AM44)</f>
        <v/>
      </c>
      <c r="AN45" s="123">
        <f>SUM(AN38:AN44)</f>
        <v/>
      </c>
      <c r="AO45" s="123">
        <f>SUM(AO38:AO44)</f>
        <v/>
      </c>
      <c r="AP45" s="108" t="n"/>
    </row>
    <row r="46">
      <c r="F46" s="142" t="n"/>
      <c r="G46" s="142" t="n"/>
      <c r="H46" s="142" t="n"/>
      <c r="I46" s="142" t="n"/>
      <c r="J46" s="142" t="n"/>
      <c r="K46" s="142" t="n"/>
      <c r="L46" s="142" t="n"/>
      <c r="M46" s="143" t="n"/>
      <c r="N46" s="143" t="n"/>
      <c r="O46" s="143" t="n"/>
      <c r="P46" s="143" t="n"/>
      <c r="Q46" s="143" t="n"/>
      <c r="R46" s="143" t="n"/>
      <c r="S46" s="143" t="n"/>
      <c r="T46" s="143" t="n"/>
      <c r="U46" s="143" t="n"/>
      <c r="V46" s="143" t="n"/>
      <c r="W46" s="143" t="n"/>
      <c r="X46" s="143" t="n"/>
      <c r="Y46" s="143" t="n"/>
      <c r="Z46" s="143" t="n"/>
      <c r="AA46" s="143" t="n"/>
      <c r="AB46" s="143" t="n"/>
      <c r="AC46" s="143" t="n"/>
      <c r="AD46" s="143" t="n"/>
      <c r="AE46" s="143" t="n"/>
      <c r="AF46" s="143" t="n"/>
      <c r="AG46" s="143" t="n"/>
      <c r="AH46" s="143" t="n"/>
      <c r="AI46" s="143" t="n"/>
      <c r="AJ46" s="143" t="n"/>
      <c r="AK46" s="143" t="n"/>
      <c r="AL46" s="143" t="n"/>
      <c r="AM46" s="143" t="n"/>
      <c r="AN46" s="143" t="n"/>
      <c r="AO46" s="143" t="n"/>
      <c r="AP46" s="108" t="n"/>
    </row>
    <row r="47">
      <c r="A47" s="22" t="inlineStr">
        <is>
          <t>Non-current assets</t>
        </is>
      </c>
      <c r="F47" s="142" t="n"/>
      <c r="G47" s="142" t="n"/>
      <c r="H47" s="142" t="n"/>
      <c r="I47" s="142" t="n"/>
      <c r="J47" s="142" t="n"/>
      <c r="K47" s="142" t="n"/>
      <c r="L47" s="142" t="n"/>
      <c r="M47" s="143" t="n"/>
      <c r="N47" s="143" t="n"/>
      <c r="O47" s="143" t="n"/>
      <c r="P47" s="143" t="n"/>
      <c r="Q47" s="143" t="n"/>
      <c r="R47" s="143" t="n"/>
      <c r="S47" s="143" t="n"/>
      <c r="T47" s="143" t="n"/>
      <c r="U47" s="143" t="n"/>
      <c r="V47" s="143" t="n"/>
      <c r="W47" s="143" t="n"/>
      <c r="X47" s="143" t="n"/>
      <c r="Y47" s="143" t="n"/>
      <c r="Z47" s="143" t="n"/>
      <c r="AA47" s="143" t="n"/>
      <c r="AB47" s="143">
        <f>SUM(AB50:AB51)</f>
        <v/>
      </c>
      <c r="AC47" s="143">
        <f>SUM(AC50:AC51)</f>
        <v/>
      </c>
      <c r="AD47" s="143">
        <f>SUM(AD50:AD51)</f>
        <v/>
      </c>
      <c r="AE47" s="143" t="n"/>
      <c r="AF47" s="143" t="n"/>
      <c r="AG47" s="143" t="n"/>
      <c r="AH47" s="143" t="n"/>
      <c r="AI47" s="143" t="n"/>
      <c r="AJ47" s="143" t="n"/>
      <c r="AK47" s="143" t="n"/>
      <c r="AL47" s="143" t="n"/>
      <c r="AM47" s="143" t="n"/>
      <c r="AN47" s="143" t="n"/>
      <c r="AO47" s="143" t="n"/>
      <c r="AP47" s="108" t="n"/>
    </row>
    <row r="48">
      <c r="A48" s="74" t="inlineStr">
        <is>
          <t>Property, plant and equipment</t>
        </is>
      </c>
      <c r="B48" s="145">
        <f>#REF!</f>
        <v/>
      </c>
      <c r="C48" s="145">
        <f>#REF!</f>
        <v/>
      </c>
      <c r="D48" s="145">
        <f>#REF!</f>
        <v/>
      </c>
      <c r="E48" s="145">
        <f>#REF!</f>
        <v/>
      </c>
      <c r="F48" s="141">
        <f>#REF!</f>
        <v/>
      </c>
      <c r="G48" s="141">
        <f>#REF!</f>
        <v/>
      </c>
      <c r="H48" s="141">
        <f>#REF!</f>
        <v/>
      </c>
      <c r="I48" s="141">
        <f>#REF!</f>
        <v/>
      </c>
      <c r="J48" s="141">
        <f>#REF!</f>
        <v/>
      </c>
      <c r="K48" s="141">
        <f>#REF!</f>
        <v/>
      </c>
      <c r="L48" s="141">
        <f>#REF!</f>
        <v/>
      </c>
      <c r="M48" s="175">
        <f>#REF!</f>
        <v/>
      </c>
      <c r="N48" s="175">
        <f>#REF!</f>
        <v/>
      </c>
      <c r="O48" s="175">
        <f>#REF!</f>
        <v/>
      </c>
      <c r="P48" s="175">
        <f>#REF!</f>
        <v/>
      </c>
      <c r="Q48" s="175">
        <f>#REF!</f>
        <v/>
      </c>
      <c r="R48" s="175">
        <f>#REF!</f>
        <v/>
      </c>
      <c r="S48" s="175">
        <f>#REF!</f>
        <v/>
      </c>
      <c r="T48" s="175">
        <f>#REF!</f>
        <v/>
      </c>
      <c r="U48" s="175">
        <f>#REF!</f>
        <v/>
      </c>
      <c r="V48" s="175">
        <f>#REF!</f>
        <v/>
      </c>
      <c r="W48" s="175">
        <f>#REF!</f>
        <v/>
      </c>
      <c r="X48" s="175">
        <f>#REF!</f>
        <v/>
      </c>
      <c r="Y48" s="175">
        <f>#REF!</f>
        <v/>
      </c>
      <c r="Z48" s="175">
        <f>#REF!</f>
        <v/>
      </c>
      <c r="AA48" s="175">
        <f>#REF!</f>
        <v/>
      </c>
      <c r="AB48" s="175">
        <f>#REF!</f>
        <v/>
      </c>
      <c r="AC48" s="175">
        <f>#REF!</f>
        <v/>
      </c>
      <c r="AD48" s="175">
        <f>Assumption!H180</f>
        <v/>
      </c>
      <c r="AE48" s="175">
        <f>Assumption!I180</f>
        <v/>
      </c>
      <c r="AF48" s="175">
        <f>Assumption!J180</f>
        <v/>
      </c>
      <c r="AG48" s="175">
        <f>Assumption!K180</f>
        <v/>
      </c>
      <c r="AH48" s="175">
        <f>Assumption!L180</f>
        <v/>
      </c>
      <c r="AI48" s="175">
        <f>Assumption!M180</f>
        <v/>
      </c>
      <c r="AJ48" s="175">
        <f>Assumption!#REF!</f>
        <v/>
      </c>
      <c r="AK48" s="175">
        <f>Assumption!O180</f>
        <v/>
      </c>
      <c r="AL48" s="175">
        <f>Assumption!P180</f>
        <v/>
      </c>
      <c r="AM48" s="175">
        <f>Assumption!Q180</f>
        <v/>
      </c>
      <c r="AN48" s="175">
        <f>Assumption!R180</f>
        <v/>
      </c>
      <c r="AO48" s="175">
        <f>Assumption!S180</f>
        <v/>
      </c>
      <c r="AP48" s="108" t="n"/>
      <c r="AQ48">
        <f>AD48-AC48</f>
        <v/>
      </c>
    </row>
    <row r="49">
      <c r="A49" s="74" t="inlineStr">
        <is>
          <t>Prepaid land lease payments</t>
        </is>
      </c>
      <c r="B49" s="145" t="n"/>
      <c r="C49" s="145" t="n"/>
      <c r="D49" s="145" t="n"/>
      <c r="E49" s="145" t="n"/>
      <c r="F49" s="141" t="n"/>
      <c r="G49" s="141" t="n"/>
      <c r="H49" s="141" t="n"/>
      <c r="I49" s="141" t="n"/>
      <c r="J49" s="141" t="n"/>
      <c r="K49" s="141" t="n"/>
      <c r="L49" s="141" t="n"/>
      <c r="M49" s="175">
        <f>#REF!</f>
        <v/>
      </c>
      <c r="N49" s="175">
        <f>#REF!</f>
        <v/>
      </c>
      <c r="O49" s="175">
        <f>#REF!</f>
        <v/>
      </c>
      <c r="P49" s="175">
        <f>#REF!</f>
        <v/>
      </c>
      <c r="Q49" s="175">
        <f>#REF!</f>
        <v/>
      </c>
      <c r="R49" s="175">
        <f>#REF!</f>
        <v/>
      </c>
      <c r="S49" s="175">
        <f>#REF!</f>
        <v/>
      </c>
      <c r="T49" s="175">
        <f>#REF!</f>
        <v/>
      </c>
      <c r="U49" s="175">
        <f>#REF!</f>
        <v/>
      </c>
      <c r="V49" s="175">
        <f>#REF!</f>
        <v/>
      </c>
      <c r="W49" s="175">
        <f>#REF!</f>
        <v/>
      </c>
      <c r="X49" s="175">
        <f>#REF!</f>
        <v/>
      </c>
      <c r="Y49" s="175">
        <f>#REF!</f>
        <v/>
      </c>
      <c r="Z49" s="175">
        <f>#REF!</f>
        <v/>
      </c>
      <c r="AA49" s="175">
        <f>#REF!</f>
        <v/>
      </c>
      <c r="AB49" s="175">
        <f>#REF!</f>
        <v/>
      </c>
      <c r="AC49" s="175">
        <f>#REF!</f>
        <v/>
      </c>
      <c r="AD49" s="175">
        <f>Assumption!#REF!</f>
        <v/>
      </c>
      <c r="AE49" s="175">
        <f>Assumption!#REF!</f>
        <v/>
      </c>
      <c r="AF49" s="175">
        <f>Assumption!#REF!</f>
        <v/>
      </c>
      <c r="AG49" s="175">
        <f>Assumption!#REF!</f>
        <v/>
      </c>
      <c r="AH49" s="175">
        <f>Assumption!#REF!</f>
        <v/>
      </c>
      <c r="AI49" s="175">
        <f>Assumption!#REF!</f>
        <v/>
      </c>
      <c r="AJ49" s="175">
        <f>Assumption!#REF!</f>
        <v/>
      </c>
      <c r="AK49" s="175">
        <f>Assumption!#REF!</f>
        <v/>
      </c>
      <c r="AL49" s="175">
        <f>Assumption!#REF!</f>
        <v/>
      </c>
      <c r="AM49" s="175">
        <f>Assumption!#REF!</f>
        <v/>
      </c>
      <c r="AN49" s="175">
        <f>Assumption!#REF!</f>
        <v/>
      </c>
      <c r="AO49" s="175">
        <f>Assumption!#REF!</f>
        <v/>
      </c>
      <c r="AP49" s="108" t="n"/>
      <c r="AQ49">
        <f>AD49-AC49</f>
        <v/>
      </c>
    </row>
    <row r="50">
      <c r="A50" s="74" t="inlineStr">
        <is>
          <t>Goodwill</t>
        </is>
      </c>
      <c r="B50" s="145">
        <f>#REF!</f>
        <v/>
      </c>
      <c r="C50" s="145">
        <f>#REF!</f>
        <v/>
      </c>
      <c r="D50" s="145">
        <f>#REF!</f>
        <v/>
      </c>
      <c r="E50" s="145">
        <f>#REF!</f>
        <v/>
      </c>
      <c r="F50" s="141">
        <f>#REF!</f>
        <v/>
      </c>
      <c r="G50" s="141">
        <f>#REF!</f>
        <v/>
      </c>
      <c r="H50" s="141">
        <f>#REF!</f>
        <v/>
      </c>
      <c r="I50" s="141">
        <f>#REF!</f>
        <v/>
      </c>
      <c r="J50" s="141">
        <f>#REF!</f>
        <v/>
      </c>
      <c r="K50" s="141">
        <f>#REF!</f>
        <v/>
      </c>
      <c r="L50" s="141">
        <f>#REF!</f>
        <v/>
      </c>
      <c r="M50" s="175">
        <f>#REF!</f>
        <v/>
      </c>
      <c r="N50" s="175">
        <f>#REF!</f>
        <v/>
      </c>
      <c r="O50" s="175">
        <f>#REF!</f>
        <v/>
      </c>
      <c r="P50" s="175">
        <f>#REF!</f>
        <v/>
      </c>
      <c r="Q50" s="175">
        <f>#REF!</f>
        <v/>
      </c>
      <c r="R50" s="175">
        <f>#REF!</f>
        <v/>
      </c>
      <c r="S50" s="175">
        <f>#REF!</f>
        <v/>
      </c>
      <c r="T50" s="175">
        <f>#REF!</f>
        <v/>
      </c>
      <c r="U50" s="175">
        <f>#REF!</f>
        <v/>
      </c>
      <c r="V50" s="175">
        <f>#REF!</f>
        <v/>
      </c>
      <c r="W50" s="175">
        <f>#REF!</f>
        <v/>
      </c>
      <c r="X50" s="175">
        <f>#REF!</f>
        <v/>
      </c>
      <c r="Y50" s="175">
        <f>#REF!</f>
        <v/>
      </c>
      <c r="Z50" s="175">
        <f>#REF!</f>
        <v/>
      </c>
      <c r="AA50" s="175">
        <f>#REF!</f>
        <v/>
      </c>
      <c r="AB50" s="175">
        <f>#REF!</f>
        <v/>
      </c>
      <c r="AC50" s="175">
        <f>#REF!</f>
        <v/>
      </c>
      <c r="AD50" s="175">
        <f>Assumption!#REF!</f>
        <v/>
      </c>
      <c r="AE50" s="175">
        <f>Assumption!#REF!</f>
        <v/>
      </c>
      <c r="AF50" s="175">
        <f>Assumption!#REF!</f>
        <v/>
      </c>
      <c r="AG50" s="175">
        <f>Assumption!#REF!</f>
        <v/>
      </c>
      <c r="AH50" s="175">
        <f>Assumption!#REF!</f>
        <v/>
      </c>
      <c r="AI50" s="175">
        <f>Assumption!#REF!</f>
        <v/>
      </c>
      <c r="AJ50" s="175">
        <f>Assumption!#REF!</f>
        <v/>
      </c>
      <c r="AK50" s="175">
        <f>Assumption!#REF!</f>
        <v/>
      </c>
      <c r="AL50" s="175">
        <f>Assumption!#REF!</f>
        <v/>
      </c>
      <c r="AM50" s="175">
        <f>Assumption!#REF!</f>
        <v/>
      </c>
      <c r="AN50" s="175">
        <f>Assumption!#REF!</f>
        <v/>
      </c>
      <c r="AO50" s="175">
        <f>Assumption!#REF!</f>
        <v/>
      </c>
      <c r="AP50" s="108" t="n"/>
      <c r="AQ50">
        <f>AD50-AC50</f>
        <v/>
      </c>
    </row>
    <row r="51">
      <c r="A51" s="74" t="inlineStr">
        <is>
          <t>Other intangible assets</t>
        </is>
      </c>
      <c r="B51" s="145" t="n"/>
      <c r="C51" s="145" t="n"/>
      <c r="D51" s="145" t="n"/>
      <c r="E51" s="145" t="n"/>
      <c r="F51" s="141" t="n"/>
      <c r="G51" s="141" t="n"/>
      <c r="H51" s="141" t="n"/>
      <c r="I51" s="141" t="n"/>
      <c r="J51" s="141" t="n"/>
      <c r="K51" s="141" t="n"/>
      <c r="L51" s="141" t="n"/>
      <c r="M51" s="175">
        <f>#REF!</f>
        <v/>
      </c>
      <c r="N51" s="175">
        <f>#REF!</f>
        <v/>
      </c>
      <c r="O51" s="175">
        <f>#REF!</f>
        <v/>
      </c>
      <c r="P51" s="175">
        <f>#REF!</f>
        <v/>
      </c>
      <c r="Q51" s="175">
        <f>#REF!</f>
        <v/>
      </c>
      <c r="R51" s="175">
        <f>#REF!</f>
        <v/>
      </c>
      <c r="S51" s="175">
        <f>#REF!</f>
        <v/>
      </c>
      <c r="T51" s="175">
        <f>#REF!</f>
        <v/>
      </c>
      <c r="U51" s="175">
        <f>#REF!</f>
        <v/>
      </c>
      <c r="V51" s="175">
        <f>#REF!</f>
        <v/>
      </c>
      <c r="W51" s="175">
        <f>#REF!</f>
        <v/>
      </c>
      <c r="X51" s="175">
        <f>#REF!</f>
        <v/>
      </c>
      <c r="Y51" s="175">
        <f>#REF!</f>
        <v/>
      </c>
      <c r="Z51" s="175">
        <f>#REF!</f>
        <v/>
      </c>
      <c r="AA51" s="175">
        <f>#REF!</f>
        <v/>
      </c>
      <c r="AB51" s="175">
        <f>#REF!</f>
        <v/>
      </c>
      <c r="AC51" s="175">
        <f>#REF!</f>
        <v/>
      </c>
      <c r="AD51" s="175">
        <f>Assumption!#REF!</f>
        <v/>
      </c>
      <c r="AE51" s="175">
        <f>Assumption!#REF!</f>
        <v/>
      </c>
      <c r="AF51" s="175">
        <f>Assumption!#REF!</f>
        <v/>
      </c>
      <c r="AG51" s="175">
        <f>Assumption!#REF!</f>
        <v/>
      </c>
      <c r="AH51" s="175">
        <f>Assumption!#REF!</f>
        <v/>
      </c>
      <c r="AI51" s="175">
        <f>Assumption!#REF!</f>
        <v/>
      </c>
      <c r="AJ51" s="175">
        <f>Assumption!#REF!</f>
        <v/>
      </c>
      <c r="AK51" s="175">
        <f>Assumption!#REF!</f>
        <v/>
      </c>
      <c r="AL51" s="175">
        <f>Assumption!#REF!</f>
        <v/>
      </c>
      <c r="AM51" s="175">
        <f>Assumption!#REF!</f>
        <v/>
      </c>
      <c r="AN51" s="175">
        <f>Assumption!#REF!</f>
        <v/>
      </c>
      <c r="AO51" s="175">
        <f>Assumption!#REF!</f>
        <v/>
      </c>
      <c r="AP51" s="108" t="n"/>
      <c r="AQ51">
        <f>AD51-AC51</f>
        <v/>
      </c>
    </row>
    <row r="52">
      <c r="A52" s="74" t="inlineStr">
        <is>
          <t>Investments in JV/Associates</t>
        </is>
      </c>
      <c r="B52" s="145" t="n"/>
      <c r="C52" s="145" t="n"/>
      <c r="D52" s="145" t="n"/>
      <c r="E52" s="145" t="n"/>
      <c r="F52" s="141" t="n"/>
      <c r="G52" s="141" t="n"/>
      <c r="H52" s="141" t="n"/>
      <c r="I52" s="141" t="n"/>
      <c r="J52" s="141" t="n"/>
      <c r="K52" s="141" t="n"/>
      <c r="L52" s="141" t="n"/>
      <c r="M52" s="175">
        <f>#REF!+#REF!</f>
        <v/>
      </c>
      <c r="N52" s="175">
        <f>#REF!+#REF!</f>
        <v/>
      </c>
      <c r="O52" s="175">
        <f>#REF!+#REF!</f>
        <v/>
      </c>
      <c r="P52" s="175">
        <f>#REF!+#REF!</f>
        <v/>
      </c>
      <c r="Q52" s="175">
        <f>#REF!+#REF!</f>
        <v/>
      </c>
      <c r="R52" s="175">
        <f>#REF!+#REF!</f>
        <v/>
      </c>
      <c r="S52" s="175">
        <f>#REF!+#REF!</f>
        <v/>
      </c>
      <c r="T52" s="175">
        <f>#REF!+#REF!</f>
        <v/>
      </c>
      <c r="U52" s="175">
        <f>#REF!+#REF!</f>
        <v/>
      </c>
      <c r="V52" s="175">
        <f>#REF!+#REF!</f>
        <v/>
      </c>
      <c r="W52" s="175">
        <f>#REF!+#REF!</f>
        <v/>
      </c>
      <c r="X52" s="175">
        <f>#REF!+#REF!</f>
        <v/>
      </c>
      <c r="Y52" s="175">
        <f>#REF!+#REF!</f>
        <v/>
      </c>
      <c r="Z52" s="175">
        <f>#REF!+#REF!</f>
        <v/>
      </c>
      <c r="AA52" s="175">
        <f>#REF!+#REF!</f>
        <v/>
      </c>
      <c r="AB52" s="175">
        <f>#REF!+#REF!</f>
        <v/>
      </c>
      <c r="AC52" s="175">
        <f>#REF!+#REF!</f>
        <v/>
      </c>
      <c r="AD52" s="175">
        <f>Assumption!#REF!</f>
        <v/>
      </c>
      <c r="AE52" s="175">
        <f>Assumption!#REF!</f>
        <v/>
      </c>
      <c r="AF52" s="175">
        <f>Assumption!#REF!</f>
        <v/>
      </c>
      <c r="AG52" s="175">
        <f>Assumption!#REF!</f>
        <v/>
      </c>
      <c r="AH52" s="175">
        <f>Assumption!#REF!</f>
        <v/>
      </c>
      <c r="AI52" s="175">
        <f>Assumption!#REF!</f>
        <v/>
      </c>
      <c r="AJ52" s="175">
        <f>Assumption!#REF!</f>
        <v/>
      </c>
      <c r="AK52" s="175">
        <f>Assumption!#REF!</f>
        <v/>
      </c>
      <c r="AL52" s="175">
        <f>Assumption!#REF!</f>
        <v/>
      </c>
      <c r="AM52" s="175">
        <f>Assumption!#REF!</f>
        <v/>
      </c>
      <c r="AN52" s="175">
        <f>Assumption!#REF!</f>
        <v/>
      </c>
      <c r="AO52" s="175">
        <f>Assumption!#REF!</f>
        <v/>
      </c>
      <c r="AP52" s="108" t="n"/>
      <c r="AQ52">
        <f>AD52-AC52</f>
        <v/>
      </c>
    </row>
    <row r="53">
      <c r="A53" s="74" t="inlineStr">
        <is>
          <t>Loans receivables</t>
        </is>
      </c>
      <c r="B53" s="145" t="n"/>
      <c r="C53" s="145" t="n"/>
      <c r="D53" s="145" t="n"/>
      <c r="E53" s="145" t="n"/>
      <c r="F53" s="141" t="n"/>
      <c r="G53" s="141" t="n"/>
      <c r="H53" s="141" t="n"/>
      <c r="I53" s="141" t="n"/>
      <c r="J53" s="141" t="n"/>
      <c r="K53" s="141" t="n"/>
      <c r="L53" s="141" t="n"/>
      <c r="M53" s="143" t="n"/>
      <c r="N53" s="175">
        <f>#REF!</f>
        <v/>
      </c>
      <c r="O53" s="175">
        <f>#REF!</f>
        <v/>
      </c>
      <c r="P53" s="175">
        <f>#REF!</f>
        <v/>
      </c>
      <c r="Q53" s="175">
        <f>#REF!</f>
        <v/>
      </c>
      <c r="R53" s="175">
        <f>#REF!</f>
        <v/>
      </c>
      <c r="S53" s="175">
        <f>#REF!</f>
        <v/>
      </c>
      <c r="T53" s="175">
        <f>#REF!</f>
        <v/>
      </c>
      <c r="U53" s="175">
        <f>#REF!</f>
        <v/>
      </c>
      <c r="V53" s="175">
        <f>#REF!</f>
        <v/>
      </c>
      <c r="W53" s="175">
        <f>#REF!</f>
        <v/>
      </c>
      <c r="X53" s="175">
        <f>#REF!</f>
        <v/>
      </c>
      <c r="Y53" s="175">
        <f>#REF!</f>
        <v/>
      </c>
      <c r="Z53" s="175">
        <f>#REF!</f>
        <v/>
      </c>
      <c r="AA53" s="175">
        <f>#REF!</f>
        <v/>
      </c>
      <c r="AB53" s="175">
        <f>#REF!</f>
        <v/>
      </c>
      <c r="AC53" s="175">
        <f>#REF!</f>
        <v/>
      </c>
      <c r="AD53" s="175">
        <f>Assumption!#REF!</f>
        <v/>
      </c>
      <c r="AE53" s="175">
        <f>Assumption!#REF!</f>
        <v/>
      </c>
      <c r="AF53" s="175">
        <f>Assumption!#REF!</f>
        <v/>
      </c>
      <c r="AG53" s="175">
        <f>Assumption!#REF!</f>
        <v/>
      </c>
      <c r="AH53" s="175">
        <f>Assumption!#REF!</f>
        <v/>
      </c>
      <c r="AI53" s="175">
        <f>Assumption!#REF!</f>
        <v/>
      </c>
      <c r="AJ53" s="175">
        <f>Assumption!#REF!</f>
        <v/>
      </c>
      <c r="AK53" s="175">
        <f>Assumption!#REF!</f>
        <v/>
      </c>
      <c r="AL53" s="175">
        <f>Assumption!#REF!</f>
        <v/>
      </c>
      <c r="AM53" s="175">
        <f>Assumption!#REF!</f>
        <v/>
      </c>
      <c r="AN53" s="175">
        <f>Assumption!#REF!</f>
        <v/>
      </c>
      <c r="AO53" s="175">
        <f>Assumption!#REF!</f>
        <v/>
      </c>
      <c r="AP53" s="108" t="n"/>
      <c r="AQ53">
        <f>AD53-AC53</f>
        <v/>
      </c>
    </row>
    <row r="54">
      <c r="A54" s="74">
        <f>#REF!</f>
        <v/>
      </c>
      <c r="B54" s="145">
        <f>#REF!</f>
        <v/>
      </c>
      <c r="C54" s="145">
        <f>#REF!</f>
        <v/>
      </c>
      <c r="D54" s="145">
        <f>#REF!</f>
        <v/>
      </c>
      <c r="E54" s="145">
        <f>#REF!</f>
        <v/>
      </c>
      <c r="F54" s="141">
        <f>#REF!</f>
        <v/>
      </c>
      <c r="G54" s="141">
        <f>#REF!</f>
        <v/>
      </c>
      <c r="H54" s="141">
        <f>#REF!</f>
        <v/>
      </c>
      <c r="I54" s="141">
        <f>#REF!</f>
        <v/>
      </c>
      <c r="J54" s="141">
        <f>#REF!</f>
        <v/>
      </c>
      <c r="K54" s="141">
        <f>#REF!</f>
        <v/>
      </c>
      <c r="L54" s="141">
        <f>#REF!</f>
        <v/>
      </c>
      <c r="M54" s="175">
        <f>#REF!</f>
        <v/>
      </c>
      <c r="N54" s="175">
        <f>#REF!</f>
        <v/>
      </c>
      <c r="O54" s="175">
        <f>#REF!</f>
        <v/>
      </c>
      <c r="P54" s="175">
        <f>#REF!</f>
        <v/>
      </c>
      <c r="Q54" s="175">
        <f>#REF!</f>
        <v/>
      </c>
      <c r="R54" s="175">
        <f>#REF!</f>
        <v/>
      </c>
      <c r="S54" s="175">
        <f>#REF!</f>
        <v/>
      </c>
      <c r="T54" s="175">
        <f>#REF!</f>
        <v/>
      </c>
      <c r="U54" s="175">
        <f>#REF!</f>
        <v/>
      </c>
      <c r="V54" s="175">
        <f>#REF!</f>
        <v/>
      </c>
      <c r="W54" s="175">
        <f>#REF!</f>
        <v/>
      </c>
      <c r="X54" s="175">
        <f>#REF!</f>
        <v/>
      </c>
      <c r="Y54" s="175">
        <f>#REF!</f>
        <v/>
      </c>
      <c r="Z54" s="175">
        <f>#REF!</f>
        <v/>
      </c>
      <c r="AA54" s="175">
        <f>#REF!</f>
        <v/>
      </c>
      <c r="AB54" s="175">
        <f>#REF!</f>
        <v/>
      </c>
      <c r="AC54" s="175">
        <f>#REF!</f>
        <v/>
      </c>
      <c r="AD54" s="175">
        <f>Assumption!#REF!</f>
        <v/>
      </c>
      <c r="AE54" s="175">
        <f>Assumption!#REF!</f>
        <v/>
      </c>
      <c r="AF54" s="175">
        <f>Assumption!#REF!</f>
        <v/>
      </c>
      <c r="AG54" s="175">
        <f>Assumption!#REF!</f>
        <v/>
      </c>
      <c r="AH54" s="175">
        <f>Assumption!#REF!</f>
        <v/>
      </c>
      <c r="AI54" s="175">
        <f>Assumption!#REF!</f>
        <v/>
      </c>
      <c r="AJ54" s="175">
        <f>Assumption!#REF!</f>
        <v/>
      </c>
      <c r="AK54" s="175">
        <f>Assumption!#REF!</f>
        <v/>
      </c>
      <c r="AL54" s="175">
        <f>Assumption!#REF!</f>
        <v/>
      </c>
      <c r="AM54" s="175">
        <f>Assumption!#REF!</f>
        <v/>
      </c>
      <c r="AN54" s="175">
        <f>Assumption!#REF!</f>
        <v/>
      </c>
      <c r="AO54" s="175">
        <f>Assumption!#REF!</f>
        <v/>
      </c>
      <c r="AP54" s="108" t="n"/>
      <c r="AQ54">
        <f>AD54-AC54</f>
        <v/>
      </c>
    </row>
    <row r="55">
      <c r="A55" s="74" t="inlineStr">
        <is>
          <t>Others</t>
        </is>
      </c>
      <c r="B55" s="145" t="n"/>
      <c r="C55" s="145" t="n"/>
      <c r="D55" s="145" t="n"/>
      <c r="E55" s="145" t="n"/>
      <c r="F55" s="145" t="n"/>
      <c r="G55" s="145" t="n"/>
      <c r="H55" s="145" t="n"/>
      <c r="I55" s="145" t="n"/>
      <c r="J55" s="145" t="n"/>
      <c r="K55" s="145" t="n"/>
      <c r="L55" s="145" t="n"/>
      <c r="M55" s="86">
        <f>M56-SUM(M48:M54)</f>
        <v/>
      </c>
      <c r="N55" s="86">
        <f>N56-SUM(N48:N54)</f>
        <v/>
      </c>
      <c r="O55" s="86">
        <f>O56-SUM(O48:O54)</f>
        <v/>
      </c>
      <c r="P55" s="86">
        <f>P56-SUM(P48:P54)</f>
        <v/>
      </c>
      <c r="Q55" s="86">
        <f>Q56-SUM(Q48:Q54)</f>
        <v/>
      </c>
      <c r="R55" s="86">
        <f>R56-SUM(R48:R54)</f>
        <v/>
      </c>
      <c r="S55" s="86">
        <f>S56-SUM(S48:S54)</f>
        <v/>
      </c>
      <c r="T55" s="86">
        <f>T56-SUM(T48:T54)</f>
        <v/>
      </c>
      <c r="U55" s="86">
        <f>U56-SUM(U48:U54)</f>
        <v/>
      </c>
      <c r="V55" s="86">
        <f>V56-SUM(V48:V54)</f>
        <v/>
      </c>
      <c r="W55" s="86">
        <f>W56-SUM(W48:W54)</f>
        <v/>
      </c>
      <c r="X55" s="86">
        <f>X56-SUM(X48:X54)</f>
        <v/>
      </c>
      <c r="Y55" s="86">
        <f>Y56-SUM(Y48:Y54)</f>
        <v/>
      </c>
      <c r="Z55" s="86">
        <f>Z56-SUM(Z48:Z54)</f>
        <v/>
      </c>
      <c r="AA55" s="86">
        <f>AA56-SUM(AA48:AA54)</f>
        <v/>
      </c>
      <c r="AB55" s="86">
        <f>AB56-SUM(AB48:AB54)</f>
        <v/>
      </c>
      <c r="AC55" s="86">
        <f>AC56-SUM(AC48:AC54)</f>
        <v/>
      </c>
      <c r="AD55" s="80">
        <f>Assumption!#REF!</f>
        <v/>
      </c>
      <c r="AE55" s="80">
        <f>Assumption!#REF!</f>
        <v/>
      </c>
      <c r="AF55" s="80">
        <f>Assumption!#REF!</f>
        <v/>
      </c>
      <c r="AG55" s="80">
        <f>Assumption!#REF!</f>
        <v/>
      </c>
      <c r="AH55" s="80">
        <f>Assumption!#REF!</f>
        <v/>
      </c>
      <c r="AI55" s="80">
        <f>Assumption!#REF!</f>
        <v/>
      </c>
      <c r="AJ55" s="80">
        <f>Assumption!#REF!</f>
        <v/>
      </c>
      <c r="AK55" s="80">
        <f>Assumption!#REF!</f>
        <v/>
      </c>
      <c r="AL55" s="80">
        <f>Assumption!#REF!</f>
        <v/>
      </c>
      <c r="AM55" s="80">
        <f>Assumption!#REF!</f>
        <v/>
      </c>
      <c r="AN55" s="80">
        <f>Assumption!#REF!</f>
        <v/>
      </c>
      <c r="AO55" s="80">
        <f>Assumption!#REF!</f>
        <v/>
      </c>
      <c r="AP55" s="108" t="n"/>
      <c r="AQ55">
        <f>AD55-AC55</f>
        <v/>
      </c>
    </row>
    <row r="56">
      <c r="A56" s="40" t="inlineStr">
        <is>
          <t>Total non-current assets</t>
        </is>
      </c>
      <c r="B56" s="128" t="n"/>
      <c r="C56" s="128" t="n"/>
      <c r="D56" s="128" t="n"/>
      <c r="E56" s="128" t="n"/>
      <c r="F56" s="128" t="n"/>
      <c r="G56" s="128" t="n"/>
      <c r="H56" s="128" t="n"/>
      <c r="I56" s="128" t="n"/>
      <c r="J56" s="128" t="n"/>
      <c r="K56" s="128" t="n"/>
      <c r="L56" s="128" t="n"/>
      <c r="M56" s="149">
        <f>#REF!</f>
        <v/>
      </c>
      <c r="N56" s="149">
        <f>#REF!</f>
        <v/>
      </c>
      <c r="O56" s="149">
        <f>#REF!</f>
        <v/>
      </c>
      <c r="P56" s="149">
        <f>#REF!</f>
        <v/>
      </c>
      <c r="Q56" s="149">
        <f>#REF!</f>
        <v/>
      </c>
      <c r="R56" s="149">
        <f>#REF!</f>
        <v/>
      </c>
      <c r="S56" s="149">
        <f>#REF!</f>
        <v/>
      </c>
      <c r="T56" s="149">
        <f>#REF!</f>
        <v/>
      </c>
      <c r="U56" s="149">
        <f>#REF!</f>
        <v/>
      </c>
      <c r="V56" s="149">
        <f>#REF!</f>
        <v/>
      </c>
      <c r="W56" s="149">
        <f>#REF!</f>
        <v/>
      </c>
      <c r="X56" s="149">
        <f>#REF!</f>
        <v/>
      </c>
      <c r="Y56" s="149">
        <f>#REF!</f>
        <v/>
      </c>
      <c r="Z56" s="149">
        <f>#REF!</f>
        <v/>
      </c>
      <c r="AA56" s="149">
        <f>#REF!</f>
        <v/>
      </c>
      <c r="AB56" s="149">
        <f>#REF!</f>
        <v/>
      </c>
      <c r="AC56" s="149">
        <f>#REF!</f>
        <v/>
      </c>
      <c r="AD56" s="123">
        <f>SUM(AD48:AD55)</f>
        <v/>
      </c>
      <c r="AE56" s="123">
        <f>SUM(AE48:AE55)</f>
        <v/>
      </c>
      <c r="AF56" s="123">
        <f>SUM(AF48:AF55)</f>
        <v/>
      </c>
      <c r="AG56" s="123">
        <f>SUM(AG48:AG55)</f>
        <v/>
      </c>
      <c r="AH56" s="123">
        <f>SUM(AH48:AH55)</f>
        <v/>
      </c>
      <c r="AI56" s="123">
        <f>SUM(AI48:AI55)</f>
        <v/>
      </c>
      <c r="AJ56" s="123">
        <f>SUM(AJ48:AJ55)</f>
        <v/>
      </c>
      <c r="AK56" s="123">
        <f>SUM(AK48:AK55)</f>
        <v/>
      </c>
      <c r="AL56" s="123">
        <f>SUM(AL48:AL55)</f>
        <v/>
      </c>
      <c r="AM56" s="123">
        <f>SUM(AM48:AM55)</f>
        <v/>
      </c>
      <c r="AN56" s="123">
        <f>SUM(AN48:AN55)</f>
        <v/>
      </c>
      <c r="AO56" s="123">
        <f>SUM(AO48:AO55)</f>
        <v/>
      </c>
      <c r="AP56" s="108" t="n"/>
    </row>
    <row r="57">
      <c r="M57" s="31" t="n"/>
      <c r="N57" s="31" t="n"/>
      <c r="O57" s="31" t="n"/>
      <c r="P57" s="31" t="n"/>
      <c r="Q57" s="31" t="n"/>
      <c r="R57" s="31" t="n"/>
      <c r="S57" s="31" t="n"/>
      <c r="T57" s="31" t="n"/>
      <c r="U57" s="31" t="n"/>
      <c r="V57" s="31" t="n"/>
      <c r="W57" s="31" t="n"/>
      <c r="X57" s="31" t="n"/>
      <c r="Y57" s="31" t="n"/>
      <c r="Z57" s="31" t="n"/>
      <c r="AA57" s="31" t="n"/>
      <c r="AB57" s="31" t="n"/>
      <c r="AC57" s="31" t="n"/>
      <c r="AD57" s="31" t="n"/>
      <c r="AE57" s="31" t="n"/>
      <c r="AF57" s="31" t="n"/>
      <c r="AG57" s="31" t="n"/>
      <c r="AH57" s="31" t="n"/>
      <c r="AI57" s="31" t="n"/>
      <c r="AJ57" s="31" t="n"/>
      <c r="AK57" s="31" t="n"/>
      <c r="AL57" s="31" t="n"/>
      <c r="AM57" s="31" t="n"/>
      <c r="AN57" s="31" t="n"/>
      <c r="AO57" s="31" t="n"/>
      <c r="AP57" s="108" t="n"/>
    </row>
    <row r="58">
      <c r="A58" s="22" t="inlineStr">
        <is>
          <t>Total assets</t>
        </is>
      </c>
      <c r="B58" s="128" t="n"/>
      <c r="C58" s="128" t="n"/>
      <c r="D58" s="128" t="n"/>
      <c r="E58" s="128" t="n"/>
      <c r="F58" s="128" t="n"/>
      <c r="G58" s="128" t="n"/>
      <c r="H58" s="128" t="n"/>
      <c r="I58" s="128" t="n"/>
      <c r="J58" s="128" t="n"/>
      <c r="K58" s="128" t="n"/>
      <c r="L58" s="128" t="n"/>
      <c r="M58" s="121">
        <f>+M56+M45</f>
        <v/>
      </c>
      <c r="N58" s="121">
        <f>+N56+N45</f>
        <v/>
      </c>
      <c r="O58" s="121">
        <f>+O56+O45</f>
        <v/>
      </c>
      <c r="P58" s="121">
        <f>+P56+P45</f>
        <v/>
      </c>
      <c r="Q58" s="121">
        <f>+Q56+Q45</f>
        <v/>
      </c>
      <c r="R58" s="121">
        <f>+R56+R45</f>
        <v/>
      </c>
      <c r="S58" s="121">
        <f>+S56+S45</f>
        <v/>
      </c>
      <c r="T58" s="121">
        <f>+T56+T45</f>
        <v/>
      </c>
      <c r="U58" s="121">
        <f>+U56+U45</f>
        <v/>
      </c>
      <c r="V58" s="121">
        <f>+V56+V45</f>
        <v/>
      </c>
      <c r="W58" s="121">
        <f>+W56+W45</f>
        <v/>
      </c>
      <c r="X58" s="121">
        <f>+X56+X45</f>
        <v/>
      </c>
      <c r="Y58" s="121">
        <f>+Y56+Y45</f>
        <v/>
      </c>
      <c r="Z58" s="121">
        <f>+Z56+Z45</f>
        <v/>
      </c>
      <c r="AA58" s="121">
        <f>+AA56+AA45</f>
        <v/>
      </c>
      <c r="AB58" s="121">
        <f>+AB56+AB45</f>
        <v/>
      </c>
      <c r="AC58" s="121">
        <f>+AC56+AC45</f>
        <v/>
      </c>
      <c r="AD58" s="121">
        <f>+AD56+AD45</f>
        <v/>
      </c>
      <c r="AE58" s="121">
        <f>+AE56+AE45</f>
        <v/>
      </c>
      <c r="AF58" s="121">
        <f>+AF56+AF45</f>
        <v/>
      </c>
      <c r="AG58" s="121">
        <f>+AG56+AG45</f>
        <v/>
      </c>
      <c r="AH58" s="121">
        <f>+AH56+AH45</f>
        <v/>
      </c>
      <c r="AI58" s="121">
        <f>+AI56+AI45</f>
        <v/>
      </c>
      <c r="AJ58" s="121">
        <f>+AJ56+AJ45</f>
        <v/>
      </c>
      <c r="AK58" s="121">
        <f>+AK56+AK45</f>
        <v/>
      </c>
      <c r="AL58" s="121">
        <f>+AL56+AL45</f>
        <v/>
      </c>
      <c r="AM58" s="121">
        <f>+AM56+AM45</f>
        <v/>
      </c>
      <c r="AN58" s="121">
        <f>+AN56+AN45</f>
        <v/>
      </c>
      <c r="AO58" s="121">
        <f>+AO56+AO45</f>
        <v/>
      </c>
      <c r="AP58" s="108" t="n"/>
      <c r="AQ58" t="inlineStr">
        <is>
          <t>1H 2015</t>
        </is>
      </c>
    </row>
    <row r="59">
      <c r="M59" s="31" t="n"/>
      <c r="N59" s="31" t="n"/>
      <c r="O59" s="31" t="n"/>
      <c r="P59" s="31" t="n"/>
      <c r="Q59" s="31" t="n"/>
      <c r="R59" s="31" t="n"/>
      <c r="S59" s="31" t="n"/>
      <c r="T59" s="31" t="n"/>
      <c r="U59" s="31" t="n"/>
      <c r="V59" s="31" t="n"/>
      <c r="W59" s="31" t="n"/>
      <c r="X59" s="31" t="n"/>
      <c r="Y59" s="31" t="n"/>
      <c r="Z59" s="31" t="n"/>
      <c r="AA59" s="31" t="n"/>
      <c r="AB59" s="31" t="n"/>
      <c r="AC59" s="31" t="n"/>
      <c r="AD59" s="31" t="n"/>
      <c r="AE59" s="31" t="n"/>
      <c r="AF59" s="31" t="n"/>
      <c r="AG59" s="31" t="n"/>
      <c r="AH59" s="31" t="n"/>
      <c r="AI59" s="31" t="n"/>
      <c r="AJ59" s="31" t="n"/>
      <c r="AK59" s="31" t="n"/>
      <c r="AL59" s="31" t="n"/>
      <c r="AM59" s="31" t="n"/>
      <c r="AN59" s="31" t="n"/>
      <c r="AO59" s="31" t="n"/>
      <c r="AP59" s="108" t="n"/>
    </row>
    <row r="60">
      <c r="A60" s="22" t="inlineStr">
        <is>
          <t>Current liabilities</t>
        </is>
      </c>
      <c r="F60" s="108" t="n"/>
      <c r="G60" s="108" t="n"/>
      <c r="H60" s="108" t="n"/>
      <c r="I60" s="108" t="n"/>
      <c r="J60" s="108" t="n"/>
      <c r="K60" s="108" t="n"/>
      <c r="L60" s="108" t="n"/>
      <c r="M60" s="76" t="n"/>
      <c r="N60" s="76" t="n"/>
      <c r="O60" s="76" t="n"/>
      <c r="P60" s="76" t="n"/>
      <c r="Q60" s="76" t="n"/>
      <c r="R60" s="76" t="n"/>
      <c r="S60" s="76" t="n"/>
      <c r="T60" s="76" t="n"/>
      <c r="U60" s="76" t="n"/>
      <c r="V60" s="76" t="n"/>
      <c r="W60" s="76" t="n"/>
      <c r="X60" s="76" t="n"/>
      <c r="Y60" s="76" t="n"/>
      <c r="Z60" s="76" t="n"/>
      <c r="AA60" s="76" t="n"/>
      <c r="AB60" s="76" t="n"/>
      <c r="AC60" s="76" t="n"/>
      <c r="AD60" s="76" t="n"/>
      <c r="AE60" s="76" t="n"/>
      <c r="AF60" s="76" t="n"/>
      <c r="AG60" s="76" t="n"/>
      <c r="AH60" s="76" t="n"/>
      <c r="AI60" s="76" t="n"/>
      <c r="AJ60" s="76" t="n"/>
      <c r="AK60" s="76" t="n"/>
      <c r="AL60" s="76" t="n"/>
      <c r="AM60" s="76" t="n"/>
      <c r="AN60" s="76" t="n"/>
      <c r="AO60" s="76" t="n"/>
      <c r="AP60" s="108" t="n"/>
    </row>
    <row r="61">
      <c r="A61" s="74" t="inlineStr">
        <is>
          <t>Trade payables</t>
        </is>
      </c>
      <c r="B61" s="145">
        <f>#REF!</f>
        <v/>
      </c>
      <c r="C61" s="145">
        <f>#REF!</f>
        <v/>
      </c>
      <c r="D61" s="145">
        <f>#REF!</f>
        <v/>
      </c>
      <c r="E61" s="145">
        <f>#REF!</f>
        <v/>
      </c>
      <c r="F61" s="141">
        <f>#REF!</f>
        <v/>
      </c>
      <c r="G61" s="141">
        <f>#REF!</f>
        <v/>
      </c>
      <c r="H61" s="141">
        <f>#REF!</f>
        <v/>
      </c>
      <c r="I61" s="141">
        <f>#REF!</f>
        <v/>
      </c>
      <c r="J61" s="141">
        <f>#REF!</f>
        <v/>
      </c>
      <c r="K61" s="141">
        <f>#REF!</f>
        <v/>
      </c>
      <c r="L61" s="141">
        <f>#REF!</f>
        <v/>
      </c>
      <c r="M61" s="175">
        <f>#REF!+#REF!</f>
        <v/>
      </c>
      <c r="N61" s="175">
        <f>#REF!+#REF!</f>
        <v/>
      </c>
      <c r="O61" s="175">
        <f>#REF!+#REF!</f>
        <v/>
      </c>
      <c r="P61" s="175">
        <f>#REF!+#REF!</f>
        <v/>
      </c>
      <c r="Q61" s="175">
        <f>#REF!+#REF!</f>
        <v/>
      </c>
      <c r="R61" s="175">
        <f>#REF!+#REF!</f>
        <v/>
      </c>
      <c r="S61" s="175">
        <f>#REF!+#REF!</f>
        <v/>
      </c>
      <c r="T61" s="175">
        <f>#REF!+#REF!</f>
        <v/>
      </c>
      <c r="U61" s="175">
        <f>#REF!+#REF!</f>
        <v/>
      </c>
      <c r="V61" s="175">
        <f>#REF!+#REF!</f>
        <v/>
      </c>
      <c r="W61" s="175">
        <f>#REF!+#REF!</f>
        <v/>
      </c>
      <c r="X61" s="175">
        <f>#REF!+#REF!</f>
        <v/>
      </c>
      <c r="Y61" s="175">
        <f>#REF!+#REF!</f>
        <v/>
      </c>
      <c r="Z61" s="175">
        <f>#REF!+#REF!</f>
        <v/>
      </c>
      <c r="AA61" s="175">
        <f>#REF!+#REF!</f>
        <v/>
      </c>
      <c r="AB61" s="175">
        <f>#REF!+#REF!</f>
        <v/>
      </c>
      <c r="AC61" s="175">
        <f>#REF!+#REF!</f>
        <v/>
      </c>
      <c r="AD61" s="175">
        <f>Assumption!H164</f>
        <v/>
      </c>
      <c r="AE61" s="175">
        <f>Assumption!I164</f>
        <v/>
      </c>
      <c r="AF61" s="175">
        <f>Assumption!J164</f>
        <v/>
      </c>
      <c r="AG61" s="175">
        <f>Assumption!K164</f>
        <v/>
      </c>
      <c r="AH61" s="175">
        <f>Assumption!L164</f>
        <v/>
      </c>
      <c r="AI61" s="175">
        <f>Assumption!M164</f>
        <v/>
      </c>
      <c r="AJ61" s="175">
        <f>Assumption!N164</f>
        <v/>
      </c>
      <c r="AK61" s="175">
        <f>Assumption!O164</f>
        <v/>
      </c>
      <c r="AL61" s="175">
        <f>Assumption!P164</f>
        <v/>
      </c>
      <c r="AM61" s="175">
        <f>Assumption!Q164</f>
        <v/>
      </c>
      <c r="AN61" s="175">
        <f>Assumption!R164</f>
        <v/>
      </c>
      <c r="AO61" s="175">
        <f>Assumption!S164</f>
        <v/>
      </c>
      <c r="AP61" s="108" t="n"/>
      <c r="AQ61">
        <f>AD61-AC61</f>
        <v/>
      </c>
    </row>
    <row r="62">
      <c r="A62" s="74" t="inlineStr">
        <is>
          <t>Customer payable</t>
        </is>
      </c>
      <c r="B62" s="145" t="n"/>
      <c r="C62" s="145" t="n"/>
      <c r="D62" s="145" t="n"/>
      <c r="E62" s="145" t="n"/>
      <c r="F62" s="141" t="n"/>
      <c r="G62" s="141" t="n"/>
      <c r="H62" s="141" t="n"/>
      <c r="I62" s="141" t="n"/>
      <c r="J62" s="141" t="n"/>
      <c r="K62" s="141" t="n"/>
      <c r="L62" s="141" t="n"/>
      <c r="M62" s="175">
        <f>#REF!+#REF!</f>
        <v/>
      </c>
      <c r="N62" s="175">
        <f>#REF!+#REF!</f>
        <v/>
      </c>
      <c r="O62" s="175">
        <f>#REF!+#REF!</f>
        <v/>
      </c>
      <c r="P62" s="175">
        <f>#REF!+#REF!</f>
        <v/>
      </c>
      <c r="Q62" s="175">
        <f>#REF!+#REF!</f>
        <v/>
      </c>
      <c r="R62" s="175">
        <f>#REF!+#REF!</f>
        <v/>
      </c>
      <c r="S62" s="175">
        <f>#REF!+#REF!</f>
        <v/>
      </c>
      <c r="T62" s="175">
        <f>#REF!+#REF!</f>
        <v/>
      </c>
      <c r="U62" s="175">
        <f>#REF!+#REF!</f>
        <v/>
      </c>
      <c r="V62" s="175">
        <f>#REF!+#REF!</f>
        <v/>
      </c>
      <c r="W62" s="175">
        <f>#REF!+#REF!</f>
        <v/>
      </c>
      <c r="X62" s="175">
        <f>#REF!+#REF!</f>
        <v/>
      </c>
      <c r="Y62" s="175">
        <f>#REF!+#REF!</f>
        <v/>
      </c>
      <c r="Z62" s="175">
        <f>#REF!+#REF!</f>
        <v/>
      </c>
      <c r="AA62" s="175">
        <f>#REF!+#REF!</f>
        <v/>
      </c>
      <c r="AB62" s="175">
        <f>#REF!+#REF!</f>
        <v/>
      </c>
      <c r="AC62" s="175">
        <f>#REF!+#REF!</f>
        <v/>
      </c>
      <c r="AD62" s="175">
        <f>Assumption!H165</f>
        <v/>
      </c>
      <c r="AE62" s="175">
        <f>Assumption!I165</f>
        <v/>
      </c>
      <c r="AF62" s="175">
        <f>Assumption!J165</f>
        <v/>
      </c>
      <c r="AG62" s="175">
        <f>Assumption!K165</f>
        <v/>
      </c>
      <c r="AH62" s="175">
        <f>Assumption!L165</f>
        <v/>
      </c>
      <c r="AI62" s="175">
        <f>Assumption!M165</f>
        <v/>
      </c>
      <c r="AJ62" s="175">
        <f>Assumption!N165</f>
        <v/>
      </c>
      <c r="AK62" s="175">
        <f>Assumption!O165</f>
        <v/>
      </c>
      <c r="AL62" s="175">
        <f>Assumption!P165</f>
        <v/>
      </c>
      <c r="AM62" s="175">
        <f>Assumption!Q165</f>
        <v/>
      </c>
      <c r="AN62" s="175">
        <f>Assumption!R165</f>
        <v/>
      </c>
      <c r="AO62" s="175">
        <f>Assumption!S165</f>
        <v/>
      </c>
      <c r="AP62" s="108" t="n"/>
      <c r="AQ62">
        <f>AD62-AC62</f>
        <v/>
      </c>
    </row>
    <row r="63">
      <c r="A63" s="74" t="inlineStr">
        <is>
          <t>Borrowings</t>
        </is>
      </c>
      <c r="B63" s="145" t="n"/>
      <c r="C63" s="145" t="n"/>
      <c r="D63" s="145" t="n"/>
      <c r="E63" s="145" t="n"/>
      <c r="F63" s="141" t="n"/>
      <c r="G63" s="141" t="n"/>
      <c r="H63" s="141" t="n"/>
      <c r="I63" s="141" t="n"/>
      <c r="J63" s="141" t="n"/>
      <c r="K63" s="141" t="n"/>
      <c r="L63" s="141" t="n"/>
      <c r="M63" s="175">
        <f>#REF!+#REF!+#REF!</f>
        <v/>
      </c>
      <c r="N63" s="175">
        <f>#REF!+#REF!+#REF!</f>
        <v/>
      </c>
      <c r="O63" s="175">
        <f>#REF!+#REF!+#REF!</f>
        <v/>
      </c>
      <c r="P63" s="175">
        <f>#REF!+#REF!+#REF!</f>
        <v/>
      </c>
      <c r="Q63" s="175">
        <f>#REF!+#REF!+#REF!</f>
        <v/>
      </c>
      <c r="R63" s="175">
        <f>#REF!+#REF!+#REF!</f>
        <v/>
      </c>
      <c r="S63" s="175">
        <f>#REF!+#REF!+#REF!</f>
        <v/>
      </c>
      <c r="T63" s="175">
        <f>#REF!+#REF!+#REF!</f>
        <v/>
      </c>
      <c r="U63" s="175">
        <f>#REF!+#REF!+#REF!</f>
        <v/>
      </c>
      <c r="V63" s="175">
        <f>#REF!+#REF!+#REF!</f>
        <v/>
      </c>
      <c r="W63" s="175">
        <f>#REF!+#REF!+#REF!</f>
        <v/>
      </c>
      <c r="X63" s="175">
        <f>#REF!+#REF!+#REF!</f>
        <v/>
      </c>
      <c r="Y63" s="175">
        <f>#REF!+#REF!+#REF!</f>
        <v/>
      </c>
      <c r="Z63" s="175">
        <f>#REF!+#REF!+#REF!</f>
        <v/>
      </c>
      <c r="AA63" s="175">
        <f>#REF!+#REF!+#REF!</f>
        <v/>
      </c>
      <c r="AB63" s="175">
        <f>#REF!+#REF!+#REF!</f>
        <v/>
      </c>
      <c r="AC63" s="175">
        <f>#REF!+#REF!+#REF!</f>
        <v/>
      </c>
      <c r="AD63" s="175">
        <f>Assumption!H203</f>
        <v/>
      </c>
      <c r="AE63" s="175">
        <f>Assumption!I203</f>
        <v/>
      </c>
      <c r="AF63" s="175">
        <f>Assumption!J203</f>
        <v/>
      </c>
      <c r="AG63" s="175">
        <f>Assumption!K203</f>
        <v/>
      </c>
      <c r="AH63" s="175">
        <f>Assumption!L203</f>
        <v/>
      </c>
      <c r="AI63" s="175">
        <f>Assumption!M203</f>
        <v/>
      </c>
      <c r="AJ63" s="175">
        <f>Assumption!N203</f>
        <v/>
      </c>
      <c r="AK63" s="175">
        <f>Assumption!O203</f>
        <v/>
      </c>
      <c r="AL63" s="175">
        <f>Assumption!P203</f>
        <v/>
      </c>
      <c r="AM63" s="175">
        <f>Assumption!Q203</f>
        <v/>
      </c>
      <c r="AN63" s="175">
        <f>Assumption!R203</f>
        <v/>
      </c>
      <c r="AO63" s="175">
        <f>Assumption!S203</f>
        <v/>
      </c>
      <c r="AP63" s="108" t="n"/>
      <c r="AQ63">
        <f>AD63-AC63</f>
        <v/>
      </c>
    </row>
    <row r="64">
      <c r="A64" s="74">
        <f>#REF!</f>
        <v/>
      </c>
      <c r="B64" s="145">
        <f>#REF!</f>
        <v/>
      </c>
      <c r="C64" s="145">
        <f>#REF!</f>
        <v/>
      </c>
      <c r="D64" s="145">
        <f>#REF!</f>
        <v/>
      </c>
      <c r="E64" s="145">
        <f>#REF!</f>
        <v/>
      </c>
      <c r="F64" s="141">
        <f>#REF!</f>
        <v/>
      </c>
      <c r="G64" s="141">
        <f>#REF!</f>
        <v/>
      </c>
      <c r="H64" s="141">
        <f>#REF!</f>
        <v/>
      </c>
      <c r="I64" s="141">
        <f>#REF!</f>
        <v/>
      </c>
      <c r="J64" s="141">
        <f>#REF!</f>
        <v/>
      </c>
      <c r="K64" s="141">
        <f>#REF!</f>
        <v/>
      </c>
      <c r="L64" s="141">
        <f>#REF!</f>
        <v/>
      </c>
      <c r="M64" s="175">
        <f>#REF!</f>
        <v/>
      </c>
      <c r="N64" s="175">
        <f>#REF!</f>
        <v/>
      </c>
      <c r="O64" s="175">
        <f>#REF!</f>
        <v/>
      </c>
      <c r="P64" s="175">
        <f>#REF!</f>
        <v/>
      </c>
      <c r="Q64" s="175">
        <f>#REF!</f>
        <v/>
      </c>
      <c r="R64" s="175">
        <f>#REF!</f>
        <v/>
      </c>
      <c r="S64" s="175">
        <f>#REF!</f>
        <v/>
      </c>
      <c r="T64" s="175">
        <f>#REF!</f>
        <v/>
      </c>
      <c r="U64" s="175">
        <f>#REF!</f>
        <v/>
      </c>
      <c r="V64" s="175">
        <f>#REF!</f>
        <v/>
      </c>
      <c r="W64" s="175">
        <f>#REF!</f>
        <v/>
      </c>
      <c r="X64" s="175">
        <f>#REF!</f>
        <v/>
      </c>
      <c r="Y64" s="175">
        <f>#REF!</f>
        <v/>
      </c>
      <c r="Z64" s="175">
        <f>#REF!</f>
        <v/>
      </c>
      <c r="AA64" s="175">
        <f>#REF!</f>
        <v/>
      </c>
      <c r="AB64" s="175">
        <f>#REF!</f>
        <v/>
      </c>
      <c r="AC64" s="175">
        <f>#REF!</f>
        <v/>
      </c>
      <c r="AD64" s="175">
        <f>Assumption!#REF!</f>
        <v/>
      </c>
      <c r="AE64" s="175">
        <f>Assumption!#REF!</f>
        <v/>
      </c>
      <c r="AF64" s="175">
        <f>Assumption!#REF!</f>
        <v/>
      </c>
      <c r="AG64" s="175">
        <f>Assumption!#REF!</f>
        <v/>
      </c>
      <c r="AH64" s="175">
        <f>Assumption!#REF!</f>
        <v/>
      </c>
      <c r="AI64" s="175">
        <f>Assumption!#REF!</f>
        <v/>
      </c>
      <c r="AJ64" s="175">
        <f>Assumption!#REF!</f>
        <v/>
      </c>
      <c r="AK64" s="175">
        <f>Assumption!#REF!</f>
        <v/>
      </c>
      <c r="AL64" s="175">
        <f>Assumption!#REF!</f>
        <v/>
      </c>
      <c r="AM64" s="175">
        <f>Assumption!#REF!</f>
        <v/>
      </c>
      <c r="AN64" s="175">
        <f>Assumption!#REF!</f>
        <v/>
      </c>
      <c r="AO64" s="175">
        <f>Assumption!#REF!</f>
        <v/>
      </c>
      <c r="AP64" s="108" t="n"/>
      <c r="AQ64">
        <f>AD64-AC64</f>
        <v/>
      </c>
    </row>
    <row r="65">
      <c r="A65" s="74" t="inlineStr">
        <is>
          <t>Taxes payable</t>
        </is>
      </c>
      <c r="B65" s="145" t="n"/>
      <c r="C65" s="145" t="n"/>
      <c r="D65" s="145" t="n"/>
      <c r="E65" s="145" t="n"/>
      <c r="F65" s="141" t="n"/>
      <c r="G65" s="141" t="n"/>
      <c r="H65" s="141" t="n"/>
      <c r="I65" s="141" t="n"/>
      <c r="J65" s="141" t="n"/>
      <c r="K65" s="141" t="n"/>
      <c r="L65" s="141" t="n"/>
      <c r="M65" s="175">
        <f>#REF!</f>
        <v/>
      </c>
      <c r="N65" s="175">
        <f>#REF!</f>
        <v/>
      </c>
      <c r="O65" s="175">
        <f>#REF!</f>
        <v/>
      </c>
      <c r="P65" s="175">
        <f>#REF!</f>
        <v/>
      </c>
      <c r="Q65" s="175">
        <f>#REF!</f>
        <v/>
      </c>
      <c r="R65" s="175">
        <f>#REF!</f>
        <v/>
      </c>
      <c r="S65" s="175">
        <f>#REF!</f>
        <v/>
      </c>
      <c r="T65" s="175">
        <f>#REF!</f>
        <v/>
      </c>
      <c r="U65" s="175">
        <f>#REF!</f>
        <v/>
      </c>
      <c r="V65" s="175">
        <f>#REF!</f>
        <v/>
      </c>
      <c r="W65" s="175">
        <f>#REF!</f>
        <v/>
      </c>
      <c r="X65" s="175">
        <f>#REF!</f>
        <v/>
      </c>
      <c r="Y65" s="175">
        <f>#REF!</f>
        <v/>
      </c>
      <c r="Z65" s="175">
        <f>#REF!</f>
        <v/>
      </c>
      <c r="AA65" s="175">
        <f>#REF!</f>
        <v/>
      </c>
      <c r="AB65" s="175">
        <f>#REF!</f>
        <v/>
      </c>
      <c r="AC65" s="175">
        <f>#REF!</f>
        <v/>
      </c>
      <c r="AD65" s="175">
        <f>Assumption!#REF!</f>
        <v/>
      </c>
      <c r="AE65" s="175">
        <f>Assumption!#REF!</f>
        <v/>
      </c>
      <c r="AF65" s="175">
        <f>Assumption!#REF!</f>
        <v/>
      </c>
      <c r="AG65" s="175">
        <f>Assumption!#REF!</f>
        <v/>
      </c>
      <c r="AH65" s="175">
        <f>Assumption!#REF!</f>
        <v/>
      </c>
      <c r="AI65" s="175">
        <f>Assumption!#REF!</f>
        <v/>
      </c>
      <c r="AJ65" s="175">
        <f>Assumption!#REF!</f>
        <v/>
      </c>
      <c r="AK65" s="175">
        <f>Assumption!#REF!</f>
        <v/>
      </c>
      <c r="AL65" s="175">
        <f>Assumption!#REF!</f>
        <v/>
      </c>
      <c r="AM65" s="175">
        <f>Assumption!#REF!</f>
        <v/>
      </c>
      <c r="AN65" s="175">
        <f>Assumption!#REF!</f>
        <v/>
      </c>
      <c r="AO65" s="175">
        <f>Assumption!#REF!</f>
        <v/>
      </c>
      <c r="AP65" s="108" t="n"/>
      <c r="AQ65">
        <f>AD65-AC65</f>
        <v/>
      </c>
    </row>
    <row r="66">
      <c r="A66" s="74" t="inlineStr">
        <is>
          <t>Others</t>
        </is>
      </c>
      <c r="M66" s="86">
        <f>M67-SUM(M61:M65)</f>
        <v/>
      </c>
      <c r="N66" s="86">
        <f>N67-SUM(N61:N65)</f>
        <v/>
      </c>
      <c r="O66" s="86">
        <f>O67-SUM(O61:O65)</f>
        <v/>
      </c>
      <c r="P66" s="86">
        <f>P67-SUM(P61:P65)</f>
        <v/>
      </c>
      <c r="Q66" s="86">
        <f>Q67-SUM(Q61:Q65)</f>
        <v/>
      </c>
      <c r="R66" s="86">
        <f>R67-SUM(R61:R65)</f>
        <v/>
      </c>
      <c r="S66" s="86">
        <f>S67-SUM(S61:S65)</f>
        <v/>
      </c>
      <c r="T66" s="86">
        <f>T67-SUM(T61:T65)</f>
        <v/>
      </c>
      <c r="U66" s="86">
        <f>U67-SUM(U61:U65)</f>
        <v/>
      </c>
      <c r="V66" s="86">
        <f>V67-SUM(V61:V65)</f>
        <v/>
      </c>
      <c r="W66" s="86">
        <f>W67-SUM(W61:W65)</f>
        <v/>
      </c>
      <c r="X66" s="86">
        <f>X67-SUM(X61:X65)</f>
        <v/>
      </c>
      <c r="Y66" s="86">
        <f>Y67-SUM(Y61:Y65)</f>
        <v/>
      </c>
      <c r="Z66" s="86">
        <f>Z67-SUM(Z61:Z65)</f>
        <v/>
      </c>
      <c r="AA66" s="86">
        <f>AA67-SUM(AA61:AA65)</f>
        <v/>
      </c>
      <c r="AB66" s="86">
        <f>AB67-SUM(AB61:AB65)</f>
        <v/>
      </c>
      <c r="AC66" s="86">
        <f>AC67-SUM(AC61:AC65)</f>
        <v/>
      </c>
      <c r="AD66" s="80">
        <f>Assumption!#REF!</f>
        <v/>
      </c>
      <c r="AE66" s="80">
        <f>Assumption!#REF!</f>
        <v/>
      </c>
      <c r="AF66" s="80">
        <f>Assumption!#REF!</f>
        <v/>
      </c>
      <c r="AG66" s="80">
        <f>Assumption!#REF!</f>
        <v/>
      </c>
      <c r="AH66" s="80">
        <f>Assumption!#REF!</f>
        <v/>
      </c>
      <c r="AI66" s="80">
        <f>Assumption!#REF!</f>
        <v/>
      </c>
      <c r="AJ66" s="80">
        <f>Assumption!#REF!</f>
        <v/>
      </c>
      <c r="AK66" s="80">
        <f>Assumption!#REF!</f>
        <v/>
      </c>
      <c r="AL66" s="80">
        <f>Assumption!#REF!</f>
        <v/>
      </c>
      <c r="AM66" s="80">
        <f>Assumption!#REF!</f>
        <v/>
      </c>
      <c r="AN66" s="80">
        <f>Assumption!#REF!</f>
        <v/>
      </c>
      <c r="AO66" s="80">
        <f>Assumption!#REF!</f>
        <v/>
      </c>
      <c r="AP66" s="108" t="n"/>
      <c r="AQ66">
        <f>AD66-AC66</f>
        <v/>
      </c>
    </row>
    <row r="67">
      <c r="A67" s="40" t="inlineStr">
        <is>
          <t>Total current liabilities</t>
        </is>
      </c>
      <c r="B67" s="128" t="n"/>
      <c r="C67" s="128" t="n"/>
      <c r="D67" s="128" t="n"/>
      <c r="E67" s="128" t="n"/>
      <c r="F67" s="128" t="n"/>
      <c r="G67" s="128" t="n"/>
      <c r="H67" s="128" t="n"/>
      <c r="I67" s="128" t="n"/>
      <c r="J67" s="128" t="n"/>
      <c r="K67" s="128" t="n"/>
      <c r="L67" s="128" t="n"/>
      <c r="M67" s="149">
        <f>#REF!</f>
        <v/>
      </c>
      <c r="N67" s="149">
        <f>#REF!</f>
        <v/>
      </c>
      <c r="O67" s="149">
        <f>#REF!</f>
        <v/>
      </c>
      <c r="P67" s="149">
        <f>#REF!</f>
        <v/>
      </c>
      <c r="Q67" s="149">
        <f>#REF!</f>
        <v/>
      </c>
      <c r="R67" s="149">
        <f>#REF!</f>
        <v/>
      </c>
      <c r="S67" s="149">
        <f>#REF!</f>
        <v/>
      </c>
      <c r="T67" s="149">
        <f>#REF!</f>
        <v/>
      </c>
      <c r="U67" s="149">
        <f>#REF!</f>
        <v/>
      </c>
      <c r="V67" s="149">
        <f>#REF!</f>
        <v/>
      </c>
      <c r="W67" s="149">
        <f>#REF!</f>
        <v/>
      </c>
      <c r="X67" s="149">
        <f>#REF!</f>
        <v/>
      </c>
      <c r="Y67" s="149">
        <f>#REF!</f>
        <v/>
      </c>
      <c r="Z67" s="149">
        <f>#REF!</f>
        <v/>
      </c>
      <c r="AA67" s="149">
        <f>#REF!</f>
        <v/>
      </c>
      <c r="AB67" s="149">
        <f>#REF!</f>
        <v/>
      </c>
      <c r="AC67" s="149">
        <f>#REF!</f>
        <v/>
      </c>
      <c r="AD67" s="123">
        <f>SUM(AD61:AD66)</f>
        <v/>
      </c>
      <c r="AE67" s="123">
        <f>SUM(AE61:AE66)</f>
        <v/>
      </c>
      <c r="AF67" s="123">
        <f>SUM(AF61:AF66)</f>
        <v/>
      </c>
      <c r="AG67" s="123">
        <f>SUM(AG61:AG66)</f>
        <v/>
      </c>
      <c r="AH67" s="123">
        <f>SUM(AH61:AH66)</f>
        <v/>
      </c>
      <c r="AI67" s="123">
        <f>SUM(AI61:AI66)</f>
        <v/>
      </c>
      <c r="AJ67" s="123">
        <f>SUM(AJ61:AJ66)</f>
        <v/>
      </c>
      <c r="AK67" s="123">
        <f>SUM(AK61:AK66)</f>
        <v/>
      </c>
      <c r="AL67" s="123">
        <f>SUM(AL61:AL66)</f>
        <v/>
      </c>
      <c r="AM67" s="123">
        <f>SUM(AM61:AM66)</f>
        <v/>
      </c>
      <c r="AN67" s="123">
        <f>SUM(AN61:AN66)</f>
        <v/>
      </c>
      <c r="AO67" s="123">
        <f>SUM(AO61:AO66)</f>
        <v/>
      </c>
      <c r="AP67" s="108" t="n"/>
      <c r="AQ67">
        <f>AD67-AC67</f>
        <v/>
      </c>
    </row>
    <row r="68">
      <c r="M68" s="31" t="n"/>
      <c r="N68" s="31" t="n"/>
      <c r="O68" s="31" t="n"/>
      <c r="P68" s="31" t="n"/>
      <c r="Q68" s="31" t="n"/>
      <c r="R68" s="31" t="n"/>
      <c r="S68" s="31" t="n"/>
      <c r="T68" s="31" t="n"/>
      <c r="U68" s="31" t="n"/>
      <c r="V68" s="31" t="n"/>
      <c r="W68" s="31" t="n"/>
      <c r="X68" s="31" t="n"/>
      <c r="Y68" s="31" t="n"/>
      <c r="Z68" s="31" t="n"/>
      <c r="AA68" s="31" t="n"/>
      <c r="AB68" s="31" t="n"/>
      <c r="AC68" s="31" t="n"/>
      <c r="AD68" s="31" t="n"/>
      <c r="AE68" s="31" t="n"/>
      <c r="AF68" s="31" t="n"/>
      <c r="AG68" s="31" t="n"/>
      <c r="AH68" s="31" t="n"/>
      <c r="AI68" s="31" t="n"/>
      <c r="AJ68" s="31" t="n"/>
      <c r="AK68" s="31" t="n"/>
      <c r="AL68" s="31" t="n"/>
      <c r="AM68" s="31" t="n"/>
      <c r="AN68" s="31" t="n"/>
      <c r="AO68" s="31" t="n"/>
      <c r="AP68" s="108" t="n"/>
    </row>
    <row r="69">
      <c r="A69" s="22" t="inlineStr">
        <is>
          <t>Net current assets</t>
        </is>
      </c>
      <c r="B69" s="108" t="n"/>
      <c r="C69" s="108" t="n"/>
      <c r="D69" s="108" t="n"/>
      <c r="E69" s="108" t="n"/>
      <c r="F69" s="108" t="n"/>
      <c r="G69" s="108" t="n"/>
      <c r="H69" s="108" t="n"/>
      <c r="I69" s="108" t="n"/>
      <c r="J69" s="108" t="n"/>
      <c r="K69" s="108" t="n"/>
      <c r="L69" s="108" t="n"/>
      <c r="M69" s="86">
        <f>M45-M67</f>
        <v/>
      </c>
      <c r="N69" s="86">
        <f>N45-N67</f>
        <v/>
      </c>
      <c r="O69" s="86">
        <f>O45-O67</f>
        <v/>
      </c>
      <c r="P69" s="86">
        <f>P45-P67</f>
        <v/>
      </c>
      <c r="Q69" s="86">
        <f>Q45-Q67</f>
        <v/>
      </c>
      <c r="R69" s="86">
        <f>R45-R67</f>
        <v/>
      </c>
      <c r="S69" s="86">
        <f>S45-S67</f>
        <v/>
      </c>
      <c r="T69" s="86">
        <f>T45-T67</f>
        <v/>
      </c>
      <c r="U69" s="86">
        <f>U45-U67</f>
        <v/>
      </c>
      <c r="V69" s="86">
        <f>V45-V67</f>
        <v/>
      </c>
      <c r="W69" s="86">
        <f>W45-W67</f>
        <v/>
      </c>
      <c r="X69" s="86">
        <f>X45-X67</f>
        <v/>
      </c>
      <c r="Y69" s="86">
        <f>Y45-Y67</f>
        <v/>
      </c>
      <c r="Z69" s="86">
        <f>Z45-Z67</f>
        <v/>
      </c>
      <c r="AA69" s="86">
        <f>AA45-AA67</f>
        <v/>
      </c>
      <c r="AB69" s="86">
        <f>AB45-AB67</f>
        <v/>
      </c>
      <c r="AC69" s="86">
        <f>AC45-AC67</f>
        <v/>
      </c>
      <c r="AD69" s="86">
        <f>AD45-AD67</f>
        <v/>
      </c>
      <c r="AE69" s="86">
        <f>AE45-AE67</f>
        <v/>
      </c>
      <c r="AF69" s="86">
        <f>AF45-AF67</f>
        <v/>
      </c>
      <c r="AG69" s="86">
        <f>AG45-AG67</f>
        <v/>
      </c>
      <c r="AH69" s="86">
        <f>AH45-AH67</f>
        <v/>
      </c>
      <c r="AI69" s="86">
        <f>AI45-AI67</f>
        <v/>
      </c>
      <c r="AJ69" s="86">
        <f>AJ45-AJ67</f>
        <v/>
      </c>
      <c r="AK69" s="86">
        <f>AK45-AK67</f>
        <v/>
      </c>
      <c r="AL69" s="86">
        <f>AL45-AL67</f>
        <v/>
      </c>
      <c r="AM69" s="86">
        <f>AM45-AM67</f>
        <v/>
      </c>
      <c r="AN69" s="86">
        <f>AN45-AN67</f>
        <v/>
      </c>
      <c r="AO69" s="86">
        <f>AO45-AO67</f>
        <v/>
      </c>
      <c r="AP69" s="108" t="n"/>
      <c r="AQ69">
        <f>AD69-AC69</f>
        <v/>
      </c>
    </row>
    <row r="70">
      <c r="A70" s="22" t="inlineStr">
        <is>
          <t>Total assets less current liabilities</t>
        </is>
      </c>
      <c r="B70" s="108" t="n"/>
      <c r="C70" s="108" t="n"/>
      <c r="D70" s="108" t="n"/>
      <c r="E70" s="108" t="n"/>
      <c r="F70" s="108" t="n"/>
      <c r="G70" s="108" t="n"/>
      <c r="H70" s="108" t="n"/>
      <c r="I70" s="108" t="n"/>
      <c r="J70" s="108" t="n"/>
      <c r="K70" s="108" t="n"/>
      <c r="L70" s="108" t="n"/>
      <c r="M70" s="86">
        <f>M58-M67</f>
        <v/>
      </c>
      <c r="N70" s="86">
        <f>N58-N67</f>
        <v/>
      </c>
      <c r="O70" s="86">
        <f>O58-O67</f>
        <v/>
      </c>
      <c r="P70" s="86">
        <f>P58-P67</f>
        <v/>
      </c>
      <c r="Q70" s="86">
        <f>Q58-Q67</f>
        <v/>
      </c>
      <c r="R70" s="86">
        <f>R58-R67</f>
        <v/>
      </c>
      <c r="S70" s="86">
        <f>S58-S67</f>
        <v/>
      </c>
      <c r="T70" s="86">
        <f>T58-T67</f>
        <v/>
      </c>
      <c r="U70" s="86">
        <f>U58-U67</f>
        <v/>
      </c>
      <c r="V70" s="86">
        <f>V58-V67</f>
        <v/>
      </c>
      <c r="W70" s="86">
        <f>W58-W67</f>
        <v/>
      </c>
      <c r="X70" s="86">
        <f>X58-X67</f>
        <v/>
      </c>
      <c r="Y70" s="86">
        <f>Y58-Y67</f>
        <v/>
      </c>
      <c r="Z70" s="86">
        <f>Z58-Z67</f>
        <v/>
      </c>
      <c r="AA70" s="86">
        <f>AA58-AA67</f>
        <v/>
      </c>
      <c r="AB70" s="86">
        <f>AB58-AB67</f>
        <v/>
      </c>
      <c r="AC70" s="86">
        <f>AC58-AC67</f>
        <v/>
      </c>
      <c r="AD70" s="86">
        <f>AD58-AD67</f>
        <v/>
      </c>
      <c r="AE70" s="86">
        <f>AE58-AE67</f>
        <v/>
      </c>
      <c r="AF70" s="86">
        <f>AF58-AF67</f>
        <v/>
      </c>
      <c r="AG70" s="86">
        <f>AG58-AG67</f>
        <v/>
      </c>
      <c r="AH70" s="86">
        <f>AH58-AH67</f>
        <v/>
      </c>
      <c r="AI70" s="86">
        <f>AI58-AI67</f>
        <v/>
      </c>
      <c r="AJ70" s="86">
        <f>AJ58-AJ67</f>
        <v/>
      </c>
      <c r="AK70" s="86">
        <f>AK58-AK67</f>
        <v/>
      </c>
      <c r="AL70" s="86">
        <f>AL58-AL67</f>
        <v/>
      </c>
      <c r="AM70" s="86">
        <f>AM58-AM67</f>
        <v/>
      </c>
      <c r="AN70" s="86">
        <f>AN58-AN67</f>
        <v/>
      </c>
      <c r="AO70" s="86">
        <f>AO58-AO67</f>
        <v/>
      </c>
      <c r="AP70" s="108" t="n"/>
      <c r="AQ70">
        <f>AD70-AC70</f>
        <v/>
      </c>
    </row>
    <row r="71">
      <c r="F71" s="108" t="n"/>
      <c r="G71" s="108" t="n"/>
      <c r="H71" s="108" t="n"/>
      <c r="I71" s="108" t="n"/>
      <c r="J71" s="108" t="n"/>
      <c r="K71" s="108" t="n"/>
      <c r="L71" s="108" t="n"/>
      <c r="M71" s="76" t="n"/>
      <c r="N71" s="76" t="n"/>
      <c r="O71" s="76" t="n"/>
      <c r="P71" s="76" t="n"/>
      <c r="Q71" s="76" t="n"/>
      <c r="R71" s="76" t="n"/>
      <c r="S71" s="76" t="n"/>
      <c r="T71" s="76" t="n"/>
      <c r="U71" s="76" t="n"/>
      <c r="V71" s="76" t="n"/>
      <c r="W71" s="76" t="n"/>
      <c r="X71" s="76" t="n"/>
      <c r="Y71" s="76" t="n"/>
      <c r="Z71" s="76" t="n"/>
      <c r="AA71" s="76" t="n"/>
      <c r="AB71" s="76" t="n"/>
      <c r="AC71" s="76" t="n"/>
      <c r="AD71" s="76" t="n"/>
      <c r="AE71" s="76" t="n"/>
      <c r="AF71" s="76" t="n"/>
      <c r="AG71" s="76" t="n"/>
      <c r="AH71" s="76" t="n"/>
      <c r="AI71" s="76" t="n"/>
      <c r="AJ71" s="76" t="n"/>
      <c r="AK71" s="76" t="n"/>
      <c r="AL71" s="76" t="n"/>
      <c r="AM71" s="76" t="n"/>
      <c r="AN71" s="76" t="n"/>
      <c r="AO71" s="76" t="n"/>
      <c r="AP71" s="108" t="n"/>
    </row>
    <row r="72">
      <c r="A72" s="22" t="inlineStr">
        <is>
          <t>Non-current liabilities</t>
        </is>
      </c>
      <c r="M72" s="31" t="n"/>
      <c r="N72" s="31" t="n"/>
      <c r="O72" s="31" t="n"/>
      <c r="P72" s="31" t="n"/>
      <c r="Q72" s="31" t="n"/>
      <c r="R72" s="31" t="n"/>
      <c r="S72" s="31" t="n"/>
      <c r="T72" s="31" t="n"/>
      <c r="U72" s="31" t="n"/>
      <c r="V72" s="31" t="n"/>
      <c r="W72" s="31" t="n"/>
      <c r="X72" s="31" t="n"/>
      <c r="Y72" s="31" t="n"/>
      <c r="Z72" s="31" t="n"/>
      <c r="AA72" s="31" t="n"/>
      <c r="AB72" s="31" t="n"/>
      <c r="AC72" s="31" t="n"/>
      <c r="AD72" s="31" t="n"/>
      <c r="AE72" s="31" t="n"/>
      <c r="AF72" s="31" t="n"/>
      <c r="AG72" s="31" t="n"/>
      <c r="AH72" s="31" t="n"/>
      <c r="AI72" s="31" t="n"/>
      <c r="AJ72" s="31" t="n"/>
      <c r="AK72" s="31" t="n"/>
      <c r="AL72" s="31" t="n"/>
      <c r="AM72" s="31" t="n"/>
      <c r="AN72" s="31" t="n"/>
      <c r="AO72" s="31" t="n"/>
      <c r="AP72" s="108" t="n"/>
    </row>
    <row r="73">
      <c r="A73" s="74" t="inlineStr">
        <is>
          <t>Borrowings</t>
        </is>
      </c>
      <c r="B73" s="145" t="n"/>
      <c r="C73" s="145" t="n"/>
      <c r="D73" s="145" t="n"/>
      <c r="E73" s="145" t="n"/>
      <c r="F73" s="141" t="n"/>
      <c r="G73" s="141" t="n"/>
      <c r="H73" s="141" t="n"/>
      <c r="I73" s="141" t="n"/>
      <c r="J73" s="141" t="n"/>
      <c r="K73" s="141" t="n"/>
      <c r="L73" s="141" t="n"/>
      <c r="M73" s="175">
        <f>#REF!+#REF!</f>
        <v/>
      </c>
      <c r="N73" s="175">
        <f>#REF!+#REF!</f>
        <v/>
      </c>
      <c r="O73" s="175">
        <f>#REF!+#REF!</f>
        <v/>
      </c>
      <c r="P73" s="175">
        <f>#REF!+#REF!</f>
        <v/>
      </c>
      <c r="Q73" s="175">
        <f>#REF!+#REF!</f>
        <v/>
      </c>
      <c r="R73" s="175">
        <f>#REF!+#REF!</f>
        <v/>
      </c>
      <c r="S73" s="175">
        <f>#REF!+#REF!</f>
        <v/>
      </c>
      <c r="T73" s="175">
        <f>#REF!+#REF!</f>
        <v/>
      </c>
      <c r="U73" s="175">
        <f>#REF!+#REF!</f>
        <v/>
      </c>
      <c r="V73" s="175">
        <f>#REF!+#REF!</f>
        <v/>
      </c>
      <c r="W73" s="175">
        <f>#REF!+#REF!</f>
        <v/>
      </c>
      <c r="X73" s="175">
        <f>#REF!+#REF!</f>
        <v/>
      </c>
      <c r="Y73" s="175">
        <f>#REF!+#REF!</f>
        <v/>
      </c>
      <c r="Z73" s="175">
        <f>#REF!+#REF!</f>
        <v/>
      </c>
      <c r="AA73" s="175">
        <f>#REF!+#REF!</f>
        <v/>
      </c>
      <c r="AB73" s="175">
        <f>#REF!+#REF!</f>
        <v/>
      </c>
      <c r="AC73" s="175">
        <f>#REF!+#REF!</f>
        <v/>
      </c>
      <c r="AD73" s="175">
        <f>Assumption!H204</f>
        <v/>
      </c>
      <c r="AE73" s="175">
        <f>Assumption!I204</f>
        <v/>
      </c>
      <c r="AF73" s="175">
        <f>Assumption!J204</f>
        <v/>
      </c>
      <c r="AG73" s="175">
        <f>Assumption!K204</f>
        <v/>
      </c>
      <c r="AH73" s="175">
        <f>Assumption!L204</f>
        <v/>
      </c>
      <c r="AI73" s="175">
        <f>Assumption!M204</f>
        <v/>
      </c>
      <c r="AJ73" s="175">
        <f>Assumption!N204</f>
        <v/>
      </c>
      <c r="AK73" s="175">
        <f>Assumption!O204</f>
        <v/>
      </c>
      <c r="AL73" s="175">
        <f>Assumption!P204</f>
        <v/>
      </c>
      <c r="AM73" s="175">
        <f>Assumption!Q204</f>
        <v/>
      </c>
      <c r="AN73" s="175">
        <f>Assumption!R204</f>
        <v/>
      </c>
      <c r="AO73" s="175">
        <f>Assumption!S204</f>
        <v/>
      </c>
      <c r="AP73" s="108" t="n"/>
      <c r="AQ73">
        <f>AD73-AC73</f>
        <v/>
      </c>
    </row>
    <row r="74">
      <c r="A74" s="74" t="inlineStr">
        <is>
          <t>Convertible bond</t>
        </is>
      </c>
      <c r="B74" s="145" t="n"/>
      <c r="C74" s="145" t="n"/>
      <c r="D74" s="145" t="n"/>
      <c r="E74" s="145" t="n"/>
      <c r="F74" s="141" t="n"/>
      <c r="G74" s="141" t="n"/>
      <c r="H74" s="141" t="n"/>
      <c r="I74" s="141" t="n"/>
      <c r="J74" s="141" t="n"/>
      <c r="K74" s="141" t="n"/>
      <c r="L74" s="141" t="n"/>
      <c r="M74" s="175" t="n"/>
      <c r="N74" s="175" t="n"/>
      <c r="O74" s="175" t="n"/>
      <c r="P74" s="175" t="n"/>
      <c r="Q74" s="175" t="n"/>
      <c r="R74" s="175" t="n"/>
      <c r="S74" s="175" t="n"/>
      <c r="T74" s="175" t="n"/>
      <c r="U74" s="175" t="n"/>
      <c r="V74" s="175" t="n"/>
      <c r="W74" s="175" t="n"/>
      <c r="X74" s="175" t="n"/>
      <c r="Y74" s="175" t="n"/>
      <c r="Z74" s="175" t="n"/>
      <c r="AA74" s="175" t="n"/>
      <c r="AB74" s="175">
        <f>Assumption!#REF!</f>
        <v/>
      </c>
      <c r="AC74" s="175" t="n"/>
      <c r="AD74" s="175">
        <f>Assumption!#REF!</f>
        <v/>
      </c>
      <c r="AE74" s="175">
        <f>Assumption!#REF!</f>
        <v/>
      </c>
      <c r="AF74" s="175">
        <f>Assumption!#REF!</f>
        <v/>
      </c>
      <c r="AG74" s="175">
        <f>Assumption!#REF!</f>
        <v/>
      </c>
      <c r="AH74" s="175">
        <f>Assumption!#REF!</f>
        <v/>
      </c>
      <c r="AI74" s="175">
        <f>Assumption!#REF!</f>
        <v/>
      </c>
      <c r="AJ74" s="175">
        <f>Assumption!#REF!</f>
        <v/>
      </c>
      <c r="AK74" s="175">
        <f>Assumption!#REF!</f>
        <v/>
      </c>
      <c r="AL74" s="175">
        <f>Assumption!#REF!</f>
        <v/>
      </c>
      <c r="AM74" s="175">
        <f>Assumption!#REF!</f>
        <v/>
      </c>
      <c r="AN74" s="175">
        <f>Assumption!#REF!</f>
        <v/>
      </c>
      <c r="AO74" s="175">
        <f>Assumption!#REF!</f>
        <v/>
      </c>
      <c r="AP74" s="108" t="n"/>
      <c r="AQ74">
        <f>AD74-AC74</f>
        <v/>
      </c>
    </row>
    <row r="75">
      <c r="A75" s="74" t="inlineStr">
        <is>
          <t>Government grants</t>
        </is>
      </c>
      <c r="B75" s="145" t="n"/>
      <c r="C75" s="145" t="n"/>
      <c r="D75" s="145" t="n"/>
      <c r="E75" s="145" t="n"/>
      <c r="F75" s="141" t="n"/>
      <c r="G75" s="141" t="n"/>
      <c r="H75" s="141" t="n"/>
      <c r="I75" s="141" t="n"/>
      <c r="J75" s="141" t="n"/>
      <c r="K75" s="141" t="n"/>
      <c r="L75" s="141" t="n"/>
      <c r="M75" s="175">
        <f>#REF!</f>
        <v/>
      </c>
      <c r="N75" s="175">
        <f>#REF!</f>
        <v/>
      </c>
      <c r="O75" s="175">
        <f>#REF!</f>
        <v/>
      </c>
      <c r="P75" s="175">
        <f>#REF!</f>
        <v/>
      </c>
      <c r="Q75" s="175">
        <f>#REF!</f>
        <v/>
      </c>
      <c r="R75" s="175">
        <f>#REF!</f>
        <v/>
      </c>
      <c r="S75" s="175">
        <f>#REF!</f>
        <v/>
      </c>
      <c r="T75" s="175">
        <f>#REF!</f>
        <v/>
      </c>
      <c r="U75" s="175">
        <f>#REF!</f>
        <v/>
      </c>
      <c r="V75" s="175">
        <f>#REF!</f>
        <v/>
      </c>
      <c r="W75" s="175">
        <f>#REF!</f>
        <v/>
      </c>
      <c r="X75" s="175">
        <f>#REF!</f>
        <v/>
      </c>
      <c r="Y75" s="175">
        <f>#REF!</f>
        <v/>
      </c>
      <c r="Z75" s="175">
        <f>#REF!</f>
        <v/>
      </c>
      <c r="AA75" s="175">
        <f>#REF!</f>
        <v/>
      </c>
      <c r="AB75" s="175">
        <f>#REF!</f>
        <v/>
      </c>
      <c r="AC75" s="175">
        <f>#REF!</f>
        <v/>
      </c>
      <c r="AD75" s="175">
        <f>Assumption!H200</f>
        <v/>
      </c>
      <c r="AE75" s="175">
        <f>Assumption!I200</f>
        <v/>
      </c>
      <c r="AF75" s="175">
        <f>Assumption!J200</f>
        <v/>
      </c>
      <c r="AG75" s="175">
        <f>Assumption!K200</f>
        <v/>
      </c>
      <c r="AH75" s="175">
        <f>Assumption!L200</f>
        <v/>
      </c>
      <c r="AI75" s="175">
        <f>Assumption!M200</f>
        <v/>
      </c>
      <c r="AJ75" s="175">
        <f>Assumption!N200</f>
        <v/>
      </c>
      <c r="AK75" s="175">
        <f>Assumption!O200</f>
        <v/>
      </c>
      <c r="AL75" s="175">
        <f>Assumption!P200</f>
        <v/>
      </c>
      <c r="AM75" s="175">
        <f>Assumption!Q200</f>
        <v/>
      </c>
      <c r="AN75" s="175">
        <f>Assumption!R200</f>
        <v/>
      </c>
      <c r="AO75" s="175">
        <f>Assumption!S200</f>
        <v/>
      </c>
      <c r="AP75" s="108" t="n"/>
      <c r="AQ75">
        <f>AD75-AC75</f>
        <v/>
      </c>
    </row>
    <row r="76">
      <c r="A76" s="74" t="inlineStr">
        <is>
          <t>Provisions</t>
        </is>
      </c>
      <c r="B76" s="145" t="n"/>
      <c r="C76" s="145" t="n"/>
      <c r="D76" s="145" t="n"/>
      <c r="E76" s="145" t="n"/>
      <c r="F76" s="141" t="n"/>
      <c r="G76" s="141" t="n"/>
      <c r="H76" s="141" t="n"/>
      <c r="I76" s="141" t="n"/>
      <c r="J76" s="141" t="n"/>
      <c r="K76" s="141" t="n"/>
      <c r="L76" s="141" t="n"/>
      <c r="M76" s="175">
        <f>#REF!</f>
        <v/>
      </c>
      <c r="N76" s="175">
        <f>#REF!</f>
        <v/>
      </c>
      <c r="O76" s="175">
        <f>#REF!</f>
        <v/>
      </c>
      <c r="P76" s="175">
        <f>#REF!</f>
        <v/>
      </c>
      <c r="Q76" s="175">
        <f>#REF!</f>
        <v/>
      </c>
      <c r="R76" s="175">
        <f>#REF!</f>
        <v/>
      </c>
      <c r="S76" s="175">
        <f>#REF!</f>
        <v/>
      </c>
      <c r="T76" s="175">
        <f>#REF!</f>
        <v/>
      </c>
      <c r="U76" s="175">
        <f>#REF!</f>
        <v/>
      </c>
      <c r="V76" s="175">
        <f>#REF!</f>
        <v/>
      </c>
      <c r="W76" s="175">
        <f>#REF!</f>
        <v/>
      </c>
      <c r="X76" s="175">
        <f>#REF!</f>
        <v/>
      </c>
      <c r="Y76" s="175">
        <f>#REF!</f>
        <v/>
      </c>
      <c r="Z76" s="175">
        <f>#REF!</f>
        <v/>
      </c>
      <c r="AA76" s="175">
        <f>#REF!</f>
        <v/>
      </c>
      <c r="AB76" s="175">
        <f>#REF!</f>
        <v/>
      </c>
      <c r="AC76" s="175">
        <f>#REF!</f>
        <v/>
      </c>
      <c r="AD76" s="175">
        <f>Assumption!#REF!</f>
        <v/>
      </c>
      <c r="AE76" s="175">
        <f>Assumption!#REF!</f>
        <v/>
      </c>
      <c r="AF76" s="175">
        <f>Assumption!#REF!</f>
        <v/>
      </c>
      <c r="AG76" s="175">
        <f>Assumption!#REF!</f>
        <v/>
      </c>
      <c r="AH76" s="175">
        <f>Assumption!#REF!</f>
        <v/>
      </c>
      <c r="AI76" s="175">
        <f>Assumption!#REF!</f>
        <v/>
      </c>
      <c r="AJ76" s="175">
        <f>Assumption!#REF!</f>
        <v/>
      </c>
      <c r="AK76" s="175">
        <f>Assumption!#REF!</f>
        <v/>
      </c>
      <c r="AL76" s="175">
        <f>Assumption!#REF!</f>
        <v/>
      </c>
      <c r="AM76" s="175">
        <f>Assumption!#REF!</f>
        <v/>
      </c>
      <c r="AN76" s="175">
        <f>Assumption!#REF!</f>
        <v/>
      </c>
      <c r="AO76" s="175">
        <f>Assumption!#REF!</f>
        <v/>
      </c>
      <c r="AP76" s="108" t="n"/>
      <c r="AQ76">
        <f>AD76-AC76</f>
        <v/>
      </c>
    </row>
    <row r="77">
      <c r="A77" s="74">
        <f>#REF!</f>
        <v/>
      </c>
      <c r="B77" s="145" t="n"/>
      <c r="C77" s="145" t="n"/>
      <c r="D77" s="145" t="n"/>
      <c r="E77" s="145" t="n"/>
      <c r="F77" s="141" t="n"/>
      <c r="G77" s="141" t="n"/>
      <c r="H77" s="141" t="n"/>
      <c r="I77" s="141" t="n"/>
      <c r="J77" s="141" t="n"/>
      <c r="K77" s="141" t="n"/>
      <c r="L77" s="141" t="n"/>
      <c r="M77" s="175">
        <f>#REF!</f>
        <v/>
      </c>
      <c r="N77" s="175">
        <f>#REF!</f>
        <v/>
      </c>
      <c r="O77" s="175">
        <f>#REF!</f>
        <v/>
      </c>
      <c r="P77" s="175">
        <f>#REF!</f>
        <v/>
      </c>
      <c r="Q77" s="175">
        <f>#REF!</f>
        <v/>
      </c>
      <c r="R77" s="175">
        <f>#REF!</f>
        <v/>
      </c>
      <c r="S77" s="175">
        <f>#REF!</f>
        <v/>
      </c>
      <c r="T77" s="175">
        <f>#REF!</f>
        <v/>
      </c>
      <c r="U77" s="175">
        <f>#REF!</f>
        <v/>
      </c>
      <c r="V77" s="175">
        <f>#REF!</f>
        <v/>
      </c>
      <c r="W77" s="175">
        <f>#REF!</f>
        <v/>
      </c>
      <c r="X77" s="175">
        <f>#REF!</f>
        <v/>
      </c>
      <c r="Y77" s="175">
        <f>#REF!</f>
        <v/>
      </c>
      <c r="Z77" s="175">
        <f>#REF!</f>
        <v/>
      </c>
      <c r="AA77" s="175">
        <f>#REF!</f>
        <v/>
      </c>
      <c r="AB77" s="175">
        <f>#REF!</f>
        <v/>
      </c>
      <c r="AC77" s="175">
        <f>#REF!</f>
        <v/>
      </c>
      <c r="AD77" s="175">
        <f>Assumption!#REF!</f>
        <v/>
      </c>
      <c r="AE77" s="175">
        <f>Assumption!#REF!</f>
        <v/>
      </c>
      <c r="AF77" s="175">
        <f>Assumption!#REF!</f>
        <v/>
      </c>
      <c r="AG77" s="175">
        <f>Assumption!#REF!</f>
        <v/>
      </c>
      <c r="AH77" s="175">
        <f>Assumption!#REF!</f>
        <v/>
      </c>
      <c r="AI77" s="175">
        <f>Assumption!#REF!</f>
        <v/>
      </c>
      <c r="AJ77" s="175">
        <f>Assumption!#REF!</f>
        <v/>
      </c>
      <c r="AK77" s="175">
        <f>Assumption!#REF!</f>
        <v/>
      </c>
      <c r="AL77" s="175">
        <f>Assumption!#REF!</f>
        <v/>
      </c>
      <c r="AM77" s="175">
        <f>Assumption!#REF!</f>
        <v/>
      </c>
      <c r="AN77" s="175">
        <f>Assumption!#REF!</f>
        <v/>
      </c>
      <c r="AO77" s="175">
        <f>Assumption!#REF!</f>
        <v/>
      </c>
      <c r="AP77" s="108" t="n"/>
      <c r="AQ77">
        <f>AD77-AC77</f>
        <v/>
      </c>
    </row>
    <row r="78">
      <c r="A78" s="74" t="inlineStr">
        <is>
          <t>Others</t>
        </is>
      </c>
      <c r="B78" s="145" t="n"/>
      <c r="C78" s="145" t="n"/>
      <c r="D78" s="145" t="n"/>
      <c r="E78" s="145" t="n"/>
      <c r="F78" s="141" t="n"/>
      <c r="G78" s="141" t="n"/>
      <c r="H78" s="141" t="n"/>
      <c r="I78" s="141" t="n"/>
      <c r="J78" s="141" t="n"/>
      <c r="K78" s="141" t="n"/>
      <c r="L78" s="141" t="n"/>
      <c r="M78" s="86">
        <f>M79-SUM(M73:M77)</f>
        <v/>
      </c>
      <c r="N78" s="86">
        <f>N79-SUM(N73:N77)</f>
        <v/>
      </c>
      <c r="O78" s="86">
        <f>O79-SUM(O73:O77)</f>
        <v/>
      </c>
      <c r="P78" s="86">
        <f>P79-SUM(P73:P77)</f>
        <v/>
      </c>
      <c r="Q78" s="86">
        <f>Q79-SUM(Q73:Q77)</f>
        <v/>
      </c>
      <c r="R78" s="86">
        <f>R79-SUM(R73:R77)</f>
        <v/>
      </c>
      <c r="S78" s="86">
        <f>S79-SUM(S73:S77)</f>
        <v/>
      </c>
      <c r="T78" s="86">
        <f>T79-SUM(T73:T77)</f>
        <v/>
      </c>
      <c r="U78" s="86">
        <f>U79-SUM(U73:U77)</f>
        <v/>
      </c>
      <c r="V78" s="86">
        <f>V79-SUM(V73:V77)</f>
        <v/>
      </c>
      <c r="W78" s="86">
        <f>W79-SUM(W73:W77)</f>
        <v/>
      </c>
      <c r="X78" s="86">
        <f>X79-SUM(X73:X77)</f>
        <v/>
      </c>
      <c r="Y78" s="86">
        <f>Y79-SUM(Y73:Y77)</f>
        <v/>
      </c>
      <c r="Z78" s="86">
        <f>Z79-SUM(Z73:Z77)</f>
        <v/>
      </c>
      <c r="AA78" s="86">
        <f>AA79-SUM(AA73:AA77)</f>
        <v/>
      </c>
      <c r="AB78" s="86">
        <f>AB79-SUM(AB73:AB77)</f>
        <v/>
      </c>
      <c r="AC78" s="86">
        <f>AC79-SUM(AC73:AC77)</f>
        <v/>
      </c>
      <c r="AD78" s="80">
        <f>Assumption!#REF!</f>
        <v/>
      </c>
      <c r="AE78" s="80">
        <f>Assumption!#REF!</f>
        <v/>
      </c>
      <c r="AF78" s="80">
        <f>Assumption!#REF!</f>
        <v/>
      </c>
      <c r="AG78" s="80">
        <f>Assumption!#REF!</f>
        <v/>
      </c>
      <c r="AH78" s="80">
        <f>Assumption!#REF!</f>
        <v/>
      </c>
      <c r="AI78" s="80">
        <f>Assumption!#REF!</f>
        <v/>
      </c>
      <c r="AJ78" s="80">
        <f>Assumption!#REF!</f>
        <v/>
      </c>
      <c r="AK78" s="80">
        <f>Assumption!#REF!</f>
        <v/>
      </c>
      <c r="AL78" s="80">
        <f>Assumption!#REF!</f>
        <v/>
      </c>
      <c r="AM78" s="80">
        <f>Assumption!#REF!</f>
        <v/>
      </c>
      <c r="AN78" s="80">
        <f>Assumption!#REF!</f>
        <v/>
      </c>
      <c r="AO78" s="80">
        <f>Assumption!#REF!</f>
        <v/>
      </c>
      <c r="AP78" s="108" t="n"/>
      <c r="AQ78">
        <f>AD78-AC78</f>
        <v/>
      </c>
    </row>
    <row r="79" customFormat="1" s="22">
      <c r="A79" s="40" t="inlineStr">
        <is>
          <t>Total non-current liabilities</t>
        </is>
      </c>
      <c r="B79" s="128" t="n"/>
      <c r="C79" s="128" t="n"/>
      <c r="D79" s="128" t="n"/>
      <c r="E79" s="128" t="n"/>
      <c r="F79" s="128" t="n"/>
      <c r="G79" s="128" t="n"/>
      <c r="H79" s="128" t="n"/>
      <c r="I79" s="128" t="n"/>
      <c r="J79" s="128" t="n"/>
      <c r="K79" s="128" t="n"/>
      <c r="L79" s="128" t="n"/>
      <c r="M79" s="149">
        <f>#REF!</f>
        <v/>
      </c>
      <c r="N79" s="149">
        <f>#REF!</f>
        <v/>
      </c>
      <c r="O79" s="149">
        <f>#REF!</f>
        <v/>
      </c>
      <c r="P79" s="149">
        <f>#REF!</f>
        <v/>
      </c>
      <c r="Q79" s="149">
        <f>#REF!</f>
        <v/>
      </c>
      <c r="R79" s="149">
        <f>#REF!</f>
        <v/>
      </c>
      <c r="S79" s="149">
        <f>#REF!</f>
        <v/>
      </c>
      <c r="T79" s="149">
        <f>#REF!</f>
        <v/>
      </c>
      <c r="U79" s="149">
        <f>#REF!</f>
        <v/>
      </c>
      <c r="V79" s="149">
        <f>#REF!</f>
        <v/>
      </c>
      <c r="W79" s="149">
        <f>#REF!</f>
        <v/>
      </c>
      <c r="X79" s="149">
        <f>#REF!</f>
        <v/>
      </c>
      <c r="Y79" s="149">
        <f>#REF!</f>
        <v/>
      </c>
      <c r="Z79" s="149">
        <f>#REF!</f>
        <v/>
      </c>
      <c r="AA79" s="149">
        <f>#REF!</f>
        <v/>
      </c>
      <c r="AB79" s="149">
        <f>#REF!</f>
        <v/>
      </c>
      <c r="AC79" s="149">
        <f>#REF!</f>
        <v/>
      </c>
      <c r="AD79" s="123">
        <f>SUM(AD73:AD78)</f>
        <v/>
      </c>
      <c r="AE79" s="123">
        <f>SUM(AE73:AE78)</f>
        <v/>
      </c>
      <c r="AF79" s="123">
        <f>SUM(AF73:AF78)</f>
        <v/>
      </c>
      <c r="AG79" s="123">
        <f>SUM(AG73:AG78)</f>
        <v/>
      </c>
      <c r="AH79" s="123">
        <f>SUM(AH73:AH78)</f>
        <v/>
      </c>
      <c r="AI79" s="123">
        <f>SUM(AI73:AI78)</f>
        <v/>
      </c>
      <c r="AJ79" s="123">
        <f>SUM(AJ73:AJ78)</f>
        <v/>
      </c>
      <c r="AK79" s="123">
        <f>SUM(AK73:AK78)</f>
        <v/>
      </c>
      <c r="AL79" s="123">
        <f>SUM(AL73:AL78)</f>
        <v/>
      </c>
      <c r="AM79" s="123">
        <f>SUM(AM73:AM78)</f>
        <v/>
      </c>
      <c r="AN79" s="123">
        <f>SUM(AN73:AN78)</f>
        <v/>
      </c>
      <c r="AO79" s="123">
        <f>SUM(AO73:AO78)</f>
        <v/>
      </c>
      <c r="AP79" s="108" t="n"/>
      <c r="AQ79" s="22">
        <f>AD79-AC79</f>
        <v/>
      </c>
    </row>
    <row r="80">
      <c r="M80" s="31" t="n"/>
      <c r="N80" s="31" t="n"/>
      <c r="O80" s="31" t="n"/>
      <c r="P80" s="31" t="n"/>
      <c r="Q80" s="31" t="n"/>
      <c r="R80" s="31" t="n"/>
      <c r="S80" s="31" t="n"/>
      <c r="T80" s="31" t="n"/>
      <c r="U80" s="31" t="n"/>
      <c r="V80" s="31" t="n"/>
      <c r="W80" s="31" t="n"/>
      <c r="X80" s="31" t="n"/>
      <c r="Y80" s="31" t="n"/>
      <c r="Z80" s="31" t="n"/>
      <c r="AA80" s="31" t="n"/>
      <c r="AB80" s="31" t="n"/>
      <c r="AC80" s="31" t="n"/>
      <c r="AD80" s="31" t="n"/>
      <c r="AE80" s="31" t="n"/>
      <c r="AF80" s="31" t="n"/>
      <c r="AG80" s="31" t="n"/>
      <c r="AH80" s="31" t="n"/>
      <c r="AI80" s="31" t="n"/>
      <c r="AJ80" s="31" t="n"/>
      <c r="AK80" s="31" t="n"/>
      <c r="AL80" s="31" t="n"/>
      <c r="AM80" s="31" t="n"/>
      <c r="AN80" s="31" t="n"/>
      <c r="AO80" s="31" t="n"/>
      <c r="AP80" s="108" t="n"/>
    </row>
    <row r="81">
      <c r="A81" s="22" t="inlineStr">
        <is>
          <t>Total liabilities</t>
        </is>
      </c>
      <c r="B81" s="128" t="n"/>
      <c r="C81" s="128" t="n"/>
      <c r="D81" s="128" t="n"/>
      <c r="E81" s="128" t="n"/>
      <c r="F81" s="128" t="n"/>
      <c r="G81" s="128" t="n"/>
      <c r="H81" s="128" t="n"/>
      <c r="I81" s="128" t="n"/>
      <c r="J81" s="128" t="n"/>
      <c r="K81" s="128" t="n"/>
      <c r="L81" s="128" t="n"/>
      <c r="M81" s="121">
        <f>SUM(M67,M79)</f>
        <v/>
      </c>
      <c r="N81" s="121">
        <f>SUM(N67,N79)</f>
        <v/>
      </c>
      <c r="O81" s="121">
        <f>SUM(O67,O79)</f>
        <v/>
      </c>
      <c r="P81" s="121">
        <f>SUM(P67,P79)</f>
        <v/>
      </c>
      <c r="Q81" s="121">
        <f>SUM(Q67,Q79)</f>
        <v/>
      </c>
      <c r="R81" s="121">
        <f>SUM(R67,R79)</f>
        <v/>
      </c>
      <c r="S81" s="121">
        <f>SUM(S67,S79)</f>
        <v/>
      </c>
      <c r="T81" s="121">
        <f>SUM(T67,T79)</f>
        <v/>
      </c>
      <c r="U81" s="121">
        <f>SUM(U67,U79)</f>
        <v/>
      </c>
      <c r="V81" s="121">
        <f>SUM(V67,V79)</f>
        <v/>
      </c>
      <c r="W81" s="121">
        <f>SUM(W67,W79)</f>
        <v/>
      </c>
      <c r="X81" s="121">
        <f>SUM(X67,X79)</f>
        <v/>
      </c>
      <c r="Y81" s="121">
        <f>SUM(Y67,Y79)</f>
        <v/>
      </c>
      <c r="Z81" s="121">
        <f>SUM(Z67,Z79)</f>
        <v/>
      </c>
      <c r="AA81" s="121">
        <f>SUM(AA67,AA79)</f>
        <v/>
      </c>
      <c r="AB81" s="121">
        <f>SUM(AB67,AB79)</f>
        <v/>
      </c>
      <c r="AC81" s="121">
        <f>SUM(AC67,AC79)</f>
        <v/>
      </c>
      <c r="AD81" s="121">
        <f>SUM(AD67,AD79)</f>
        <v/>
      </c>
      <c r="AE81" s="121">
        <f>SUM(AE67,AE79)</f>
        <v/>
      </c>
      <c r="AF81" s="121">
        <f>SUM(AF67,AF79)</f>
        <v/>
      </c>
      <c r="AG81" s="121">
        <f>SUM(AG67,AG79)</f>
        <v/>
      </c>
      <c r="AH81" s="121">
        <f>SUM(AH67,AH79)</f>
        <v/>
      </c>
      <c r="AI81" s="121">
        <f>SUM(AI67,AI79)</f>
        <v/>
      </c>
      <c r="AJ81" s="121">
        <f>SUM(AJ67,AJ79)</f>
        <v/>
      </c>
      <c r="AK81" s="121">
        <f>SUM(AK67,AK79)</f>
        <v/>
      </c>
      <c r="AL81" s="121">
        <f>SUM(AL67,AL79)</f>
        <v/>
      </c>
      <c r="AM81" s="121">
        <f>SUM(AM67,AM79)</f>
        <v/>
      </c>
      <c r="AN81" s="121">
        <f>SUM(AN67,AN79)</f>
        <v/>
      </c>
      <c r="AO81" s="121">
        <f>SUM(AO67,AO79)</f>
        <v/>
      </c>
      <c r="AP81" s="108" t="n"/>
      <c r="AQ81">
        <f>AD81-AC81</f>
        <v/>
      </c>
    </row>
    <row r="82">
      <c r="M82" s="31" t="n"/>
      <c r="N82" s="31" t="n"/>
      <c r="O82" s="31" t="n"/>
      <c r="P82" s="31" t="n"/>
      <c r="Q82" s="31" t="n"/>
      <c r="R82" s="31" t="n"/>
      <c r="S82" s="31" t="n"/>
      <c r="T82" s="31" t="n"/>
      <c r="U82" s="31" t="n"/>
      <c r="V82" s="31" t="n"/>
      <c r="W82" s="31" t="n"/>
      <c r="X82" s="31" t="n"/>
      <c r="Y82" s="31" t="n"/>
      <c r="Z82" s="31" t="n"/>
      <c r="AA82" s="31" t="n"/>
      <c r="AB82" s="31" t="n"/>
      <c r="AC82" s="31" t="n"/>
      <c r="AD82" s="31" t="n"/>
      <c r="AE82" s="31" t="n"/>
      <c r="AF82" s="31" t="n"/>
      <c r="AG82" s="31" t="n"/>
      <c r="AH82" s="31" t="n"/>
      <c r="AI82" s="31" t="n"/>
      <c r="AJ82" s="31" t="n"/>
      <c r="AK82" s="31" t="n"/>
      <c r="AL82" s="31" t="n"/>
      <c r="AM82" s="31" t="n"/>
      <c r="AN82" s="31" t="n"/>
      <c r="AO82" s="31" t="n"/>
      <c r="AP82" s="108" t="n"/>
    </row>
    <row r="83">
      <c r="A83" s="22" t="inlineStr">
        <is>
          <t>NET ASSETS</t>
        </is>
      </c>
      <c r="B83" s="128" t="n"/>
      <c r="C83" s="128" t="n"/>
      <c r="D83" s="128" t="n"/>
      <c r="E83" s="128" t="n"/>
      <c r="F83" s="128" t="n"/>
      <c r="G83" s="128" t="n"/>
      <c r="H83" s="128" t="n"/>
      <c r="I83" s="128" t="n"/>
      <c r="J83" s="128" t="n"/>
      <c r="K83" s="128" t="n"/>
      <c r="L83" s="128" t="n"/>
      <c r="M83" s="121">
        <f>M58-M81</f>
        <v/>
      </c>
      <c r="N83" s="121">
        <f>N58-N81</f>
        <v/>
      </c>
      <c r="O83" s="121">
        <f>O58-O81</f>
        <v/>
      </c>
      <c r="P83" s="121">
        <f>P58-P81</f>
        <v/>
      </c>
      <c r="Q83" s="121">
        <f>Q58-Q81</f>
        <v/>
      </c>
      <c r="R83" s="121">
        <f>R58-R81</f>
        <v/>
      </c>
      <c r="S83" s="121">
        <f>S58-S81</f>
        <v/>
      </c>
      <c r="T83" s="121">
        <f>T58-T81</f>
        <v/>
      </c>
      <c r="U83" s="121">
        <f>U58-U81</f>
        <v/>
      </c>
      <c r="V83" s="121">
        <f>V58-V81</f>
        <v/>
      </c>
      <c r="W83" s="121">
        <f>W58-W81</f>
        <v/>
      </c>
      <c r="X83" s="121">
        <f>X58-X81</f>
        <v/>
      </c>
      <c r="Y83" s="121">
        <f>Y58-Y81</f>
        <v/>
      </c>
      <c r="Z83" s="121">
        <f>Z58-Z81</f>
        <v/>
      </c>
      <c r="AA83" s="121">
        <f>AA58-AA81</f>
        <v/>
      </c>
      <c r="AB83" s="121">
        <f>AB58-AB81</f>
        <v/>
      </c>
      <c r="AC83" s="121">
        <f>AC58-AC81</f>
        <v/>
      </c>
      <c r="AD83" s="121">
        <f>AD58-AD81</f>
        <v/>
      </c>
      <c r="AE83" s="121">
        <f>AE58-AE81</f>
        <v/>
      </c>
      <c r="AF83" s="121">
        <f>AF58-AF81</f>
        <v/>
      </c>
      <c r="AG83" s="121">
        <f>AG58-AG81</f>
        <v/>
      </c>
      <c r="AH83" s="121">
        <f>AH58-AH81</f>
        <v/>
      </c>
      <c r="AI83" s="121">
        <f>AI58-AI81</f>
        <v/>
      </c>
      <c r="AJ83" s="121">
        <f>AJ58-AJ81</f>
        <v/>
      </c>
      <c r="AK83" s="121">
        <f>AK58-AK81</f>
        <v/>
      </c>
      <c r="AL83" s="121">
        <f>AL58-AL81</f>
        <v/>
      </c>
      <c r="AM83" s="121">
        <f>AM58-AM81</f>
        <v/>
      </c>
      <c r="AN83" s="121">
        <f>AN58-AN81</f>
        <v/>
      </c>
      <c r="AO83" s="121">
        <f>AO58-AO81</f>
        <v/>
      </c>
      <c r="AP83" s="108" t="n"/>
      <c r="AQ83">
        <f>AD83-AC83</f>
        <v/>
      </c>
    </row>
    <row r="84">
      <c r="M84" s="31" t="n"/>
      <c r="N84" s="31" t="n"/>
      <c r="O84" s="31" t="n"/>
      <c r="P84" s="31" t="n"/>
      <c r="Q84" s="31" t="n"/>
      <c r="R84" s="31" t="n"/>
      <c r="S84" s="31" t="n"/>
      <c r="T84" s="31" t="n"/>
      <c r="U84" s="31" t="n"/>
      <c r="V84" s="31" t="n"/>
      <c r="W84" s="31" t="n"/>
      <c r="X84" s="31" t="n"/>
      <c r="Y84" s="31" t="n"/>
      <c r="Z84" s="31" t="n"/>
      <c r="AA84" s="31" t="n"/>
      <c r="AB84" s="31" t="n"/>
      <c r="AC84" s="31" t="n"/>
      <c r="AD84" s="31" t="n"/>
      <c r="AE84" s="31" t="n"/>
      <c r="AF84" s="31" t="n"/>
      <c r="AG84" s="31" t="n"/>
      <c r="AH84" s="31" t="n"/>
      <c r="AI84" s="31" t="n"/>
      <c r="AJ84" s="31" t="n"/>
      <c r="AK84" s="31" t="n"/>
      <c r="AL84" s="31" t="n"/>
      <c r="AM84" s="31" t="n"/>
      <c r="AN84" s="31" t="n"/>
      <c r="AO84" s="31" t="n"/>
      <c r="AP84" s="108" t="n"/>
    </row>
    <row r="85">
      <c r="A85" s="22" t="inlineStr">
        <is>
          <t>Equity</t>
        </is>
      </c>
      <c r="M85" s="31" t="n"/>
      <c r="N85" s="31" t="n"/>
      <c r="O85" s="31" t="n"/>
      <c r="P85" s="31" t="n"/>
      <c r="Q85" s="31" t="n"/>
      <c r="R85" s="31" t="n"/>
      <c r="S85" s="31" t="n"/>
      <c r="T85" s="31" t="n"/>
      <c r="U85" s="31" t="n"/>
      <c r="V85" s="31" t="n"/>
      <c r="W85" s="31" t="n"/>
      <c r="X85" s="31" t="n"/>
      <c r="Y85" s="31" t="n"/>
      <c r="Z85" s="31" t="n"/>
      <c r="AA85" s="31" t="n"/>
      <c r="AB85" s="31" t="n"/>
      <c r="AC85" s="31" t="n"/>
      <c r="AD85" s="31" t="n"/>
      <c r="AE85" s="31" t="n"/>
      <c r="AF85" s="31" t="n"/>
      <c r="AG85" s="31" t="n"/>
      <c r="AH85" s="31" t="n"/>
      <c r="AI85" s="31" t="n"/>
      <c r="AJ85" s="31" t="n"/>
      <c r="AK85" s="31" t="n"/>
      <c r="AL85" s="31" t="n"/>
      <c r="AM85" s="31" t="n"/>
      <c r="AN85" s="31" t="n"/>
      <c r="AO85" s="31" t="n"/>
      <c r="AP85" s="108" t="n"/>
    </row>
    <row r="86">
      <c r="A86" s="74" t="inlineStr">
        <is>
          <t>Equity attributable to owners of the parent</t>
        </is>
      </c>
      <c r="F86" s="145" t="n"/>
      <c r="G86" s="145" t="n"/>
      <c r="H86" s="145" t="n"/>
      <c r="I86" s="145" t="n"/>
      <c r="J86" s="145" t="n"/>
      <c r="K86" s="145" t="n"/>
      <c r="L86" s="145" t="n"/>
      <c r="M86" s="143" t="n"/>
      <c r="N86" s="143" t="n"/>
      <c r="O86" s="143" t="n"/>
      <c r="P86" s="143" t="n"/>
      <c r="Q86" s="143" t="n"/>
      <c r="R86" s="143" t="n"/>
      <c r="S86" s="143" t="n"/>
      <c r="T86" s="143" t="n"/>
      <c r="U86" s="143" t="n"/>
      <c r="V86" s="143" t="n"/>
      <c r="W86" s="143" t="n"/>
      <c r="X86" s="143" t="n"/>
      <c r="Y86" s="143" t="n"/>
      <c r="Z86" s="143" t="n"/>
      <c r="AA86" s="143" t="n"/>
      <c r="AB86" s="143" t="n"/>
      <c r="AC86" s="143" t="n"/>
      <c r="AD86" s="143" t="n"/>
      <c r="AE86" s="143" t="n"/>
      <c r="AF86" s="143" t="n"/>
      <c r="AG86" s="143" t="n"/>
      <c r="AH86" s="143" t="n"/>
      <c r="AI86" s="143" t="n"/>
      <c r="AJ86" s="143" t="n"/>
      <c r="AK86" s="143" t="n"/>
      <c r="AL86" s="143" t="n"/>
      <c r="AM86" s="143" t="n"/>
      <c r="AN86" s="143" t="n"/>
      <c r="AO86" s="143" t="n"/>
      <c r="AP86" s="108" t="n"/>
    </row>
    <row r="87">
      <c r="A87" s="33" t="inlineStr">
        <is>
          <t>Share capital</t>
        </is>
      </c>
      <c r="B87" s="145" t="n"/>
      <c r="C87" s="145" t="n"/>
      <c r="D87" s="145" t="n"/>
      <c r="E87" s="145" t="n"/>
      <c r="F87" s="141" t="n"/>
      <c r="G87" s="141" t="n"/>
      <c r="H87" s="141" t="n"/>
      <c r="I87" s="141" t="n"/>
      <c r="J87" s="141" t="n"/>
      <c r="K87" s="141" t="n"/>
      <c r="L87" s="141" t="n"/>
      <c r="M87" s="175">
        <f>#REF!</f>
        <v/>
      </c>
      <c r="N87" s="175">
        <f>#REF!</f>
        <v/>
      </c>
      <c r="O87" s="175">
        <f>#REF!</f>
        <v/>
      </c>
      <c r="P87" s="175">
        <f>#REF!</f>
        <v/>
      </c>
      <c r="Q87" s="175">
        <f>#REF!</f>
        <v/>
      </c>
      <c r="R87" s="175">
        <f>#REF!</f>
        <v/>
      </c>
      <c r="S87" s="175">
        <f>#REF!</f>
        <v/>
      </c>
      <c r="T87" s="175">
        <f>#REF!</f>
        <v/>
      </c>
      <c r="U87" s="175">
        <f>#REF!</f>
        <v/>
      </c>
      <c r="V87" s="175">
        <f>#REF!</f>
        <v/>
      </c>
      <c r="W87" s="175">
        <f>#REF!</f>
        <v/>
      </c>
      <c r="X87" s="175">
        <f>#REF!</f>
        <v/>
      </c>
      <c r="Y87" s="175">
        <f>#REF!</f>
        <v/>
      </c>
      <c r="Z87" s="175">
        <f>#REF!</f>
        <v/>
      </c>
      <c r="AA87" s="175">
        <f>#REF!</f>
        <v/>
      </c>
      <c r="AB87" s="175">
        <f>#REF!</f>
        <v/>
      </c>
      <c r="AC87" s="175">
        <f>#REF!</f>
        <v/>
      </c>
      <c r="AD87" s="175">
        <f>Assumption!H224</f>
        <v/>
      </c>
      <c r="AE87" s="175">
        <f>Assumption!I224</f>
        <v/>
      </c>
      <c r="AF87" s="175">
        <f>Assumption!J224</f>
        <v/>
      </c>
      <c r="AG87" s="175">
        <f>Assumption!K224</f>
        <v/>
      </c>
      <c r="AH87" s="175">
        <f>Assumption!L224</f>
        <v/>
      </c>
      <c r="AI87" s="175">
        <f>Assumption!M224</f>
        <v/>
      </c>
      <c r="AJ87" s="175">
        <f>Assumption!N224</f>
        <v/>
      </c>
      <c r="AK87" s="175">
        <f>Assumption!O224</f>
        <v/>
      </c>
      <c r="AL87" s="175">
        <f>Assumption!P224</f>
        <v/>
      </c>
      <c r="AM87" s="175">
        <f>Assumption!Q224</f>
        <v/>
      </c>
      <c r="AN87" s="175">
        <f>Assumption!R224</f>
        <v/>
      </c>
      <c r="AO87" s="175">
        <f>Assumption!S224</f>
        <v/>
      </c>
      <c r="AP87" s="108" t="n"/>
      <c r="AQ87">
        <f>AD87-AC87</f>
        <v/>
      </c>
    </row>
    <row r="88">
      <c r="A88" s="33" t="inlineStr">
        <is>
          <t>Reserves</t>
        </is>
      </c>
      <c r="B88" s="145" t="n"/>
      <c r="C88" s="145" t="n"/>
      <c r="D88" s="145" t="n"/>
      <c r="E88" s="145" t="n"/>
      <c r="F88" s="141" t="n"/>
      <c r="G88" s="141" t="n"/>
      <c r="H88" s="141" t="n"/>
      <c r="I88" s="141" t="n"/>
      <c r="J88" s="141" t="n"/>
      <c r="K88" s="141" t="n"/>
      <c r="L88" s="141" t="n"/>
      <c r="M88" s="86">
        <f>+M89-M87</f>
        <v/>
      </c>
      <c r="N88" s="86">
        <f>+N89-N87</f>
        <v/>
      </c>
      <c r="O88" s="86">
        <f>+O89-O87</f>
        <v/>
      </c>
      <c r="P88" s="86">
        <f>+P89-P87</f>
        <v/>
      </c>
      <c r="Q88" s="86">
        <f>+Q89-Q87</f>
        <v/>
      </c>
      <c r="R88" s="86">
        <f>+R89-R87</f>
        <v/>
      </c>
      <c r="S88" s="86">
        <f>+S89-S87</f>
        <v/>
      </c>
      <c r="T88" s="86">
        <f>+T89-T87</f>
        <v/>
      </c>
      <c r="U88" s="86">
        <f>+U89-U87</f>
        <v/>
      </c>
      <c r="V88" s="86">
        <f>+V89-V87</f>
        <v/>
      </c>
      <c r="W88" s="86">
        <f>+W89-W87</f>
        <v/>
      </c>
      <c r="X88" s="86">
        <f>+X89-X87</f>
        <v/>
      </c>
      <c r="Y88" s="86">
        <f>+Y89-Y87</f>
        <v/>
      </c>
      <c r="Z88" s="86">
        <f>+Z89-Z87</f>
        <v/>
      </c>
      <c r="AA88" s="86">
        <f>+AA89-AA87</f>
        <v/>
      </c>
      <c r="AB88" s="86">
        <f>+AB89-AB87</f>
        <v/>
      </c>
      <c r="AC88" s="86">
        <f>+AC89-AC87</f>
        <v/>
      </c>
      <c r="AD88" s="80">
        <f>Assumption!#REF!</f>
        <v/>
      </c>
      <c r="AE88" s="80">
        <f>Assumption!#REF!</f>
        <v/>
      </c>
      <c r="AF88" s="80">
        <f>Assumption!#REF!</f>
        <v/>
      </c>
      <c r="AG88" s="80">
        <f>Assumption!#REF!</f>
        <v/>
      </c>
      <c r="AH88" s="80">
        <f>Assumption!#REF!</f>
        <v/>
      </c>
      <c r="AI88" s="80">
        <f>Assumption!#REF!</f>
        <v/>
      </c>
      <c r="AJ88" s="80">
        <f>Assumption!#REF!</f>
        <v/>
      </c>
      <c r="AK88" s="80">
        <f>Assumption!#REF!</f>
        <v/>
      </c>
      <c r="AL88" s="80">
        <f>Assumption!#REF!</f>
        <v/>
      </c>
      <c r="AM88" s="80">
        <f>Assumption!#REF!</f>
        <v/>
      </c>
      <c r="AN88" s="80">
        <f>Assumption!#REF!</f>
        <v/>
      </c>
      <c r="AO88" s="80">
        <f>Assumption!#REF!</f>
        <v/>
      </c>
      <c r="AP88" s="108" t="n"/>
      <c r="AQ88">
        <f>AD88-AC88</f>
        <v/>
      </c>
    </row>
    <row r="89" customFormat="1" s="22">
      <c r="A89" s="22" t="inlineStr">
        <is>
          <t>Subtotal</t>
        </is>
      </c>
      <c r="B89" s="128" t="n"/>
      <c r="C89" s="128" t="n"/>
      <c r="D89" s="128" t="n"/>
      <c r="E89" s="128" t="n"/>
      <c r="F89" s="128" t="n"/>
      <c r="G89" s="128" t="n"/>
      <c r="H89" s="128" t="n"/>
      <c r="I89" s="128" t="n"/>
      <c r="J89" s="128" t="n"/>
      <c r="K89" s="128" t="n"/>
      <c r="L89" s="128" t="n"/>
      <c r="M89" s="149">
        <f>#REF!</f>
        <v/>
      </c>
      <c r="N89" s="149">
        <f>#REF!</f>
        <v/>
      </c>
      <c r="O89" s="149">
        <f>#REF!</f>
        <v/>
      </c>
      <c r="P89" s="149">
        <f>#REF!</f>
        <v/>
      </c>
      <c r="Q89" s="149">
        <f>#REF!</f>
        <v/>
      </c>
      <c r="R89" s="149">
        <f>#REF!</f>
        <v/>
      </c>
      <c r="S89" s="149">
        <f>#REF!</f>
        <v/>
      </c>
      <c r="T89" s="149">
        <f>#REF!</f>
        <v/>
      </c>
      <c r="U89" s="149">
        <f>#REF!</f>
        <v/>
      </c>
      <c r="V89" s="149">
        <f>#REF!</f>
        <v/>
      </c>
      <c r="W89" s="149">
        <f>#REF!</f>
        <v/>
      </c>
      <c r="X89" s="149">
        <f>#REF!</f>
        <v/>
      </c>
      <c r="Y89" s="149">
        <f>#REF!</f>
        <v/>
      </c>
      <c r="Z89" s="149">
        <f>#REF!</f>
        <v/>
      </c>
      <c r="AA89" s="149">
        <f>#REF!</f>
        <v/>
      </c>
      <c r="AB89" s="149">
        <f>#REF!</f>
        <v/>
      </c>
      <c r="AC89" s="149">
        <f>#REF!</f>
        <v/>
      </c>
      <c r="AD89" s="123">
        <f>SUM(AD87:AD88)</f>
        <v/>
      </c>
      <c r="AE89" s="123">
        <f>SUM(AE87:AE88)</f>
        <v/>
      </c>
      <c r="AF89" s="123">
        <f>SUM(AF87:AF88)</f>
        <v/>
      </c>
      <c r="AG89" s="123">
        <f>SUM(AG87:AG88)</f>
        <v/>
      </c>
      <c r="AH89" s="123">
        <f>SUM(AH87:AH88)</f>
        <v/>
      </c>
      <c r="AI89" s="123">
        <f>SUM(AI87:AI88)</f>
        <v/>
      </c>
      <c r="AJ89" s="123">
        <f>SUM(AJ87:AJ88)</f>
        <v/>
      </c>
      <c r="AK89" s="123">
        <f>SUM(AK87:AK88)</f>
        <v/>
      </c>
      <c r="AL89" s="123">
        <f>SUM(AL87:AL88)</f>
        <v/>
      </c>
      <c r="AM89" s="123">
        <f>SUM(AM87:AM88)</f>
        <v/>
      </c>
      <c r="AN89" s="123">
        <f>SUM(AN87:AN88)</f>
        <v/>
      </c>
      <c r="AO89" s="123">
        <f>SUM(AO87:AO88)</f>
        <v/>
      </c>
      <c r="AP89" s="108" t="n"/>
      <c r="AQ89" s="22">
        <f>AD89-AC89</f>
        <v/>
      </c>
    </row>
    <row r="90">
      <c r="A90" s="22" t="n"/>
      <c r="F90" s="108" t="n"/>
      <c r="G90" s="108" t="n"/>
      <c r="H90" s="108" t="n"/>
      <c r="I90" s="108" t="n"/>
      <c r="J90" s="108" t="n"/>
      <c r="K90" s="108" t="n"/>
      <c r="L90" s="108"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c r="AG90" s="76" t="n"/>
      <c r="AH90" s="76" t="n"/>
      <c r="AI90" s="76" t="n"/>
      <c r="AJ90" s="76" t="n"/>
      <c r="AK90" s="76" t="n"/>
      <c r="AL90" s="76" t="n"/>
      <c r="AM90" s="76" t="n"/>
      <c r="AN90" s="76" t="n"/>
      <c r="AO90" s="76" t="n"/>
      <c r="AP90" s="108" t="n"/>
      <c r="AQ90">
        <f>AD90-AC90</f>
        <v/>
      </c>
    </row>
    <row r="91">
      <c r="A91" s="44">
        <f>#REF!</f>
        <v/>
      </c>
      <c r="B91" s="145" t="n"/>
      <c r="C91" s="145" t="n"/>
      <c r="D91" s="145" t="n"/>
      <c r="E91" s="145" t="n"/>
      <c r="F91" s="141" t="n"/>
      <c r="G91" s="141" t="n"/>
      <c r="H91" s="141" t="n"/>
      <c r="I91" s="141" t="n"/>
      <c r="J91" s="141" t="n"/>
      <c r="K91" s="141" t="n"/>
      <c r="L91" s="141" t="n"/>
      <c r="M91" s="175">
        <f>#REF!</f>
        <v/>
      </c>
      <c r="N91" s="175">
        <f>#REF!</f>
        <v/>
      </c>
      <c r="O91" s="175">
        <f>#REF!</f>
        <v/>
      </c>
      <c r="P91" s="175">
        <f>#REF!</f>
        <v/>
      </c>
      <c r="Q91" s="175">
        <f>#REF!</f>
        <v/>
      </c>
      <c r="R91" s="175">
        <f>#REF!</f>
        <v/>
      </c>
      <c r="S91" s="175">
        <f>#REF!</f>
        <v/>
      </c>
      <c r="T91" s="175">
        <f>#REF!</f>
        <v/>
      </c>
      <c r="U91" s="175">
        <f>#REF!</f>
        <v/>
      </c>
      <c r="V91" s="175">
        <f>#REF!</f>
        <v/>
      </c>
      <c r="W91" s="175">
        <f>#REF!</f>
        <v/>
      </c>
      <c r="X91" s="175">
        <f>#REF!</f>
        <v/>
      </c>
      <c r="Y91" s="175">
        <f>#REF!</f>
        <v/>
      </c>
      <c r="Z91" s="175">
        <f>#REF!</f>
        <v/>
      </c>
      <c r="AA91" s="175">
        <f>#REF!</f>
        <v/>
      </c>
      <c r="AB91" s="175">
        <f>#REF!</f>
        <v/>
      </c>
      <c r="AC91" s="175">
        <f>#REF!</f>
        <v/>
      </c>
      <c r="AD91" s="88">
        <f>+AC91+AD27</f>
        <v/>
      </c>
      <c r="AE91" s="88">
        <f>+AD91+AE27</f>
        <v/>
      </c>
      <c r="AF91" s="88">
        <f>+AE91+AF27</f>
        <v/>
      </c>
      <c r="AG91" s="88">
        <f>+AF91+AG27</f>
        <v/>
      </c>
      <c r="AH91" s="88">
        <f>+AG91+AH27</f>
        <v/>
      </c>
      <c r="AI91" s="88">
        <f>+AH91+AI27</f>
        <v/>
      </c>
      <c r="AJ91" s="88">
        <f>+AI91+AJ27</f>
        <v/>
      </c>
      <c r="AK91" s="88">
        <f>+AJ91+AK27</f>
        <v/>
      </c>
      <c r="AL91" s="88">
        <f>+AK91+AL27</f>
        <v/>
      </c>
      <c r="AM91" s="88">
        <f>+AL91+AM27</f>
        <v/>
      </c>
      <c r="AN91" s="88">
        <f>+AM91+AN27</f>
        <v/>
      </c>
      <c r="AO91" s="88">
        <f>+AN91+AO27</f>
        <v/>
      </c>
      <c r="AP91" s="108" t="n"/>
      <c r="AQ91">
        <f>AD91-AC91</f>
        <v/>
      </c>
    </row>
    <row r="92">
      <c r="A92" s="22" t="inlineStr">
        <is>
          <t>Total Equity</t>
        </is>
      </c>
      <c r="B92" s="128" t="n"/>
      <c r="C92" s="128" t="n"/>
      <c r="D92" s="128" t="n"/>
      <c r="E92" s="128" t="n"/>
      <c r="F92" s="128" t="n"/>
      <c r="G92" s="128" t="n"/>
      <c r="H92" s="128" t="n"/>
      <c r="I92" s="128" t="n"/>
      <c r="J92" s="128" t="n"/>
      <c r="K92" s="128" t="n"/>
      <c r="L92" s="128" t="n"/>
      <c r="M92" s="121">
        <f>M89+M91</f>
        <v/>
      </c>
      <c r="N92" s="121">
        <f>N89+N91</f>
        <v/>
      </c>
      <c r="O92" s="121">
        <f>O89+O91</f>
        <v/>
      </c>
      <c r="P92" s="121">
        <f>P89+P91</f>
        <v/>
      </c>
      <c r="Q92" s="121">
        <f>Q89+Q91</f>
        <v/>
      </c>
      <c r="R92" s="121">
        <f>R89+R91</f>
        <v/>
      </c>
      <c r="S92" s="121">
        <f>S89+S91</f>
        <v/>
      </c>
      <c r="T92" s="121">
        <f>T89+T91</f>
        <v/>
      </c>
      <c r="U92" s="121">
        <f>U89+U91</f>
        <v/>
      </c>
      <c r="V92" s="121">
        <f>V89+V91</f>
        <v/>
      </c>
      <c r="W92" s="121">
        <f>W89+W91</f>
        <v/>
      </c>
      <c r="X92" s="121">
        <f>X89+X91</f>
        <v/>
      </c>
      <c r="Y92" s="121">
        <f>Y89+Y91</f>
        <v/>
      </c>
      <c r="Z92" s="121">
        <f>Z89+Z91</f>
        <v/>
      </c>
      <c r="AA92" s="121">
        <f>AA89+AA91</f>
        <v/>
      </c>
      <c r="AB92" s="121">
        <f>AB89+AB91</f>
        <v/>
      </c>
      <c r="AC92" s="121">
        <f>AC89+AC91</f>
        <v/>
      </c>
      <c r="AD92" s="121">
        <f>AD89+AD91</f>
        <v/>
      </c>
      <c r="AE92" s="121">
        <f>AE89+AE91</f>
        <v/>
      </c>
      <c r="AF92" s="121">
        <f>AF89+AF91</f>
        <v/>
      </c>
      <c r="AG92" s="121">
        <f>AG89+AG91</f>
        <v/>
      </c>
      <c r="AH92" s="121">
        <f>AH89+AH91</f>
        <v/>
      </c>
      <c r="AI92" s="121">
        <f>AI89+AI91</f>
        <v/>
      </c>
      <c r="AJ92" s="121">
        <f>AJ89+AJ91</f>
        <v/>
      </c>
      <c r="AK92" s="121">
        <f>AK89+AK91</f>
        <v/>
      </c>
      <c r="AL92" s="121">
        <f>AL89+AL91</f>
        <v/>
      </c>
      <c r="AM92" s="121">
        <f>AM89+AM91</f>
        <v/>
      </c>
      <c r="AN92" s="121">
        <f>AN89+AN91</f>
        <v/>
      </c>
      <c r="AO92" s="121">
        <f>AO89+AO91</f>
        <v/>
      </c>
      <c r="AP92" s="108" t="n"/>
      <c r="AQ92">
        <f>AD92-AC92</f>
        <v/>
      </c>
    </row>
    <row r="93" customFormat="1" s="281">
      <c r="A93" s="279" t="inlineStr">
        <is>
          <t>Error Check</t>
        </is>
      </c>
      <c r="B93" s="280" t="n"/>
      <c r="C93" s="280" t="n"/>
      <c r="D93" s="280" t="n"/>
      <c r="E93" s="280" t="n"/>
      <c r="F93" s="280" t="n"/>
      <c r="G93" s="280" t="n"/>
      <c r="H93" s="280" t="n"/>
      <c r="I93" s="280" t="n"/>
      <c r="J93" s="280" t="n"/>
      <c r="K93" s="280" t="n"/>
      <c r="L93" s="280" t="n"/>
      <c r="M93" s="280">
        <f>ROUND(M58-M81-M92,0)</f>
        <v/>
      </c>
      <c r="N93" s="280">
        <f>ROUND(N58-N81-N92,0)</f>
        <v/>
      </c>
      <c r="O93" s="280">
        <f>ROUND(O58-O81-O92,0)</f>
        <v/>
      </c>
      <c r="P93" s="280">
        <f>ROUND(P58-P81-P92,0)</f>
        <v/>
      </c>
      <c r="Q93" s="280">
        <f>ROUND(Q58-Q81-Q92,0)</f>
        <v/>
      </c>
      <c r="R93" s="280">
        <f>ROUND(R58-R81-R92,0)</f>
        <v/>
      </c>
      <c r="S93" s="280">
        <f>ROUND(S58-S81-S92,0)</f>
        <v/>
      </c>
      <c r="T93" s="280">
        <f>ROUND(T58-T81-T92,0)</f>
        <v/>
      </c>
      <c r="U93" s="280">
        <f>ROUND(U58-U81-U92,0)</f>
        <v/>
      </c>
      <c r="V93" s="280">
        <f>ROUND(V58-V81-V92,0)</f>
        <v/>
      </c>
      <c r="W93" s="280">
        <f>ROUND(W58-W81-W92,0)</f>
        <v/>
      </c>
      <c r="X93" s="280">
        <f>ROUND(X58-X81-X92,0)</f>
        <v/>
      </c>
      <c r="Y93" s="280">
        <f>ROUND(Y58-Y81-Y92,0)</f>
        <v/>
      </c>
      <c r="Z93" s="280">
        <f>ROUND(Z58-Z81-Z92,0)</f>
        <v/>
      </c>
      <c r="AA93" s="280">
        <f>ROUND(AA58-AA81-AA92,0)</f>
        <v/>
      </c>
      <c r="AB93" s="280">
        <f>ROUND(AB58-AB81-AB92,0)</f>
        <v/>
      </c>
      <c r="AC93" s="280">
        <f>ROUND(AC58-AC81-AC92,0)</f>
        <v/>
      </c>
      <c r="AD93" s="280">
        <f>ROUND(AD58-AD81-AD92,0)</f>
        <v/>
      </c>
      <c r="AE93" s="280">
        <f>ROUND(AE58-AE81-AE92,0)</f>
        <v/>
      </c>
      <c r="AF93" s="280">
        <f>ROUND(AF58-AF81-AF92,0)</f>
        <v/>
      </c>
      <c r="AG93" s="280">
        <f>ROUND(AG58-AG81-AG92,0)</f>
        <v/>
      </c>
      <c r="AH93" s="280">
        <f>ROUND(AH58-AH81-AH92,0)</f>
        <v/>
      </c>
      <c r="AI93" s="280">
        <f>ROUND(AI58-AI81-AI92,0)</f>
        <v/>
      </c>
      <c r="AJ93" s="280">
        <f>ROUND(AJ58-AJ81-AJ92,0)</f>
        <v/>
      </c>
      <c r="AK93" s="280">
        <f>ROUND(AK58-AK81-AK92,0)</f>
        <v/>
      </c>
      <c r="AL93" s="280">
        <f>ROUND(AL58-AL81-AL92,0)</f>
        <v/>
      </c>
      <c r="AM93" s="280">
        <f>ROUND(AM58-AM81-AM92,0)</f>
        <v/>
      </c>
      <c r="AN93" s="280">
        <f>ROUND(AN58-AN81-AN92,0)</f>
        <v/>
      </c>
      <c r="AO93" s="280">
        <f>ROUND(AO58-AO81-AO92,0)</f>
        <v/>
      </c>
      <c r="AP93" s="108" t="n"/>
    </row>
    <row r="94">
      <c r="A94" s="136" t="n"/>
      <c r="B94" s="137" t="n"/>
      <c r="C94" s="137" t="n"/>
      <c r="D94" s="137" t="n"/>
      <c r="E94" s="137" t="n"/>
      <c r="F94" s="137" t="n"/>
      <c r="G94" s="137" t="n"/>
      <c r="H94" s="137" t="n"/>
      <c r="I94" s="137" t="n"/>
      <c r="J94" s="137" t="n"/>
      <c r="K94" s="137" t="n"/>
      <c r="L94" s="137" t="n"/>
      <c r="M94" s="151" t="n"/>
      <c r="N94" s="151" t="n"/>
      <c r="O94" s="151" t="n"/>
      <c r="P94" s="151" t="n"/>
      <c r="Q94" s="151" t="n"/>
      <c r="R94" s="151" t="n"/>
      <c r="S94" s="151" t="n"/>
      <c r="T94" s="151" t="n"/>
      <c r="U94" s="151" t="n"/>
      <c r="V94" s="151" t="n"/>
      <c r="W94" s="151" t="n"/>
      <c r="X94" s="151" t="n"/>
      <c r="Y94" s="151" t="n"/>
      <c r="Z94" s="151" t="n"/>
      <c r="AA94" s="151" t="n"/>
      <c r="AB94" s="151" t="n"/>
      <c r="AC94" s="151" t="n"/>
      <c r="AD94" s="151" t="n"/>
      <c r="AE94" s="151" t="n"/>
      <c r="AF94" s="151" t="n"/>
      <c r="AG94" s="151" t="n"/>
      <c r="AH94" s="151" t="n"/>
      <c r="AI94" s="151" t="n"/>
      <c r="AJ94" s="151" t="n"/>
      <c r="AK94" s="151" t="n"/>
      <c r="AL94" s="151" t="n"/>
      <c r="AM94" s="151" t="n"/>
      <c r="AN94" s="151" t="n"/>
      <c r="AO94" s="151" t="n"/>
      <c r="AP94" s="108" t="n"/>
    </row>
    <row r="95">
      <c r="A95" s="136" t="n"/>
      <c r="B95" s="137" t="n"/>
      <c r="C95" s="137" t="n"/>
      <c r="D95" s="137" t="n"/>
      <c r="E95" s="137" t="n"/>
      <c r="F95" s="137" t="n"/>
      <c r="G95" s="137" t="n"/>
      <c r="H95" s="137" t="n"/>
      <c r="I95" s="137" t="n"/>
      <c r="J95" s="137" t="n"/>
      <c r="K95" s="137" t="n"/>
      <c r="L95" s="137" t="n"/>
      <c r="M95" s="151" t="n"/>
      <c r="N95" s="151" t="n"/>
      <c r="O95" s="151" t="n"/>
      <c r="P95" s="151" t="n"/>
      <c r="Q95" s="151" t="n"/>
      <c r="R95" s="151" t="n"/>
      <c r="S95" s="151" t="n"/>
      <c r="T95" s="151" t="n"/>
      <c r="U95" s="151" t="n"/>
      <c r="V95" s="151" t="n"/>
      <c r="W95" s="151" t="n"/>
      <c r="X95" s="151" t="n"/>
      <c r="Y95" s="151" t="n"/>
      <c r="Z95" s="151" t="n"/>
      <c r="AA95" s="151" t="n"/>
      <c r="AB95" s="151" t="n"/>
      <c r="AC95" s="151" t="n"/>
      <c r="AD95" s="151" t="n"/>
      <c r="AE95" s="151" t="n"/>
      <c r="AF95" s="151" t="n"/>
      <c r="AG95" s="151" t="n"/>
      <c r="AH95" s="151" t="n"/>
      <c r="AI95" s="151" t="n"/>
      <c r="AJ95" s="151" t="n"/>
      <c r="AK95" s="151" t="n"/>
      <c r="AL95" s="151" t="n"/>
      <c r="AM95" s="151" t="n"/>
      <c r="AN95" s="151" t="n"/>
      <c r="AO95" s="151" t="n"/>
      <c r="AP95" s="108" t="n"/>
    </row>
    <row r="96">
      <c r="A96" s="22" t="inlineStr">
        <is>
          <t>BVPS  (Basic)</t>
        </is>
      </c>
      <c r="B96" s="137" t="n"/>
      <c r="C96" s="137" t="n"/>
      <c r="D96" s="137" t="n"/>
      <c r="E96" s="137" t="n"/>
      <c r="F96" s="137" t="n"/>
      <c r="G96" s="137" t="n"/>
      <c r="H96" s="137" t="n"/>
      <c r="I96" s="137" t="n"/>
      <c r="J96" s="137" t="n"/>
      <c r="K96" s="137" t="n"/>
      <c r="L96" s="137" t="n"/>
      <c r="M96" s="380">
        <f>+M$89/Assumption!#REF!/M$226</f>
        <v/>
      </c>
      <c r="N96" s="380">
        <f>+N89/Assumption!#REF!/N226</f>
        <v/>
      </c>
      <c r="O96" s="380">
        <f>+O89/Assumption!#REF!/O226</f>
        <v/>
      </c>
      <c r="P96" s="380">
        <f>+P89/Assumption!#REF!/P226</f>
        <v/>
      </c>
      <c r="Q96" s="380">
        <f>+Q89/Assumption!#REF!/Q226</f>
        <v/>
      </c>
      <c r="R96" s="380">
        <f>+R89/Assumption!#REF!/R226</f>
        <v/>
      </c>
      <c r="S96" s="380">
        <f>+S89/Assumption!#REF!/S226</f>
        <v/>
      </c>
      <c r="T96" s="380">
        <f>+T89/Assumption!#REF!/T226</f>
        <v/>
      </c>
      <c r="U96" s="380">
        <f>+U89/Assumption!#REF!/U226</f>
        <v/>
      </c>
      <c r="V96" s="380">
        <f>+V89/Assumption!#REF!/V226</f>
        <v/>
      </c>
      <c r="W96" s="380">
        <f>+W89/Assumption!#REF!/W226</f>
        <v/>
      </c>
      <c r="X96" s="380">
        <f>+X89/Assumption!#REF!/X226</f>
        <v/>
      </c>
      <c r="Y96" s="380">
        <f>+Y89/Assumption!#REF!/Y226</f>
        <v/>
      </c>
      <c r="Z96" s="380">
        <f>+Z89/Assumption!#REF!/Z226</f>
        <v/>
      </c>
      <c r="AA96" s="380">
        <f>+AA89/Assumption!#REF!/AA226</f>
        <v/>
      </c>
      <c r="AB96" s="380">
        <f>+AB89/Assumption!#REF!/AB226</f>
        <v/>
      </c>
      <c r="AC96" s="380">
        <f>+AC89/Assumption!#REF!/AC226</f>
        <v/>
      </c>
      <c r="AD96" s="380">
        <f>+AD89/Assumption!#REF!/AD226</f>
        <v/>
      </c>
      <c r="AE96" s="380">
        <f>+AE89/Assumption!#REF!/AE226</f>
        <v/>
      </c>
      <c r="AF96" s="380">
        <f>+AF89/Assumption!#REF!/AF226</f>
        <v/>
      </c>
      <c r="AG96" s="380">
        <f>+AG89/Assumption!#REF!/AG226</f>
        <v/>
      </c>
      <c r="AH96" s="380">
        <f>+AH89/Assumption!#REF!/AH226</f>
        <v/>
      </c>
      <c r="AI96" s="380">
        <f>+AI89/Assumption!#REF!/AI226</f>
        <v/>
      </c>
      <c r="AJ96" s="380">
        <f>+AJ89/Assumption!#REF!/AJ226</f>
        <v/>
      </c>
      <c r="AK96" s="380">
        <f>+AK89/Assumption!#REF!/AK226</f>
        <v/>
      </c>
      <c r="AL96" s="380">
        <f>+AL89/Assumption!#REF!/AL226</f>
        <v/>
      </c>
      <c r="AM96" s="380">
        <f>+AM89/Assumption!#REF!/AM226</f>
        <v/>
      </c>
      <c r="AN96" s="380">
        <f>+AN89/Assumption!#REF!/AN226</f>
        <v/>
      </c>
      <c r="AO96" s="380">
        <f>+AO89/Assumption!#REF!/AO226</f>
        <v/>
      </c>
      <c r="AP96" s="108" t="n"/>
    </row>
    <row r="97">
      <c r="A97" s="22" t="inlineStr">
        <is>
          <t>BVPS  (Diluted)</t>
        </is>
      </c>
      <c r="B97" s="137" t="n"/>
      <c r="C97" s="137" t="n"/>
      <c r="D97" s="137" t="n"/>
      <c r="E97" s="137" t="n"/>
      <c r="F97" s="137" t="n"/>
      <c r="G97" s="137" t="n"/>
      <c r="H97" s="137" t="n"/>
      <c r="I97" s="137" t="n"/>
      <c r="J97" s="137" t="n"/>
      <c r="K97" s="137" t="n"/>
      <c r="L97" s="137" t="n"/>
      <c r="M97" s="380">
        <f>+M$89/Assumption!#REF!/M$226</f>
        <v/>
      </c>
      <c r="N97" s="380">
        <f>+N$89/Assumption!#REF!/N$226</f>
        <v/>
      </c>
      <c r="O97" s="380">
        <f>+O$89/Assumption!#REF!/O$226</f>
        <v/>
      </c>
      <c r="P97" s="380">
        <f>+P$89/Assumption!#REF!/P$226</f>
        <v/>
      </c>
      <c r="Q97" s="380">
        <f>+Q$89/Assumption!#REF!/Q$226</f>
        <v/>
      </c>
      <c r="R97" s="380">
        <f>+R$89/Assumption!#REF!/R$226</f>
        <v/>
      </c>
      <c r="S97" s="380">
        <f>+S$89/Assumption!#REF!/S$226</f>
        <v/>
      </c>
      <c r="T97" s="380">
        <f>+T$89/Assumption!#REF!/T$226</f>
        <v/>
      </c>
      <c r="U97" s="380">
        <f>+U$89/Assumption!#REF!/U$226</f>
        <v/>
      </c>
      <c r="V97" s="380">
        <f>+V$89/Assumption!#REF!/V$226</f>
        <v/>
      </c>
      <c r="W97" s="380">
        <f>+W$89/Assumption!#REF!/W$226</f>
        <v/>
      </c>
      <c r="X97" s="380">
        <f>+X$89/Assumption!#REF!/X$226</f>
        <v/>
      </c>
      <c r="Y97" s="380">
        <f>+Y$89/Assumption!#REF!/Y$226</f>
        <v/>
      </c>
      <c r="Z97" s="380">
        <f>+Z$89/Assumption!#REF!/Z$226</f>
        <v/>
      </c>
      <c r="AA97" s="380">
        <f>+AA$89/Assumption!#REF!/AA$226</f>
        <v/>
      </c>
      <c r="AB97" s="380">
        <f>+AB$89/Assumption!#REF!/AB$226</f>
        <v/>
      </c>
      <c r="AC97" s="380">
        <f>+AC$89/Assumption!#REF!/AC$226</f>
        <v/>
      </c>
      <c r="AD97" s="380">
        <f>+AD$89/Assumption!#REF!/AD$226</f>
        <v/>
      </c>
      <c r="AE97" s="380">
        <f>+AE$89/Assumption!#REF!/AE$226</f>
        <v/>
      </c>
      <c r="AF97" s="380">
        <f>+AF$89/Assumption!#REF!/AF$226</f>
        <v/>
      </c>
      <c r="AG97" s="380">
        <f>+AG$89/Assumption!#REF!/AG$226</f>
        <v/>
      </c>
      <c r="AH97" s="380">
        <f>+AH$89/Assumption!#REF!/AH$226</f>
        <v/>
      </c>
      <c r="AI97" s="380">
        <f>+AI$89/Assumption!#REF!/AI$226</f>
        <v/>
      </c>
      <c r="AJ97" s="380">
        <f>+AJ$89/Assumption!#REF!/AJ$226</f>
        <v/>
      </c>
      <c r="AK97" s="380">
        <f>+AK$89/Assumption!#REF!/AK$226</f>
        <v/>
      </c>
      <c r="AL97" s="380">
        <f>+AL$89/Assumption!#REF!/AL$226</f>
        <v/>
      </c>
      <c r="AM97" s="380">
        <f>+AM$89/Assumption!#REF!/AM$226</f>
        <v/>
      </c>
      <c r="AN97" s="380">
        <f>+AN$89/Assumption!#REF!/AN$226</f>
        <v/>
      </c>
      <c r="AO97" s="380">
        <f>+AO$89/Assumption!#REF!/AO$226</f>
        <v/>
      </c>
      <c r="AP97" s="108" t="n"/>
    </row>
    <row r="98">
      <c r="A98" s="22" t="n"/>
      <c r="B98" s="128" t="n"/>
      <c r="C98" s="128" t="n"/>
      <c r="D98" s="128" t="n"/>
      <c r="E98" s="128" t="n"/>
      <c r="F98" s="128" t="n"/>
      <c r="G98" s="128" t="n"/>
      <c r="H98" s="128" t="n"/>
      <c r="I98" s="128" t="n"/>
      <c r="J98" s="128" t="n"/>
      <c r="K98" s="128" t="n"/>
      <c r="L98" s="128" t="n"/>
      <c r="M98" s="122" t="n"/>
      <c r="N98" s="122" t="n"/>
      <c r="O98" s="122" t="n"/>
      <c r="P98" s="122" t="n"/>
      <c r="Q98" s="122" t="n"/>
      <c r="R98" s="122" t="n"/>
      <c r="S98" s="122" t="n"/>
      <c r="T98" s="122" t="n"/>
      <c r="U98" s="122" t="n"/>
      <c r="V98" s="122" t="n"/>
      <c r="W98" s="122" t="n"/>
      <c r="X98" s="122" t="n"/>
      <c r="Y98" s="122" t="n"/>
      <c r="Z98" s="122" t="n"/>
      <c r="AA98" s="122" t="n"/>
      <c r="AB98" s="122" t="n"/>
      <c r="AC98" s="122" t="n"/>
      <c r="AD98" s="122" t="n"/>
      <c r="AE98" s="122" t="n"/>
      <c r="AF98" s="122" t="n"/>
      <c r="AG98" s="122" t="n"/>
      <c r="AH98" s="122" t="n"/>
      <c r="AI98" s="122" t="n"/>
      <c r="AJ98" s="122" t="n"/>
      <c r="AK98" s="122" t="n"/>
      <c r="AL98" s="122" t="n"/>
      <c r="AM98" s="122" t="n"/>
      <c r="AN98" s="122" t="n"/>
      <c r="AO98" s="122" t="n"/>
      <c r="AP98" s="108" t="n"/>
    </row>
    <row r="99">
      <c r="A99" s="81" t="inlineStr">
        <is>
          <t>CONSOLIDATED CASH FLOW STATEMENT (RMB Million)</t>
        </is>
      </c>
      <c r="M99" s="31" t="n"/>
      <c r="N99" s="31" t="n"/>
      <c r="O99" s="31" t="n"/>
      <c r="P99" s="31" t="n"/>
      <c r="Q99" s="31" t="n"/>
      <c r="R99" s="31" t="n"/>
      <c r="S99" s="31" t="n"/>
      <c r="T99" s="31" t="n"/>
      <c r="U99" s="31" t="n"/>
      <c r="V99" s="31" t="n"/>
      <c r="W99" s="31" t="n"/>
      <c r="X99" s="31" t="n"/>
      <c r="Y99" s="31" t="n"/>
      <c r="Z99" s="31" t="n"/>
      <c r="AA99" s="31" t="n"/>
      <c r="AB99" s="31" t="n"/>
      <c r="AC99" s="31" t="n"/>
      <c r="AD99" s="31" t="n"/>
      <c r="AE99" s="31" t="n"/>
      <c r="AF99" s="31" t="n"/>
      <c r="AG99" s="31" t="n"/>
      <c r="AH99" s="31" t="n"/>
      <c r="AI99" s="31" t="n"/>
      <c r="AJ99" s="31" t="n"/>
      <c r="AK99" s="31" t="n"/>
      <c r="AL99" s="31" t="n"/>
      <c r="AM99" s="31" t="n"/>
      <c r="AN99" s="31" t="n"/>
      <c r="AO99" s="31" t="n"/>
      <c r="AP99" s="108" t="n"/>
    </row>
    <row r="100">
      <c r="M100" s="31" t="n"/>
      <c r="N100" s="31" t="n"/>
      <c r="O100" s="31" t="n"/>
      <c r="P100" s="31" t="n"/>
      <c r="Q100" s="31" t="n"/>
      <c r="R100" s="31" t="n"/>
      <c r="S100" s="31" t="n"/>
      <c r="T100" s="31" t="n"/>
      <c r="U100" s="31" t="n"/>
      <c r="V100" s="31" t="n"/>
      <c r="W100" s="31" t="n"/>
      <c r="X100" s="31" t="n"/>
      <c r="Y100" s="31" t="n"/>
      <c r="Z100" s="31" t="n"/>
      <c r="AA100" s="31" t="n"/>
      <c r="AB100" s="31" t="n"/>
      <c r="AC100" s="140" t="n"/>
      <c r="AD100" s="140" t="n"/>
      <c r="AE100" s="140" t="n"/>
      <c r="AF100" s="140" t="n"/>
      <c r="AG100" s="140" t="n"/>
      <c r="AH100" s="140" t="n"/>
      <c r="AI100" s="140" t="n"/>
      <c r="AJ100" s="140" t="n"/>
      <c r="AK100" s="140" t="n"/>
      <c r="AL100" s="140" t="n"/>
      <c r="AM100" s="140" t="n"/>
      <c r="AN100" s="140" t="n"/>
      <c r="AO100" s="140" t="n"/>
      <c r="AP100" s="108" t="n"/>
    </row>
    <row r="101">
      <c r="A101" s="22" t="inlineStr">
        <is>
          <t>Operating activities</t>
        </is>
      </c>
      <c r="F101" s="108" t="n"/>
      <c r="M101" s="31" t="n"/>
      <c r="N101" s="31" t="n"/>
      <c r="O101" s="31" t="n"/>
      <c r="P101" s="31" t="n"/>
      <c r="Q101" s="31" t="n"/>
      <c r="R101" s="31" t="n"/>
      <c r="S101" s="31" t="n"/>
      <c r="T101" s="31" t="n"/>
      <c r="U101" s="31" t="n"/>
      <c r="V101" s="31" t="n"/>
      <c r="W101" s="31" t="n"/>
      <c r="X101" s="31" t="n"/>
      <c r="Y101" s="31" t="n"/>
      <c r="Z101" s="31" t="n"/>
      <c r="AA101" s="31" t="n"/>
      <c r="AB101" s="31" t="n"/>
      <c r="AC101" s="31" t="n"/>
      <c r="AD101" s="31" t="n"/>
      <c r="AE101" s="31" t="n"/>
      <c r="AF101" s="31" t="n"/>
      <c r="AG101" s="31" t="n"/>
      <c r="AH101" s="31" t="n"/>
      <c r="AI101" s="31" t="n"/>
      <c r="AJ101" s="31" t="n"/>
      <c r="AK101" s="31" t="n"/>
      <c r="AL101" s="31" t="n"/>
      <c r="AM101" s="31" t="n"/>
      <c r="AN101" s="31" t="n"/>
      <c r="AO101" s="31" t="n"/>
      <c r="AP101" s="108" t="n"/>
    </row>
    <row r="102">
      <c r="A102" s="105" t="inlineStr">
        <is>
          <t>Profit before taxation</t>
        </is>
      </c>
      <c r="F102" s="145" t="n"/>
      <c r="M102" s="86">
        <f>M22</f>
        <v/>
      </c>
      <c r="N102" s="86">
        <f>N22</f>
        <v/>
      </c>
      <c r="O102" s="86">
        <f>O22</f>
        <v/>
      </c>
      <c r="P102" s="86">
        <f>P22</f>
        <v/>
      </c>
      <c r="Q102" s="86">
        <f>Q22</f>
        <v/>
      </c>
      <c r="R102" s="86">
        <f>R22</f>
        <v/>
      </c>
      <c r="S102" s="86">
        <f>S22</f>
        <v/>
      </c>
      <c r="T102" s="86">
        <f>T22</f>
        <v/>
      </c>
      <c r="U102" s="86">
        <f>U22</f>
        <v/>
      </c>
      <c r="V102" s="86">
        <f>V22</f>
        <v/>
      </c>
      <c r="W102" s="86">
        <f>W22</f>
        <v/>
      </c>
      <c r="X102" s="86">
        <f>X22</f>
        <v/>
      </c>
      <c r="Y102" s="86">
        <f>Y22</f>
        <v/>
      </c>
      <c r="Z102" s="86">
        <f>Z22</f>
        <v/>
      </c>
      <c r="AA102" s="86">
        <f>AA22</f>
        <v/>
      </c>
      <c r="AB102" s="86">
        <f>AB22</f>
        <v/>
      </c>
      <c r="AC102" s="86">
        <f>AC22</f>
        <v/>
      </c>
      <c r="AD102" s="86">
        <f>AD22</f>
        <v/>
      </c>
      <c r="AE102" s="86">
        <f>AE22</f>
        <v/>
      </c>
      <c r="AF102" s="86">
        <f>AF22</f>
        <v/>
      </c>
      <c r="AG102" s="86">
        <f>AG22</f>
        <v/>
      </c>
      <c r="AH102" s="86">
        <f>AH22</f>
        <v/>
      </c>
      <c r="AI102" s="86">
        <f>AI22</f>
        <v/>
      </c>
      <c r="AJ102" s="86">
        <f>AJ22</f>
        <v/>
      </c>
      <c r="AK102" s="86">
        <f>AK22</f>
        <v/>
      </c>
      <c r="AL102" s="86">
        <f>AL22</f>
        <v/>
      </c>
      <c r="AM102" s="86">
        <f>AM22</f>
        <v/>
      </c>
      <c r="AN102" s="86">
        <f>AN22</f>
        <v/>
      </c>
      <c r="AO102" s="86">
        <f>AO22</f>
        <v/>
      </c>
      <c r="AP102" s="108" t="n"/>
    </row>
    <row r="103">
      <c r="A103" t="inlineStr">
        <is>
          <t>Adjustments for:</t>
        </is>
      </c>
      <c r="F103" s="141" t="n"/>
      <c r="M103" s="31" t="n"/>
      <c r="N103" s="31" t="n"/>
      <c r="O103" s="31" t="n"/>
      <c r="P103" s="31" t="n"/>
      <c r="Q103" s="31" t="n"/>
      <c r="R103" s="31" t="n"/>
      <c r="S103" s="31" t="n"/>
      <c r="T103" s="31" t="n"/>
      <c r="U103" s="31" t="n"/>
      <c r="V103" s="31" t="n"/>
      <c r="W103" s="31" t="n"/>
      <c r="X103" s="31" t="n"/>
      <c r="Y103" s="31" t="n"/>
      <c r="Z103" s="31" t="n"/>
      <c r="AA103" s="31" t="n"/>
      <c r="AB103" s="31" t="n"/>
      <c r="AC103" s="31">
        <f>SUM(AC104:AC105)</f>
        <v/>
      </c>
      <c r="AD103" s="31">
        <f>SUM(AD104:AD105)</f>
        <v/>
      </c>
      <c r="AE103" s="31">
        <f>SUM(AE104:AE105)</f>
        <v/>
      </c>
      <c r="AF103" s="31" t="n"/>
      <c r="AG103" s="31" t="n"/>
      <c r="AH103" s="31" t="n"/>
      <c r="AI103" s="31" t="n"/>
      <c r="AJ103" s="31" t="n"/>
      <c r="AK103" s="31" t="n"/>
      <c r="AL103" s="31" t="n"/>
      <c r="AM103" s="31" t="n"/>
      <c r="AN103" s="31" t="n"/>
      <c r="AO103" s="31" t="n"/>
      <c r="AP103" s="108" t="n"/>
    </row>
    <row r="104">
      <c r="A104" s="74" t="inlineStr">
        <is>
          <t>Depreciation for property, plant and equipment</t>
        </is>
      </c>
      <c r="F104" s="145" t="n"/>
      <c r="M104" s="79">
        <f>-Assumption!#REF!</f>
        <v/>
      </c>
      <c r="N104" s="79">
        <f>-Assumption!#REF!</f>
        <v/>
      </c>
      <c r="O104" s="79">
        <f>-Assumption!#REF!</f>
        <v/>
      </c>
      <c r="P104" s="79">
        <f>-Assumption!#REF!</f>
        <v/>
      </c>
      <c r="Q104" s="79">
        <f>-Assumption!#REF!</f>
        <v/>
      </c>
      <c r="R104" s="79">
        <f>-Assumption!#REF!</f>
        <v/>
      </c>
      <c r="S104" s="79">
        <f>-Assumption!#REF!</f>
        <v/>
      </c>
      <c r="T104" s="79">
        <f>-Assumption!#REF!</f>
        <v/>
      </c>
      <c r="U104" s="79">
        <f>-Assumption!#REF!</f>
        <v/>
      </c>
      <c r="V104" s="79">
        <f>-Assumption!#REF!</f>
        <v/>
      </c>
      <c r="W104" s="79">
        <f>-Assumption!#REF!</f>
        <v/>
      </c>
      <c r="X104" s="79">
        <f>-Assumption!B178</f>
        <v/>
      </c>
      <c r="Y104" s="79">
        <f>-Assumption!C178</f>
        <v/>
      </c>
      <c r="Z104" s="79">
        <f>-Assumption!D178</f>
        <v/>
      </c>
      <c r="AA104" s="79">
        <f>-Assumption!E178</f>
        <v/>
      </c>
      <c r="AB104" s="79">
        <f>-Assumption!F178</f>
        <v/>
      </c>
      <c r="AC104" s="79">
        <f>-Assumption!G178</f>
        <v/>
      </c>
      <c r="AD104" s="79">
        <f>-Assumption!H178</f>
        <v/>
      </c>
      <c r="AE104" s="79">
        <f>-Assumption!I178</f>
        <v/>
      </c>
      <c r="AF104" s="79">
        <f>-Assumption!J178</f>
        <v/>
      </c>
      <c r="AG104" s="79">
        <f>-Assumption!K178</f>
        <v/>
      </c>
      <c r="AH104" s="79">
        <f>-Assumption!L178</f>
        <v/>
      </c>
      <c r="AI104" s="79">
        <f>-Assumption!M178</f>
        <v/>
      </c>
      <c r="AJ104" s="79">
        <f>-Assumption!N178</f>
        <v/>
      </c>
      <c r="AK104" s="79">
        <f>-Assumption!O178</f>
        <v/>
      </c>
      <c r="AL104" s="79">
        <f>-Assumption!P178</f>
        <v/>
      </c>
      <c r="AM104" s="79">
        <f>-Assumption!Q178</f>
        <v/>
      </c>
      <c r="AN104" s="79">
        <f>-Assumption!R178</f>
        <v/>
      </c>
      <c r="AO104" s="79">
        <f>-Assumption!S178</f>
        <v/>
      </c>
      <c r="AP104" s="108" t="n"/>
    </row>
    <row r="105">
      <c r="A105" s="74" t="inlineStr">
        <is>
          <t>Amortization</t>
        </is>
      </c>
      <c r="F105" s="145" t="n"/>
      <c r="M105" s="79">
        <f>-Assumption!#REF!</f>
        <v/>
      </c>
      <c r="N105" s="79">
        <f>-Assumption!#REF!</f>
        <v/>
      </c>
      <c r="O105" s="79">
        <f>-Assumption!#REF!</f>
        <v/>
      </c>
      <c r="P105" s="79">
        <f>-Assumption!#REF!</f>
        <v/>
      </c>
      <c r="Q105" s="79">
        <f>-Assumption!#REF!</f>
        <v/>
      </c>
      <c r="R105" s="79">
        <f>-Assumption!#REF!</f>
        <v/>
      </c>
      <c r="S105" s="79">
        <f>-Assumption!#REF!</f>
        <v/>
      </c>
      <c r="T105" s="79">
        <f>-Assumption!#REF!</f>
        <v/>
      </c>
      <c r="U105" s="79">
        <f>-Assumption!#REF!</f>
        <v/>
      </c>
      <c r="V105" s="79">
        <f>-Assumption!#REF!</f>
        <v/>
      </c>
      <c r="W105" s="79">
        <f>-Assumption!#REF!</f>
        <v/>
      </c>
      <c r="X105" s="79">
        <f>-Assumption!#REF!</f>
        <v/>
      </c>
      <c r="Y105" s="79">
        <f>-Assumption!#REF!</f>
        <v/>
      </c>
      <c r="Z105" s="79">
        <f>-Assumption!#REF!</f>
        <v/>
      </c>
      <c r="AA105" s="79">
        <f>-Assumption!#REF!</f>
        <v/>
      </c>
      <c r="AB105" s="79">
        <f>-Assumption!#REF!</f>
        <v/>
      </c>
      <c r="AC105" s="79">
        <f>-Assumption!#REF!</f>
        <v/>
      </c>
      <c r="AD105" s="79">
        <f>-Assumption!#REF!</f>
        <v/>
      </c>
      <c r="AE105" s="79">
        <f>-Assumption!#REF!</f>
        <v/>
      </c>
      <c r="AF105" s="79">
        <f>-Assumption!#REF!</f>
        <v/>
      </c>
      <c r="AG105" s="79">
        <f>-Assumption!#REF!</f>
        <v/>
      </c>
      <c r="AH105" s="79">
        <f>-Assumption!#REF!</f>
        <v/>
      </c>
      <c r="AI105" s="79">
        <f>-Assumption!#REF!</f>
        <v/>
      </c>
      <c r="AJ105" s="79">
        <f>-Assumption!#REF!</f>
        <v/>
      </c>
      <c r="AK105" s="79">
        <f>-Assumption!#REF!</f>
        <v/>
      </c>
      <c r="AL105" s="79">
        <f>-Assumption!#REF!</f>
        <v/>
      </c>
      <c r="AM105" s="79">
        <f>-Assumption!#REF!</f>
        <v/>
      </c>
      <c r="AN105" s="79">
        <f>-Assumption!#REF!</f>
        <v/>
      </c>
      <c r="AO105" s="79">
        <f>-Assumption!#REF!</f>
        <v/>
      </c>
      <c r="AP105" s="108" t="n"/>
    </row>
    <row r="106">
      <c r="A106" s="74" t="inlineStr">
        <is>
          <t>Interest Expense</t>
        </is>
      </c>
      <c r="F106" s="141" t="n"/>
      <c r="M106" s="152">
        <f>-M20-M19</f>
        <v/>
      </c>
      <c r="N106" s="152">
        <f>-N20-N19</f>
        <v/>
      </c>
      <c r="O106" s="152">
        <f>-O20-O19</f>
        <v/>
      </c>
      <c r="P106" s="152">
        <f>-P20-P19</f>
        <v/>
      </c>
      <c r="Q106" s="152">
        <f>-Q20-Q19</f>
        <v/>
      </c>
      <c r="R106" s="152">
        <f>-R20-R19</f>
        <v/>
      </c>
      <c r="S106" s="152">
        <f>-S20-S19</f>
        <v/>
      </c>
      <c r="T106" s="152">
        <f>-T20-T19</f>
        <v/>
      </c>
      <c r="U106" s="152">
        <f>-U20-U19</f>
        <v/>
      </c>
      <c r="V106" s="152">
        <f>-V20-V19</f>
        <v/>
      </c>
      <c r="W106" s="152">
        <f>-W20-W19</f>
        <v/>
      </c>
      <c r="X106" s="152">
        <f>-X20-X19</f>
        <v/>
      </c>
      <c r="Y106" s="152">
        <f>-Y20-Y19</f>
        <v/>
      </c>
      <c r="Z106" s="152">
        <f>-Z20-Z19</f>
        <v/>
      </c>
      <c r="AA106" s="152">
        <f>-AA20-AA19</f>
        <v/>
      </c>
      <c r="AB106" s="152">
        <f>-AB20-AB19</f>
        <v/>
      </c>
      <c r="AC106" s="152">
        <f>-AC20-AC19</f>
        <v/>
      </c>
      <c r="AD106" s="152">
        <f>-AD20-AD19</f>
        <v/>
      </c>
      <c r="AE106" s="152">
        <f>-AE20-AE19</f>
        <v/>
      </c>
      <c r="AF106" s="152">
        <f>-AF20-AF19</f>
        <v/>
      </c>
      <c r="AG106" s="152">
        <f>-AG20-AG19</f>
        <v/>
      </c>
      <c r="AH106" s="152">
        <f>-AH20-AH19</f>
        <v/>
      </c>
      <c r="AI106" s="152">
        <f>-AI20-AI19</f>
        <v/>
      </c>
      <c r="AJ106" s="152">
        <f>-AJ20-AJ19</f>
        <v/>
      </c>
      <c r="AK106" s="152">
        <f>-AK20-AK19</f>
        <v/>
      </c>
      <c r="AL106" s="152">
        <f>-AL20-AL19</f>
        <v/>
      </c>
      <c r="AM106" s="152">
        <f>-AM20-AM19</f>
        <v/>
      </c>
      <c r="AN106" s="152">
        <f>-AN20-AN19</f>
        <v/>
      </c>
      <c r="AO106" s="152">
        <f>-AO20-AO19</f>
        <v/>
      </c>
      <c r="AP106" s="108" t="n"/>
    </row>
    <row r="107">
      <c r="A107" s="74" t="inlineStr">
        <is>
          <t>Other Income</t>
        </is>
      </c>
      <c r="F107" s="141" t="n"/>
      <c r="M107" s="86">
        <f>-M16</f>
        <v/>
      </c>
      <c r="N107" s="86">
        <f>-N16</f>
        <v/>
      </c>
      <c r="O107" s="86">
        <f>-O16</f>
        <v/>
      </c>
      <c r="P107" s="86">
        <f>-P16</f>
        <v/>
      </c>
      <c r="Q107" s="86">
        <f>-Q16</f>
        <v/>
      </c>
      <c r="R107" s="86">
        <f>-R16</f>
        <v/>
      </c>
      <c r="S107" s="86">
        <f>-S16</f>
        <v/>
      </c>
      <c r="T107" s="86">
        <f>-T16</f>
        <v/>
      </c>
      <c r="U107" s="86">
        <f>-U16</f>
        <v/>
      </c>
      <c r="V107" s="86">
        <f>-V16</f>
        <v/>
      </c>
      <c r="W107" s="86">
        <f>-W16</f>
        <v/>
      </c>
      <c r="X107" s="86">
        <f>-X16</f>
        <v/>
      </c>
      <c r="Y107" s="86">
        <f>-Y16</f>
        <v/>
      </c>
      <c r="Z107" s="86">
        <f>-Z16</f>
        <v/>
      </c>
      <c r="AA107" s="86">
        <f>-AA16</f>
        <v/>
      </c>
      <c r="AB107" s="86">
        <f>-AB16</f>
        <v/>
      </c>
      <c r="AC107" s="86">
        <f>-AC16</f>
        <v/>
      </c>
      <c r="AD107" s="86">
        <f>-AD16</f>
        <v/>
      </c>
      <c r="AE107" s="86">
        <f>-AE16</f>
        <v/>
      </c>
      <c r="AF107" s="86">
        <f>-AF16</f>
        <v/>
      </c>
      <c r="AG107" s="86">
        <f>-AG16</f>
        <v/>
      </c>
      <c r="AH107" s="86">
        <f>-AH16</f>
        <v/>
      </c>
      <c r="AI107" s="86">
        <f>-AI16</f>
        <v/>
      </c>
      <c r="AJ107" s="86">
        <f>-AJ16</f>
        <v/>
      </c>
      <c r="AK107" s="86">
        <f>-AK16</f>
        <v/>
      </c>
      <c r="AL107" s="86">
        <f>-AL16</f>
        <v/>
      </c>
      <c r="AM107" s="86">
        <f>-AM16</f>
        <v/>
      </c>
      <c r="AN107" s="86">
        <f>-AN16</f>
        <v/>
      </c>
      <c r="AO107" s="86">
        <f>-AO16</f>
        <v/>
      </c>
      <c r="AP107" s="108" t="n"/>
    </row>
    <row r="108">
      <c r="A108" s="74">
        <f>+A21</f>
        <v/>
      </c>
      <c r="F108" s="141" t="n"/>
      <c r="M108" s="86">
        <f>-M21</f>
        <v/>
      </c>
      <c r="N108" s="86">
        <f>-N21</f>
        <v/>
      </c>
      <c r="O108" s="86">
        <f>-O21</f>
        <v/>
      </c>
      <c r="P108" s="86">
        <f>-P21</f>
        <v/>
      </c>
      <c r="Q108" s="86">
        <f>-Q21</f>
        <v/>
      </c>
      <c r="R108" s="86">
        <f>-R21</f>
        <v/>
      </c>
      <c r="S108" s="86">
        <f>-S21</f>
        <v/>
      </c>
      <c r="T108" s="86">
        <f>-T21</f>
        <v/>
      </c>
      <c r="U108" s="86">
        <f>-U21</f>
        <v/>
      </c>
      <c r="V108" s="86">
        <f>-V21</f>
        <v/>
      </c>
      <c r="W108" s="86">
        <f>-W21</f>
        <v/>
      </c>
      <c r="X108" s="86">
        <f>-X21</f>
        <v/>
      </c>
      <c r="Y108" s="86">
        <f>-Y21</f>
        <v/>
      </c>
      <c r="Z108" s="86">
        <f>-Z21</f>
        <v/>
      </c>
      <c r="AA108" s="86">
        <f>-AA21</f>
        <v/>
      </c>
      <c r="AB108" s="86">
        <f>-AB21</f>
        <v/>
      </c>
      <c r="AC108" s="86">
        <f>-AC21</f>
        <v/>
      </c>
      <c r="AD108" s="86">
        <f>-AD21</f>
        <v/>
      </c>
      <c r="AE108" s="86">
        <f>-AE21</f>
        <v/>
      </c>
      <c r="AF108" s="86">
        <f>-AF21</f>
        <v/>
      </c>
      <c r="AG108" s="86">
        <f>-AG21</f>
        <v/>
      </c>
      <c r="AH108" s="86">
        <f>-AH21</f>
        <v/>
      </c>
      <c r="AI108" s="86">
        <f>-AI21</f>
        <v/>
      </c>
      <c r="AJ108" s="86">
        <f>-AJ21</f>
        <v/>
      </c>
      <c r="AK108" s="86">
        <f>-AK21</f>
        <v/>
      </c>
      <c r="AL108" s="86">
        <f>-AL21</f>
        <v/>
      </c>
      <c r="AM108" s="86">
        <f>-AM21</f>
        <v/>
      </c>
      <c r="AN108" s="86">
        <f>-AN21</f>
        <v/>
      </c>
      <c r="AO108" s="86">
        <f>-AO21</f>
        <v/>
      </c>
      <c r="AP108" s="108" t="n"/>
    </row>
    <row r="109">
      <c r="A109" s="74" t="inlineStr">
        <is>
          <t>Decrease in loans receivable</t>
        </is>
      </c>
      <c r="F109" s="141" t="n"/>
      <c r="M109" s="86">
        <f>-(M40+M53-L40-L53)</f>
        <v/>
      </c>
      <c r="N109" s="86">
        <f>-(N40+N53-M40-M53)</f>
        <v/>
      </c>
      <c r="O109" s="86">
        <f>-(O40+O53-N40-N53)</f>
        <v/>
      </c>
      <c r="P109" s="86">
        <f>-(P40+P53-O40-O53)</f>
        <v/>
      </c>
      <c r="Q109" s="86">
        <f>-(Q40+Q53-P40-P53)</f>
        <v/>
      </c>
      <c r="R109" s="86">
        <f>-(R40+R53-Q40-Q53)</f>
        <v/>
      </c>
      <c r="S109" s="86">
        <f>-(S40+S53-R40-R53)</f>
        <v/>
      </c>
      <c r="T109" s="86">
        <f>-(T40+T53-S40-S53)</f>
        <v/>
      </c>
      <c r="U109" s="86">
        <f>-(U40+U53-T40-T53)</f>
        <v/>
      </c>
      <c r="V109" s="86">
        <f>-(V40+V53-U40-U53)</f>
        <v/>
      </c>
      <c r="W109" s="86">
        <f>-(W40+W53-V40-V53)</f>
        <v/>
      </c>
      <c r="X109" s="86">
        <f>-(X40+X53-W40-W53)</f>
        <v/>
      </c>
      <c r="Y109" s="86">
        <f>-(Y40+Y53-X40-X53)</f>
        <v/>
      </c>
      <c r="Z109" s="86">
        <f>-(Z40+Z53-Y40-Y53)</f>
        <v/>
      </c>
      <c r="AA109" s="86">
        <f>-(AA40+AA53-Z40-Z53)</f>
        <v/>
      </c>
      <c r="AB109" s="86">
        <f>-(AB40+AB53-AA40-AA53)</f>
        <v/>
      </c>
      <c r="AC109" s="86">
        <f>-(AC40+AC53-AB40-AB53)</f>
        <v/>
      </c>
      <c r="AD109" s="86">
        <f>-(AD40+AD53-AC40-AC53)</f>
        <v/>
      </c>
      <c r="AE109" s="86">
        <f>-(AE40+AE53-AD40-AD53)</f>
        <v/>
      </c>
      <c r="AF109" s="86">
        <f>-(AF40+AF53-AE40-AE53)</f>
        <v/>
      </c>
      <c r="AG109" s="86">
        <f>-(AG40+AG53-AF40-AF53)</f>
        <v/>
      </c>
      <c r="AH109" s="86">
        <f>-(AH40+AH53-AG40-AG53)</f>
        <v/>
      </c>
      <c r="AI109" s="86">
        <f>-(AI40+AI53-AH40-AH53)</f>
        <v/>
      </c>
      <c r="AJ109" s="86">
        <f>-(AJ40+AJ53-AI40-AI53)</f>
        <v/>
      </c>
      <c r="AK109" s="86">
        <f>-(AK40+AK53-AJ40-AJ53)</f>
        <v/>
      </c>
      <c r="AL109" s="86">
        <f>-(AL40+AL53-AK40-AK53)</f>
        <v/>
      </c>
      <c r="AM109" s="86">
        <f>-(AM40+AM53-AL40-AL53)</f>
        <v/>
      </c>
      <c r="AN109" s="86">
        <f>-(AN40+AN53-AM40-AM53)</f>
        <v/>
      </c>
      <c r="AO109" s="86">
        <f>-(AO40+AO53-AN40-AN53)</f>
        <v/>
      </c>
      <c r="AP109" s="108" t="n"/>
    </row>
    <row r="110">
      <c r="A110" s="105" t="inlineStr">
        <is>
          <t>Operating cash flows before movements in working capital</t>
        </is>
      </c>
      <c r="F110" s="141" t="n"/>
      <c r="M110" s="86">
        <f>SUM(M102,M104:M109)</f>
        <v/>
      </c>
      <c r="N110" s="86">
        <f>SUM(N102,N104:N109)</f>
        <v/>
      </c>
      <c r="O110" s="86">
        <f>SUM(O102,O104:O109)</f>
        <v/>
      </c>
      <c r="P110" s="86">
        <f>SUM(P102,P104:P109)</f>
        <v/>
      </c>
      <c r="Q110" s="86">
        <f>SUM(Q102,Q104:Q109)</f>
        <v/>
      </c>
      <c r="R110" s="86">
        <f>SUM(R102,R104:R109)</f>
        <v/>
      </c>
      <c r="S110" s="86">
        <f>SUM(S102,S104:S109)</f>
        <v/>
      </c>
      <c r="T110" s="86">
        <f>SUM(T102,T104:T109)</f>
        <v/>
      </c>
      <c r="U110" s="86">
        <f>SUM(U102,U104:U109)</f>
        <v/>
      </c>
      <c r="V110" s="86">
        <f>SUM(V102,V104:V109)</f>
        <v/>
      </c>
      <c r="W110" s="86">
        <f>SUM(W102,W104:W109)</f>
        <v/>
      </c>
      <c r="X110" s="86">
        <f>SUM(X102,X104:X109)</f>
        <v/>
      </c>
      <c r="Y110" s="86">
        <f>SUM(Y102,Y104:Y109)</f>
        <v/>
      </c>
      <c r="Z110" s="86">
        <f>SUM(Z102,Z104:Z109)</f>
        <v/>
      </c>
      <c r="AA110" s="86">
        <f>SUM(AA102,AA104:AA109)</f>
        <v/>
      </c>
      <c r="AB110" s="86">
        <f>SUM(AB102,AB104:AB109)</f>
        <v/>
      </c>
      <c r="AC110" s="86">
        <f>SUM(AC102,AC104:AC109)</f>
        <v/>
      </c>
      <c r="AD110" s="86">
        <f>SUM(AD102,AD104:AD109)</f>
        <v/>
      </c>
      <c r="AE110" s="86">
        <f>SUM(AE102,AE104:AE109)</f>
        <v/>
      </c>
      <c r="AF110" s="86">
        <f>SUM(AF102,AF104:AF109)</f>
        <v/>
      </c>
      <c r="AG110" s="86">
        <f>SUM(AG102,AG104:AG109)</f>
        <v/>
      </c>
      <c r="AH110" s="86">
        <f>SUM(AH102,AH104:AH109)</f>
        <v/>
      </c>
      <c r="AI110" s="86">
        <f>SUM(AI102,AI104:AI109)</f>
        <v/>
      </c>
      <c r="AJ110" s="86">
        <f>SUM(AJ102,AJ104:AJ109)</f>
        <v/>
      </c>
      <c r="AK110" s="86">
        <f>SUM(AK102,AK104:AK109)</f>
        <v/>
      </c>
      <c r="AL110" s="86">
        <f>SUM(AL102,AL104:AL109)</f>
        <v/>
      </c>
      <c r="AM110" s="86">
        <f>SUM(AM102,AM104:AM109)</f>
        <v/>
      </c>
      <c r="AN110" s="86">
        <f>SUM(AN102,AN104:AN109)</f>
        <v/>
      </c>
      <c r="AO110" s="86">
        <f>SUM(AO102,AO104:AO109)</f>
        <v/>
      </c>
      <c r="AP110" s="108" t="n"/>
    </row>
    <row r="111">
      <c r="A111" s="74" t="inlineStr">
        <is>
          <t>Decrease in inventories</t>
        </is>
      </c>
      <c r="F111" s="141" t="n"/>
      <c r="M111" s="86">
        <f>-(M42-L42)</f>
        <v/>
      </c>
      <c r="N111" s="86">
        <f>-(N42-M42)</f>
        <v/>
      </c>
      <c r="O111" s="86">
        <f>-(O42-N42)</f>
        <v/>
      </c>
      <c r="P111" s="86">
        <f>-(P42-O42)</f>
        <v/>
      </c>
      <c r="Q111" s="86">
        <f>-(Q42-P42)</f>
        <v/>
      </c>
      <c r="R111" s="86">
        <f>-(R42-Q42)</f>
        <v/>
      </c>
      <c r="S111" s="86">
        <f>-(S42-R42)</f>
        <v/>
      </c>
      <c r="T111" s="86">
        <f>-(T42-S42)</f>
        <v/>
      </c>
      <c r="U111" s="86">
        <f>-(U42-T42)</f>
        <v/>
      </c>
      <c r="V111" s="86">
        <f>-(V42-U42)</f>
        <v/>
      </c>
      <c r="W111" s="86">
        <f>-(W42-V42)</f>
        <v/>
      </c>
      <c r="X111" s="86">
        <f>-(X42-W42)</f>
        <v/>
      </c>
      <c r="Y111" s="86">
        <f>-(Y42-X42)</f>
        <v/>
      </c>
      <c r="Z111" s="86">
        <f>-(Z42-Y42)</f>
        <v/>
      </c>
      <c r="AA111" s="86">
        <f>-(AA42-Z42)</f>
        <v/>
      </c>
      <c r="AB111" s="86">
        <f>-(AB42-AA42)</f>
        <v/>
      </c>
      <c r="AC111" s="86">
        <f>-(AC42-AB42)</f>
        <v/>
      </c>
      <c r="AD111" s="86">
        <f>-(AD42-AC42)</f>
        <v/>
      </c>
      <c r="AE111" s="86">
        <f>-(AE42-AD42)</f>
        <v/>
      </c>
      <c r="AF111" s="86">
        <f>-(AF42-AE42)</f>
        <v/>
      </c>
      <c r="AG111" s="86">
        <f>-(AG42-AF42)</f>
        <v/>
      </c>
      <c r="AH111" s="86">
        <f>-(AH42-AG42)</f>
        <v/>
      </c>
      <c r="AI111" s="86">
        <f>-(AI42-AH42)</f>
        <v/>
      </c>
      <c r="AJ111" s="86">
        <f>-(AJ42-AI42)</f>
        <v/>
      </c>
      <c r="AK111" s="86">
        <f>-(AK42-AJ42)</f>
        <v/>
      </c>
      <c r="AL111" s="86">
        <f>-(AL42-AK42)</f>
        <v/>
      </c>
      <c r="AM111" s="86">
        <f>-(AM42-AL42)</f>
        <v/>
      </c>
      <c r="AN111" s="86">
        <f>-(AN42-AM42)</f>
        <v/>
      </c>
      <c r="AO111" s="86">
        <f>-(AO42-AN42)</f>
        <v/>
      </c>
      <c r="AP111" s="108" t="n"/>
    </row>
    <row r="112">
      <c r="A112" s="74" t="inlineStr">
        <is>
          <t>Decrease in receivables</t>
        </is>
      </c>
      <c r="F112" s="141" t="n"/>
      <c r="M112" s="86">
        <f>-(SUM(M39,M41)-SUM(L39,L41))</f>
        <v/>
      </c>
      <c r="N112" s="86">
        <f>-(SUM(N39,N41)-SUM(M39,M41))</f>
        <v/>
      </c>
      <c r="O112" s="86">
        <f>-(SUM(O39,O41)-SUM(N39,N41))</f>
        <v/>
      </c>
      <c r="P112" s="86">
        <f>-(SUM(P39,P41)-SUM(O39,O41))</f>
        <v/>
      </c>
      <c r="Q112" s="86">
        <f>-(SUM(Q39,Q41)-SUM(P39,P41))</f>
        <v/>
      </c>
      <c r="R112" s="86">
        <f>-(SUM(R39,R41)-SUM(Q39,Q41))</f>
        <v/>
      </c>
      <c r="S112" s="86">
        <f>-(SUM(S39,S41)-SUM(R39,R41))</f>
        <v/>
      </c>
      <c r="T112" s="86">
        <f>-(SUM(T39,T41)-SUM(S39,S41))</f>
        <v/>
      </c>
      <c r="U112" s="86">
        <f>-(SUM(U39,U41)-SUM(T39,T41))</f>
        <v/>
      </c>
      <c r="V112" s="86">
        <f>-(SUM(V39,V41)-SUM(U39,U41))</f>
        <v/>
      </c>
      <c r="W112" s="86">
        <f>-(SUM(W39,W41)-SUM(V39,V41))</f>
        <v/>
      </c>
      <c r="X112" s="86">
        <f>-(SUM(X39,X41)-SUM(W39,W41))</f>
        <v/>
      </c>
      <c r="Y112" s="86">
        <f>-(SUM(Y39,Y41)-SUM(X39,X41))</f>
        <v/>
      </c>
      <c r="Z112" s="86">
        <f>-(SUM(Z39,Z41)-SUM(Y39,Y41))</f>
        <v/>
      </c>
      <c r="AA112" s="86">
        <f>-(SUM(AA39,AA41)-SUM(Z39,Z41))</f>
        <v/>
      </c>
      <c r="AB112" s="86">
        <f>-(SUM(AB39,AB41)-SUM(AA39,AA41))</f>
        <v/>
      </c>
      <c r="AC112" s="86">
        <f>-(SUM(AC39,AC41)-SUM(AB39,AB41))</f>
        <v/>
      </c>
      <c r="AD112" s="86">
        <f>-(SUM(AD39,AD41)-SUM(AC39,AC41))</f>
        <v/>
      </c>
      <c r="AE112" s="86">
        <f>-(SUM(AE39,AE41)-SUM(AD39,AD41))</f>
        <v/>
      </c>
      <c r="AF112" s="86">
        <f>-(SUM(AF39,AF41)-SUM(AE39,AE41))</f>
        <v/>
      </c>
      <c r="AG112" s="86">
        <f>-(SUM(AG39,AG41)-SUM(AF39,AF41))</f>
        <v/>
      </c>
      <c r="AH112" s="86">
        <f>-(SUM(AH39,AH41)-SUM(AG39,AG41))</f>
        <v/>
      </c>
      <c r="AI112" s="86">
        <f>-(SUM(AI39,AI41)-SUM(AH39,AH41))</f>
        <v/>
      </c>
      <c r="AJ112" s="86">
        <f>-(SUM(AJ39,AJ41)-SUM(AI39,AI41))</f>
        <v/>
      </c>
      <c r="AK112" s="86">
        <f>-(SUM(AK39,AK41)-SUM(AJ39,AJ41))</f>
        <v/>
      </c>
      <c r="AL112" s="86">
        <f>-(SUM(AL39,AL41)-SUM(AK39,AK41))</f>
        <v/>
      </c>
      <c r="AM112" s="86">
        <f>-(SUM(AM39,AM41)-SUM(AL39,AL41))</f>
        <v/>
      </c>
      <c r="AN112" s="86">
        <f>-(SUM(AN39,AN41)-SUM(AM39,AM41))</f>
        <v/>
      </c>
      <c r="AO112" s="86">
        <f>-(SUM(AO39,AO41)-SUM(AN39,AN41))</f>
        <v/>
      </c>
      <c r="AP112" s="108" t="n"/>
    </row>
    <row r="113">
      <c r="A113" s="74" t="inlineStr">
        <is>
          <t>Decrease in construction contracts</t>
        </is>
      </c>
      <c r="F113" s="141" t="n"/>
      <c r="M113" s="86">
        <f>-(M43-L43)</f>
        <v/>
      </c>
      <c r="N113" s="86">
        <f>-(N43-M43)</f>
        <v/>
      </c>
      <c r="O113" s="86">
        <f>-(O43-N43)</f>
        <v/>
      </c>
      <c r="P113" s="86">
        <f>-(P43-O43)</f>
        <v/>
      </c>
      <c r="Q113" s="86">
        <f>-(Q43-P43)</f>
        <v/>
      </c>
      <c r="R113" s="86">
        <f>-(R43-Q43)</f>
        <v/>
      </c>
      <c r="S113" s="86">
        <f>-(S43-R43)</f>
        <v/>
      </c>
      <c r="T113" s="86">
        <f>-(T43-S43)</f>
        <v/>
      </c>
      <c r="U113" s="86">
        <f>-(U43-T43)</f>
        <v/>
      </c>
      <c r="V113" s="86">
        <f>-(V43-U43)</f>
        <v/>
      </c>
      <c r="W113" s="86">
        <f>-(W43-V43)</f>
        <v/>
      </c>
      <c r="X113" s="86">
        <f>-(X43-W43)</f>
        <v/>
      </c>
      <c r="Y113" s="86">
        <f>-(Y43-X43)</f>
        <v/>
      </c>
      <c r="Z113" s="86">
        <f>-(Z43-Y43)</f>
        <v/>
      </c>
      <c r="AA113" s="86">
        <f>-(AA43-Z43)</f>
        <v/>
      </c>
      <c r="AB113" s="86">
        <f>-(AB43-AA43)</f>
        <v/>
      </c>
      <c r="AC113" s="86">
        <f>-(AC43-AB43)</f>
        <v/>
      </c>
      <c r="AD113" s="86">
        <f>-(AD43-AC43)</f>
        <v/>
      </c>
      <c r="AE113" s="86">
        <f>-(AE43-AD43)</f>
        <v/>
      </c>
      <c r="AF113" s="86">
        <f>-(AF43-AE43)</f>
        <v/>
      </c>
      <c r="AG113" s="86">
        <f>-(AG43-AF43)</f>
        <v/>
      </c>
      <c r="AH113" s="86">
        <f>-(AH43-AG43)</f>
        <v/>
      </c>
      <c r="AI113" s="86">
        <f>-(AI43-AH43)</f>
        <v/>
      </c>
      <c r="AJ113" s="86">
        <f>-(AJ43-AI43)</f>
        <v/>
      </c>
      <c r="AK113" s="86">
        <f>-(AK43-AJ43)</f>
        <v/>
      </c>
      <c r="AL113" s="86">
        <f>-(AL43-AK43)</f>
        <v/>
      </c>
      <c r="AM113" s="86">
        <f>-(AM43-AL43)</f>
        <v/>
      </c>
      <c r="AN113" s="86">
        <f>-(AN43-AM43)</f>
        <v/>
      </c>
      <c r="AO113" s="86">
        <f>-(AO43-AN43)</f>
        <v/>
      </c>
      <c r="AP113" s="108" t="n"/>
    </row>
    <row r="114">
      <c r="A114" s="74" t="inlineStr">
        <is>
          <t>Increase in payables</t>
        </is>
      </c>
      <c r="F114" s="141" t="n"/>
      <c r="M114" s="86">
        <f>(M61-L61)+(M62-L62)</f>
        <v/>
      </c>
      <c r="N114" s="86">
        <f>(N61-M61)+(N62-M62)</f>
        <v/>
      </c>
      <c r="O114" s="86">
        <f>(O61-N61)+(O62-N62)</f>
        <v/>
      </c>
      <c r="P114" s="86">
        <f>(P61-O61)+(P62-O62)</f>
        <v/>
      </c>
      <c r="Q114" s="86">
        <f>(Q61-P61)+(Q62-P62)</f>
        <v/>
      </c>
      <c r="R114" s="86">
        <f>(R61-Q61)+(R62-Q62)</f>
        <v/>
      </c>
      <c r="S114" s="86">
        <f>(S61-R61)+(S62-R62)</f>
        <v/>
      </c>
      <c r="T114" s="86">
        <f>(T61-S61)+(T62-S62)</f>
        <v/>
      </c>
      <c r="U114" s="86">
        <f>(U61-T61)+(U62-T62)</f>
        <v/>
      </c>
      <c r="V114" s="86">
        <f>(V61-U61)+(V62-U62)</f>
        <v/>
      </c>
      <c r="W114" s="86">
        <f>(W61-V61)+(W62-V62)</f>
        <v/>
      </c>
      <c r="X114" s="86">
        <f>(X61-W61)+(X62-W62)</f>
        <v/>
      </c>
      <c r="Y114" s="86">
        <f>(Y61-X61)+(Y62-X62)</f>
        <v/>
      </c>
      <c r="Z114" s="86">
        <f>(Z61-Y61)+(Z62-Y62)</f>
        <v/>
      </c>
      <c r="AA114" s="86">
        <f>(AA61-Z61)+(AA62-Z62)</f>
        <v/>
      </c>
      <c r="AB114" s="86">
        <f>(AB61-AA61)+(AB62-AA62)</f>
        <v/>
      </c>
      <c r="AC114" s="86">
        <f>(AC61-AB61)+(AC62-AB62)</f>
        <v/>
      </c>
      <c r="AD114" s="86">
        <f>(AD61-AC61)+(AD62-AC62)</f>
        <v/>
      </c>
      <c r="AE114" s="86">
        <f>(AE61-AD61)+(AE62-AD62)</f>
        <v/>
      </c>
      <c r="AF114" s="86">
        <f>(AF61-AE61)+(AF62-AE62)</f>
        <v/>
      </c>
      <c r="AG114" s="86">
        <f>(AG61-AF61)+(AG62-AF62)</f>
        <v/>
      </c>
      <c r="AH114" s="86">
        <f>(AH61-AG61)+(AH62-AG62)</f>
        <v/>
      </c>
      <c r="AI114" s="86">
        <f>(AI61-AH61)+(AI62-AH62)</f>
        <v/>
      </c>
      <c r="AJ114" s="86">
        <f>(AJ61-AI61)+(AJ62-AI62)</f>
        <v/>
      </c>
      <c r="AK114" s="86">
        <f>(AK61-AJ61)+(AK62-AJ62)</f>
        <v/>
      </c>
      <c r="AL114" s="86">
        <f>(AL61-AK61)+(AL62-AK62)</f>
        <v/>
      </c>
      <c r="AM114" s="86">
        <f>(AM61-AL61)+(AM62-AL62)</f>
        <v/>
      </c>
      <c r="AN114" s="86">
        <f>(AN61-AM61)+(AN62-AM62)</f>
        <v/>
      </c>
      <c r="AO114" s="86">
        <f>(AO61-AN61)+(AO62-AN62)</f>
        <v/>
      </c>
      <c r="AP114" s="108" t="n"/>
    </row>
    <row r="115">
      <c r="A115" s="74" t="inlineStr">
        <is>
          <t>Increase in Provision</t>
        </is>
      </c>
      <c r="F115" s="141" t="n"/>
      <c r="M115" s="86">
        <f>(M76-L76)+(M64-L64)</f>
        <v/>
      </c>
      <c r="N115" s="86">
        <f>(N76-M76)+(N64-M64)</f>
        <v/>
      </c>
      <c r="O115" s="86">
        <f>(O76-N76)+(O64-N64)</f>
        <v/>
      </c>
      <c r="P115" s="86">
        <f>(P76-O76)+(P64-O64)</f>
        <v/>
      </c>
      <c r="Q115" s="86">
        <f>(Q76-P76)+(Q64-P64)</f>
        <v/>
      </c>
      <c r="R115" s="86">
        <f>(R76-Q76)+(R64-Q64)</f>
        <v/>
      </c>
      <c r="S115" s="86">
        <f>(S76-R76)+(S64-R64)</f>
        <v/>
      </c>
      <c r="T115" s="86">
        <f>(T76-S76)+(T64-S64)</f>
        <v/>
      </c>
      <c r="U115" s="86">
        <f>(U76-T76)+(U64-T64)</f>
        <v/>
      </c>
      <c r="V115" s="86">
        <f>(V76-U76)+(V64-U64)</f>
        <v/>
      </c>
      <c r="W115" s="86">
        <f>(W76-V76)+(W64-V64)</f>
        <v/>
      </c>
      <c r="X115" s="86">
        <f>(X76-W76)+(X64-W64)</f>
        <v/>
      </c>
      <c r="Y115" s="86">
        <f>(Y76-X76)+(Y64-X64)</f>
        <v/>
      </c>
      <c r="Z115" s="86">
        <f>(Z76-Y76)+(Z64-Y64)</f>
        <v/>
      </c>
      <c r="AA115" s="86">
        <f>(AA76-Z76)+(AA64-Z64)</f>
        <v/>
      </c>
      <c r="AB115" s="86">
        <f>(AB76-AA76)+(AB64-AA64)</f>
        <v/>
      </c>
      <c r="AC115" s="86">
        <f>(AC76-AB76)+(AC64-AB64)</f>
        <v/>
      </c>
      <c r="AD115" s="86">
        <f>(AD76-AC76)+(AD64-AC64)</f>
        <v/>
      </c>
      <c r="AE115" s="86">
        <f>(AE76-AD76)+(AE64-AD64)</f>
        <v/>
      </c>
      <c r="AF115" s="86">
        <f>(AF76-AE76)+(AF64-AE64)</f>
        <v/>
      </c>
      <c r="AG115" s="86">
        <f>(AG76-AF76)+(AG64-AF64)</f>
        <v/>
      </c>
      <c r="AH115" s="86">
        <f>(AH76-AG76)+(AH64-AG64)</f>
        <v/>
      </c>
      <c r="AI115" s="86">
        <f>(AI76-AH76)+(AI64-AH64)</f>
        <v/>
      </c>
      <c r="AJ115" s="86">
        <f>(AJ76-AI76)+(AJ64-AI64)</f>
        <v/>
      </c>
      <c r="AK115" s="86">
        <f>(AK76-AJ76)+(AK64-AJ64)</f>
        <v/>
      </c>
      <c r="AL115" s="86">
        <f>(AL76-AK76)+(AL64-AK64)</f>
        <v/>
      </c>
      <c r="AM115" s="86">
        <f>(AM76-AL76)+(AM64-AL64)</f>
        <v/>
      </c>
      <c r="AN115" s="86">
        <f>(AN76-AM76)+(AN64-AM64)</f>
        <v/>
      </c>
      <c r="AO115" s="86">
        <f>(AO76-AN76)+(AO64-AN64)</f>
        <v/>
      </c>
      <c r="AP115" s="108" t="n"/>
    </row>
    <row r="116">
      <c r="A116" t="inlineStr">
        <is>
          <t>Cash generated from operations</t>
        </is>
      </c>
      <c r="F116" s="141" t="n"/>
      <c r="M116" s="86">
        <f>SUM(M110,M111:M115)</f>
        <v/>
      </c>
      <c r="N116" s="86">
        <f>SUM(N110,N111:N115)</f>
        <v/>
      </c>
      <c r="O116" s="86">
        <f>SUM(O110,O111:O115)</f>
        <v/>
      </c>
      <c r="P116" s="86">
        <f>SUM(P110,P111:P115)</f>
        <v/>
      </c>
      <c r="Q116" s="86">
        <f>SUM(Q110,Q111:Q115)</f>
        <v/>
      </c>
      <c r="R116" s="86">
        <f>SUM(R110,R111:R115)</f>
        <v/>
      </c>
      <c r="S116" s="86">
        <f>SUM(S110,S111:S115)</f>
        <v/>
      </c>
      <c r="T116" s="86">
        <f>SUM(T110,T111:T115)</f>
        <v/>
      </c>
      <c r="U116" s="86">
        <f>SUM(U110,U111:U115)</f>
        <v/>
      </c>
      <c r="V116" s="86">
        <f>SUM(V110,V111:V115)</f>
        <v/>
      </c>
      <c r="W116" s="86">
        <f>SUM(W110,W111:W115)</f>
        <v/>
      </c>
      <c r="X116" s="86">
        <f>SUM(X110,X111:X115)</f>
        <v/>
      </c>
      <c r="Y116" s="86">
        <f>SUM(Y110,Y111:Y115)</f>
        <v/>
      </c>
      <c r="Z116" s="86">
        <f>SUM(Z110,Z111:Z115)</f>
        <v/>
      </c>
      <c r="AA116" s="86">
        <f>SUM(AA110,AA111:AA115)</f>
        <v/>
      </c>
      <c r="AB116" s="86">
        <f>SUM(AB110,AB111:AB115)</f>
        <v/>
      </c>
      <c r="AC116" s="86">
        <f>SUM(AC110,AC111:AC115)</f>
        <v/>
      </c>
      <c r="AD116" s="86">
        <f>SUM(AD110,AD111:AD115)</f>
        <v/>
      </c>
      <c r="AE116" s="86">
        <f>SUM(AE110,AE111:AE115)</f>
        <v/>
      </c>
      <c r="AF116" s="86">
        <f>SUM(AF110,AF111:AF115)</f>
        <v/>
      </c>
      <c r="AG116" s="86">
        <f>SUM(AG110,AG111:AG115)</f>
        <v/>
      </c>
      <c r="AH116" s="86">
        <f>SUM(AH110,AH111:AH115)</f>
        <v/>
      </c>
      <c r="AI116" s="86">
        <f>SUM(AI110,AI111:AI115)</f>
        <v/>
      </c>
      <c r="AJ116" s="86">
        <f>SUM(AJ110,AJ111:AJ115)</f>
        <v/>
      </c>
      <c r="AK116" s="86">
        <f>SUM(AK110,AK111:AK115)</f>
        <v/>
      </c>
      <c r="AL116" s="86">
        <f>SUM(AL110,AL111:AL115)</f>
        <v/>
      </c>
      <c r="AM116" s="86">
        <f>SUM(AM110,AM111:AM115)</f>
        <v/>
      </c>
      <c r="AN116" s="86">
        <f>SUM(AN110,AN111:AN115)</f>
        <v/>
      </c>
      <c r="AO116" s="86">
        <f>SUM(AO110,AO111:AO115)</f>
        <v/>
      </c>
      <c r="AP116" s="108" t="n"/>
    </row>
    <row r="117">
      <c r="A117" s="74" t="inlineStr">
        <is>
          <t>Income tax paid</t>
        </is>
      </c>
      <c r="F117" s="145" t="n"/>
      <c r="M117" s="86">
        <f>(M77-L77)+(M65-L65)-(M54-L54)+M23</f>
        <v/>
      </c>
      <c r="N117" s="86">
        <f>(N77-M77)+(N65-M65)-(N54-M54)+N23</f>
        <v/>
      </c>
      <c r="O117" s="86">
        <f>(O77-N77)+(O65-N65)-(O54-N54)+O23</f>
        <v/>
      </c>
      <c r="P117" s="86">
        <f>(P77-O77)+(P65-O65)-(P54-O54)+P23</f>
        <v/>
      </c>
      <c r="Q117" s="86">
        <f>(Q77-P77)+(Q65-P65)-(Q54-P54)+Q23</f>
        <v/>
      </c>
      <c r="R117" s="86">
        <f>(R77-Q77)+(R65-Q65)-(R54-Q54)+R23</f>
        <v/>
      </c>
      <c r="S117" s="86">
        <f>(S77-R77)+(S65-R65)-(S54-R54)+S23</f>
        <v/>
      </c>
      <c r="T117" s="86">
        <f>(T77-S77)+(T65-S65)-(T54-S54)+T23</f>
        <v/>
      </c>
      <c r="U117" s="86">
        <f>(U77-T77)+(U65-T65)-(U54-T54)+U23</f>
        <v/>
      </c>
      <c r="V117" s="86">
        <f>(V77-U77)+(V65-U65)-(V54-U54)+V23</f>
        <v/>
      </c>
      <c r="W117" s="86">
        <f>(W77-V77)+(W65-V65)-(W54-V54)+W23</f>
        <v/>
      </c>
      <c r="X117" s="86">
        <f>(X77-W77)+(X65-W65)-(X54-W54)+X23</f>
        <v/>
      </c>
      <c r="Y117" s="86">
        <f>(Y77-X77)+(Y65-X65)-(Y54-X54)+Y23</f>
        <v/>
      </c>
      <c r="Z117" s="86">
        <f>(Z77-Y77)+(Z65-Y65)-(Z54-Y54)+Z23</f>
        <v/>
      </c>
      <c r="AA117" s="86">
        <f>(AA77-Z77)+(AA65-Z65)-(AA54-Z54)+AA23</f>
        <v/>
      </c>
      <c r="AB117" s="86">
        <f>(AB77-AA77)+(AB65-AA65)-(AB54-AA54)+AB23</f>
        <v/>
      </c>
      <c r="AC117" s="86">
        <f>(AC77-AB77)+(AC65-AB65)-(AC54-AB54)+AC23</f>
        <v/>
      </c>
      <c r="AD117" s="86">
        <f>(AD77-AC77)+(AD65-AC65)-(AD54-AC54)+AD23</f>
        <v/>
      </c>
      <c r="AE117" s="86">
        <f>(AE77-AD77)+(AE65-AD65)-(AE54-AD54)+AE23</f>
        <v/>
      </c>
      <c r="AF117" s="86">
        <f>(AF77-AE77)+(AF65-AE65)-(AF54-AE54)+AF23</f>
        <v/>
      </c>
      <c r="AG117" s="86">
        <f>(AG77-AF77)+(AG65-AF65)-(AG54-AF54)+AG23</f>
        <v/>
      </c>
      <c r="AH117" s="86">
        <f>(AH77-AG77)+(AH65-AG65)-(AH54-AG54)+AH23</f>
        <v/>
      </c>
      <c r="AI117" s="86">
        <f>(AI77-AH77)+(AI65-AH65)-(AI54-AH54)+AI23</f>
        <v/>
      </c>
      <c r="AJ117" s="86">
        <f>(AJ77-AI77)+(AJ65-AI65)-(AJ54-AI54)+AJ23</f>
        <v/>
      </c>
      <c r="AK117" s="86">
        <f>(AK77-AJ77)+(AK65-AJ65)-(AK54-AJ54)+AK23</f>
        <v/>
      </c>
      <c r="AL117" s="86">
        <f>(AL77-AK77)+(AL65-AK65)-(AL54-AK54)+AL23</f>
        <v/>
      </c>
      <c r="AM117" s="86">
        <f>(AM77-AL77)+(AM65-AL65)-(AM54-AL54)+AM23</f>
        <v/>
      </c>
      <c r="AN117" s="86">
        <f>(AN77-AM77)+(AN65-AM65)-(AN54-AM54)+AN23</f>
        <v/>
      </c>
      <c r="AO117" s="86">
        <f>(AO77-AN77)+(AO65-AN65)-(AO54-AN54)+AO23</f>
        <v/>
      </c>
      <c r="AP117" s="108" t="n"/>
    </row>
    <row r="118">
      <c r="A118" t="inlineStr">
        <is>
          <t>Adjustments for historical</t>
        </is>
      </c>
      <c r="F118" s="141" t="n"/>
      <c r="M118" s="76" t="n"/>
      <c r="N118" s="80">
        <f>IF(N$2=1,#REF!,#REF!-#REF!)-(N116+N117)</f>
        <v/>
      </c>
      <c r="O118" s="80">
        <f>IF(O$2=1,#REF!,#REF!-#REF!)-(O116+O117)</f>
        <v/>
      </c>
      <c r="P118" s="80">
        <f>IF(P$2=1,#REF!,#REF!-#REF!)-(P116+P117)</f>
        <v/>
      </c>
      <c r="Q118" s="80">
        <f>IF(Q$2=1,#REF!,#REF!-#REF!)-(Q116+Q117)</f>
        <v/>
      </c>
      <c r="R118" s="80">
        <f>IF(R$2=1,#REF!,#REF!-#REF!)-(R116+R117)</f>
        <v/>
      </c>
      <c r="S118" s="80">
        <f>IF(S$2=1,#REF!,#REF!-#REF!)-(S116+S117)</f>
        <v/>
      </c>
      <c r="T118" s="80">
        <f>IF(T$2=1,#REF!,#REF!-#REF!)-(T116+T117)</f>
        <v/>
      </c>
      <c r="U118" s="80">
        <f>IF(U$2=1,#REF!,#REF!-#REF!)-(U116+U117)</f>
        <v/>
      </c>
      <c r="V118" s="80">
        <f>IF(V$2=1,#REF!,#REF!-#REF!)-(V116+V117)</f>
        <v/>
      </c>
      <c r="W118" s="80">
        <f>IF(W$2=1,#REF!,#REF!-#REF!)-(W116+W117)</f>
        <v/>
      </c>
      <c r="X118" s="80">
        <f>IF(X$2=1,#REF!,#REF!-#REF!)-(X116+X117)</f>
        <v/>
      </c>
      <c r="Y118" s="80">
        <f>IF(Y$2=1,#REF!,#REF!-#REF!)-(Y116+Y117)</f>
        <v/>
      </c>
      <c r="Z118" s="80">
        <f>IF(Z$2=1,#REF!,#REF!-#REF!)-(Z116+Z117)</f>
        <v/>
      </c>
      <c r="AA118" s="80">
        <f>IF(AA$2=1,#REF!,#REF!-#REF!)-(AA116+AA117)</f>
        <v/>
      </c>
      <c r="AB118" s="80">
        <f>IF(AB$2=1,#REF!,#REF!-#REF!)-(AB116+AB117)</f>
        <v/>
      </c>
      <c r="AC118" s="80">
        <f>IF(AC$2=1,#REF!,#REF!-#REF!)-(AC116+AC117)</f>
        <v/>
      </c>
      <c r="AD118" s="143" t="n"/>
      <c r="AE118" s="143" t="n"/>
      <c r="AF118" s="143" t="n"/>
      <c r="AG118" s="143" t="n"/>
      <c r="AH118" s="143" t="n"/>
      <c r="AI118" s="143" t="n"/>
      <c r="AJ118" s="143" t="n"/>
      <c r="AK118" s="143" t="n"/>
      <c r="AL118" s="143" t="n"/>
      <c r="AM118" s="143" t="n"/>
      <c r="AN118" s="143" t="n"/>
      <c r="AO118" s="143" t="n"/>
      <c r="AP118" s="108" t="n"/>
    </row>
    <row r="119" customFormat="1" s="22">
      <c r="A119" s="22" t="inlineStr">
        <is>
          <t>Net Cash flows from operating activities</t>
        </is>
      </c>
      <c r="F119" s="148" t="n"/>
      <c r="M119" s="121">
        <f>SUM(M116:M118)</f>
        <v/>
      </c>
      <c r="N119" s="121">
        <f>SUM(N116:N118)</f>
        <v/>
      </c>
      <c r="O119" s="121">
        <f>SUM(O116:O118)</f>
        <v/>
      </c>
      <c r="P119" s="121">
        <f>SUM(P116:P118)</f>
        <v/>
      </c>
      <c r="Q119" s="121">
        <f>SUM(Q116:Q118)</f>
        <v/>
      </c>
      <c r="R119" s="121">
        <f>SUM(R116:R118)</f>
        <v/>
      </c>
      <c r="S119" s="121">
        <f>SUM(S116:S118)</f>
        <v/>
      </c>
      <c r="T119" s="121">
        <f>SUM(T116:T118)</f>
        <v/>
      </c>
      <c r="U119" s="121">
        <f>SUM(U116:U118)</f>
        <v/>
      </c>
      <c r="V119" s="121">
        <f>SUM(V116:V118)</f>
        <v/>
      </c>
      <c r="W119" s="121">
        <f>SUM(W116:W118)</f>
        <v/>
      </c>
      <c r="X119" s="121">
        <f>SUM(X116:X118)</f>
        <v/>
      </c>
      <c r="Y119" s="121">
        <f>SUM(Y116:Y118)</f>
        <v/>
      </c>
      <c r="Z119" s="121">
        <f>SUM(Z116:Z118)</f>
        <v/>
      </c>
      <c r="AA119" s="121">
        <f>SUM(AA116:AA118)</f>
        <v/>
      </c>
      <c r="AB119" s="121">
        <f>SUM(AB116:AB118)</f>
        <v/>
      </c>
      <c r="AC119" s="121">
        <f>SUM(AC116:AC118)</f>
        <v/>
      </c>
      <c r="AD119" s="121">
        <f>SUM(AD116:AD118)</f>
        <v/>
      </c>
      <c r="AE119" s="121">
        <f>+AE116+AE117</f>
        <v/>
      </c>
      <c r="AF119" s="121">
        <f>+AF116+AF117</f>
        <v/>
      </c>
      <c r="AG119" s="121">
        <f>+AG116+AG117</f>
        <v/>
      </c>
      <c r="AH119" s="121">
        <f>+AH116+AH117</f>
        <v/>
      </c>
      <c r="AI119" s="121">
        <f>+AI116+AI117</f>
        <v/>
      </c>
      <c r="AJ119" s="121">
        <f>+AJ116+AJ117</f>
        <v/>
      </c>
      <c r="AK119" s="121">
        <f>+AK116+AK117</f>
        <v/>
      </c>
      <c r="AL119" s="121">
        <f>+AL116+AL117</f>
        <v/>
      </c>
      <c r="AM119" s="121">
        <f>+AM116+AM117</f>
        <v/>
      </c>
      <c r="AN119" s="121">
        <f>+AN116+AN117</f>
        <v/>
      </c>
      <c r="AO119" s="121">
        <f>+AO116+AO117</f>
        <v/>
      </c>
      <c r="AP119" s="108" t="n"/>
    </row>
    <row r="120">
      <c r="F120" s="141" t="n"/>
      <c r="M120" s="31" t="n"/>
      <c r="N120" s="31" t="n"/>
      <c r="O120" s="31" t="n"/>
      <c r="P120" s="31" t="n"/>
      <c r="Q120" s="31" t="n"/>
      <c r="R120" s="31" t="n"/>
      <c r="S120" s="31" t="n"/>
      <c r="T120" s="31" t="n"/>
      <c r="U120" s="31" t="n"/>
      <c r="V120" s="31" t="n"/>
      <c r="W120" s="31" t="n"/>
      <c r="X120" s="31" t="n"/>
      <c r="Y120" s="31" t="n"/>
      <c r="Z120" s="31" t="n"/>
      <c r="AA120" s="31" t="n"/>
      <c r="AB120" s="31" t="n"/>
      <c r="AC120" s="31" t="n"/>
      <c r="AD120" s="31" t="n"/>
      <c r="AE120" s="31" t="n"/>
      <c r="AF120" s="31" t="n"/>
      <c r="AG120" s="31" t="n"/>
      <c r="AH120" s="31" t="n"/>
      <c r="AI120" s="31" t="n"/>
      <c r="AJ120" s="31" t="n"/>
      <c r="AK120" s="31" t="n"/>
      <c r="AL120" s="31" t="n"/>
      <c r="AM120" s="31" t="n"/>
      <c r="AN120" s="31" t="n"/>
      <c r="AO120" s="31" t="n"/>
      <c r="AP120" s="108" t="n"/>
    </row>
    <row r="121">
      <c r="A121" s="77" t="inlineStr">
        <is>
          <t>Cash flows from investing activities</t>
        </is>
      </c>
      <c r="F121" s="141" t="n"/>
      <c r="M121" s="31" t="n"/>
      <c r="N121" s="31" t="n"/>
      <c r="O121" s="31" t="n"/>
      <c r="P121" s="31" t="n"/>
      <c r="Q121" s="31" t="n"/>
      <c r="R121" s="31" t="n"/>
      <c r="S121" s="31" t="n"/>
      <c r="T121" s="31" t="n"/>
      <c r="U121" s="31" t="n"/>
      <c r="V121" s="31" t="n"/>
      <c r="W121" s="31" t="n"/>
      <c r="X121" s="31" t="n"/>
      <c r="Y121" s="31" t="n"/>
      <c r="Z121" s="31" t="n"/>
      <c r="AA121" s="31" t="n"/>
      <c r="AB121" s="31" t="n"/>
      <c r="AC121" s="31" t="n"/>
      <c r="AD121" s="31" t="n"/>
      <c r="AE121" s="31" t="n"/>
      <c r="AF121" s="31" t="n"/>
      <c r="AG121" s="31" t="n"/>
      <c r="AH121" s="31" t="n"/>
      <c r="AI121" s="31" t="n"/>
      <c r="AJ121" s="31" t="n"/>
      <c r="AK121" s="31" t="n"/>
      <c r="AL121" s="31" t="n"/>
      <c r="AM121" s="31" t="n"/>
      <c r="AN121" s="31" t="n"/>
      <c r="AO121" s="31" t="n"/>
      <c r="AP121" s="108" t="n"/>
    </row>
    <row r="122">
      <c r="A122" s="74" t="inlineStr">
        <is>
          <t>Cash paid to acquire fixed assets</t>
        </is>
      </c>
      <c r="F122" s="141" t="n"/>
      <c r="M122" s="140" t="n"/>
      <c r="N122" s="79">
        <f>-Assumption!#REF!</f>
        <v/>
      </c>
      <c r="O122" s="79">
        <f>-Assumption!#REF!</f>
        <v/>
      </c>
      <c r="P122" s="79">
        <f>-Assumption!#REF!</f>
        <v/>
      </c>
      <c r="Q122" s="79">
        <f>-Assumption!#REF!</f>
        <v/>
      </c>
      <c r="R122" s="79">
        <f>-Assumption!#REF!</f>
        <v/>
      </c>
      <c r="S122" s="79">
        <f>-Assumption!#REF!</f>
        <v/>
      </c>
      <c r="T122" s="79">
        <f>-Assumption!#REF!</f>
        <v/>
      </c>
      <c r="U122" s="79">
        <f>-Assumption!#REF!</f>
        <v/>
      </c>
      <c r="V122" s="79">
        <f>-Assumption!#REF!</f>
        <v/>
      </c>
      <c r="W122" s="79">
        <f>-Assumption!#REF!</f>
        <v/>
      </c>
      <c r="X122" s="79">
        <f>-Assumption!B177</f>
        <v/>
      </c>
      <c r="Y122" s="79">
        <f>-Assumption!C177</f>
        <v/>
      </c>
      <c r="Z122" s="79">
        <f>-Assumption!D177</f>
        <v/>
      </c>
      <c r="AA122" s="79">
        <f>-Assumption!E177</f>
        <v/>
      </c>
      <c r="AB122" s="79">
        <f>-Assumption!F177</f>
        <v/>
      </c>
      <c r="AC122" s="79">
        <f>-Assumption!G177</f>
        <v/>
      </c>
      <c r="AD122" s="79">
        <f>-Assumption!H177</f>
        <v/>
      </c>
      <c r="AE122" s="79">
        <f>-Assumption!I177</f>
        <v/>
      </c>
      <c r="AF122" s="79">
        <f>-Assumption!J177</f>
        <v/>
      </c>
      <c r="AG122" s="79">
        <f>-Assumption!K177</f>
        <v/>
      </c>
      <c r="AH122" s="79">
        <f>-Assumption!L177</f>
        <v/>
      </c>
      <c r="AI122" s="79">
        <f>-Assumption!M177</f>
        <v/>
      </c>
      <c r="AJ122" s="79">
        <f>-Assumption!N177</f>
        <v/>
      </c>
      <c r="AK122" s="79">
        <f>-Assumption!O177</f>
        <v/>
      </c>
      <c r="AL122" s="79">
        <f>-Assumption!P177</f>
        <v/>
      </c>
      <c r="AM122" s="79">
        <f>-Assumption!Q177</f>
        <v/>
      </c>
      <c r="AN122" s="79">
        <f>-Assumption!R177</f>
        <v/>
      </c>
      <c r="AO122" s="79">
        <f>-Assumption!S177</f>
        <v/>
      </c>
      <c r="AP122" s="108" t="n"/>
    </row>
    <row r="123">
      <c r="A123" s="74" t="inlineStr">
        <is>
          <t>Cash paid to acquire intangible assets</t>
        </is>
      </c>
      <c r="F123" s="141" t="n"/>
      <c r="M123" s="140" t="n"/>
      <c r="N123" s="79">
        <f>-Assumption!#REF!</f>
        <v/>
      </c>
      <c r="O123" s="79">
        <f>-Assumption!#REF!</f>
        <v/>
      </c>
      <c r="P123" s="79">
        <f>-Assumption!#REF!</f>
        <v/>
      </c>
      <c r="Q123" s="79">
        <f>-Assumption!#REF!</f>
        <v/>
      </c>
      <c r="R123" s="79">
        <f>-Assumption!#REF!</f>
        <v/>
      </c>
      <c r="S123" s="79">
        <f>-Assumption!#REF!</f>
        <v/>
      </c>
      <c r="T123" s="79">
        <f>-Assumption!#REF!</f>
        <v/>
      </c>
      <c r="U123" s="79">
        <f>-Assumption!#REF!</f>
        <v/>
      </c>
      <c r="V123" s="79">
        <f>-Assumption!#REF!</f>
        <v/>
      </c>
      <c r="W123" s="79">
        <f>-Assumption!#REF!</f>
        <v/>
      </c>
      <c r="X123" s="79">
        <f>-Assumption!#REF!</f>
        <v/>
      </c>
      <c r="Y123" s="79">
        <f>-Assumption!#REF!</f>
        <v/>
      </c>
      <c r="Z123" s="79">
        <f>-Assumption!#REF!</f>
        <v/>
      </c>
      <c r="AA123" s="79">
        <f>-Assumption!#REF!</f>
        <v/>
      </c>
      <c r="AB123" s="79">
        <f>-Assumption!#REF!</f>
        <v/>
      </c>
      <c r="AC123" s="79">
        <f>-Assumption!#REF!</f>
        <v/>
      </c>
      <c r="AD123" s="79">
        <f>-Assumption!#REF!</f>
        <v/>
      </c>
      <c r="AE123" s="79">
        <f>-Assumption!#REF!</f>
        <v/>
      </c>
      <c r="AF123" s="79">
        <f>-Assumption!#REF!</f>
        <v/>
      </c>
      <c r="AG123" s="79">
        <f>-Assumption!#REF!</f>
        <v/>
      </c>
      <c r="AH123" s="79">
        <f>-Assumption!#REF!</f>
        <v/>
      </c>
      <c r="AI123" s="79">
        <f>-Assumption!#REF!</f>
        <v/>
      </c>
      <c r="AJ123" s="79">
        <f>-Assumption!#REF!</f>
        <v/>
      </c>
      <c r="AK123" s="79">
        <f>-Assumption!#REF!</f>
        <v/>
      </c>
      <c r="AL123" s="79">
        <f>-Assumption!#REF!</f>
        <v/>
      </c>
      <c r="AM123" s="79">
        <f>-Assumption!#REF!</f>
        <v/>
      </c>
      <c r="AN123" s="79">
        <f>-Assumption!#REF!</f>
        <v/>
      </c>
      <c r="AO123" s="79">
        <f>-Assumption!#REF!</f>
        <v/>
      </c>
      <c r="AP123" s="108" t="n"/>
    </row>
    <row r="124">
      <c r="A124" s="74" t="inlineStr">
        <is>
          <t>Changes in prepaid land lease payments</t>
        </is>
      </c>
      <c r="F124" s="141" t="n"/>
      <c r="M124" s="140" t="n"/>
      <c r="N124" s="152">
        <f>-(N49-M49)</f>
        <v/>
      </c>
      <c r="O124" s="152">
        <f>-(O49-N49)</f>
        <v/>
      </c>
      <c r="P124" s="152">
        <f>-(P49-O49)</f>
        <v/>
      </c>
      <c r="Q124" s="152">
        <f>-(Q49-P49)</f>
        <v/>
      </c>
      <c r="R124" s="152">
        <f>-(R49-Q49)</f>
        <v/>
      </c>
      <c r="S124" s="152">
        <f>-(S49-R49)</f>
        <v/>
      </c>
      <c r="T124" s="152">
        <f>-(T49-S49)</f>
        <v/>
      </c>
      <c r="U124" s="152">
        <f>-(U49-T49)</f>
        <v/>
      </c>
      <c r="V124" s="152">
        <f>-(V49-U49)</f>
        <v/>
      </c>
      <c r="W124" s="152">
        <f>-(W49-V49)</f>
        <v/>
      </c>
      <c r="X124" s="152">
        <f>-(X49-W49)</f>
        <v/>
      </c>
      <c r="Y124" s="152">
        <f>-(Y49-X49)</f>
        <v/>
      </c>
      <c r="Z124" s="152">
        <f>-(Z49-Y49)</f>
        <v/>
      </c>
      <c r="AA124" s="152">
        <f>-(AA49-Z49)</f>
        <v/>
      </c>
      <c r="AB124" s="152">
        <f>-(AB49-AA49)</f>
        <v/>
      </c>
      <c r="AC124" s="152">
        <f>-(AC49-AB49)</f>
        <v/>
      </c>
      <c r="AD124" s="152">
        <f>-(AD49-AC49)</f>
        <v/>
      </c>
      <c r="AE124" s="152">
        <f>-(AE49-AD49)</f>
        <v/>
      </c>
      <c r="AF124" s="152">
        <f>-(AF49-AE49)</f>
        <v/>
      </c>
      <c r="AG124" s="152">
        <f>-(AG49-AF49)</f>
        <v/>
      </c>
      <c r="AH124" s="152">
        <f>-(AH49-AG49)</f>
        <v/>
      </c>
      <c r="AI124" s="152">
        <f>-(AI49-AH49)</f>
        <v/>
      </c>
      <c r="AJ124" s="152">
        <f>-(AJ49-AI49)</f>
        <v/>
      </c>
      <c r="AK124" s="152">
        <f>-(AK49-AJ49)</f>
        <v/>
      </c>
      <c r="AL124" s="152">
        <f>-(AL49-AK49)</f>
        <v/>
      </c>
      <c r="AM124" s="152">
        <f>-(AM49-AL49)</f>
        <v/>
      </c>
      <c r="AN124" s="152">
        <f>-(AN49-AM49)</f>
        <v/>
      </c>
      <c r="AO124" s="152">
        <f>-(AO49-AN49)</f>
        <v/>
      </c>
      <c r="AP124" s="108" t="n"/>
    </row>
    <row r="125">
      <c r="A125" s="74" t="inlineStr">
        <is>
          <t>Increase in investments</t>
        </is>
      </c>
      <c r="F125" s="141" t="n"/>
      <c r="M125" s="76" t="n"/>
      <c r="N125" s="86">
        <f>-(N44-M44)+(N78-M78)-(N52-M52)-(N55-M55)+(N66-M66)</f>
        <v/>
      </c>
      <c r="O125" s="86">
        <f>-(O44-N44)+(O78-N78)-(O52-N52)-(O55-N55)+(O66-N66)</f>
        <v/>
      </c>
      <c r="P125" s="86">
        <f>-(P44-O44)+(P78-O78)-(P52-O52)-(P55-O55)+(P66-O66)</f>
        <v/>
      </c>
      <c r="Q125" s="86">
        <f>-(Q44-P44)+(Q78-P78)-(Q52-P52)-(Q55-P55)+(Q66-P66)</f>
        <v/>
      </c>
      <c r="R125" s="86">
        <f>-(R44-Q44)+(R78-Q78)-(R52-Q52)-(R55-Q55)+(R66-Q66)</f>
        <v/>
      </c>
      <c r="S125" s="86">
        <f>-(S44-R44)+(S78-R78)-(S52-R52)-(S55-R55)+(S66-R66)</f>
        <v/>
      </c>
      <c r="T125" s="86">
        <f>-(T44-S44)+(T78-S78)-(T52-S52)-(T55-S55)+(T66-S66)</f>
        <v/>
      </c>
      <c r="U125" s="86">
        <f>-(U44-T44)+(U78-T78)-(U52-T52)-(U55-T55)+(U66-T66)</f>
        <v/>
      </c>
      <c r="V125" s="86">
        <f>-(V44-U44)+(V78-U78)-(V52-U52)-(V55-U55)+(V66-U66)</f>
        <v/>
      </c>
      <c r="W125" s="86">
        <f>-(W44-V44)+(W78-V78)-(W52-V52)-(W55-V55)+(W66-V66)</f>
        <v/>
      </c>
      <c r="X125" s="86">
        <f>-(X44-W44)+(X78-W78)-(X52-W52)-(X55-W55)+(X66-W66)</f>
        <v/>
      </c>
      <c r="Y125" s="86">
        <f>-(Y44-X44)+(Y78-X78)-(Y52-X52)-(Y55-X55)+(Y66-X66)</f>
        <v/>
      </c>
      <c r="Z125" s="86">
        <f>-(Z44-Y44)+(Z78-Y78)-(Z52-Y52)-(Z55-Y55)+(Z66-Y66)</f>
        <v/>
      </c>
      <c r="AA125" s="86">
        <f>-(AA44-Z44)+(AA78-Z78)-(AA52-Z52)-(AA55-Z55)+(AA66-Z66)</f>
        <v/>
      </c>
      <c r="AB125" s="86">
        <f>-(AB44-AA44)+(AB78-AA78)-(AB52-AA52)-(AB55-AA55)+(AB66-AA66)</f>
        <v/>
      </c>
      <c r="AC125" s="86">
        <f>-(AC44-AB44)+(AC78-AB78)-(AC52-AB52)-(AC55-AB55)+(AC66-AB66)</f>
        <v/>
      </c>
      <c r="AD125" s="86">
        <f>-(AD44-AC44)+(AD78-AC78)-(AD52-AC52)-(AD55-AC55)+(AD66-AC66)</f>
        <v/>
      </c>
      <c r="AE125" s="86">
        <f>-(AE44-AD44)+(AE78-AD78)-(AE52-AD52)-(AE55-AD55)+(AE66-AD66)</f>
        <v/>
      </c>
      <c r="AF125" s="86">
        <f>-(AF44-AE44)+(AF78-AE78)-(AF52-AE52)-(AF55-AE55)+(AF66-AE66)</f>
        <v/>
      </c>
      <c r="AG125" s="86">
        <f>-(AG44-AF44)+(AG78-AF78)-(AG52-AF52)-(AG55-AF55)+(AG66-AF66)</f>
        <v/>
      </c>
      <c r="AH125" s="86">
        <f>-(AH44-AG44)+(AH78-AG78)-(AH52-AG52)-(AH55-AG55)+(AH66-AG66)</f>
        <v/>
      </c>
      <c r="AI125" s="86">
        <f>-(AI44-AH44)+(AI78-AH78)-(AI52-AH52)-(AI55-AH55)+(AI66-AH66)</f>
        <v/>
      </c>
      <c r="AJ125" s="86">
        <f>-(AJ44-AI44)+(AJ78-AI78)-(AJ52-AI52)-(AJ55-AI55)+(AJ66-AI66)</f>
        <v/>
      </c>
      <c r="AK125" s="86">
        <f>-(AK44-AJ44)+(AK78-AJ78)-(AK52-AJ52)-(AK55-AJ55)+(AK66-AJ66)</f>
        <v/>
      </c>
      <c r="AL125" s="86">
        <f>-(AL44-AK44)+(AL78-AK78)-(AL52-AK52)-(AL55-AK55)+(AL66-AK66)</f>
        <v/>
      </c>
      <c r="AM125" s="86">
        <f>-(AM44-AL44)+(AM78-AL78)-(AM52-AL52)-(AM55-AL55)+(AM66-AL66)</f>
        <v/>
      </c>
      <c r="AN125" s="86">
        <f>-(AN44-AM44)+(AN78-AM78)-(AN52-AM52)-(AN55-AM55)+(AN66-AM66)</f>
        <v/>
      </c>
      <c r="AO125" s="86">
        <f>-(AO44-AN44)+(AO78-AN78)-(AO52-AN52)-(AO55-AN55)+(AO66-AN66)</f>
        <v/>
      </c>
      <c r="AP125" s="108" t="n"/>
    </row>
    <row r="126">
      <c r="A126" s="74" t="inlineStr">
        <is>
          <t>Finance income / (costs)</t>
        </is>
      </c>
      <c r="F126" s="141" t="n"/>
      <c r="M126" s="76" t="n"/>
      <c r="N126" s="86">
        <f>-N106</f>
        <v/>
      </c>
      <c r="O126" s="86">
        <f>-O106</f>
        <v/>
      </c>
      <c r="P126" s="86">
        <f>-P106</f>
        <v/>
      </c>
      <c r="Q126" s="86">
        <f>-Q106</f>
        <v/>
      </c>
      <c r="R126" s="86">
        <f>-R106</f>
        <v/>
      </c>
      <c r="S126" s="86">
        <f>-S106</f>
        <v/>
      </c>
      <c r="T126" s="86">
        <f>-T106</f>
        <v/>
      </c>
      <c r="U126" s="86">
        <f>-U106</f>
        <v/>
      </c>
      <c r="V126" s="86">
        <f>-V106</f>
        <v/>
      </c>
      <c r="W126" s="86">
        <f>-W106</f>
        <v/>
      </c>
      <c r="X126" s="86">
        <f>-X106</f>
        <v/>
      </c>
      <c r="Y126" s="86">
        <f>-Y106</f>
        <v/>
      </c>
      <c r="Z126" s="86">
        <f>-Z106</f>
        <v/>
      </c>
      <c r="AA126" s="86">
        <f>-AA106</f>
        <v/>
      </c>
      <c r="AB126" s="86">
        <f>-AB106</f>
        <v/>
      </c>
      <c r="AC126" s="86">
        <f>-AC106</f>
        <v/>
      </c>
      <c r="AD126" s="86">
        <f>-AD106</f>
        <v/>
      </c>
      <c r="AE126" s="86">
        <f>-AE106</f>
        <v/>
      </c>
      <c r="AF126" s="86">
        <f>-AF106</f>
        <v/>
      </c>
      <c r="AG126" s="86">
        <f>-AG106</f>
        <v/>
      </c>
      <c r="AH126" s="86">
        <f>-AH106</f>
        <v/>
      </c>
      <c r="AI126" s="86">
        <f>-AI106</f>
        <v/>
      </c>
      <c r="AJ126" s="86">
        <f>-AJ106</f>
        <v/>
      </c>
      <c r="AK126" s="86">
        <f>-AK106</f>
        <v/>
      </c>
      <c r="AL126" s="86">
        <f>-AL106</f>
        <v/>
      </c>
      <c r="AM126" s="86">
        <f>-AM106</f>
        <v/>
      </c>
      <c r="AN126" s="86">
        <f>-AN106</f>
        <v/>
      </c>
      <c r="AO126" s="86">
        <f>-AO106</f>
        <v/>
      </c>
      <c r="AP126" s="108" t="n"/>
    </row>
    <row r="127">
      <c r="A127" s="74">
        <f>+A21</f>
        <v/>
      </c>
      <c r="F127" s="141" t="n"/>
      <c r="M127" s="76" t="n"/>
      <c r="N127" s="86">
        <f>+N21</f>
        <v/>
      </c>
      <c r="O127" s="86">
        <f>+O21</f>
        <v/>
      </c>
      <c r="P127" s="86">
        <f>+P21</f>
        <v/>
      </c>
      <c r="Q127" s="86">
        <f>+Q21</f>
        <v/>
      </c>
      <c r="R127" s="86">
        <f>+R21</f>
        <v/>
      </c>
      <c r="S127" s="86">
        <f>+S21</f>
        <v/>
      </c>
      <c r="T127" s="86">
        <f>+T21</f>
        <v/>
      </c>
      <c r="U127" s="86">
        <f>+U21</f>
        <v/>
      </c>
      <c r="V127" s="86">
        <f>+V21</f>
        <v/>
      </c>
      <c r="W127" s="86">
        <f>+W21</f>
        <v/>
      </c>
      <c r="X127" s="86">
        <f>+X21</f>
        <v/>
      </c>
      <c r="Y127" s="86">
        <f>+Y21</f>
        <v/>
      </c>
      <c r="Z127" s="86">
        <f>+Z21</f>
        <v/>
      </c>
      <c r="AA127" s="86">
        <f>+AA21</f>
        <v/>
      </c>
      <c r="AB127" s="86">
        <f>+AB21</f>
        <v/>
      </c>
      <c r="AC127" s="86">
        <f>+AC21</f>
        <v/>
      </c>
      <c r="AD127" s="86">
        <f>+AD21</f>
        <v/>
      </c>
      <c r="AE127" s="86">
        <f>+AE21</f>
        <v/>
      </c>
      <c r="AF127" s="86">
        <f>+AF21</f>
        <v/>
      </c>
      <c r="AG127" s="86">
        <f>+AG21</f>
        <v/>
      </c>
      <c r="AH127" s="86">
        <f>+AH21</f>
        <v/>
      </c>
      <c r="AI127" s="86">
        <f>+AI21</f>
        <v/>
      </c>
      <c r="AJ127" s="86">
        <f>+AJ21</f>
        <v/>
      </c>
      <c r="AK127" s="86">
        <f>+AK21</f>
        <v/>
      </c>
      <c r="AL127" s="86">
        <f>+AL21</f>
        <v/>
      </c>
      <c r="AM127" s="86">
        <f>+AM21</f>
        <v/>
      </c>
      <c r="AN127" s="86">
        <f>+AN21</f>
        <v/>
      </c>
      <c r="AO127" s="86">
        <f>+AO21</f>
        <v/>
      </c>
      <c r="AP127" s="108" t="n"/>
    </row>
    <row r="128">
      <c r="A128" s="74" t="inlineStr">
        <is>
          <t>Other Income</t>
        </is>
      </c>
      <c r="F128" s="141" t="n"/>
      <c r="M128" s="76" t="n"/>
      <c r="N128" s="86">
        <f>-N107</f>
        <v/>
      </c>
      <c r="O128" s="86">
        <f>-O107</f>
        <v/>
      </c>
      <c r="P128" s="86">
        <f>-P107</f>
        <v/>
      </c>
      <c r="Q128" s="86">
        <f>-Q107</f>
        <v/>
      </c>
      <c r="R128" s="86">
        <f>-R107</f>
        <v/>
      </c>
      <c r="S128" s="86">
        <f>-S107</f>
        <v/>
      </c>
      <c r="T128" s="86">
        <f>-T107</f>
        <v/>
      </c>
      <c r="U128" s="86">
        <f>-U107</f>
        <v/>
      </c>
      <c r="V128" s="86">
        <f>-V107</f>
        <v/>
      </c>
      <c r="W128" s="86">
        <f>-W107</f>
        <v/>
      </c>
      <c r="X128" s="86">
        <f>-X107</f>
        <v/>
      </c>
      <c r="Y128" s="86">
        <f>-Y107</f>
        <v/>
      </c>
      <c r="Z128" s="86">
        <f>-Z107</f>
        <v/>
      </c>
      <c r="AA128" s="86">
        <f>-AA107</f>
        <v/>
      </c>
      <c r="AB128" s="86">
        <f>-AB107</f>
        <v/>
      </c>
      <c r="AC128" s="86">
        <f>-AC107</f>
        <v/>
      </c>
      <c r="AD128" s="86">
        <f>-AD107</f>
        <v/>
      </c>
      <c r="AE128" s="86">
        <f>-AE107</f>
        <v/>
      </c>
      <c r="AF128" s="86">
        <f>-AF107</f>
        <v/>
      </c>
      <c r="AG128" s="86">
        <f>-AG107</f>
        <v/>
      </c>
      <c r="AH128" s="86">
        <f>-AH107</f>
        <v/>
      </c>
      <c r="AI128" s="86">
        <f>-AI107</f>
        <v/>
      </c>
      <c r="AJ128" s="86">
        <f>-AJ107</f>
        <v/>
      </c>
      <c r="AK128" s="86">
        <f>-AK107</f>
        <v/>
      </c>
      <c r="AL128" s="86">
        <f>-AL107</f>
        <v/>
      </c>
      <c r="AM128" s="86">
        <f>-AM107</f>
        <v/>
      </c>
      <c r="AN128" s="86">
        <f>-AN107</f>
        <v/>
      </c>
      <c r="AO128" s="86">
        <f>-AO107</f>
        <v/>
      </c>
      <c r="AP128" s="108" t="n"/>
    </row>
    <row r="129">
      <c r="A129" t="inlineStr">
        <is>
          <t>Adjustments for historical</t>
        </is>
      </c>
      <c r="F129" s="141" t="n"/>
      <c r="M129" s="76" t="n"/>
      <c r="N129" s="80">
        <f>IF(N$2=1,#REF!,#REF!-#REF!)-SUM(N122:N128)</f>
        <v/>
      </c>
      <c r="O129" s="80">
        <f>IF(O$2=1,#REF!,#REF!-#REF!)-SUM(O122:O128)</f>
        <v/>
      </c>
      <c r="P129" s="80">
        <f>IF(P$2=1,#REF!,#REF!-#REF!)-SUM(P122:P128)</f>
        <v/>
      </c>
      <c r="Q129" s="80">
        <f>IF(Q$2=1,#REF!,#REF!-#REF!)-SUM(Q122:Q128)</f>
        <v/>
      </c>
      <c r="R129" s="80">
        <f>IF(R$2=1,#REF!,#REF!-#REF!)-SUM(R122:R128)</f>
        <v/>
      </c>
      <c r="S129" s="80">
        <f>IF(S$2=1,#REF!,#REF!-#REF!)-SUM(S122:S128)</f>
        <v/>
      </c>
      <c r="T129" s="80">
        <f>IF(T$2=1,#REF!,#REF!-#REF!)-SUM(T122:T128)</f>
        <v/>
      </c>
      <c r="U129" s="80">
        <f>IF(U$2=1,#REF!,#REF!-#REF!)-SUM(U122:U128)</f>
        <v/>
      </c>
      <c r="V129" s="80">
        <f>IF(V$2=1,#REF!,#REF!-#REF!)-SUM(V122:V128)</f>
        <v/>
      </c>
      <c r="W129" s="80">
        <f>IF(W$2=1,#REF!,#REF!-#REF!)-SUM(W122:W128)</f>
        <v/>
      </c>
      <c r="X129" s="80">
        <f>IF(X$2=1,#REF!,#REF!-#REF!)-SUM(X122:X128)</f>
        <v/>
      </c>
      <c r="Y129" s="80">
        <f>IF(Y$2=1,#REF!,#REF!-#REF!)-SUM(Y122:Y128)</f>
        <v/>
      </c>
      <c r="Z129" s="80">
        <f>IF(Z$2=1,#REF!,#REF!-#REF!)-SUM(Z122:Z128)</f>
        <v/>
      </c>
      <c r="AA129" s="80">
        <f>IF(AA$2=1,#REF!,#REF!-#REF!)-SUM(AA122:AA128)</f>
        <v/>
      </c>
      <c r="AB129" s="80">
        <f>IF(AB$2=1,#REF!,#REF!-#REF!)-SUM(AB122:AB128)</f>
        <v/>
      </c>
      <c r="AC129" s="80">
        <f>IF(AC$2=1,#REF!,#REF!-#REF!)-SUM(AC122:AC128)</f>
        <v/>
      </c>
      <c r="AD129" s="76" t="n"/>
      <c r="AE129" s="76" t="n"/>
      <c r="AF129" s="76" t="n"/>
      <c r="AG129" s="76" t="n"/>
      <c r="AH129" s="76" t="n"/>
      <c r="AI129" s="76" t="n"/>
      <c r="AJ129" s="76" t="n"/>
      <c r="AK129" s="76" t="n"/>
      <c r="AL129" s="76" t="n"/>
      <c r="AM129" s="76" t="n"/>
      <c r="AN129" s="76" t="n"/>
      <c r="AO129" s="76" t="n"/>
      <c r="AP129" s="108" t="n"/>
    </row>
    <row r="130" customFormat="1" s="22">
      <c r="A130" s="22" t="inlineStr">
        <is>
          <t>Net cash flows used in investing activities</t>
        </is>
      </c>
      <c r="F130" s="148" t="n"/>
      <c r="M130" s="122" t="n"/>
      <c r="N130" s="121">
        <f>SUM(N122:N129)</f>
        <v/>
      </c>
      <c r="O130" s="121">
        <f>SUM(O122:O129)</f>
        <v/>
      </c>
      <c r="P130" s="121">
        <f>SUM(P122:P129)</f>
        <v/>
      </c>
      <c r="Q130" s="121">
        <f>SUM(Q122:Q129)</f>
        <v/>
      </c>
      <c r="R130" s="121">
        <f>SUM(R122:R129)</f>
        <v/>
      </c>
      <c r="S130" s="121">
        <f>SUM(S122:S129)</f>
        <v/>
      </c>
      <c r="T130" s="121">
        <f>SUM(T122:T129)</f>
        <v/>
      </c>
      <c r="U130" s="121">
        <f>SUM(U122:U129)</f>
        <v/>
      </c>
      <c r="V130" s="121">
        <f>SUM(V122:V129)</f>
        <v/>
      </c>
      <c r="W130" s="121">
        <f>SUM(W122:W129)</f>
        <v/>
      </c>
      <c r="X130" s="121">
        <f>SUM(X122:X129)</f>
        <v/>
      </c>
      <c r="Y130" s="121">
        <f>SUM(Y122:Y129)</f>
        <v/>
      </c>
      <c r="Z130" s="121">
        <f>SUM(Z122:Z129)</f>
        <v/>
      </c>
      <c r="AA130" s="121">
        <f>SUM(AA122:AA129)</f>
        <v/>
      </c>
      <c r="AB130" s="121">
        <f>SUM(AB122:AB129)</f>
        <v/>
      </c>
      <c r="AC130" s="121">
        <f>SUM(AC122:AC129)</f>
        <v/>
      </c>
      <c r="AD130" s="121">
        <f>SUM(AD122:AD128)</f>
        <v/>
      </c>
      <c r="AE130" s="121">
        <f>SUM(AE122:AE128)</f>
        <v/>
      </c>
      <c r="AF130" s="121">
        <f>SUM(AF122:AF128)</f>
        <v/>
      </c>
      <c r="AG130" s="121">
        <f>SUM(AG122:AG128)</f>
        <v/>
      </c>
      <c r="AH130" s="121">
        <f>SUM(AH122:AH128)</f>
        <v/>
      </c>
      <c r="AI130" s="121">
        <f>SUM(AI122:AI128)</f>
        <v/>
      </c>
      <c r="AJ130" s="121">
        <f>SUM(AJ122:AJ128)</f>
        <v/>
      </c>
      <c r="AK130" s="121">
        <f>SUM(AK122:AK128)</f>
        <v/>
      </c>
      <c r="AL130" s="121">
        <f>SUM(AL122:AL128)</f>
        <v/>
      </c>
      <c r="AM130" s="121">
        <f>SUM(AM122:AM128)</f>
        <v/>
      </c>
      <c r="AN130" s="121">
        <f>SUM(AN122:AN128)</f>
        <v/>
      </c>
      <c r="AO130" s="121">
        <f>SUM(AO122:AO128)</f>
        <v/>
      </c>
      <c r="AP130" s="108" t="n"/>
    </row>
    <row r="131">
      <c r="M131" s="31" t="n"/>
      <c r="N131" s="31" t="n"/>
      <c r="O131" s="31" t="n"/>
      <c r="P131" s="31" t="n"/>
      <c r="Q131" s="31" t="n"/>
      <c r="R131" s="31" t="n"/>
      <c r="S131" s="31" t="n"/>
      <c r="T131" s="31" t="n"/>
      <c r="U131" s="31" t="n"/>
      <c r="V131" s="31" t="n"/>
      <c r="W131" s="31" t="n"/>
      <c r="X131" s="31" t="n"/>
      <c r="Y131" s="31" t="n"/>
      <c r="Z131" s="31" t="n"/>
      <c r="AA131" s="31" t="n"/>
      <c r="AB131" s="31" t="n"/>
      <c r="AC131" s="31" t="n"/>
      <c r="AD131" s="31" t="n"/>
      <c r="AE131" s="31" t="n"/>
      <c r="AF131" s="31" t="n"/>
      <c r="AG131" s="31" t="n"/>
      <c r="AH131" s="31" t="n"/>
      <c r="AI131" s="31" t="n"/>
      <c r="AJ131" s="31" t="n"/>
      <c r="AK131" s="31" t="n"/>
      <c r="AL131" s="31" t="n"/>
      <c r="AM131" s="31" t="n"/>
      <c r="AN131" s="31" t="n"/>
      <c r="AO131" s="31" t="n"/>
      <c r="AP131" s="108" t="n"/>
    </row>
    <row r="132">
      <c r="A132" s="77" t="inlineStr">
        <is>
          <t>Cash flows from financing activities</t>
        </is>
      </c>
      <c r="F132" s="147" t="n"/>
      <c r="M132" s="31" t="n"/>
      <c r="N132" s="31" t="n"/>
      <c r="O132" s="31" t="n"/>
      <c r="P132" s="31" t="n"/>
      <c r="Q132" s="31" t="n"/>
      <c r="R132" s="31" t="n"/>
      <c r="S132" s="31" t="n"/>
      <c r="T132" s="31" t="n"/>
      <c r="U132" s="31" t="n"/>
      <c r="V132" s="31" t="n"/>
      <c r="W132" s="31" t="n"/>
      <c r="X132" s="31" t="n"/>
      <c r="Y132" s="31" t="n"/>
      <c r="Z132" s="31" t="n"/>
      <c r="AA132" s="31" t="n"/>
      <c r="AB132" s="31" t="n"/>
      <c r="AC132" s="31" t="n"/>
      <c r="AD132" s="31" t="n"/>
      <c r="AE132" s="31" t="n"/>
      <c r="AF132" s="31" t="n"/>
      <c r="AG132" s="31" t="n"/>
      <c r="AH132" s="31" t="n"/>
      <c r="AI132" s="31" t="n"/>
      <c r="AJ132" s="31" t="n"/>
      <c r="AK132" s="31" t="n"/>
      <c r="AL132" s="31" t="n"/>
      <c r="AM132" s="31" t="n"/>
      <c r="AN132" s="31" t="n"/>
      <c r="AO132" s="31" t="n"/>
      <c r="AP132" s="108" t="n"/>
    </row>
    <row r="133">
      <c r="A133" s="74" t="inlineStr">
        <is>
          <t>Increase in borrowings</t>
        </is>
      </c>
      <c r="F133" s="141" t="n"/>
      <c r="M133" s="86">
        <f>+M63-L63+M73-L73</f>
        <v/>
      </c>
      <c r="N133" s="86">
        <f>+N63-M63+N73-M73</f>
        <v/>
      </c>
      <c r="O133" s="86">
        <f>+O63-N63+O73-N73</f>
        <v/>
      </c>
      <c r="P133" s="86">
        <f>+P63-O63+P73-O73</f>
        <v/>
      </c>
      <c r="Q133" s="86">
        <f>+Q63-P63+Q73-P73</f>
        <v/>
      </c>
      <c r="R133" s="86">
        <f>+R63-Q63+R73-Q73</f>
        <v/>
      </c>
      <c r="S133" s="86">
        <f>+S63-R63+S73-R73</f>
        <v/>
      </c>
      <c r="T133" s="86">
        <f>+T63-S63+T73-S73</f>
        <v/>
      </c>
      <c r="U133" s="86">
        <f>+U63-T63+U73-T73</f>
        <v/>
      </c>
      <c r="V133" s="86">
        <f>+V63-U63+V73-U73</f>
        <v/>
      </c>
      <c r="W133" s="86">
        <f>+W63-V63+W73-V73</f>
        <v/>
      </c>
      <c r="X133" s="86">
        <f>+X63-W63+X73-W73</f>
        <v/>
      </c>
      <c r="Y133" s="86">
        <f>+Y63-X63+Y73-X73</f>
        <v/>
      </c>
      <c r="Z133" s="86">
        <f>+Z63-Y63+Z73-Y73</f>
        <v/>
      </c>
      <c r="AA133" s="86">
        <f>+AA63-Z63+AA73-Z73</f>
        <v/>
      </c>
      <c r="AB133" s="86">
        <f>+AB63-AA63+AB73-AA73</f>
        <v/>
      </c>
      <c r="AC133" s="86">
        <f>+AC63-AB63+AC73-AB73</f>
        <v/>
      </c>
      <c r="AD133" s="86">
        <f>+AD63-AC63+AD73-AC73</f>
        <v/>
      </c>
      <c r="AE133" s="86">
        <f>+AE63-AD63+AE73-AD73</f>
        <v/>
      </c>
      <c r="AF133" s="86">
        <f>+AF63-AE63+AF73-AE73</f>
        <v/>
      </c>
      <c r="AG133" s="86">
        <f>+AG63-AF63+AG73-AF73</f>
        <v/>
      </c>
      <c r="AH133" s="86">
        <f>+AH63-AG63+AH73-AG73</f>
        <v/>
      </c>
      <c r="AI133" s="86">
        <f>+AI63-AH63+AI73-AH73</f>
        <v/>
      </c>
      <c r="AJ133" s="86">
        <f>+AJ63-AI63+AJ73-AI73</f>
        <v/>
      </c>
      <c r="AK133" s="86">
        <f>+AK63-AJ63+AK73-AJ73</f>
        <v/>
      </c>
      <c r="AL133" s="86">
        <f>+AL63-AK63+AL73-AK73</f>
        <v/>
      </c>
      <c r="AM133" s="86">
        <f>+AM63-AL63+AM73-AL73</f>
        <v/>
      </c>
      <c r="AN133" s="86">
        <f>+AN63-AM63+AN73-AM73</f>
        <v/>
      </c>
      <c r="AO133" s="86">
        <f>+AO63-AN63+AO73-AN73</f>
        <v/>
      </c>
      <c r="AP133" s="108" t="n"/>
    </row>
    <row r="134">
      <c r="A134" s="74" t="inlineStr">
        <is>
          <t>Convertible Bond issuance proceeds</t>
        </is>
      </c>
      <c r="F134" s="141" t="n"/>
      <c r="M134" s="86" t="n"/>
      <c r="N134" s="86" t="n"/>
      <c r="O134" s="86" t="n"/>
      <c r="P134" s="86" t="n"/>
      <c r="Q134" s="86" t="n"/>
      <c r="R134" s="86" t="n"/>
      <c r="S134" s="86" t="n"/>
      <c r="T134" s="86" t="n"/>
      <c r="U134" s="86" t="n"/>
      <c r="V134" s="86" t="n"/>
      <c r="W134" s="86" t="n"/>
      <c r="X134" s="86" t="n"/>
      <c r="Y134" s="86" t="n"/>
      <c r="Z134" s="86" t="n"/>
      <c r="AA134" s="86" t="n"/>
      <c r="AB134" s="86" t="n"/>
      <c r="AC134" s="86">
        <f>Assumption!#REF!</f>
        <v/>
      </c>
      <c r="AD134" s="86">
        <f>Assumption!#REF!</f>
        <v/>
      </c>
      <c r="AE134" s="86">
        <f>Assumption!#REF!</f>
        <v/>
      </c>
      <c r="AF134" s="86">
        <f>Assumption!#REF!</f>
        <v/>
      </c>
      <c r="AG134" s="86">
        <f>Assumption!#REF!</f>
        <v/>
      </c>
      <c r="AH134" s="86">
        <f>Assumption!#REF!</f>
        <v/>
      </c>
      <c r="AI134" s="86">
        <f>Assumption!#REF!</f>
        <v/>
      </c>
      <c r="AJ134" s="86">
        <f>Assumption!#REF!</f>
        <v/>
      </c>
      <c r="AK134" s="86">
        <f>Assumption!#REF!</f>
        <v/>
      </c>
      <c r="AL134" s="86">
        <f>Assumption!#REF!</f>
        <v/>
      </c>
      <c r="AM134" s="86">
        <f>Assumption!#REF!</f>
        <v/>
      </c>
      <c r="AN134" s="86">
        <f>Assumption!#REF!</f>
        <v/>
      </c>
      <c r="AO134" s="86">
        <f>Assumption!#REF!</f>
        <v/>
      </c>
      <c r="AP134" s="108" t="n"/>
    </row>
    <row r="135">
      <c r="A135" s="74" t="inlineStr">
        <is>
          <t>Share issuance proceeds</t>
        </is>
      </c>
      <c r="F135" s="141" t="n"/>
      <c r="M135" s="172" t="n"/>
      <c r="N135" s="172" t="n"/>
      <c r="O135" s="172" t="n"/>
      <c r="P135" s="172" t="n"/>
      <c r="Q135" s="172" t="n"/>
      <c r="R135" s="172" t="n"/>
      <c r="S135" s="172" t="n"/>
      <c r="T135" s="172" t="n"/>
      <c r="U135" s="172" t="n"/>
      <c r="V135" s="172" t="n"/>
      <c r="W135" s="172" t="n"/>
      <c r="X135" s="172" t="n"/>
      <c r="Y135" s="172" t="n"/>
      <c r="Z135" s="172" t="n"/>
      <c r="AA135" s="172" t="n"/>
      <c r="AB135" s="172" t="n"/>
      <c r="AC135" s="86">
        <f>+Assumption!#REF!+Assumption!#REF!</f>
        <v/>
      </c>
      <c r="AD135" s="86">
        <f>+Assumption!#REF!+Assumption!#REF!</f>
        <v/>
      </c>
      <c r="AE135" s="86">
        <f>+Assumption!#REF!+Assumption!#REF!</f>
        <v/>
      </c>
      <c r="AF135" s="86">
        <f>+Assumption!#REF!+Assumption!#REF!</f>
        <v/>
      </c>
      <c r="AG135" s="86">
        <f>+Assumption!#REF!+Assumption!#REF!</f>
        <v/>
      </c>
      <c r="AH135" s="86">
        <f>+Assumption!#REF!+Assumption!#REF!</f>
        <v/>
      </c>
      <c r="AI135" s="86">
        <f>+Assumption!#REF!+Assumption!#REF!</f>
        <v/>
      </c>
      <c r="AJ135" s="86">
        <f>+Assumption!#REF!+Assumption!#REF!</f>
        <v/>
      </c>
      <c r="AK135" s="86">
        <f>+Assumption!#REF!+Assumption!#REF!</f>
        <v/>
      </c>
      <c r="AL135" s="86">
        <f>+Assumption!#REF!+Assumption!#REF!</f>
        <v/>
      </c>
      <c r="AM135" s="86">
        <f>+Assumption!#REF!+Assumption!#REF!</f>
        <v/>
      </c>
      <c r="AN135" s="86">
        <f>+Assumption!#REF!+Assumption!#REF!</f>
        <v/>
      </c>
      <c r="AO135" s="86">
        <f>+Assumption!#REF!+Assumption!#REF!</f>
        <v/>
      </c>
      <c r="AP135" s="108" t="n"/>
    </row>
    <row r="136">
      <c r="A136" s="74" t="inlineStr">
        <is>
          <t>Change in government grants</t>
        </is>
      </c>
      <c r="F136" s="141" t="n"/>
      <c r="M136" s="76" t="n"/>
      <c r="N136" s="86">
        <f>N75-M75</f>
        <v/>
      </c>
      <c r="O136" s="86">
        <f>O75-N75</f>
        <v/>
      </c>
      <c r="P136" s="86">
        <f>P75-O75</f>
        <v/>
      </c>
      <c r="Q136" s="86">
        <f>Q75-P75</f>
        <v/>
      </c>
      <c r="R136" s="86">
        <f>R75-Q75</f>
        <v/>
      </c>
      <c r="S136" s="86">
        <f>S75-R75</f>
        <v/>
      </c>
      <c r="T136" s="86">
        <f>T75-S75</f>
        <v/>
      </c>
      <c r="U136" s="86">
        <f>U75-T75</f>
        <v/>
      </c>
      <c r="V136" s="86">
        <f>V75-U75</f>
        <v/>
      </c>
      <c r="W136" s="86">
        <f>W75-V75</f>
        <v/>
      </c>
      <c r="X136" s="86">
        <f>X75-W75</f>
        <v/>
      </c>
      <c r="Y136" s="86">
        <f>Y75-X75</f>
        <v/>
      </c>
      <c r="Z136" s="86">
        <f>Z75-Y75</f>
        <v/>
      </c>
      <c r="AA136" s="86">
        <f>AA75-Z75</f>
        <v/>
      </c>
      <c r="AB136" s="86">
        <f>AB75-AA75</f>
        <v/>
      </c>
      <c r="AC136" s="86">
        <f>AC75-AB75</f>
        <v/>
      </c>
      <c r="AD136" s="86">
        <f>AD75-AC75</f>
        <v/>
      </c>
      <c r="AE136" s="86">
        <f>AE75-AD75</f>
        <v/>
      </c>
      <c r="AF136" s="86">
        <f>AF75-AE75</f>
        <v/>
      </c>
      <c r="AG136" s="86">
        <f>AG75-AF75</f>
        <v/>
      </c>
      <c r="AH136" s="86">
        <f>AH75-AG75</f>
        <v/>
      </c>
      <c r="AI136" s="86">
        <f>AI75-AH75</f>
        <v/>
      </c>
      <c r="AJ136" s="86">
        <f>AJ75-AI75</f>
        <v/>
      </c>
      <c r="AK136" s="86">
        <f>AK75-AJ75</f>
        <v/>
      </c>
      <c r="AL136" s="86">
        <f>AL75-AK75</f>
        <v/>
      </c>
      <c r="AM136" s="86">
        <f>AM75-AL75</f>
        <v/>
      </c>
      <c r="AN136" s="86">
        <f>AN75-AM75</f>
        <v/>
      </c>
      <c r="AO136" s="86">
        <f>AO75-AN75</f>
        <v/>
      </c>
      <c r="AP136" s="108" t="n"/>
    </row>
    <row r="137">
      <c r="A137" s="74" t="inlineStr">
        <is>
          <t>Dividends paid</t>
        </is>
      </c>
      <c r="F137" s="141" t="n"/>
      <c r="M137" s="80">
        <f>Assumption!#REF!</f>
        <v/>
      </c>
      <c r="N137" s="80">
        <f>Assumption!#REF!</f>
        <v/>
      </c>
      <c r="O137" s="80">
        <f>Assumption!#REF!</f>
        <v/>
      </c>
      <c r="P137" s="80">
        <f>Assumption!#REF!</f>
        <v/>
      </c>
      <c r="Q137" s="80">
        <f>Assumption!#REF!</f>
        <v/>
      </c>
      <c r="R137" s="80">
        <f>Assumption!#REF!</f>
        <v/>
      </c>
      <c r="S137" s="80">
        <f>Assumption!#REF!</f>
        <v/>
      </c>
      <c r="T137" s="80">
        <f>Assumption!#REF!</f>
        <v/>
      </c>
      <c r="U137" s="80">
        <f>Assumption!#REF!</f>
        <v/>
      </c>
      <c r="V137" s="80">
        <f>Assumption!#REF!</f>
        <v/>
      </c>
      <c r="W137" s="80">
        <f>Assumption!#REF!</f>
        <v/>
      </c>
      <c r="X137" s="80">
        <f>Assumption!B233</f>
        <v/>
      </c>
      <c r="Y137" s="80">
        <f>Assumption!C233</f>
        <v/>
      </c>
      <c r="Z137" s="80">
        <f>Assumption!D233</f>
        <v/>
      </c>
      <c r="AA137" s="80">
        <f>Assumption!E233</f>
        <v/>
      </c>
      <c r="AB137" s="80">
        <f>Assumption!F233</f>
        <v/>
      </c>
      <c r="AC137" s="80">
        <f>Assumption!G233</f>
        <v/>
      </c>
      <c r="AD137" s="80">
        <f>Assumption!H233</f>
        <v/>
      </c>
      <c r="AE137" s="80">
        <f>Assumption!I233</f>
        <v/>
      </c>
      <c r="AF137" s="80">
        <f>Assumption!J233</f>
        <v/>
      </c>
      <c r="AG137" s="80">
        <f>Assumption!K233</f>
        <v/>
      </c>
      <c r="AH137" s="80">
        <f>Assumption!L233</f>
        <v/>
      </c>
      <c r="AI137" s="80">
        <f>Assumption!M233</f>
        <v/>
      </c>
      <c r="AJ137" s="80">
        <f>Assumption!N233</f>
        <v/>
      </c>
      <c r="AK137" s="80">
        <f>Assumption!O233</f>
        <v/>
      </c>
      <c r="AL137" s="80">
        <f>Assumption!P233</f>
        <v/>
      </c>
      <c r="AM137" s="80">
        <f>Assumption!Q233</f>
        <v/>
      </c>
      <c r="AN137" s="80">
        <f>Assumption!R233</f>
        <v/>
      </c>
      <c r="AO137" s="80">
        <f>Assumption!S233</f>
        <v/>
      </c>
      <c r="AP137" s="108" t="n"/>
    </row>
    <row r="138">
      <c r="A138" t="inlineStr">
        <is>
          <t>Adjustments for historical</t>
        </is>
      </c>
      <c r="F138" s="141" t="n"/>
      <c r="M138" s="76" t="n"/>
      <c r="N138" s="80">
        <f>IF(N$2=1,#REF!,#REF!-#REF!)-SUM(N133:N137)</f>
        <v/>
      </c>
      <c r="O138" s="80">
        <f>IF(O$2=1,#REF!,#REF!-#REF!)-SUM(O133:O137)</f>
        <v/>
      </c>
      <c r="P138" s="80">
        <f>IF(P$2=1,#REF!,#REF!-#REF!)-SUM(P133:P137)</f>
        <v/>
      </c>
      <c r="Q138" s="80">
        <f>IF(Q$2=1,#REF!,#REF!-#REF!)-SUM(Q133:Q137)</f>
        <v/>
      </c>
      <c r="R138" s="80">
        <f>IF(R$2=1,#REF!,#REF!-#REF!)-SUM(R133:R137)</f>
        <v/>
      </c>
      <c r="S138" s="80">
        <f>IF(S$2=1,#REF!,#REF!-#REF!)-SUM(S133:S137)</f>
        <v/>
      </c>
      <c r="T138" s="80">
        <f>IF(T$2=1,#REF!,#REF!-#REF!)-SUM(T133:T137)</f>
        <v/>
      </c>
      <c r="U138" s="80">
        <f>IF(U$2=1,#REF!,#REF!-#REF!)-SUM(U133:U137)</f>
        <v/>
      </c>
      <c r="V138" s="80">
        <f>IF(V$2=1,#REF!,#REF!-#REF!)-SUM(V133:V137)</f>
        <v/>
      </c>
      <c r="W138" s="80">
        <f>IF(W$2=1,#REF!,#REF!-#REF!)-SUM(W133:W137)</f>
        <v/>
      </c>
      <c r="X138" s="80">
        <f>IF(X$2=1,#REF!,#REF!-#REF!)-SUM(X133:X137)</f>
        <v/>
      </c>
      <c r="Y138" s="80">
        <f>IF(Y$2=1,#REF!,#REF!-#REF!)-SUM(Y133:Y137)</f>
        <v/>
      </c>
      <c r="Z138" s="80">
        <f>IF(Z$2=1,#REF!,#REF!-#REF!)-SUM(Z133:Z137)</f>
        <v/>
      </c>
      <c r="AA138" s="80">
        <f>IF(AA$2=1,#REF!,#REF!-#REF!)-SUM(AA133:AA137)</f>
        <v/>
      </c>
      <c r="AB138" s="80">
        <f>IF(AB$2=1,#REF!,#REF!-#REF!)-SUM(AB133:AB137)</f>
        <v/>
      </c>
      <c r="AC138" s="80">
        <f>IF(AC$2=1,#REF!,#REF!-#REF!)-SUM(AC133:AC137)</f>
        <v/>
      </c>
      <c r="AD138" s="76" t="n"/>
      <c r="AE138" s="76" t="n"/>
      <c r="AF138" s="76" t="n"/>
      <c r="AG138" s="76" t="n"/>
      <c r="AH138" s="76" t="n"/>
      <c r="AI138" s="76" t="n"/>
      <c r="AJ138" s="76" t="n"/>
      <c r="AK138" s="76" t="n"/>
      <c r="AL138" s="76" t="n"/>
      <c r="AM138" s="76" t="n"/>
      <c r="AN138" s="76" t="n"/>
      <c r="AO138" s="76" t="n"/>
      <c r="AP138" s="108" t="n"/>
    </row>
    <row r="139" customFormat="1" s="22">
      <c r="A139" s="22" t="inlineStr">
        <is>
          <t>Net cash flows (used in)/from financing activities</t>
        </is>
      </c>
      <c r="F139" s="148" t="n"/>
      <c r="M139" s="153">
        <f>IF(M$2=1,#REF!,#REF!-#REF!)</f>
        <v/>
      </c>
      <c r="N139" s="121">
        <f>SUM(N133:N138)</f>
        <v/>
      </c>
      <c r="O139" s="121">
        <f>SUM(O133:O138)</f>
        <v/>
      </c>
      <c r="P139" s="121">
        <f>SUM(P133:P138)</f>
        <v/>
      </c>
      <c r="Q139" s="121">
        <f>SUM(Q133:Q138)</f>
        <v/>
      </c>
      <c r="R139" s="121">
        <f>SUM(R133:R138)</f>
        <v/>
      </c>
      <c r="S139" s="121">
        <f>SUM(S133:S138)</f>
        <v/>
      </c>
      <c r="T139" s="121">
        <f>SUM(T133:T138)</f>
        <v/>
      </c>
      <c r="U139" s="121">
        <f>SUM(U133:U138)</f>
        <v/>
      </c>
      <c r="V139" s="121">
        <f>SUM(V133:V138)</f>
        <v/>
      </c>
      <c r="W139" s="121">
        <f>SUM(W133:W138)</f>
        <v/>
      </c>
      <c r="X139" s="121">
        <f>SUM(X133:X138)</f>
        <v/>
      </c>
      <c r="Y139" s="121">
        <f>SUM(Y133:Y138)</f>
        <v/>
      </c>
      <c r="Z139" s="121">
        <f>SUM(Z133:Z138)</f>
        <v/>
      </c>
      <c r="AA139" s="121">
        <f>SUM(AA133:AA138)</f>
        <v/>
      </c>
      <c r="AB139" s="121">
        <f>SUM(AB133:AB138)</f>
        <v/>
      </c>
      <c r="AC139" s="121">
        <f>SUM(AC133:AC138)</f>
        <v/>
      </c>
      <c r="AD139" s="121">
        <f>SUM(AD133:AD137)</f>
        <v/>
      </c>
      <c r="AE139" s="121">
        <f>SUM(AE133:AE137)</f>
        <v/>
      </c>
      <c r="AF139" s="121">
        <f>SUM(AF133:AF137)</f>
        <v/>
      </c>
      <c r="AG139" s="121">
        <f>SUM(AG133:AG137)</f>
        <v/>
      </c>
      <c r="AH139" s="121">
        <f>SUM(AH133:AH137)</f>
        <v/>
      </c>
      <c r="AI139" s="121">
        <f>SUM(AI133:AI137)</f>
        <v/>
      </c>
      <c r="AJ139" s="121">
        <f>SUM(AJ133:AJ137)</f>
        <v/>
      </c>
      <c r="AK139" s="121">
        <f>SUM(AK133:AK137)</f>
        <v/>
      </c>
      <c r="AL139" s="121">
        <f>SUM(AL133:AL137)</f>
        <v/>
      </c>
      <c r="AM139" s="121">
        <f>SUM(AM133:AM137)</f>
        <v/>
      </c>
      <c r="AN139" s="121">
        <f>SUM(AN133:AN137)</f>
        <v/>
      </c>
      <c r="AO139" s="121">
        <f>SUM(AO133:AO137)</f>
        <v/>
      </c>
      <c r="AP139" s="108" t="n"/>
    </row>
    <row r="140">
      <c r="F140" s="141" t="n"/>
      <c r="M140" s="31" t="n"/>
      <c r="N140" s="31" t="n"/>
      <c r="O140" s="31" t="n"/>
      <c r="P140" s="31" t="n"/>
      <c r="Q140" s="31" t="n"/>
      <c r="R140" s="31" t="n"/>
      <c r="S140" s="31" t="n"/>
      <c r="T140" s="31" t="n"/>
      <c r="U140" s="31" t="n"/>
      <c r="V140" s="31" t="n"/>
      <c r="W140" s="31" t="n"/>
      <c r="X140" s="31" t="n"/>
      <c r="Y140" s="31" t="n"/>
      <c r="Z140" s="31" t="n"/>
      <c r="AA140" s="31" t="n"/>
      <c r="AB140" s="31" t="n"/>
      <c r="AC140" s="31" t="n"/>
      <c r="AD140" s="31" t="n"/>
      <c r="AE140" s="31" t="n"/>
      <c r="AF140" s="31" t="n"/>
      <c r="AG140" s="31" t="n"/>
      <c r="AH140" s="31" t="n"/>
      <c r="AI140" s="31" t="n"/>
      <c r="AJ140" s="31" t="n"/>
      <c r="AK140" s="31" t="n"/>
      <c r="AL140" s="31" t="n"/>
      <c r="AM140" s="31" t="n"/>
      <c r="AN140" s="31" t="n"/>
      <c r="AO140" s="31" t="n"/>
      <c r="AP140" s="108" t="n"/>
    </row>
    <row r="141" customFormat="1" s="22">
      <c r="A141" s="22" t="inlineStr">
        <is>
          <t>Net (decrease)/increase in cash and cash equivalents</t>
        </is>
      </c>
      <c r="F141" s="148" t="n"/>
      <c r="M141" s="122" t="n"/>
      <c r="N141" s="121">
        <f>N119+N130+N139</f>
        <v/>
      </c>
      <c r="O141" s="121">
        <f>O119+O130+O139</f>
        <v/>
      </c>
      <c r="P141" s="121">
        <f>P119+P130+P139</f>
        <v/>
      </c>
      <c r="Q141" s="121">
        <f>Q119+Q130+Q139</f>
        <v/>
      </c>
      <c r="R141" s="121">
        <f>R119+R130+R139</f>
        <v/>
      </c>
      <c r="S141" s="121">
        <f>S119+S130+S139</f>
        <v/>
      </c>
      <c r="T141" s="121">
        <f>T119+T130+T139</f>
        <v/>
      </c>
      <c r="U141" s="121">
        <f>U119+U130+U139</f>
        <v/>
      </c>
      <c r="V141" s="121">
        <f>V119+V130+V139</f>
        <v/>
      </c>
      <c r="W141" s="121">
        <f>W119+W130+W139</f>
        <v/>
      </c>
      <c r="X141" s="121">
        <f>X119+X130+X139</f>
        <v/>
      </c>
      <c r="Y141" s="121">
        <f>Y119+Y130+Y139</f>
        <v/>
      </c>
      <c r="Z141" s="121">
        <f>Z119+Z130+Z139</f>
        <v/>
      </c>
      <c r="AA141" s="121">
        <f>AA119+AA130+AA139</f>
        <v/>
      </c>
      <c r="AB141" s="121">
        <f>AB119+AB130+AB139</f>
        <v/>
      </c>
      <c r="AC141" s="121">
        <f>AC119+AC130+AC139</f>
        <v/>
      </c>
      <c r="AD141" s="121">
        <f>AD119+AD130+AD139</f>
        <v/>
      </c>
      <c r="AE141" s="121">
        <f>AE119+AE130+AE139</f>
        <v/>
      </c>
      <c r="AF141" s="121">
        <f>AF119+AF130+AF139</f>
        <v/>
      </c>
      <c r="AG141" s="121">
        <f>AG119+AG130+AG139</f>
        <v/>
      </c>
      <c r="AH141" s="121">
        <f>AH119+AH130+AH139</f>
        <v/>
      </c>
      <c r="AI141" s="121">
        <f>AI119+AI130+AI139</f>
        <v/>
      </c>
      <c r="AJ141" s="121">
        <f>AJ119+AJ130+AJ139</f>
        <v/>
      </c>
      <c r="AK141" s="121">
        <f>AK119+AK130+AK139</f>
        <v/>
      </c>
      <c r="AL141" s="121">
        <f>AL119+AL130+AL139</f>
        <v/>
      </c>
      <c r="AM141" s="121">
        <f>AM119+AM130+AM139</f>
        <v/>
      </c>
      <c r="AN141" s="121">
        <f>AN119+AN130+AN139</f>
        <v/>
      </c>
      <c r="AO141" s="121">
        <f>AO119+AO130+AO139</f>
        <v/>
      </c>
      <c r="AP141" s="108" t="n"/>
    </row>
    <row r="142">
      <c r="A142" t="inlineStr">
        <is>
          <t>Cash and cash equivalents at beginning of Period</t>
        </is>
      </c>
      <c r="F142" s="141" t="n"/>
      <c r="M142" s="31" t="n"/>
      <c r="N142" s="86">
        <f>+M145</f>
        <v/>
      </c>
      <c r="O142" s="86">
        <f>+N145</f>
        <v/>
      </c>
      <c r="P142" s="86">
        <f>+O145</f>
        <v/>
      </c>
      <c r="Q142" s="86">
        <f>+P145</f>
        <v/>
      </c>
      <c r="R142" s="86">
        <f>+Q145</f>
        <v/>
      </c>
      <c r="S142" s="86">
        <f>+R145</f>
        <v/>
      </c>
      <c r="T142" s="86">
        <f>+S145</f>
        <v/>
      </c>
      <c r="U142" s="86">
        <f>+T145</f>
        <v/>
      </c>
      <c r="V142" s="86">
        <f>+U145</f>
        <v/>
      </c>
      <c r="W142" s="86">
        <f>+V145</f>
        <v/>
      </c>
      <c r="X142" s="86">
        <f>+W145</f>
        <v/>
      </c>
      <c r="Y142" s="86">
        <f>+X145</f>
        <v/>
      </c>
      <c r="Z142" s="86">
        <f>+Y145</f>
        <v/>
      </c>
      <c r="AA142" s="86">
        <f>+Z145</f>
        <v/>
      </c>
      <c r="AB142" s="86">
        <f>+AA145</f>
        <v/>
      </c>
      <c r="AC142" s="86">
        <f>+AB145</f>
        <v/>
      </c>
      <c r="AD142" s="86">
        <f>+AC145</f>
        <v/>
      </c>
      <c r="AE142" s="86">
        <f>+AD145</f>
        <v/>
      </c>
      <c r="AF142" s="86">
        <f>+AE145</f>
        <v/>
      </c>
      <c r="AG142" s="86">
        <f>+AF145</f>
        <v/>
      </c>
      <c r="AH142" s="86">
        <f>+AG145</f>
        <v/>
      </c>
      <c r="AI142" s="86">
        <f>+AH145</f>
        <v/>
      </c>
      <c r="AJ142" s="86">
        <f>+AI145</f>
        <v/>
      </c>
      <c r="AK142" s="86">
        <f>+AJ145</f>
        <v/>
      </c>
      <c r="AL142" s="86">
        <f>+AK145</f>
        <v/>
      </c>
      <c r="AM142" s="86">
        <f>+AL145</f>
        <v/>
      </c>
      <c r="AN142" s="86">
        <f>+AM145</f>
        <v/>
      </c>
      <c r="AO142" s="86">
        <f>+AN145</f>
        <v/>
      </c>
      <c r="AP142" s="108" t="n"/>
    </row>
    <row r="143">
      <c r="A143" t="inlineStr">
        <is>
          <t>Effect of foreign exchange rate changes</t>
        </is>
      </c>
      <c r="F143" s="141" t="n"/>
      <c r="M143" s="31" t="n"/>
      <c r="N143" s="80">
        <f>IF(N$2=1,#REF!,#REF!-#REF!)</f>
        <v/>
      </c>
      <c r="O143" s="80">
        <f>IF(O$2=1,#REF!,#REF!-#REF!)</f>
        <v/>
      </c>
      <c r="P143" s="80">
        <f>IF(P$2=1,#REF!,#REF!-#REF!)</f>
        <v/>
      </c>
      <c r="Q143" s="80">
        <f>IF(Q$2=1,#REF!,#REF!-#REF!)</f>
        <v/>
      </c>
      <c r="R143" s="80">
        <f>IF(R$2=1,#REF!,#REF!-#REF!)</f>
        <v/>
      </c>
      <c r="S143" s="80">
        <f>IF(S$2=1,#REF!,#REF!-#REF!)</f>
        <v/>
      </c>
      <c r="T143" s="80">
        <f>IF(T$2=1,#REF!,#REF!-#REF!)</f>
        <v/>
      </c>
      <c r="U143" s="80">
        <f>IF(U$2=1,#REF!,#REF!-#REF!)</f>
        <v/>
      </c>
      <c r="V143" s="80">
        <f>IF(V$2=1,#REF!,#REF!-#REF!)</f>
        <v/>
      </c>
      <c r="W143" s="80">
        <f>IF(W$2=1,#REF!,#REF!-#REF!)</f>
        <v/>
      </c>
      <c r="X143" s="80">
        <f>IF(X$2=1,#REF!,#REF!-#REF!)</f>
        <v/>
      </c>
      <c r="Y143" s="80">
        <f>IF(Y$2=1,#REF!,#REF!-#REF!)</f>
        <v/>
      </c>
      <c r="Z143" s="80">
        <f>IF(Z$2=1,#REF!,#REF!-#REF!)</f>
        <v/>
      </c>
      <c r="AA143" s="80">
        <f>IF(AA$2=1,#REF!,#REF!-#REF!)</f>
        <v/>
      </c>
      <c r="AB143" s="80">
        <f>IF(AB$2=1,#REF!,#REF!-#REF!)</f>
        <v/>
      </c>
      <c r="AC143" s="80">
        <f>IF(AC$2=1,#REF!,#REF!-#REF!)</f>
        <v/>
      </c>
      <c r="AD143" s="80" t="n"/>
      <c r="AE143" s="31" t="n"/>
      <c r="AF143" s="31" t="n"/>
      <c r="AG143" s="31" t="n"/>
      <c r="AH143" s="31" t="n"/>
      <c r="AI143" s="31" t="n"/>
      <c r="AJ143" s="31" t="n"/>
      <c r="AK143" s="31" t="n"/>
      <c r="AL143" s="31" t="n"/>
      <c r="AM143" s="31" t="n"/>
      <c r="AN143" s="31" t="n"/>
      <c r="AO143" s="31" t="n"/>
      <c r="AP143" s="108" t="n"/>
    </row>
    <row r="144">
      <c r="A144" t="inlineStr">
        <is>
          <t>Adjustments for historical</t>
        </is>
      </c>
      <c r="M144" s="31" t="n"/>
      <c r="N144" s="86">
        <f>N145-SUM(N141:N143)</f>
        <v/>
      </c>
      <c r="O144" s="86">
        <f>O145-SUM(O141:O143)</f>
        <v/>
      </c>
      <c r="P144" s="86">
        <f>P145-SUM(P141:P143)</f>
        <v/>
      </c>
      <c r="Q144" s="86">
        <f>Q145-SUM(Q141:Q143)</f>
        <v/>
      </c>
      <c r="R144" s="86">
        <f>R145-SUM(R141:R143)</f>
        <v/>
      </c>
      <c r="S144" s="86">
        <f>S145-SUM(S141:S143)</f>
        <v/>
      </c>
      <c r="T144" s="86">
        <f>T145-SUM(T141:T143)</f>
        <v/>
      </c>
      <c r="U144" s="86">
        <f>U145-SUM(U141:U143)</f>
        <v/>
      </c>
      <c r="V144" s="86">
        <f>V145-SUM(V141:V143)</f>
        <v/>
      </c>
      <c r="W144" s="86">
        <f>W145-SUM(W141:W143)</f>
        <v/>
      </c>
      <c r="X144" s="86">
        <f>X145-SUM(X141:X143)</f>
        <v/>
      </c>
      <c r="Y144" s="86">
        <f>Y145-SUM(Y141:Y143)</f>
        <v/>
      </c>
      <c r="Z144" s="86">
        <f>Z145-SUM(Z141:Z143)</f>
        <v/>
      </c>
      <c r="AA144" s="86">
        <f>AA145-SUM(AA141:AA143)</f>
        <v/>
      </c>
      <c r="AB144" s="86">
        <f>AB145-SUM(AB141:AB143)</f>
        <v/>
      </c>
      <c r="AC144" s="86">
        <f>AC145-SUM(AC141:AC143)</f>
        <v/>
      </c>
      <c r="AD144" s="31" t="n"/>
      <c r="AE144" s="31" t="n"/>
      <c r="AF144" s="31" t="n"/>
      <c r="AG144" s="31" t="n"/>
      <c r="AH144" s="31" t="n"/>
      <c r="AI144" s="31" t="n"/>
      <c r="AJ144" s="31" t="n"/>
      <c r="AK144" s="31" t="n"/>
      <c r="AL144" s="31" t="n"/>
      <c r="AM144" s="31" t="n"/>
      <c r="AN144" s="31" t="n"/>
      <c r="AO144" s="31" t="n"/>
      <c r="AP144" s="108" t="n"/>
    </row>
    <row r="145">
      <c r="A145" s="22" t="inlineStr">
        <is>
          <t>Cash and cash equivalents at end of period</t>
        </is>
      </c>
      <c r="F145" s="145" t="n"/>
      <c r="M145" s="86">
        <f>M38</f>
        <v/>
      </c>
      <c r="N145" s="86">
        <f>N38</f>
        <v/>
      </c>
      <c r="O145" s="86">
        <f>O38</f>
        <v/>
      </c>
      <c r="P145" s="86">
        <f>P38</f>
        <v/>
      </c>
      <c r="Q145" s="86">
        <f>Q38</f>
        <v/>
      </c>
      <c r="R145" s="86">
        <f>R38</f>
        <v/>
      </c>
      <c r="S145" s="86">
        <f>S38</f>
        <v/>
      </c>
      <c r="T145" s="86">
        <f>T38</f>
        <v/>
      </c>
      <c r="U145" s="86">
        <f>U38</f>
        <v/>
      </c>
      <c r="V145" s="86">
        <f>V38</f>
        <v/>
      </c>
      <c r="W145" s="86">
        <f>W38</f>
        <v/>
      </c>
      <c r="X145" s="86">
        <f>X38</f>
        <v/>
      </c>
      <c r="Y145" s="86">
        <f>Y38</f>
        <v/>
      </c>
      <c r="Z145" s="86">
        <f>Z38</f>
        <v/>
      </c>
      <c r="AA145" s="86">
        <f>AA38</f>
        <v/>
      </c>
      <c r="AB145" s="86">
        <f>AB38</f>
        <v/>
      </c>
      <c r="AC145" s="86">
        <f>AC38</f>
        <v/>
      </c>
      <c r="AD145" s="86">
        <f>AD141+AD142</f>
        <v/>
      </c>
      <c r="AE145" s="86">
        <f>AE141+AE142</f>
        <v/>
      </c>
      <c r="AF145" s="86">
        <f>AF141+AF142</f>
        <v/>
      </c>
      <c r="AG145" s="86">
        <f>AG141+AG142</f>
        <v/>
      </c>
      <c r="AH145" s="86">
        <f>AH141+AH142</f>
        <v/>
      </c>
      <c r="AI145" s="86">
        <f>AI141+AI142</f>
        <v/>
      </c>
      <c r="AJ145" s="86">
        <f>AJ141+AJ142</f>
        <v/>
      </c>
      <c r="AK145" s="86">
        <f>AK141+AK142</f>
        <v/>
      </c>
      <c r="AL145" s="86">
        <f>AL141+AL142</f>
        <v/>
      </c>
      <c r="AM145" s="86">
        <f>AM141+AM142</f>
        <v/>
      </c>
      <c r="AN145" s="86">
        <f>AN141+AN142</f>
        <v/>
      </c>
      <c r="AO145" s="86">
        <f>AO141+AO142</f>
        <v/>
      </c>
      <c r="AP145" s="108" t="n"/>
    </row>
    <row r="146">
      <c r="A146" s="22" t="n"/>
      <c r="M146" s="31" t="n"/>
      <c r="N146" s="31" t="n"/>
      <c r="O146" s="31" t="n"/>
      <c r="P146" s="31" t="n"/>
      <c r="Q146" s="31" t="n"/>
      <c r="R146" s="31" t="n"/>
      <c r="S146" s="31" t="n"/>
      <c r="T146" s="31" t="n"/>
      <c r="U146" s="31" t="n"/>
      <c r="V146" s="31" t="n"/>
      <c r="W146" s="31" t="n"/>
      <c r="X146" s="31" t="n"/>
      <c r="Y146" s="31" t="n"/>
      <c r="Z146" s="31" t="n"/>
      <c r="AA146" s="31" t="n"/>
      <c r="AB146" s="31" t="n"/>
      <c r="AC146" s="31" t="n"/>
      <c r="AD146" s="31" t="n"/>
      <c r="AE146" s="31" t="n"/>
      <c r="AF146" s="31" t="n"/>
      <c r="AG146" s="31" t="n"/>
      <c r="AH146" s="31" t="n"/>
      <c r="AI146" s="31" t="n"/>
      <c r="AJ146" s="31" t="n"/>
      <c r="AK146" s="31" t="n"/>
      <c r="AL146" s="31" t="n"/>
      <c r="AM146" s="31" t="n"/>
      <c r="AN146" s="31" t="n"/>
      <c r="AO146" s="31" t="n"/>
      <c r="AP146" s="108" t="n"/>
    </row>
    <row r="147">
      <c r="M147" s="31" t="n"/>
      <c r="N147" s="31" t="n"/>
      <c r="O147" s="31" t="n"/>
      <c r="P147" s="31" t="n"/>
      <c r="Q147" s="31" t="n"/>
      <c r="R147" s="31" t="n"/>
      <c r="S147" s="31" t="n"/>
      <c r="T147" s="31" t="n"/>
      <c r="U147" s="31" t="n"/>
      <c r="V147" s="31" t="n"/>
      <c r="W147" s="31" t="n"/>
      <c r="X147" s="31" t="n"/>
      <c r="Y147" s="31" t="n"/>
      <c r="Z147" s="31" t="n"/>
      <c r="AA147" s="31" t="n"/>
      <c r="AB147" s="31" t="n"/>
      <c r="AC147" s="31" t="n"/>
      <c r="AD147" s="31" t="n"/>
      <c r="AE147" s="31" t="n"/>
      <c r="AF147" s="31" t="n"/>
      <c r="AG147" s="31" t="n"/>
      <c r="AH147" s="31" t="n"/>
      <c r="AI147" s="31" t="n"/>
      <c r="AJ147" s="31" t="n"/>
      <c r="AK147" s="31" t="n"/>
      <c r="AL147" s="31" t="n"/>
      <c r="AM147" s="31" t="n"/>
      <c r="AN147" s="31" t="n"/>
      <c r="AO147" s="31" t="n"/>
      <c r="AP147" s="108" t="n"/>
    </row>
    <row r="148">
      <c r="A148" s="81" t="inlineStr">
        <is>
          <t>KEY OPERATIONAL INDICATORS</t>
        </is>
      </c>
      <c r="M148" s="31" t="n"/>
      <c r="N148" s="31" t="n"/>
      <c r="O148" s="31" t="n"/>
      <c r="P148" s="31" t="n"/>
      <c r="Q148" s="31" t="n"/>
      <c r="R148" s="31" t="n"/>
      <c r="S148" s="31" t="n"/>
      <c r="T148" s="31" t="n"/>
      <c r="U148" s="31" t="n"/>
      <c r="V148" s="31" t="n"/>
      <c r="W148" s="31" t="n"/>
      <c r="X148" s="31" t="n"/>
      <c r="Y148" s="31" t="n"/>
      <c r="Z148" s="31" t="n"/>
      <c r="AA148" s="31" t="n"/>
      <c r="AB148" s="31" t="n"/>
      <c r="AC148" s="31" t="n"/>
      <c r="AD148" s="31" t="n"/>
      <c r="AE148" s="31" t="n"/>
      <c r="AF148" s="31" t="n"/>
      <c r="AG148" s="31" t="n"/>
      <c r="AH148" s="31" t="n"/>
      <c r="AI148" s="31" t="n"/>
      <c r="AJ148" s="31" t="n"/>
      <c r="AK148" s="31" t="n"/>
      <c r="AL148" s="31" t="n"/>
      <c r="AM148" s="31" t="n"/>
      <c r="AN148" s="31" t="n"/>
      <c r="AO148" s="31" t="n"/>
      <c r="AP148" s="108" t="n"/>
    </row>
    <row r="149">
      <c r="A149" s="169" t="n"/>
      <c r="M149" s="31" t="n"/>
      <c r="N149" s="31" t="n"/>
      <c r="O149" s="31" t="n"/>
      <c r="P149" s="31" t="n"/>
      <c r="Q149" s="31" t="n"/>
      <c r="R149" s="31" t="n"/>
      <c r="S149" s="31" t="n"/>
      <c r="T149" s="31" t="n"/>
      <c r="U149" s="31" t="n"/>
      <c r="V149" s="31" t="n"/>
      <c r="W149" s="31" t="n"/>
      <c r="X149" s="31" t="n"/>
      <c r="Y149" s="31" t="n"/>
      <c r="Z149" s="31" t="n"/>
      <c r="AA149" s="31" t="n"/>
      <c r="AB149" s="31" t="n"/>
      <c r="AC149" s="31" t="n"/>
      <c r="AD149" s="31" t="n"/>
      <c r="AE149" s="31" t="n"/>
      <c r="AF149" s="31" t="n"/>
      <c r="AG149" s="31" t="n"/>
      <c r="AH149" s="31" t="n"/>
      <c r="AI149" s="31" t="n"/>
      <c r="AJ149" s="31" t="n"/>
      <c r="AK149" s="31" t="n"/>
      <c r="AL149" s="31" t="n"/>
      <c r="AM149" s="31" t="n"/>
      <c r="AN149" s="31" t="n"/>
      <c r="AO149" s="31" t="n"/>
      <c r="AP149" s="108" t="n"/>
    </row>
    <row r="150">
      <c r="A150" s="40" t="inlineStr">
        <is>
          <t>Organic turnover</t>
        </is>
      </c>
      <c r="F150" s="108" t="n"/>
      <c r="G150" s="108" t="n"/>
      <c r="H150" s="108" t="n"/>
      <c r="I150" s="108" t="n"/>
      <c r="J150" s="108" t="n"/>
      <c r="K150" s="108" t="n"/>
      <c r="L150" s="108" t="n"/>
      <c r="M150" s="76" t="n"/>
      <c r="N150" s="86">
        <f>N11</f>
        <v/>
      </c>
      <c r="O150" s="86">
        <f>O11</f>
        <v/>
      </c>
      <c r="P150" s="86">
        <f>P11</f>
        <v/>
      </c>
      <c r="Q150" s="86">
        <f>Q11</f>
        <v/>
      </c>
      <c r="R150" s="86">
        <f>R11</f>
        <v/>
      </c>
      <c r="S150" s="86">
        <f>S11</f>
        <v/>
      </c>
      <c r="T150" s="86">
        <f>T11</f>
        <v/>
      </c>
      <c r="U150" s="86">
        <f>U11</f>
        <v/>
      </c>
      <c r="V150" s="86">
        <f>V11</f>
        <v/>
      </c>
      <c r="W150" s="86">
        <f>W11</f>
        <v/>
      </c>
      <c r="X150" s="86">
        <f>X11</f>
        <v/>
      </c>
      <c r="Y150" s="86">
        <f>Y11</f>
        <v/>
      </c>
      <c r="Z150" s="86">
        <f>Z11</f>
        <v/>
      </c>
      <c r="AA150" s="86">
        <f>AA11</f>
        <v/>
      </c>
      <c r="AB150" s="86">
        <f>AB11</f>
        <v/>
      </c>
      <c r="AC150" s="86">
        <f>AC11</f>
        <v/>
      </c>
      <c r="AD150" s="86">
        <f>AD11</f>
        <v/>
      </c>
      <c r="AE150" s="86">
        <f>AE11</f>
        <v/>
      </c>
      <c r="AF150" s="86">
        <f>AF11</f>
        <v/>
      </c>
      <c r="AG150" s="86">
        <f>AG11</f>
        <v/>
      </c>
      <c r="AH150" s="86">
        <f>AH11</f>
        <v/>
      </c>
      <c r="AI150" s="86">
        <f>AI11</f>
        <v/>
      </c>
      <c r="AJ150" s="86">
        <f>AJ11</f>
        <v/>
      </c>
      <c r="AK150" s="86">
        <f>AK11</f>
        <v/>
      </c>
      <c r="AL150" s="86">
        <f>AL11</f>
        <v/>
      </c>
      <c r="AM150" s="86">
        <f>AM11</f>
        <v/>
      </c>
      <c r="AN150" s="86">
        <f>AN11</f>
        <v/>
      </c>
      <c r="AO150" s="86">
        <f>AO11</f>
        <v/>
      </c>
      <c r="AP150" s="108" t="n"/>
    </row>
    <row r="151">
      <c r="A151" s="74" t="inlineStr">
        <is>
          <t>YoY Growth</t>
        </is>
      </c>
      <c r="M151" s="31" t="n"/>
      <c r="N151" s="882" t="n"/>
      <c r="O151" s="882" t="n"/>
      <c r="P151" s="882">
        <f>P150/N150-1</f>
        <v/>
      </c>
      <c r="Q151" s="882">
        <f>Q150/O150-1</f>
        <v/>
      </c>
      <c r="R151" s="882">
        <f>R150/P150-1</f>
        <v/>
      </c>
      <c r="S151" s="882">
        <f>S150/Q150-1</f>
        <v/>
      </c>
      <c r="T151" s="882">
        <f>T150/R150-1</f>
        <v/>
      </c>
      <c r="U151" s="882">
        <f>U150/S150-1</f>
        <v/>
      </c>
      <c r="V151" s="882">
        <f>V150/T150-1</f>
        <v/>
      </c>
      <c r="W151" s="882">
        <f>W150/U150-1</f>
        <v/>
      </c>
      <c r="X151" s="882">
        <f>X150/V150-1</f>
        <v/>
      </c>
      <c r="Y151" s="882">
        <f>Y150/W150-1</f>
        <v/>
      </c>
      <c r="Z151" s="882">
        <f>Z150/X150-1</f>
        <v/>
      </c>
      <c r="AA151" s="882">
        <f>AA150/Y150-1</f>
        <v/>
      </c>
      <c r="AB151" s="882">
        <f>AB150/Z150-1</f>
        <v/>
      </c>
      <c r="AC151" s="882">
        <f>AC150/AA150-1</f>
        <v/>
      </c>
      <c r="AD151" s="882">
        <f>AD150/AB150-1</f>
        <v/>
      </c>
      <c r="AE151" s="882">
        <f>AE150/AC150-1</f>
        <v/>
      </c>
      <c r="AF151" s="882">
        <f>AF150/AD150-1</f>
        <v/>
      </c>
      <c r="AG151" s="882">
        <f>AG150/AE150-1</f>
        <v/>
      </c>
      <c r="AH151" s="882">
        <f>AH150/AF150-1</f>
        <v/>
      </c>
      <c r="AI151" s="882">
        <f>AI150/AG150-1</f>
        <v/>
      </c>
      <c r="AJ151" s="882">
        <f>AJ150/AH150-1</f>
        <v/>
      </c>
      <c r="AK151" s="882">
        <f>AK150/AI150-1</f>
        <v/>
      </c>
      <c r="AL151" s="882">
        <f>AL150/AJ150-1</f>
        <v/>
      </c>
      <c r="AM151" s="882">
        <f>AM150/AK150-1</f>
        <v/>
      </c>
      <c r="AN151" s="882">
        <f>AN150/AL150-1</f>
        <v/>
      </c>
      <c r="AO151" s="882">
        <f>AO150/AM150-1</f>
        <v/>
      </c>
      <c r="AP151" s="108" t="n"/>
    </row>
    <row r="152">
      <c r="A152" s="74" t="inlineStr">
        <is>
          <t>HoH Growth</t>
        </is>
      </c>
      <c r="M152" s="31" t="n"/>
      <c r="N152" s="882" t="n"/>
      <c r="O152" s="882">
        <f>O150/N150-1</f>
        <v/>
      </c>
      <c r="P152" s="882">
        <f>P150/O150-1</f>
        <v/>
      </c>
      <c r="Q152" s="882">
        <f>Q150/P150-1</f>
        <v/>
      </c>
      <c r="R152" s="882">
        <f>R150/Q150-1</f>
        <v/>
      </c>
      <c r="S152" s="882">
        <f>S150/R150-1</f>
        <v/>
      </c>
      <c r="T152" s="882">
        <f>T150/S150-1</f>
        <v/>
      </c>
      <c r="U152" s="882">
        <f>U150/T150-1</f>
        <v/>
      </c>
      <c r="V152" s="882">
        <f>V150/U150-1</f>
        <v/>
      </c>
      <c r="W152" s="882">
        <f>W150/V150-1</f>
        <v/>
      </c>
      <c r="X152" s="882">
        <f>X150/W150-1</f>
        <v/>
      </c>
      <c r="Y152" s="882">
        <f>Y150/X150-1</f>
        <v/>
      </c>
      <c r="Z152" s="882">
        <f>Z150/Y150-1</f>
        <v/>
      </c>
      <c r="AA152" s="882">
        <f>AA150/Z150-1</f>
        <v/>
      </c>
      <c r="AB152" s="882">
        <f>AB150/AA150-1</f>
        <v/>
      </c>
      <c r="AC152" s="882">
        <f>AC150/AB150-1</f>
        <v/>
      </c>
      <c r="AD152" s="882">
        <f>AD150/AC150-1</f>
        <v/>
      </c>
      <c r="AE152" s="882">
        <f>AE150/AD150-1</f>
        <v/>
      </c>
      <c r="AF152" s="882">
        <f>AF150/AE150-1</f>
        <v/>
      </c>
      <c r="AG152" s="882">
        <f>AG150/AF150-1</f>
        <v/>
      </c>
      <c r="AH152" s="882">
        <f>AH150/AG150-1</f>
        <v/>
      </c>
      <c r="AI152" s="882">
        <f>AI150/AH150-1</f>
        <v/>
      </c>
      <c r="AJ152" s="882">
        <f>AJ150/AI150-1</f>
        <v/>
      </c>
      <c r="AK152" s="882">
        <f>AK150/AJ150-1</f>
        <v/>
      </c>
      <c r="AL152" s="882">
        <f>AL150/AK150-1</f>
        <v/>
      </c>
      <c r="AM152" s="882">
        <f>AM150/AL150-1</f>
        <v/>
      </c>
      <c r="AN152" s="882">
        <f>AN150/AM150-1</f>
        <v/>
      </c>
      <c r="AO152" s="882">
        <f>AO150/AN150-1</f>
        <v/>
      </c>
      <c r="AP152" s="108" t="n"/>
    </row>
    <row r="153">
      <c r="M153" s="31" t="n"/>
      <c r="N153" s="31" t="n"/>
      <c r="O153" s="31" t="n"/>
      <c r="P153" s="31" t="n"/>
      <c r="Q153" s="31" t="n"/>
      <c r="R153" s="31" t="n"/>
      <c r="S153" s="31" t="n"/>
      <c r="T153" s="31" t="n"/>
      <c r="U153" s="31" t="n"/>
      <c r="V153" s="31" t="n"/>
      <c r="W153" s="31" t="n"/>
      <c r="X153" s="31" t="n"/>
      <c r="Y153" s="31" t="n"/>
      <c r="Z153" s="31" t="n"/>
      <c r="AA153" s="31" t="n"/>
      <c r="AB153" s="31" t="n"/>
      <c r="AC153" s="31" t="n"/>
      <c r="AD153" s="31" t="n"/>
      <c r="AE153" s="31" t="n"/>
      <c r="AF153" s="31" t="n"/>
      <c r="AG153" s="31" t="n"/>
      <c r="AH153" s="31" t="n"/>
      <c r="AI153" s="31" t="n"/>
      <c r="AJ153" s="31" t="n"/>
      <c r="AK153" s="31" t="n"/>
      <c r="AL153" s="31" t="n"/>
      <c r="AM153" s="31" t="n"/>
      <c r="AN153" s="31" t="n"/>
      <c r="AO153" s="31" t="n"/>
      <c r="AP153" s="108" t="n"/>
    </row>
    <row r="154">
      <c r="A154" s="40" t="inlineStr">
        <is>
          <t>EBITDA</t>
        </is>
      </c>
      <c r="F154" s="108" t="n"/>
      <c r="G154" s="108" t="n"/>
      <c r="H154" s="108" t="n"/>
      <c r="I154" s="108" t="n"/>
      <c r="J154" s="108" t="n"/>
      <c r="K154" s="108" t="n"/>
      <c r="L154" s="108" t="n"/>
      <c r="M154" s="76" t="n"/>
      <c r="N154" s="86">
        <f>+N18+N104+N105</f>
        <v/>
      </c>
      <c r="O154" s="86">
        <f>+O18+O104+O105</f>
        <v/>
      </c>
      <c r="P154" s="86">
        <f>+P18+P104+P105</f>
        <v/>
      </c>
      <c r="Q154" s="86">
        <f>+Q18+Q104+Q105</f>
        <v/>
      </c>
      <c r="R154" s="86">
        <f>+R18+R104+R105</f>
        <v/>
      </c>
      <c r="S154" s="86">
        <f>+S18+S104+S105</f>
        <v/>
      </c>
      <c r="T154" s="86">
        <f>+T18+T104+T105</f>
        <v/>
      </c>
      <c r="U154" s="86">
        <f>+U18+U104+U105</f>
        <v/>
      </c>
      <c r="V154" s="86">
        <f>+V18+V104+V105</f>
        <v/>
      </c>
      <c r="W154" s="86">
        <f>+W18+W104+W105</f>
        <v/>
      </c>
      <c r="X154" s="86">
        <f>+X18+X104+X105</f>
        <v/>
      </c>
      <c r="Y154" s="86">
        <f>+Y18+Y104+Y105</f>
        <v/>
      </c>
      <c r="Z154" s="86">
        <f>+Z18+Z104+Z105</f>
        <v/>
      </c>
      <c r="AA154" s="86">
        <f>+AA18+AA104+AA105</f>
        <v/>
      </c>
      <c r="AB154" s="86">
        <f>+AB18+AB104+AB105</f>
        <v/>
      </c>
      <c r="AC154" s="86">
        <f>+AC18+AC104+AC105</f>
        <v/>
      </c>
      <c r="AD154" s="86">
        <f>+AD18+AD104+AD105</f>
        <v/>
      </c>
      <c r="AE154" s="86">
        <f>+AE18+AE104+AE105</f>
        <v/>
      </c>
      <c r="AF154" s="86">
        <f>+AF18+AF104+AF105</f>
        <v/>
      </c>
      <c r="AG154" s="86">
        <f>+AG18+AG104+AG105</f>
        <v/>
      </c>
      <c r="AH154" s="86">
        <f>+AH18+AH104+AH105</f>
        <v/>
      </c>
      <c r="AI154" s="86">
        <f>+AI18+AI104+AI105</f>
        <v/>
      </c>
      <c r="AJ154" s="86">
        <f>+AJ18+AJ104+AJ105</f>
        <v/>
      </c>
      <c r="AK154" s="86">
        <f>+AK18+AK104+AK105</f>
        <v/>
      </c>
      <c r="AL154" s="86">
        <f>+AL18+AL104+AL105</f>
        <v/>
      </c>
      <c r="AM154" s="86">
        <f>+AM18+AM104+AM105</f>
        <v/>
      </c>
      <c r="AN154" s="86">
        <f>+AN18+AN104+AN105</f>
        <v/>
      </c>
      <c r="AO154" s="86">
        <f>+AO18+AO104+AO105</f>
        <v/>
      </c>
      <c r="AP154" s="108" t="n"/>
    </row>
    <row r="155">
      <c r="M155" s="31" t="n"/>
      <c r="N155" s="31" t="n"/>
      <c r="O155" s="31" t="n"/>
      <c r="P155" s="31" t="n"/>
      <c r="Q155" s="31" t="n"/>
      <c r="R155" s="31" t="n"/>
      <c r="S155" s="31" t="n"/>
      <c r="T155" s="31" t="n"/>
      <c r="U155" s="31" t="n"/>
      <c r="V155" s="31" t="n"/>
      <c r="W155" s="31" t="n"/>
      <c r="X155" s="31" t="n"/>
      <c r="Y155" s="31" t="n"/>
      <c r="Z155" s="31" t="n"/>
      <c r="AA155" s="31" t="n"/>
      <c r="AB155" s="31" t="n"/>
      <c r="AC155" s="31" t="n"/>
      <c r="AD155" s="31" t="n"/>
      <c r="AE155" s="31" t="n"/>
      <c r="AF155" s="31" t="n"/>
      <c r="AG155" s="31" t="n"/>
      <c r="AH155" s="31" t="n"/>
      <c r="AI155" s="31" t="n"/>
      <c r="AJ155" s="31" t="n"/>
      <c r="AK155" s="31" t="n"/>
      <c r="AL155" s="31" t="n"/>
      <c r="AM155" s="31" t="n"/>
      <c r="AN155" s="31" t="n"/>
      <c r="AO155" s="31" t="n"/>
      <c r="AP155" s="108" t="n"/>
    </row>
    <row r="156">
      <c r="A156" s="22" t="inlineStr">
        <is>
          <t>Cash and cash equivalent from balance sheet</t>
        </is>
      </c>
      <c r="F156" s="108" t="n"/>
      <c r="G156" s="108" t="n"/>
      <c r="H156" s="108" t="n"/>
      <c r="I156" s="108" t="n"/>
      <c r="J156" s="108" t="n"/>
      <c r="K156" s="108" t="n"/>
      <c r="L156" s="108" t="n"/>
      <c r="M156" s="76" t="n"/>
      <c r="N156" s="86">
        <f>N38</f>
        <v/>
      </c>
      <c r="O156" s="86">
        <f>O38</f>
        <v/>
      </c>
      <c r="P156" s="86">
        <f>P38</f>
        <v/>
      </c>
      <c r="Q156" s="86">
        <f>Q38</f>
        <v/>
      </c>
      <c r="R156" s="86">
        <f>R38</f>
        <v/>
      </c>
      <c r="S156" s="86">
        <f>S38</f>
        <v/>
      </c>
      <c r="T156" s="86">
        <f>T38</f>
        <v/>
      </c>
      <c r="U156" s="86">
        <f>U38</f>
        <v/>
      </c>
      <c r="V156" s="86">
        <f>V38</f>
        <v/>
      </c>
      <c r="W156" s="86">
        <f>W38</f>
        <v/>
      </c>
      <c r="X156" s="86">
        <f>X38</f>
        <v/>
      </c>
      <c r="Y156" s="86">
        <f>Y38</f>
        <v/>
      </c>
      <c r="Z156" s="86">
        <f>Z38</f>
        <v/>
      </c>
      <c r="AA156" s="86">
        <f>AA38</f>
        <v/>
      </c>
      <c r="AB156" s="86">
        <f>AB38</f>
        <v/>
      </c>
      <c r="AC156" s="86">
        <f>AC38</f>
        <v/>
      </c>
      <c r="AD156" s="86">
        <f>AD38</f>
        <v/>
      </c>
      <c r="AE156" s="86">
        <f>AE38</f>
        <v/>
      </c>
      <c r="AF156" s="86">
        <f>AF38</f>
        <v/>
      </c>
      <c r="AG156" s="86">
        <f>AG38</f>
        <v/>
      </c>
      <c r="AH156" s="86">
        <f>AH38</f>
        <v/>
      </c>
      <c r="AI156" s="86">
        <f>AI38</f>
        <v/>
      </c>
      <c r="AJ156" s="86">
        <f>AJ38</f>
        <v/>
      </c>
      <c r="AK156" s="86">
        <f>AK38</f>
        <v/>
      </c>
      <c r="AL156" s="86">
        <f>AL38</f>
        <v/>
      </c>
      <c r="AM156" s="86">
        <f>AM38</f>
        <v/>
      </c>
      <c r="AN156" s="86">
        <f>AN38</f>
        <v/>
      </c>
      <c r="AO156" s="86">
        <f>AO38</f>
        <v/>
      </c>
      <c r="AP156" s="108" t="n"/>
    </row>
    <row r="157">
      <c r="A157" s="104" t="inlineStr">
        <is>
          <t>Excess cash (above 10% of annualized revenue)</t>
        </is>
      </c>
      <c r="F157" s="142" t="n"/>
      <c r="G157" s="142" t="n"/>
      <c r="H157" s="142" t="n"/>
      <c r="I157" s="142" t="n"/>
      <c r="J157" s="142" t="n"/>
      <c r="K157" s="142" t="n"/>
      <c r="L157" s="142" t="n"/>
      <c r="M157" s="143" t="n"/>
      <c r="N157" s="88">
        <f>N156-(0.1*N11*N$223)</f>
        <v/>
      </c>
      <c r="O157" s="88">
        <f>O156-(0.1*O11*O$223)</f>
        <v/>
      </c>
      <c r="P157" s="88">
        <f>P156-(0.1*P11*P$223)</f>
        <v/>
      </c>
      <c r="Q157" s="88">
        <f>Q156-(0.1*Q11*Q$223)</f>
        <v/>
      </c>
      <c r="R157" s="88">
        <f>R156-(0.1*R11*R$223)</f>
        <v/>
      </c>
      <c r="S157" s="88">
        <f>S156-(0.1*S11*S$223)</f>
        <v/>
      </c>
      <c r="T157" s="88">
        <f>T156-(0.1*T11*T$223)</f>
        <v/>
      </c>
      <c r="U157" s="88">
        <f>U156-(0.1*U11*U$223)</f>
        <v/>
      </c>
      <c r="V157" s="88">
        <f>V156-(0.1*V11*V$223)</f>
        <v/>
      </c>
      <c r="W157" s="88">
        <f>W156-(0.1*W11*W$223)</f>
        <v/>
      </c>
      <c r="X157" s="88">
        <f>X156-(0.1*X11*X$223)</f>
        <v/>
      </c>
      <c r="Y157" s="88">
        <f>Y156-(0.1*Y11*Y$223)</f>
        <v/>
      </c>
      <c r="Z157" s="88">
        <f>Z156-(0.1*Z11*Z$223)</f>
        <v/>
      </c>
      <c r="AA157" s="88">
        <f>AA156-(0.1*AA11*AA$223)</f>
        <v/>
      </c>
      <c r="AB157" s="88">
        <f>AB156-(0.1*AB11*AB$223)</f>
        <v/>
      </c>
      <c r="AC157" s="88">
        <f>AC156-(0.1*AC11*AC$223)</f>
        <v/>
      </c>
      <c r="AD157" s="88">
        <f>AD156-(0.1*AD11*AD$223)</f>
        <v/>
      </c>
      <c r="AE157" s="88">
        <f>AE156-(0.1*AE11*AE$223)</f>
        <v/>
      </c>
      <c r="AF157" s="88">
        <f>AF156-(0.1*AF11*AF$223)</f>
        <v/>
      </c>
      <c r="AG157" s="88">
        <f>AG156-(0.1*AG11*AG$223)</f>
        <v/>
      </c>
      <c r="AH157" s="88">
        <f>AH156-(0.1*AH11*AH$223)</f>
        <v/>
      </c>
      <c r="AI157" s="88">
        <f>AI156-(0.1*AI11*AI$223)</f>
        <v/>
      </c>
      <c r="AJ157" s="88">
        <f>AJ156-(0.1*AJ11*AJ$223)</f>
        <v/>
      </c>
      <c r="AK157" s="88">
        <f>AK156-(0.1*AK11*AK$223)</f>
        <v/>
      </c>
      <c r="AL157" s="88">
        <f>AL156-(0.1*AL11*AL$223)</f>
        <v/>
      </c>
      <c r="AM157" s="88">
        <f>AM156-(0.1*AM11*AM$223)</f>
        <v/>
      </c>
      <c r="AN157" s="88">
        <f>AN156-(0.1*AN11*AN$223)</f>
        <v/>
      </c>
      <c r="AO157" s="88">
        <f>AO156-(0.1*AO11*AO$223)</f>
        <v/>
      </c>
      <c r="AP157" s="108" t="n"/>
    </row>
    <row r="158">
      <c r="A158" s="104" t="inlineStr">
        <is>
          <t>Working cash</t>
        </is>
      </c>
      <c r="F158" s="142" t="n"/>
      <c r="G158" s="142" t="n"/>
      <c r="H158" s="142" t="n"/>
      <c r="I158" s="142" t="n"/>
      <c r="J158" s="142" t="n"/>
      <c r="K158" s="142" t="n"/>
      <c r="L158" s="142" t="n"/>
      <c r="M158" s="143" t="n"/>
      <c r="N158" s="88">
        <f>+N156-N157</f>
        <v/>
      </c>
      <c r="O158" s="88">
        <f>+O156-O157</f>
        <v/>
      </c>
      <c r="P158" s="88">
        <f>+P156-P157</f>
        <v/>
      </c>
      <c r="Q158" s="88">
        <f>+Q156-Q157</f>
        <v/>
      </c>
      <c r="R158" s="88">
        <f>+R156-R157</f>
        <v/>
      </c>
      <c r="S158" s="88">
        <f>+S156-S157</f>
        <v/>
      </c>
      <c r="T158" s="88">
        <f>+T156-T157</f>
        <v/>
      </c>
      <c r="U158" s="88">
        <f>+U156-U157</f>
        <v/>
      </c>
      <c r="V158" s="88">
        <f>+V156-V157</f>
        <v/>
      </c>
      <c r="W158" s="88">
        <f>+W156-W157</f>
        <v/>
      </c>
      <c r="X158" s="88">
        <f>+X156-X157</f>
        <v/>
      </c>
      <c r="Y158" s="88">
        <f>+Y156-Y157</f>
        <v/>
      </c>
      <c r="Z158" s="88">
        <f>+Z156-Z157</f>
        <v/>
      </c>
      <c r="AA158" s="88">
        <f>+AA156-AA157</f>
        <v/>
      </c>
      <c r="AB158" s="88">
        <f>+AB156-AB157</f>
        <v/>
      </c>
      <c r="AC158" s="88">
        <f>+AC156-AC157</f>
        <v/>
      </c>
      <c r="AD158" s="88">
        <f>+AD156-AD157</f>
        <v/>
      </c>
      <c r="AE158" s="88">
        <f>+AE156-AE157</f>
        <v/>
      </c>
      <c r="AF158" s="88">
        <f>+AF156-AF157</f>
        <v/>
      </c>
      <c r="AG158" s="88">
        <f>+AG156-AG157</f>
        <v/>
      </c>
      <c r="AH158" s="88">
        <f>+AH156-AH157</f>
        <v/>
      </c>
      <c r="AI158" s="88">
        <f>+AI156-AI157</f>
        <v/>
      </c>
      <c r="AJ158" s="88">
        <f>+AJ156-AJ157</f>
        <v/>
      </c>
      <c r="AK158" s="88">
        <f>+AK156-AK157</f>
        <v/>
      </c>
      <c r="AL158" s="88">
        <f>+AL156-AL157</f>
        <v/>
      </c>
      <c r="AM158" s="88">
        <f>+AM156-AM157</f>
        <v/>
      </c>
      <c r="AN158" s="88">
        <f>+AN156-AN157</f>
        <v/>
      </c>
      <c r="AO158" s="88">
        <f>+AO156-AO157</f>
        <v/>
      </c>
      <c r="AP158" s="108" t="n"/>
    </row>
    <row r="159">
      <c r="A159" s="104" t="n"/>
      <c r="F159" s="142" t="n"/>
      <c r="G159" s="142" t="n"/>
      <c r="H159" s="142" t="n"/>
      <c r="I159" s="142" t="n"/>
      <c r="J159" s="142" t="n"/>
      <c r="K159" s="142" t="n"/>
      <c r="L159" s="142" t="n"/>
      <c r="M159" s="143" t="n"/>
      <c r="N159" s="143" t="n"/>
      <c r="O159" s="143" t="n"/>
      <c r="P159" s="143" t="n"/>
      <c r="Q159" s="143" t="n"/>
      <c r="R159" s="143" t="n"/>
      <c r="S159" s="143" t="n"/>
      <c r="T159" s="143" t="n"/>
      <c r="U159" s="143" t="n"/>
      <c r="V159" s="143" t="n"/>
      <c r="W159" s="143" t="n"/>
      <c r="X159" s="143" t="n"/>
      <c r="Y159" s="143" t="n"/>
      <c r="Z159" s="143" t="n"/>
      <c r="AA159" s="143" t="n"/>
      <c r="AB159" s="143" t="n"/>
      <c r="AC159" s="143" t="n"/>
      <c r="AD159" s="143" t="n"/>
      <c r="AE159" s="143" t="n"/>
      <c r="AF159" s="143" t="n"/>
      <c r="AG159" s="143" t="n"/>
      <c r="AH159" s="143" t="n"/>
      <c r="AI159" s="143" t="n"/>
      <c r="AJ159" s="143" t="n"/>
      <c r="AK159" s="143" t="n"/>
      <c r="AL159" s="143" t="n"/>
      <c r="AM159" s="143" t="n"/>
      <c r="AN159" s="143" t="n"/>
      <c r="AO159" s="143" t="n"/>
      <c r="AP159" s="108" t="n"/>
    </row>
    <row r="160">
      <c r="A160" s="22" t="inlineStr">
        <is>
          <t>Total debt</t>
        </is>
      </c>
      <c r="B160" s="142" t="n"/>
      <c r="C160" s="142" t="n"/>
      <c r="D160" s="142" t="n"/>
      <c r="E160" s="142" t="n"/>
      <c r="F160" s="142" t="n"/>
      <c r="G160" s="142" t="n"/>
      <c r="H160" s="142" t="n"/>
      <c r="I160" s="142" t="n"/>
      <c r="J160" s="142" t="n"/>
      <c r="K160" s="142" t="n"/>
      <c r="L160" s="142" t="n"/>
      <c r="M160" s="143" t="n"/>
      <c r="N160" s="143" t="n"/>
      <c r="O160" s="143" t="n"/>
      <c r="P160" s="143" t="n"/>
      <c r="Q160" s="143" t="n"/>
      <c r="R160" s="143" t="n"/>
      <c r="S160" s="143" t="n"/>
      <c r="T160" s="143" t="n"/>
      <c r="U160" s="143" t="n"/>
      <c r="V160" s="143" t="n"/>
      <c r="W160" s="143" t="n"/>
      <c r="X160" s="143" t="n"/>
      <c r="Y160" s="143" t="n"/>
      <c r="Z160" s="143" t="n"/>
      <c r="AA160" s="143" t="n"/>
      <c r="AB160" s="143" t="n"/>
      <c r="AC160" s="143" t="n"/>
      <c r="AD160" s="143" t="n"/>
      <c r="AE160" s="143" t="n"/>
      <c r="AF160" s="143" t="n"/>
      <c r="AG160" s="143" t="n"/>
      <c r="AH160" s="143" t="n"/>
      <c r="AI160" s="143" t="n"/>
      <c r="AJ160" s="143" t="n"/>
      <c r="AK160" s="143" t="n"/>
      <c r="AL160" s="143" t="n"/>
      <c r="AM160" s="143" t="n"/>
      <c r="AN160" s="143" t="n"/>
      <c r="AO160" s="143" t="n"/>
      <c r="AP160" s="108" t="n"/>
    </row>
    <row r="161">
      <c r="A161" s="89" t="inlineStr">
        <is>
          <t>Current</t>
        </is>
      </c>
      <c r="B161" s="142" t="n"/>
      <c r="C161" s="142" t="n"/>
      <c r="D161" s="142" t="n"/>
      <c r="E161" s="142" t="n"/>
      <c r="F161" s="142" t="n"/>
      <c r="G161" s="142" t="n"/>
      <c r="H161" s="142" t="n"/>
      <c r="I161" s="142" t="n"/>
      <c r="J161" s="142" t="n"/>
      <c r="K161" s="142" t="n"/>
      <c r="L161" s="142" t="n"/>
      <c r="M161" s="143" t="n"/>
      <c r="N161" s="88">
        <f>N63</f>
        <v/>
      </c>
      <c r="O161" s="88">
        <f>O63</f>
        <v/>
      </c>
      <c r="P161" s="88">
        <f>P63</f>
        <v/>
      </c>
      <c r="Q161" s="88">
        <f>Q63</f>
        <v/>
      </c>
      <c r="R161" s="88">
        <f>R63</f>
        <v/>
      </c>
      <c r="S161" s="88">
        <f>S63</f>
        <v/>
      </c>
      <c r="T161" s="88">
        <f>T63</f>
        <v/>
      </c>
      <c r="U161" s="88">
        <f>U63</f>
        <v/>
      </c>
      <c r="V161" s="88">
        <f>V63</f>
        <v/>
      </c>
      <c r="W161" s="88">
        <f>W63</f>
        <v/>
      </c>
      <c r="X161" s="88">
        <f>X63</f>
        <v/>
      </c>
      <c r="Y161" s="88">
        <f>Y63</f>
        <v/>
      </c>
      <c r="Z161" s="88">
        <f>Z63</f>
        <v/>
      </c>
      <c r="AA161" s="88">
        <f>AA63</f>
        <v/>
      </c>
      <c r="AB161" s="88">
        <f>AB63</f>
        <v/>
      </c>
      <c r="AC161" s="88">
        <f>AC63</f>
        <v/>
      </c>
      <c r="AD161" s="88">
        <f>AD63</f>
        <v/>
      </c>
      <c r="AE161" s="88">
        <f>AE63</f>
        <v/>
      </c>
      <c r="AF161" s="88">
        <f>AF63</f>
        <v/>
      </c>
      <c r="AG161" s="88">
        <f>AG63</f>
        <v/>
      </c>
      <c r="AH161" s="88">
        <f>AH63</f>
        <v/>
      </c>
      <c r="AI161" s="88">
        <f>AI63</f>
        <v/>
      </c>
      <c r="AJ161" s="88">
        <f>AJ63</f>
        <v/>
      </c>
      <c r="AK161" s="88">
        <f>AK63</f>
        <v/>
      </c>
      <c r="AL161" s="88">
        <f>AL63</f>
        <v/>
      </c>
      <c r="AM161" s="88">
        <f>AM63</f>
        <v/>
      </c>
      <c r="AN161" s="88">
        <f>AN63</f>
        <v/>
      </c>
      <c r="AO161" s="88">
        <f>AO63</f>
        <v/>
      </c>
      <c r="AP161" s="108" t="n"/>
    </row>
    <row r="162">
      <c r="A162" s="89" t="inlineStr">
        <is>
          <t>Non-current</t>
        </is>
      </c>
      <c r="B162" s="142" t="n"/>
      <c r="C162" s="142" t="n"/>
      <c r="D162" s="142" t="n"/>
      <c r="E162" s="142" t="n"/>
      <c r="F162" s="142" t="n"/>
      <c r="G162" s="142" t="n"/>
      <c r="H162" s="142" t="n"/>
      <c r="I162" s="142" t="n"/>
      <c r="J162" s="142" t="n"/>
      <c r="K162" s="142" t="n"/>
      <c r="L162" s="142" t="n"/>
      <c r="M162" s="143" t="n"/>
      <c r="N162" s="88">
        <f>N73</f>
        <v/>
      </c>
      <c r="O162" s="88">
        <f>O73</f>
        <v/>
      </c>
      <c r="P162" s="88">
        <f>P73</f>
        <v/>
      </c>
      <c r="Q162" s="88">
        <f>Q73</f>
        <v/>
      </c>
      <c r="R162" s="88">
        <f>R73</f>
        <v/>
      </c>
      <c r="S162" s="88">
        <f>S73</f>
        <v/>
      </c>
      <c r="T162" s="88">
        <f>T73</f>
        <v/>
      </c>
      <c r="U162" s="88">
        <f>U73</f>
        <v/>
      </c>
      <c r="V162" s="88">
        <f>V73</f>
        <v/>
      </c>
      <c r="W162" s="88">
        <f>W73</f>
        <v/>
      </c>
      <c r="X162" s="88">
        <f>X73</f>
        <v/>
      </c>
      <c r="Y162" s="88">
        <f>Y73</f>
        <v/>
      </c>
      <c r="Z162" s="88">
        <f>Z73</f>
        <v/>
      </c>
      <c r="AA162" s="88">
        <f>AA73</f>
        <v/>
      </c>
      <c r="AB162" s="88">
        <f>AB73</f>
        <v/>
      </c>
      <c r="AC162" s="88">
        <f>AC73</f>
        <v/>
      </c>
      <c r="AD162" s="88">
        <f>AD73</f>
        <v/>
      </c>
      <c r="AE162" s="88">
        <f>AE73</f>
        <v/>
      </c>
      <c r="AF162" s="88">
        <f>AF73</f>
        <v/>
      </c>
      <c r="AG162" s="88">
        <f>AG73</f>
        <v/>
      </c>
      <c r="AH162" s="88">
        <f>AH73</f>
        <v/>
      </c>
      <c r="AI162" s="88">
        <f>AI73</f>
        <v/>
      </c>
      <c r="AJ162" s="88">
        <f>AJ73</f>
        <v/>
      </c>
      <c r="AK162" s="88">
        <f>AK73</f>
        <v/>
      </c>
      <c r="AL162" s="88">
        <f>AL73</f>
        <v/>
      </c>
      <c r="AM162" s="88">
        <f>AM73</f>
        <v/>
      </c>
      <c r="AN162" s="88">
        <f>AN73</f>
        <v/>
      </c>
      <c r="AO162" s="88">
        <f>AO73</f>
        <v/>
      </c>
      <c r="AP162" s="108" t="n"/>
    </row>
    <row r="163">
      <c r="A163" s="90" t="inlineStr">
        <is>
          <t>Total debt</t>
        </is>
      </c>
      <c r="B163" s="131" t="n"/>
      <c r="C163" s="131" t="n"/>
      <c r="D163" s="131" t="n"/>
      <c r="E163" s="131" t="n"/>
      <c r="F163" s="131" t="n"/>
      <c r="G163" s="131" t="n"/>
      <c r="H163" s="131" t="n"/>
      <c r="I163" s="131" t="n"/>
      <c r="J163" s="131" t="n"/>
      <c r="K163" s="131" t="n"/>
      <c r="L163" s="131" t="n"/>
      <c r="M163" s="147" t="n"/>
      <c r="N163" s="123">
        <f>SUM(N161:N162)</f>
        <v/>
      </c>
      <c r="O163" s="123">
        <f>SUM(O161:O162)</f>
        <v/>
      </c>
      <c r="P163" s="123">
        <f>SUM(P161:P162)</f>
        <v/>
      </c>
      <c r="Q163" s="123">
        <f>SUM(Q161:Q162)</f>
        <v/>
      </c>
      <c r="R163" s="123">
        <f>SUM(R161:R162)</f>
        <v/>
      </c>
      <c r="S163" s="123">
        <f>SUM(S161:S162)</f>
        <v/>
      </c>
      <c r="T163" s="123">
        <f>SUM(T161:T162)</f>
        <v/>
      </c>
      <c r="U163" s="123">
        <f>SUM(U161:U162)</f>
        <v/>
      </c>
      <c r="V163" s="123">
        <f>SUM(V161:V162)</f>
        <v/>
      </c>
      <c r="W163" s="123">
        <f>SUM(W161:W162)</f>
        <v/>
      </c>
      <c r="X163" s="123">
        <f>SUM(X161:X162)</f>
        <v/>
      </c>
      <c r="Y163" s="123">
        <f>SUM(Y161:Y162)</f>
        <v/>
      </c>
      <c r="Z163" s="123">
        <f>SUM(Z161:Z162)</f>
        <v/>
      </c>
      <c r="AA163" s="123">
        <f>SUM(AA161:AA162)</f>
        <v/>
      </c>
      <c r="AB163" s="123">
        <f>SUM(AB161:AB162)</f>
        <v/>
      </c>
      <c r="AC163" s="123">
        <f>SUM(AC161:AC162)</f>
        <v/>
      </c>
      <c r="AD163" s="123">
        <f>SUM(AD161:AD162)</f>
        <v/>
      </c>
      <c r="AE163" s="123">
        <f>SUM(AE161:AE162)</f>
        <v/>
      </c>
      <c r="AF163" s="123">
        <f>SUM(AF161:AF162)</f>
        <v/>
      </c>
      <c r="AG163" s="123">
        <f>SUM(AG161:AG162)</f>
        <v/>
      </c>
      <c r="AH163" s="123">
        <f>SUM(AH161:AH162)</f>
        <v/>
      </c>
      <c r="AI163" s="123">
        <f>SUM(AI161:AI162)</f>
        <v/>
      </c>
      <c r="AJ163" s="123">
        <f>SUM(AJ161:AJ162)</f>
        <v/>
      </c>
      <c r="AK163" s="123">
        <f>SUM(AK161:AK162)</f>
        <v/>
      </c>
      <c r="AL163" s="123">
        <f>SUM(AL161:AL162)</f>
        <v/>
      </c>
      <c r="AM163" s="123">
        <f>SUM(AM161:AM162)</f>
        <v/>
      </c>
      <c r="AN163" s="123">
        <f>SUM(AN161:AN162)</f>
        <v/>
      </c>
      <c r="AO163" s="123">
        <f>SUM(AO161:AO162)</f>
        <v/>
      </c>
      <c r="AP163" s="108" t="n"/>
    </row>
    <row r="164">
      <c r="A164" s="92" t="inlineStr">
        <is>
          <t>Total debt to equity ratio</t>
        </is>
      </c>
      <c r="F164" s="110" t="n"/>
      <c r="G164" s="110" t="n"/>
      <c r="H164" s="110" t="n"/>
      <c r="I164" s="110" t="n"/>
      <c r="J164" s="110" t="n"/>
      <c r="K164" s="110" t="n"/>
      <c r="L164" s="110" t="n"/>
      <c r="M164" s="93" t="n"/>
      <c r="N164" s="883">
        <f>N163/N83</f>
        <v/>
      </c>
      <c r="O164" s="883">
        <f>O163/O83</f>
        <v/>
      </c>
      <c r="P164" s="883">
        <f>P163/P83</f>
        <v/>
      </c>
      <c r="Q164" s="883">
        <f>Q163/Q83</f>
        <v/>
      </c>
      <c r="R164" s="883">
        <f>R163/R83</f>
        <v/>
      </c>
      <c r="S164" s="883">
        <f>S163/S83</f>
        <v/>
      </c>
      <c r="T164" s="883">
        <f>T163/T83</f>
        <v/>
      </c>
      <c r="U164" s="883">
        <f>U163/U83</f>
        <v/>
      </c>
      <c r="V164" s="883">
        <f>V163/V83</f>
        <v/>
      </c>
      <c r="W164" s="883">
        <f>W163/W83</f>
        <v/>
      </c>
      <c r="X164" s="883">
        <f>X163/X83</f>
        <v/>
      </c>
      <c r="Y164" s="883">
        <f>Y163/Y83</f>
        <v/>
      </c>
      <c r="Z164" s="883">
        <f>Z163/Z83</f>
        <v/>
      </c>
      <c r="AA164" s="883">
        <f>AA163/AA83</f>
        <v/>
      </c>
      <c r="AB164" s="883">
        <f>AB163/AB83</f>
        <v/>
      </c>
      <c r="AC164" s="883">
        <f>AC163/AC83</f>
        <v/>
      </c>
      <c r="AD164" s="883">
        <f>AD163/AD83</f>
        <v/>
      </c>
      <c r="AE164" s="883">
        <f>AE163/AE83</f>
        <v/>
      </c>
      <c r="AF164" s="883">
        <f>AF163/AF83</f>
        <v/>
      </c>
      <c r="AG164" s="883">
        <f>AG163/AG83</f>
        <v/>
      </c>
      <c r="AH164" s="883">
        <f>AH163/AH83</f>
        <v/>
      </c>
      <c r="AI164" s="883">
        <f>AI163/AI83</f>
        <v/>
      </c>
      <c r="AJ164" s="883">
        <f>AJ163/AJ83</f>
        <v/>
      </c>
      <c r="AK164" s="883">
        <f>AK163/AK83</f>
        <v/>
      </c>
      <c r="AL164" s="883">
        <f>AL163/AL83</f>
        <v/>
      </c>
      <c r="AM164" s="883">
        <f>AM163/AM83</f>
        <v/>
      </c>
      <c r="AN164" s="883">
        <f>AN163/AN83</f>
        <v/>
      </c>
      <c r="AO164" s="883">
        <f>AO163/AO83</f>
        <v/>
      </c>
      <c r="AP164" s="108" t="n"/>
    </row>
    <row r="165">
      <c r="A165" s="92" t="n"/>
      <c r="F165" s="110" t="n"/>
      <c r="G165" s="110" t="n"/>
      <c r="H165" s="110" t="n"/>
      <c r="I165" s="110" t="n"/>
      <c r="J165" s="110" t="n"/>
      <c r="K165" s="110" t="n"/>
      <c r="L165" s="110" t="n"/>
      <c r="M165" s="93" t="n"/>
      <c r="N165" s="93" t="n"/>
      <c r="O165" s="93" t="n"/>
      <c r="P165" s="93" t="n"/>
      <c r="Q165" s="93" t="n"/>
      <c r="R165" s="93" t="n"/>
      <c r="S165" s="93" t="n"/>
      <c r="T165" s="93" t="n"/>
      <c r="U165" s="93" t="n"/>
      <c r="V165" s="93" t="n"/>
      <c r="W165" s="93" t="n"/>
      <c r="X165" s="93" t="n"/>
      <c r="Y165" s="93" t="n"/>
      <c r="Z165" s="93" t="n"/>
      <c r="AA165" s="93" t="n"/>
      <c r="AB165" s="93" t="n"/>
      <c r="AC165" s="93" t="n"/>
      <c r="AD165" s="93" t="n"/>
      <c r="AE165" s="93" t="n"/>
      <c r="AF165" s="93" t="n"/>
      <c r="AG165" s="93" t="n"/>
      <c r="AH165" s="93" t="n"/>
      <c r="AI165" s="93" t="n"/>
      <c r="AJ165" s="93" t="n"/>
      <c r="AK165" s="93" t="n"/>
      <c r="AL165" s="93" t="n"/>
      <c r="AM165" s="93" t="n"/>
      <c r="AN165" s="93" t="n"/>
      <c r="AO165" s="93" t="n"/>
      <c r="AP165" s="108" t="n"/>
    </row>
    <row r="166">
      <c r="A166" s="22" t="inlineStr">
        <is>
          <t>Net debt</t>
        </is>
      </c>
      <c r="F166" s="108" t="n"/>
      <c r="G166" s="108" t="n"/>
      <c r="H166" s="108" t="n"/>
      <c r="I166" s="108" t="n"/>
      <c r="J166" s="108" t="n"/>
      <c r="K166" s="108" t="n"/>
      <c r="L166" s="108" t="n"/>
      <c r="M166" s="76" t="n"/>
      <c r="N166" s="86">
        <f>N163-N157</f>
        <v/>
      </c>
      <c r="O166" s="86">
        <f>O163-O157</f>
        <v/>
      </c>
      <c r="P166" s="86">
        <f>P163-P157</f>
        <v/>
      </c>
      <c r="Q166" s="86">
        <f>Q163-Q157</f>
        <v/>
      </c>
      <c r="R166" s="86">
        <f>R163-R157</f>
        <v/>
      </c>
      <c r="S166" s="86">
        <f>S163-S157</f>
        <v/>
      </c>
      <c r="T166" s="86">
        <f>T163-T157</f>
        <v/>
      </c>
      <c r="U166" s="86">
        <f>U163-U157</f>
        <v/>
      </c>
      <c r="V166" s="86">
        <f>V163-V157</f>
        <v/>
      </c>
      <c r="W166" s="86">
        <f>W163-W157</f>
        <v/>
      </c>
      <c r="X166" s="86">
        <f>X163-X157</f>
        <v/>
      </c>
      <c r="Y166" s="86">
        <f>Y163-Y157</f>
        <v/>
      </c>
      <c r="Z166" s="86">
        <f>Z163-Z157</f>
        <v/>
      </c>
      <c r="AA166" s="86">
        <f>AA163-AA157</f>
        <v/>
      </c>
      <c r="AB166" s="86">
        <f>AB163-AB157</f>
        <v/>
      </c>
      <c r="AC166" s="86">
        <f>AC163-AC157</f>
        <v/>
      </c>
      <c r="AD166" s="86">
        <f>AD163-AD157</f>
        <v/>
      </c>
      <c r="AE166" s="86">
        <f>AE163-AE157</f>
        <v/>
      </c>
      <c r="AF166" s="86">
        <f>AF163-AF157</f>
        <v/>
      </c>
      <c r="AG166" s="86">
        <f>AG163-AG157</f>
        <v/>
      </c>
      <c r="AH166" s="86">
        <f>AH163-AH157</f>
        <v/>
      </c>
      <c r="AI166" s="86">
        <f>AI163-AI157</f>
        <v/>
      </c>
      <c r="AJ166" s="86">
        <f>AJ163-AJ157</f>
        <v/>
      </c>
      <c r="AK166" s="86">
        <f>AK163-AK157</f>
        <v/>
      </c>
      <c r="AL166" s="86">
        <f>AL163-AL157</f>
        <v/>
      </c>
      <c r="AM166" s="86">
        <f>AM163-AM157</f>
        <v/>
      </c>
      <c r="AN166" s="86">
        <f>AN163-AN157</f>
        <v/>
      </c>
      <c r="AO166" s="86">
        <f>AO163-AO157</f>
        <v/>
      </c>
      <c r="AP166" s="108" t="n"/>
    </row>
    <row r="167">
      <c r="A167" s="105" t="inlineStr">
        <is>
          <t>EBITDA / interest expense</t>
        </is>
      </c>
      <c r="F167" s="142" t="n"/>
      <c r="G167" s="142" t="n"/>
      <c r="H167" s="142" t="n"/>
      <c r="I167" s="142" t="n"/>
      <c r="J167" s="142" t="n"/>
      <c r="K167" s="142" t="n"/>
      <c r="L167" s="142" t="n"/>
      <c r="M167" s="143" t="n"/>
      <c r="N167" s="94">
        <f>-N154/N20</f>
        <v/>
      </c>
      <c r="O167" s="94">
        <f>-O154/O20</f>
        <v/>
      </c>
      <c r="P167" s="94">
        <f>-P154/P20</f>
        <v/>
      </c>
      <c r="Q167" s="94">
        <f>-Q154/Q20</f>
        <v/>
      </c>
      <c r="R167" s="94">
        <f>-R154/R20</f>
        <v/>
      </c>
      <c r="S167" s="94">
        <f>-S154/S20</f>
        <v/>
      </c>
      <c r="T167" s="94">
        <f>-T154/T20</f>
        <v/>
      </c>
      <c r="U167" s="94">
        <f>-U154/U20</f>
        <v/>
      </c>
      <c r="V167" s="94">
        <f>-V154/V20</f>
        <v/>
      </c>
      <c r="W167" s="94">
        <f>-W154/W20</f>
        <v/>
      </c>
      <c r="X167" s="94">
        <f>-X154/X20</f>
        <v/>
      </c>
      <c r="Y167" s="94">
        <f>-Y154/Y20</f>
        <v/>
      </c>
      <c r="Z167" s="94">
        <f>-Z154/Z20</f>
        <v/>
      </c>
      <c r="AA167" s="94">
        <f>-AA154/AA20</f>
        <v/>
      </c>
      <c r="AB167" s="94">
        <f>-AB154/AB20</f>
        <v/>
      </c>
      <c r="AC167" s="94">
        <f>-AC154/AC20</f>
        <v/>
      </c>
      <c r="AD167" s="94">
        <f>-AD154/AD20</f>
        <v/>
      </c>
      <c r="AE167" s="94">
        <f>-AE154/AE20</f>
        <v/>
      </c>
      <c r="AF167" s="94">
        <f>-AF154/AF20</f>
        <v/>
      </c>
      <c r="AG167" s="94">
        <f>-AG154/AG20</f>
        <v/>
      </c>
      <c r="AH167" s="94">
        <f>-AH154/AH20</f>
        <v/>
      </c>
      <c r="AI167" s="94">
        <f>-AI154/AI20</f>
        <v/>
      </c>
      <c r="AJ167" s="94">
        <f>-AJ154/AJ20</f>
        <v/>
      </c>
      <c r="AK167" s="94">
        <f>-AK154/AK20</f>
        <v/>
      </c>
      <c r="AL167" s="94">
        <f>-AL154/AL20</f>
        <v/>
      </c>
      <c r="AM167" s="94">
        <f>-AM154/AM20</f>
        <v/>
      </c>
      <c r="AN167" s="94">
        <f>-AN154/AN20</f>
        <v/>
      </c>
      <c r="AO167" s="94">
        <f>-AO154/AO20</f>
        <v/>
      </c>
      <c r="AP167" s="108" t="n"/>
    </row>
    <row r="168">
      <c r="M168" s="31" t="n"/>
      <c r="N168" s="76" t="n"/>
      <c r="O168" s="76" t="n"/>
      <c r="P168" s="76" t="n"/>
      <c r="Q168" s="76" t="n"/>
      <c r="R168" s="76" t="n"/>
      <c r="S168" s="76" t="n"/>
      <c r="T168" s="76" t="n"/>
      <c r="U168" s="76" t="n"/>
      <c r="V168" s="76" t="n"/>
      <c r="W168" s="76" t="n"/>
      <c r="X168" s="76" t="n"/>
      <c r="Y168" s="76" t="n"/>
      <c r="Z168" s="76" t="n"/>
      <c r="AA168" s="76" t="n"/>
      <c r="AB168" s="76" t="n"/>
      <c r="AC168" s="76" t="n"/>
      <c r="AD168" s="76" t="n"/>
      <c r="AE168" s="76" t="n"/>
      <c r="AF168" s="76" t="n"/>
      <c r="AG168" s="76" t="n"/>
      <c r="AH168" s="76" t="n"/>
      <c r="AI168" s="76" t="n"/>
      <c r="AJ168" s="76" t="n"/>
      <c r="AK168" s="76" t="n"/>
      <c r="AL168" s="76" t="n"/>
      <c r="AM168" s="76" t="n"/>
      <c r="AN168" s="76" t="n"/>
      <c r="AO168" s="76" t="n"/>
      <c r="AP168" s="108" t="n"/>
    </row>
    <row r="169">
      <c r="A169" s="22" t="inlineStr">
        <is>
          <t>Total trade receivable (trade +bills)</t>
        </is>
      </c>
      <c r="F169" s="108" t="n"/>
      <c r="G169" s="108" t="n"/>
      <c r="H169" s="108" t="n"/>
      <c r="I169" s="108" t="n"/>
      <c r="J169" s="108" t="n"/>
      <c r="K169" s="108" t="n"/>
      <c r="L169" s="108" t="n"/>
      <c r="M169" s="76" t="n"/>
      <c r="N169" s="86">
        <f>N39+N41</f>
        <v/>
      </c>
      <c r="O169" s="86">
        <f>O39+O41</f>
        <v/>
      </c>
      <c r="P169" s="86">
        <f>P39+P41</f>
        <v/>
      </c>
      <c r="Q169" s="86">
        <f>Q39+Q41</f>
        <v/>
      </c>
      <c r="R169" s="86">
        <f>R39+R41</f>
        <v/>
      </c>
      <c r="S169" s="86">
        <f>S39+S41</f>
        <v/>
      </c>
      <c r="T169" s="86">
        <f>T39+T41</f>
        <v/>
      </c>
      <c r="U169" s="86">
        <f>U39+U41</f>
        <v/>
      </c>
      <c r="V169" s="86">
        <f>V39+V41</f>
        <v/>
      </c>
      <c r="W169" s="86">
        <f>W39+W41</f>
        <v/>
      </c>
      <c r="X169" s="86">
        <f>X39+X41</f>
        <v/>
      </c>
      <c r="Y169" s="86">
        <f>Y39+Y41</f>
        <v/>
      </c>
      <c r="Z169" s="86">
        <f>Z39+Z41</f>
        <v/>
      </c>
      <c r="AA169" s="86">
        <f>AA39+AA41</f>
        <v/>
      </c>
      <c r="AB169" s="86">
        <f>AB39+AB41</f>
        <v/>
      </c>
      <c r="AC169" s="86">
        <f>AC39+AC41</f>
        <v/>
      </c>
      <c r="AD169" s="86">
        <f>AD39+AD41</f>
        <v/>
      </c>
      <c r="AE169" s="86">
        <f>AE39+AE41</f>
        <v/>
      </c>
      <c r="AF169" s="86">
        <f>AF39+AF41</f>
        <v/>
      </c>
      <c r="AG169" s="86">
        <f>AG39+AG41</f>
        <v/>
      </c>
      <c r="AH169" s="86">
        <f>AH39+AH41</f>
        <v/>
      </c>
      <c r="AI169" s="86">
        <f>AI39+AI41</f>
        <v/>
      </c>
      <c r="AJ169" s="86">
        <f>AJ39+AJ41</f>
        <v/>
      </c>
      <c r="AK169" s="86">
        <f>AK39+AK41</f>
        <v/>
      </c>
      <c r="AL169" s="86">
        <f>AL39+AL41</f>
        <v/>
      </c>
      <c r="AM169" s="86">
        <f>AM39+AM41</f>
        <v/>
      </c>
      <c r="AN169" s="86">
        <f>AN39+AN41</f>
        <v/>
      </c>
      <c r="AO169" s="86">
        <f>AO39+AO41</f>
        <v/>
      </c>
      <c r="AP169" s="108" t="n"/>
    </row>
    <row r="170">
      <c r="A170" s="74" t="inlineStr">
        <is>
          <t>In turnover days</t>
        </is>
      </c>
      <c r="F170" s="142" t="n"/>
      <c r="G170" s="142" t="n"/>
      <c r="H170" s="142" t="n"/>
      <c r="I170" s="142" t="n"/>
      <c r="J170" s="142" t="n"/>
      <c r="K170" s="142" t="n"/>
      <c r="L170" s="142" t="n"/>
      <c r="M170" s="143" t="n"/>
      <c r="N170" s="884">
        <f>N169/(N$11/N221)</f>
        <v/>
      </c>
      <c r="O170" s="884">
        <f>O169/(O$11/O221)</f>
        <v/>
      </c>
      <c r="P170" s="884">
        <f>P169/(P$11/P221)</f>
        <v/>
      </c>
      <c r="Q170" s="884">
        <f>Q169/(Q$11/Q221)</f>
        <v/>
      </c>
      <c r="R170" s="884">
        <f>R169/(R$11/R221)</f>
        <v/>
      </c>
      <c r="S170" s="884">
        <f>S169/(S$11/S221)</f>
        <v/>
      </c>
      <c r="T170" s="884">
        <f>T169/(T$11/T221)</f>
        <v/>
      </c>
      <c r="U170" s="884">
        <f>U169/(U$11/U221)</f>
        <v/>
      </c>
      <c r="V170" s="884">
        <f>V169/(V$11/V221)</f>
        <v/>
      </c>
      <c r="W170" s="884">
        <f>W169/(W$11/W221)</f>
        <v/>
      </c>
      <c r="X170" s="884">
        <f>X169/(X$11/X221)</f>
        <v/>
      </c>
      <c r="Y170" s="884">
        <f>Y169/(Y$11/Y221)</f>
        <v/>
      </c>
      <c r="Z170" s="884">
        <f>Z169/(Z$11/Z221)</f>
        <v/>
      </c>
      <c r="AA170" s="884">
        <f>AA169/(AA$11/AA221)</f>
        <v/>
      </c>
      <c r="AB170" s="884">
        <f>AB169/(AB$11/AB221)</f>
        <v/>
      </c>
      <c r="AC170" s="884">
        <f>AC169/(AC$11/AC221)</f>
        <v/>
      </c>
      <c r="AD170" s="884">
        <f>AD169/(AD$11/AD221)</f>
        <v/>
      </c>
      <c r="AE170" s="884">
        <f>AE169/(AE$11/AE221)</f>
        <v/>
      </c>
      <c r="AF170" s="884">
        <f>AF169/(AF$11/AF221)</f>
        <v/>
      </c>
      <c r="AG170" s="884">
        <f>AG169/(AG$11/AG221)</f>
        <v/>
      </c>
      <c r="AH170" s="884">
        <f>AH169/(AH$11/AH221)</f>
        <v/>
      </c>
      <c r="AI170" s="884">
        <f>AI169/(AI$11/AI221)</f>
        <v/>
      </c>
      <c r="AJ170" s="884">
        <f>AJ169/(AJ$11/AJ221)</f>
        <v/>
      </c>
      <c r="AK170" s="884">
        <f>AK169/(AK$11/AK221)</f>
        <v/>
      </c>
      <c r="AL170" s="884">
        <f>AL169/(AL$11/AL221)</f>
        <v/>
      </c>
      <c r="AM170" s="884">
        <f>AM169/(AM$11/AM221)</f>
        <v/>
      </c>
      <c r="AN170" s="884">
        <f>AN169/(AN$11/AN221)</f>
        <v/>
      </c>
      <c r="AO170" s="884">
        <f>AO169/(AO$11/AO221)</f>
        <v/>
      </c>
      <c r="AP170" s="108" t="n"/>
    </row>
    <row r="171">
      <c r="A171" s="22" t="inlineStr">
        <is>
          <t>Inventory turnover days</t>
        </is>
      </c>
      <c r="F171" s="142" t="n"/>
      <c r="G171" s="142" t="n"/>
      <c r="H171" s="142" t="n"/>
      <c r="I171" s="142" t="n"/>
      <c r="J171" s="142" t="n"/>
      <c r="K171" s="142" t="n"/>
      <c r="L171" s="142" t="n"/>
      <c r="M171" s="143" t="n"/>
      <c r="N171" s="884">
        <f>-N42/(N$12/N221)</f>
        <v/>
      </c>
      <c r="O171" s="884">
        <f>-O42/(O$12/O221)</f>
        <v/>
      </c>
      <c r="P171" s="884">
        <f>-P42/(P$12/P221)</f>
        <v/>
      </c>
      <c r="Q171" s="884">
        <f>-Q42/(Q$12/Q221)</f>
        <v/>
      </c>
      <c r="R171" s="884">
        <f>-R42/(R$12/R221)</f>
        <v/>
      </c>
      <c r="S171" s="884">
        <f>-S42/(S$12/S221)</f>
        <v/>
      </c>
      <c r="T171" s="884">
        <f>-T42/(T$12/T221)</f>
        <v/>
      </c>
      <c r="U171" s="884">
        <f>-U42/(U$12/U221)</f>
        <v/>
      </c>
      <c r="V171" s="884">
        <f>-V42/(V$12/V221)</f>
        <v/>
      </c>
      <c r="W171" s="884">
        <f>-W42/(W$12/W221)</f>
        <v/>
      </c>
      <c r="X171" s="884">
        <f>-X42/(X$12/X221)</f>
        <v/>
      </c>
      <c r="Y171" s="884">
        <f>-Y42/(Y$12/Y221)</f>
        <v/>
      </c>
      <c r="Z171" s="884">
        <f>-Z42/(Z$12/Z221)</f>
        <v/>
      </c>
      <c r="AA171" s="884">
        <f>-AA42/(AA$12/AA221)</f>
        <v/>
      </c>
      <c r="AB171" s="884">
        <f>-AB42/(AB$12/AB221)</f>
        <v/>
      </c>
      <c r="AC171" s="884">
        <f>-AC42/(AC$12/AC221)</f>
        <v/>
      </c>
      <c r="AD171" s="884">
        <f>-AD42/(AD$12/AD221)</f>
        <v/>
      </c>
      <c r="AE171" s="884">
        <f>-AE42/(AE$12/AE221)</f>
        <v/>
      </c>
      <c r="AF171" s="884">
        <f>-AF42/(AF$12/AF221)</f>
        <v/>
      </c>
      <c r="AG171" s="884">
        <f>-AG42/(AG$12/AG221)</f>
        <v/>
      </c>
      <c r="AH171" s="884">
        <f>-AH42/(AH$12/AH221)</f>
        <v/>
      </c>
      <c r="AI171" s="884">
        <f>-AI42/(AI$12/AI221)</f>
        <v/>
      </c>
      <c r="AJ171" s="884">
        <f>-AJ42/(AJ$12/AJ221)</f>
        <v/>
      </c>
      <c r="AK171" s="884">
        <f>-AK42/(AK$12/AK221)</f>
        <v/>
      </c>
      <c r="AL171" s="884">
        <f>-AL42/(AL$12/AL221)</f>
        <v/>
      </c>
      <c r="AM171" s="884">
        <f>-AM42/(AM$12/AM221)</f>
        <v/>
      </c>
      <c r="AN171" s="884">
        <f>-AN42/(AN$12/AN221)</f>
        <v/>
      </c>
      <c r="AO171" s="884">
        <f>-AO42/(AO$12/AO221)</f>
        <v/>
      </c>
      <c r="AP171" s="108" t="n"/>
    </row>
    <row r="172">
      <c r="A172" s="74" t="n"/>
      <c r="M172" s="31" t="n"/>
      <c r="N172" s="31" t="n"/>
      <c r="O172" s="31" t="n"/>
      <c r="P172" s="31" t="n"/>
      <c r="Q172" s="31" t="n"/>
      <c r="R172" s="31" t="n"/>
      <c r="S172" s="31" t="n"/>
      <c r="T172" s="31" t="n"/>
      <c r="U172" s="31" t="n"/>
      <c r="V172" s="31" t="n"/>
      <c r="W172" s="31" t="n"/>
      <c r="X172" s="31" t="n"/>
      <c r="Y172" s="31" t="n"/>
      <c r="Z172" s="31" t="n"/>
      <c r="AA172" s="31" t="n"/>
      <c r="AB172" s="31" t="n"/>
      <c r="AC172" s="31" t="n"/>
      <c r="AD172" s="31" t="n"/>
      <c r="AE172" s="31" t="n"/>
      <c r="AF172" s="31" t="n"/>
      <c r="AG172" s="31" t="n"/>
      <c r="AH172" s="31" t="n"/>
      <c r="AI172" s="31" t="n"/>
      <c r="AJ172" s="31" t="n"/>
      <c r="AK172" s="31" t="n"/>
      <c r="AL172" s="31" t="n"/>
      <c r="AM172" s="31" t="n"/>
      <c r="AN172" s="31" t="n"/>
      <c r="AO172" s="31" t="n"/>
      <c r="AP172" s="108" t="n"/>
    </row>
    <row r="173">
      <c r="A173" s="40" t="inlineStr">
        <is>
          <t>Capex total (ppe+intangible)</t>
        </is>
      </c>
      <c r="F173" s="108" t="n"/>
      <c r="G173" s="108" t="n"/>
      <c r="H173" s="108" t="n"/>
      <c r="I173" s="108" t="n"/>
      <c r="J173" s="108" t="n"/>
      <c r="K173" s="108" t="n"/>
      <c r="L173" s="108" t="n"/>
      <c r="M173" s="76" t="n"/>
      <c r="N173" s="86">
        <f>-N122-N123-N124</f>
        <v/>
      </c>
      <c r="O173" s="86">
        <f>-O122-O123-O124</f>
        <v/>
      </c>
      <c r="P173" s="86">
        <f>-P122-P123-P124</f>
        <v/>
      </c>
      <c r="Q173" s="86">
        <f>-Q122-Q123-Q124</f>
        <v/>
      </c>
      <c r="R173" s="86">
        <f>-R122-R123-R124</f>
        <v/>
      </c>
      <c r="S173" s="86">
        <f>-S122-S123-S124</f>
        <v/>
      </c>
      <c r="T173" s="86">
        <f>-T122-T123-T124</f>
        <v/>
      </c>
      <c r="U173" s="86">
        <f>-U122-U123-U124</f>
        <v/>
      </c>
      <c r="V173" s="86">
        <f>-V122-V123-V124</f>
        <v/>
      </c>
      <c r="W173" s="86">
        <f>-W122-W123-W124</f>
        <v/>
      </c>
      <c r="X173" s="86">
        <f>-X122-X123-X124</f>
        <v/>
      </c>
      <c r="Y173" s="86">
        <f>-Y122-Y123-Y124</f>
        <v/>
      </c>
      <c r="Z173" s="86">
        <f>-Z122-Z123-Z124</f>
        <v/>
      </c>
      <c r="AA173" s="86">
        <f>-AA122-AA123-AA124</f>
        <v/>
      </c>
      <c r="AB173" s="86">
        <f>-AB122-AB123-AB124</f>
        <v/>
      </c>
      <c r="AC173" s="86">
        <f>-AC122-AC123-AC124</f>
        <v/>
      </c>
      <c r="AD173" s="86">
        <f>-AD122-AD123-AD124</f>
        <v/>
      </c>
      <c r="AE173" s="86">
        <f>-AE122-AE123-AE124</f>
        <v/>
      </c>
      <c r="AF173" s="86">
        <f>-AF122-AF123-AF124</f>
        <v/>
      </c>
      <c r="AG173" s="86">
        <f>-AG122-AG123-AG124</f>
        <v/>
      </c>
      <c r="AH173" s="86">
        <f>-AH122-AH123-AH124</f>
        <v/>
      </c>
      <c r="AI173" s="86">
        <f>-AI122-AI123-AI124</f>
        <v/>
      </c>
      <c r="AJ173" s="86">
        <f>-AJ122-AJ123-AJ124</f>
        <v/>
      </c>
      <c r="AK173" s="86">
        <f>-AK122-AK123-AK124</f>
        <v/>
      </c>
      <c r="AL173" s="86">
        <f>-AL122-AL123-AL124</f>
        <v/>
      </c>
      <c r="AM173" s="86">
        <f>-AM122-AM123-AM124</f>
        <v/>
      </c>
      <c r="AN173" s="86">
        <f>-AN122-AN123-AN124</f>
        <v/>
      </c>
      <c r="AO173" s="86">
        <f>-AO122-AO123-AO124</f>
        <v/>
      </c>
      <c r="AP173" s="108" t="n"/>
    </row>
    <row r="174">
      <c r="A174" s="74" t="inlineStr">
        <is>
          <t>As % of sales (capital intensity)</t>
        </is>
      </c>
      <c r="F174" s="109" t="n"/>
      <c r="G174" s="109" t="n"/>
      <c r="H174" s="109" t="n"/>
      <c r="I174" s="109" t="n"/>
      <c r="J174" s="109" t="n"/>
      <c r="K174" s="109" t="n"/>
      <c r="L174" s="109" t="n"/>
      <c r="M174" s="190" t="n"/>
      <c r="N174" s="882">
        <f>N173/N11</f>
        <v/>
      </c>
      <c r="O174" s="882">
        <f>O173/O11</f>
        <v/>
      </c>
      <c r="P174" s="882">
        <f>P173/P11</f>
        <v/>
      </c>
      <c r="Q174" s="882">
        <f>Q173/Q11</f>
        <v/>
      </c>
      <c r="R174" s="882">
        <f>R173/R11</f>
        <v/>
      </c>
      <c r="S174" s="882">
        <f>S173/S11</f>
        <v/>
      </c>
      <c r="T174" s="882">
        <f>T173/T11</f>
        <v/>
      </c>
      <c r="U174" s="882">
        <f>U173/U11</f>
        <v/>
      </c>
      <c r="V174" s="882">
        <f>V173/V11</f>
        <v/>
      </c>
      <c r="W174" s="882">
        <f>W173/W11</f>
        <v/>
      </c>
      <c r="X174" s="882">
        <f>X173/X11</f>
        <v/>
      </c>
      <c r="Y174" s="882">
        <f>Y173/Y11</f>
        <v/>
      </c>
      <c r="Z174" s="882">
        <f>Z173/Z11</f>
        <v/>
      </c>
      <c r="AA174" s="882">
        <f>AA173/AA11</f>
        <v/>
      </c>
      <c r="AB174" s="882">
        <f>AB173/AB11</f>
        <v/>
      </c>
      <c r="AC174" s="882">
        <f>AC173/AC11</f>
        <v/>
      </c>
      <c r="AD174" s="882">
        <f>AD173/AD11</f>
        <v/>
      </c>
      <c r="AE174" s="882">
        <f>AE173/AE11</f>
        <v/>
      </c>
      <c r="AF174" s="882">
        <f>AF173/AF11</f>
        <v/>
      </c>
      <c r="AG174" s="882">
        <f>AG173/AG11</f>
        <v/>
      </c>
      <c r="AH174" s="882">
        <f>AH173/AH11</f>
        <v/>
      </c>
      <c r="AI174" s="882">
        <f>AI173/AI11</f>
        <v/>
      </c>
      <c r="AJ174" s="882">
        <f>AJ173/AJ11</f>
        <v/>
      </c>
      <c r="AK174" s="882">
        <f>AK173/AK11</f>
        <v/>
      </c>
      <c r="AL174" s="882">
        <f>AL173/AL11</f>
        <v/>
      </c>
      <c r="AM174" s="882">
        <f>AM173/AM11</f>
        <v/>
      </c>
      <c r="AN174" s="882">
        <f>AN173/AN11</f>
        <v/>
      </c>
      <c r="AO174" s="882">
        <f>AO173/AO11</f>
        <v/>
      </c>
      <c r="AP174" s="108" t="n"/>
    </row>
    <row r="175">
      <c r="A175" s="74" t="n"/>
      <c r="M175" s="31" t="n"/>
      <c r="N175" s="31" t="n"/>
      <c r="O175" s="31" t="n"/>
      <c r="P175" s="31" t="n"/>
      <c r="Q175" s="31" t="n"/>
      <c r="R175" s="31" t="n"/>
      <c r="S175" s="31" t="n"/>
      <c r="T175" s="31" t="n"/>
      <c r="U175" s="31" t="n"/>
      <c r="V175" s="31" t="n"/>
      <c r="W175" s="31" t="n"/>
      <c r="X175" s="31" t="n"/>
      <c r="Y175" s="31" t="n"/>
      <c r="Z175" s="31" t="n"/>
      <c r="AA175" s="31" t="n"/>
      <c r="AB175" s="31" t="n"/>
      <c r="AC175" s="31" t="n"/>
      <c r="AD175" s="31" t="n"/>
      <c r="AE175" s="31" t="n"/>
      <c r="AF175" s="31" t="n"/>
      <c r="AG175" s="31" t="n"/>
      <c r="AH175" s="31" t="n"/>
      <c r="AI175" s="31" t="n"/>
      <c r="AJ175" s="31" t="n"/>
      <c r="AK175" s="31" t="n"/>
      <c r="AL175" s="31" t="n"/>
      <c r="AM175" s="31" t="n"/>
      <c r="AN175" s="31" t="n"/>
      <c r="AO175" s="31" t="n"/>
      <c r="AP175" s="108" t="n"/>
    </row>
    <row r="176">
      <c r="A176" t="inlineStr">
        <is>
          <t>Dividends per share (HKD)</t>
        </is>
      </c>
      <c r="F176" s="111" t="n"/>
      <c r="G176" s="111" t="n"/>
      <c r="H176" s="111" t="n"/>
      <c r="I176" s="111" t="n"/>
      <c r="J176" s="111" t="n"/>
      <c r="K176" s="111" t="n"/>
      <c r="L176" s="111" t="n"/>
      <c r="M176" s="31" t="n"/>
      <c r="N176" s="156">
        <f>Assumption!#REF!/N226</f>
        <v/>
      </c>
      <c r="O176" s="156">
        <f>Assumption!#REF!/O226</f>
        <v/>
      </c>
      <c r="P176" s="156">
        <f>Assumption!#REF!/P226</f>
        <v/>
      </c>
      <c r="Q176" s="156">
        <f>Assumption!#REF!/Q226</f>
        <v/>
      </c>
      <c r="R176" s="156">
        <f>Assumption!#REF!/R226</f>
        <v/>
      </c>
      <c r="S176" s="156">
        <f>Assumption!#REF!/S226</f>
        <v/>
      </c>
      <c r="T176" s="156">
        <f>Assumption!#REF!/T226</f>
        <v/>
      </c>
      <c r="U176" s="156">
        <f>Assumption!#REF!/U226</f>
        <v/>
      </c>
      <c r="V176" s="156">
        <f>Assumption!#REF!/V226</f>
        <v/>
      </c>
      <c r="W176" s="156">
        <f>Assumption!#REF!/W226</f>
        <v/>
      </c>
      <c r="X176" s="156">
        <f>Assumption!B231/X226</f>
        <v/>
      </c>
      <c r="Y176" s="156">
        <f>Assumption!C231/Y226</f>
        <v/>
      </c>
      <c r="Z176" s="156">
        <f>Assumption!D231/Z226</f>
        <v/>
      </c>
      <c r="AA176" s="156">
        <f>Assumption!E231/AA226</f>
        <v/>
      </c>
      <c r="AB176" s="156">
        <f>Assumption!F231/AB226</f>
        <v/>
      </c>
      <c r="AC176" s="156">
        <f>Assumption!G231/AC226</f>
        <v/>
      </c>
      <c r="AD176" s="156">
        <f>Assumption!H231/AD226</f>
        <v/>
      </c>
      <c r="AE176" s="156">
        <f>Assumption!I231/AE226</f>
        <v/>
      </c>
      <c r="AF176" s="156">
        <f>Assumption!J231/AF226</f>
        <v/>
      </c>
      <c r="AG176" s="156">
        <f>Assumption!K231/AG226</f>
        <v/>
      </c>
      <c r="AH176" s="156">
        <f>Assumption!L231/AH226</f>
        <v/>
      </c>
      <c r="AI176" s="156">
        <f>Assumption!M231/AI226</f>
        <v/>
      </c>
      <c r="AJ176" s="156">
        <f>Assumption!N231/AJ226</f>
        <v/>
      </c>
      <c r="AK176" s="156">
        <f>Assumption!O231/AK226</f>
        <v/>
      </c>
      <c r="AL176" s="156">
        <f>Assumption!P231/AL226</f>
        <v/>
      </c>
      <c r="AM176" s="156">
        <f>Assumption!Q231/AM226</f>
        <v/>
      </c>
      <c r="AN176" s="156">
        <f>Assumption!R231/AN226</f>
        <v/>
      </c>
      <c r="AO176" s="156">
        <f>Assumption!S231/AO226</f>
        <v/>
      </c>
      <c r="AP176" s="108" t="n"/>
    </row>
    <row r="177">
      <c r="M177" s="31" t="n"/>
      <c r="N177" s="31" t="n"/>
      <c r="O177" s="31" t="n"/>
      <c r="P177" s="31" t="n"/>
      <c r="Q177" s="31" t="n"/>
      <c r="R177" s="31" t="n"/>
      <c r="S177" s="31" t="n"/>
      <c r="T177" s="31" t="n"/>
      <c r="U177" s="31" t="n"/>
      <c r="V177" s="31" t="n"/>
      <c r="W177" s="31" t="n"/>
      <c r="X177" s="31" t="n"/>
      <c r="Y177" s="31" t="n"/>
      <c r="Z177" s="31" t="n"/>
      <c r="AA177" s="31" t="n"/>
      <c r="AB177" s="31" t="n"/>
      <c r="AC177" s="31" t="n"/>
      <c r="AD177" s="31" t="n"/>
      <c r="AE177" s="31" t="n"/>
      <c r="AF177" s="31" t="n"/>
      <c r="AG177" s="31" t="n"/>
      <c r="AH177" s="31" t="n"/>
      <c r="AI177" s="31" t="n"/>
      <c r="AJ177" s="31" t="n"/>
      <c r="AK177" s="31" t="n"/>
      <c r="AL177" s="31" t="n"/>
      <c r="AM177" s="31" t="n"/>
      <c r="AN177" s="31" t="n"/>
      <c r="AO177" s="31" t="n"/>
      <c r="AP177" s="108" t="n"/>
    </row>
    <row r="178">
      <c r="A178" t="inlineStr">
        <is>
          <t>Total assets</t>
        </is>
      </c>
      <c r="F178" s="108" t="n"/>
      <c r="G178" s="108" t="n"/>
      <c r="H178" s="108" t="n"/>
      <c r="I178" s="108" t="n"/>
      <c r="J178" s="108" t="n"/>
      <c r="K178" s="108" t="n"/>
      <c r="L178" s="108" t="n"/>
      <c r="M178" s="76" t="n"/>
      <c r="N178" s="86">
        <f>N58</f>
        <v/>
      </c>
      <c r="O178" s="86">
        <f>O58</f>
        <v/>
      </c>
      <c r="P178" s="86">
        <f>P58</f>
        <v/>
      </c>
      <c r="Q178" s="86">
        <f>Q58</f>
        <v/>
      </c>
      <c r="R178" s="86">
        <f>R58</f>
        <v/>
      </c>
      <c r="S178" s="86">
        <f>S58</f>
        <v/>
      </c>
      <c r="T178" s="86">
        <f>T58</f>
        <v/>
      </c>
      <c r="U178" s="86">
        <f>U58</f>
        <v/>
      </c>
      <c r="V178" s="86">
        <f>V58</f>
        <v/>
      </c>
      <c r="W178" s="86">
        <f>W58</f>
        <v/>
      </c>
      <c r="X178" s="86">
        <f>X58</f>
        <v/>
      </c>
      <c r="Y178" s="86">
        <f>Y58</f>
        <v/>
      </c>
      <c r="Z178" s="86">
        <f>Z58</f>
        <v/>
      </c>
      <c r="AA178" s="86">
        <f>AA58</f>
        <v/>
      </c>
      <c r="AB178" s="86">
        <f>AB58</f>
        <v/>
      </c>
      <c r="AC178" s="86">
        <f>AC58</f>
        <v/>
      </c>
      <c r="AD178" s="86">
        <f>AD58</f>
        <v/>
      </c>
      <c r="AE178" s="86">
        <f>AE58</f>
        <v/>
      </c>
      <c r="AF178" s="86">
        <f>AF58</f>
        <v/>
      </c>
      <c r="AG178" s="86">
        <f>AG58</f>
        <v/>
      </c>
      <c r="AH178" s="86">
        <f>AH58</f>
        <v/>
      </c>
      <c r="AI178" s="86">
        <f>AI58</f>
        <v/>
      </c>
      <c r="AJ178" s="86">
        <f>AJ58</f>
        <v/>
      </c>
      <c r="AK178" s="86">
        <f>AK58</f>
        <v/>
      </c>
      <c r="AL178" s="86">
        <f>AL58</f>
        <v/>
      </c>
      <c r="AM178" s="86">
        <f>AM58</f>
        <v/>
      </c>
      <c r="AN178" s="86">
        <f>AN58</f>
        <v/>
      </c>
      <c r="AO178" s="86">
        <f>AO58</f>
        <v/>
      </c>
      <c r="AP178" s="108" t="n"/>
    </row>
    <row r="179">
      <c r="A179" s="105" t="inlineStr">
        <is>
          <t>add Off balance sheet operating lease</t>
        </is>
      </c>
      <c r="M179" s="31" t="n"/>
      <c r="N179" s="80">
        <f>#REF!</f>
        <v/>
      </c>
      <c r="O179" s="80">
        <f>#REF!</f>
        <v/>
      </c>
      <c r="P179" s="80">
        <f>#REF!</f>
        <v/>
      </c>
      <c r="Q179" s="80">
        <f>#REF!</f>
        <v/>
      </c>
      <c r="R179" s="80">
        <f>#REF!</f>
        <v/>
      </c>
      <c r="S179" s="80">
        <f>#REF!</f>
        <v/>
      </c>
      <c r="T179" s="80">
        <f>#REF!</f>
        <v/>
      </c>
      <c r="U179" s="80">
        <f>#REF!</f>
        <v/>
      </c>
      <c r="V179" s="80">
        <f>#REF!</f>
        <v/>
      </c>
      <c r="W179" s="80">
        <f>#REF!</f>
        <v/>
      </c>
      <c r="X179" s="80">
        <f>#REF!</f>
        <v/>
      </c>
      <c r="Y179" s="80">
        <f>#REF!</f>
        <v/>
      </c>
      <c r="Z179" s="80">
        <f>#REF!</f>
        <v/>
      </c>
      <c r="AA179" s="80">
        <f>#REF!</f>
        <v/>
      </c>
      <c r="AB179" s="80">
        <f>#REF!</f>
        <v/>
      </c>
      <c r="AC179" s="80">
        <f>#REF!</f>
        <v/>
      </c>
      <c r="AD179" s="80">
        <f>#REF!</f>
        <v/>
      </c>
      <c r="AE179" s="80">
        <f>#REF!</f>
        <v/>
      </c>
      <c r="AF179" s="80">
        <f>#REF!</f>
        <v/>
      </c>
      <c r="AG179" s="80">
        <f>#REF!</f>
        <v/>
      </c>
      <c r="AH179" s="80">
        <f>#REF!</f>
        <v/>
      </c>
      <c r="AI179" s="80">
        <f>#REF!</f>
        <v/>
      </c>
      <c r="AJ179" s="80">
        <f>#REF!</f>
        <v/>
      </c>
      <c r="AK179" s="80">
        <f>#REF!</f>
        <v/>
      </c>
      <c r="AL179" s="80">
        <f>#REF!</f>
        <v/>
      </c>
      <c r="AM179" s="80">
        <f>#REF!</f>
        <v/>
      </c>
      <c r="AN179" s="80">
        <f>#REF!</f>
        <v/>
      </c>
      <c r="AO179" s="80">
        <f>#REF!</f>
        <v/>
      </c>
      <c r="AP179" s="108" t="n"/>
    </row>
    <row r="180">
      <c r="A180" s="105" t="inlineStr">
        <is>
          <t>less Non operating assets</t>
        </is>
      </c>
      <c r="F180" s="108" t="n"/>
      <c r="G180" s="108" t="n"/>
      <c r="H180" s="108" t="n"/>
      <c r="I180" s="108" t="n"/>
      <c r="J180" s="108" t="n"/>
      <c r="K180" s="108" t="n"/>
      <c r="L180" s="108" t="n"/>
      <c r="M180" s="76" t="n"/>
      <c r="N180" s="86">
        <f>SUM(N157,N55,N44)</f>
        <v/>
      </c>
      <c r="O180" s="86">
        <f>SUM(O157,O55,O44)</f>
        <v/>
      </c>
      <c r="P180" s="86">
        <f>SUM(P157,P55,P44)</f>
        <v/>
      </c>
      <c r="Q180" s="86">
        <f>SUM(Q157,Q55,Q44)</f>
        <v/>
      </c>
      <c r="R180" s="86">
        <f>SUM(R157,R55,R44)</f>
        <v/>
      </c>
      <c r="S180" s="86">
        <f>SUM(S157,S55,S44)</f>
        <v/>
      </c>
      <c r="T180" s="86">
        <f>SUM(T157,T55,T44)</f>
        <v/>
      </c>
      <c r="U180" s="86">
        <f>SUM(U157,U55,U44)</f>
        <v/>
      </c>
      <c r="V180" s="86">
        <f>SUM(V157,V55,V44)</f>
        <v/>
      </c>
      <c r="W180" s="86">
        <f>SUM(W157,W55,W44)</f>
        <v/>
      </c>
      <c r="X180" s="86">
        <f>SUM(X157,X55,X44)</f>
        <v/>
      </c>
      <c r="Y180" s="86">
        <f>SUM(Y157,Y55,Y44)</f>
        <v/>
      </c>
      <c r="Z180" s="86">
        <f>SUM(Z157,Z55,Z44)</f>
        <v/>
      </c>
      <c r="AA180" s="86">
        <f>SUM(AA157,AA55,AA44)</f>
        <v/>
      </c>
      <c r="AB180" s="86">
        <f>SUM(AB157,AB55,AB44)</f>
        <v/>
      </c>
      <c r="AC180" s="86">
        <f>SUM(AC157,AC55,AC44)</f>
        <v/>
      </c>
      <c r="AD180" s="86">
        <f>SUM(AD157,AD55,AD44)</f>
        <v/>
      </c>
      <c r="AE180" s="86">
        <f>SUM(AE157,AE55,AE44)</f>
        <v/>
      </c>
      <c r="AF180" s="86">
        <f>SUM(AF157,AF55,AF44)</f>
        <v/>
      </c>
      <c r="AG180" s="86">
        <f>SUM(AG157,AG55,AG44)</f>
        <v/>
      </c>
      <c r="AH180" s="86">
        <f>SUM(AH157,AH55,AH44)</f>
        <v/>
      </c>
      <c r="AI180" s="86">
        <f>SUM(AI157,AI55,AI44)</f>
        <v/>
      </c>
      <c r="AJ180" s="86">
        <f>SUM(AJ157,AJ55,AJ44)</f>
        <v/>
      </c>
      <c r="AK180" s="86">
        <f>SUM(AK157,AK55,AK44)</f>
        <v/>
      </c>
      <c r="AL180" s="86">
        <f>SUM(AL157,AL55,AL44)</f>
        <v/>
      </c>
      <c r="AM180" s="86">
        <f>SUM(AM157,AM55,AM44)</f>
        <v/>
      </c>
      <c r="AN180" s="86">
        <f>SUM(AN157,AN55,AN44)</f>
        <v/>
      </c>
      <c r="AO180" s="86">
        <f>SUM(AO157,AO55,AO44)</f>
        <v/>
      </c>
      <c r="AP180" s="108" t="n"/>
    </row>
    <row r="181">
      <c r="A181" s="105" t="inlineStr">
        <is>
          <t>less Operating liabilities</t>
        </is>
      </c>
      <c r="F181" s="108" t="n"/>
      <c r="G181" s="108" t="n"/>
      <c r="H181" s="108" t="n"/>
      <c r="I181" s="108" t="n"/>
      <c r="J181" s="108" t="n"/>
      <c r="K181" s="108" t="n"/>
      <c r="L181" s="108" t="n"/>
      <c r="M181" s="76" t="n"/>
      <c r="N181" s="86">
        <f>SUM(N61,N65,N76,N66,N62,N77,N64)</f>
        <v/>
      </c>
      <c r="O181" s="86">
        <f>SUM(O61,O65,O76,O66,O62,O77,O64)</f>
        <v/>
      </c>
      <c r="P181" s="86">
        <f>SUM(P61,P65,P76,P66,P62,P77,P64)</f>
        <v/>
      </c>
      <c r="Q181" s="86">
        <f>SUM(Q61,Q65,Q76,Q66,Q62,Q77,Q64)</f>
        <v/>
      </c>
      <c r="R181" s="86">
        <f>SUM(R61,R65,R76,R66,R62,R77,R64)</f>
        <v/>
      </c>
      <c r="S181" s="86">
        <f>SUM(S61,S65,S76,S66,S62,S77,S64)</f>
        <v/>
      </c>
      <c r="T181" s="86">
        <f>SUM(T61,T65,T76,T66,T62,T77,T64)</f>
        <v/>
      </c>
      <c r="U181" s="86">
        <f>SUM(U61,U65,U76,U66,U62,U77,U64)</f>
        <v/>
      </c>
      <c r="V181" s="86">
        <f>SUM(V61,V65,V76,V66,V62,V77,V64)</f>
        <v/>
      </c>
      <c r="W181" s="86">
        <f>SUM(W61,W65,W76,W66,W62,W77,W64)</f>
        <v/>
      </c>
      <c r="X181" s="86">
        <f>SUM(X61,X65,X76,X66,X62,X77,X64)</f>
        <v/>
      </c>
      <c r="Y181" s="86">
        <f>SUM(Y61,Y65,Y76,Y66,Y62,Y77,Y64)</f>
        <v/>
      </c>
      <c r="Z181" s="86">
        <f>SUM(Z61,Z65,Z76,Z66,Z62,Z77,Z64)</f>
        <v/>
      </c>
      <c r="AA181" s="86">
        <f>SUM(AA61,AA65,AA76,AA66,AA62,AA77,AA64)</f>
        <v/>
      </c>
      <c r="AB181" s="86">
        <f>SUM(AB61,AB65,AB76,AB66,AB62,AB77,AB64)</f>
        <v/>
      </c>
      <c r="AC181" s="86">
        <f>SUM(AC61,AC65,AC76,AC66,AC62,AC77,AC64)</f>
        <v/>
      </c>
      <c r="AD181" s="86">
        <f>SUM(AD61,AD65,AD76,AD66,AD62,AD77,AD64)</f>
        <v/>
      </c>
      <c r="AE181" s="86">
        <f>SUM(AE61,AE65,AE76,AE66,AE62,AE77,AE64)</f>
        <v/>
      </c>
      <c r="AF181" s="86">
        <f>SUM(AF61,AF65,AF76,AF66,AF62,AF77,AF64)</f>
        <v/>
      </c>
      <c r="AG181" s="86">
        <f>SUM(AG61,AG65,AG76,AG66,AG62,AG77,AG64)</f>
        <v/>
      </c>
      <c r="AH181" s="86">
        <f>SUM(AH61,AH65,AH76,AH66,AH62,AH77,AH64)</f>
        <v/>
      </c>
      <c r="AI181" s="86">
        <f>SUM(AI61,AI65,AI76,AI66,AI62,AI77,AI64)</f>
        <v/>
      </c>
      <c r="AJ181" s="86">
        <f>SUM(AJ61,AJ65,AJ76,AJ66,AJ62,AJ77,AJ64)</f>
        <v/>
      </c>
      <c r="AK181" s="86">
        <f>SUM(AK61,AK65,AK76,AK66,AK62,AK77,AK64)</f>
        <v/>
      </c>
      <c r="AL181" s="86">
        <f>SUM(AL61,AL65,AL76,AL66,AL62,AL77,AL64)</f>
        <v/>
      </c>
      <c r="AM181" s="86">
        <f>SUM(AM61,AM65,AM76,AM66,AM62,AM77,AM64)</f>
        <v/>
      </c>
      <c r="AN181" s="86">
        <f>SUM(AN61,AN65,AN76,AN66,AN62,AN77,AN64)</f>
        <v/>
      </c>
      <c r="AO181" s="86">
        <f>SUM(AO61,AO65,AO76,AO66,AO62,AO77,AO64)</f>
        <v/>
      </c>
      <c r="AP181" s="108" t="n"/>
    </row>
    <row r="182">
      <c r="A182" s="22" t="inlineStr">
        <is>
          <t>Invested capital including goodwill</t>
        </is>
      </c>
      <c r="F182" s="108" t="n"/>
      <c r="G182" s="108" t="n"/>
      <c r="H182" s="108" t="n"/>
      <c r="I182" s="108" t="n"/>
      <c r="J182" s="108" t="n"/>
      <c r="K182" s="108" t="n"/>
      <c r="L182" s="108" t="n"/>
      <c r="M182" s="76" t="n"/>
      <c r="N182" s="86">
        <f>N178+N179-N180-N181</f>
        <v/>
      </c>
      <c r="O182" s="86">
        <f>O178+O179-O180-O181</f>
        <v/>
      </c>
      <c r="P182" s="86">
        <f>P178+P179-P180-P181</f>
        <v/>
      </c>
      <c r="Q182" s="86">
        <f>Q178+Q179-Q180-Q181</f>
        <v/>
      </c>
      <c r="R182" s="86">
        <f>R178+R179-R180-R181</f>
        <v/>
      </c>
      <c r="S182" s="86">
        <f>S178+S179-S180-S181</f>
        <v/>
      </c>
      <c r="T182" s="86">
        <f>T178+T179-T180-T181</f>
        <v/>
      </c>
      <c r="U182" s="86">
        <f>U178+U179-U180-U181</f>
        <v/>
      </c>
      <c r="V182" s="86">
        <f>V178+V179-V180-V181</f>
        <v/>
      </c>
      <c r="W182" s="86">
        <f>W178+W179-W180-W181</f>
        <v/>
      </c>
      <c r="X182" s="86">
        <f>X178+X179-X180-X181</f>
        <v/>
      </c>
      <c r="Y182" s="86">
        <f>Y178+Y179-Y180-Y181</f>
        <v/>
      </c>
      <c r="Z182" s="86">
        <f>Z178+Z179-Z180-Z181</f>
        <v/>
      </c>
      <c r="AA182" s="86">
        <f>AA178+AA179-AA180-AA181</f>
        <v/>
      </c>
      <c r="AB182" s="86">
        <f>AB178+AB179-AB180-AB181</f>
        <v/>
      </c>
      <c r="AC182" s="86">
        <f>AC178+AC179-AC180-AC181</f>
        <v/>
      </c>
      <c r="AD182" s="86">
        <f>AD178+AD179-AD180-AD181</f>
        <v/>
      </c>
      <c r="AE182" s="86">
        <f>AE178+AE179-AE180-AE181</f>
        <v/>
      </c>
      <c r="AF182" s="86">
        <f>AF178+AF179-AF180-AF181</f>
        <v/>
      </c>
      <c r="AG182" s="86">
        <f>AG178+AG179-AG180-AG181</f>
        <v/>
      </c>
      <c r="AH182" s="86">
        <f>AH178+AH179-AH180-AH181</f>
        <v/>
      </c>
      <c r="AI182" s="86">
        <f>AI178+AI179-AI180-AI181</f>
        <v/>
      </c>
      <c r="AJ182" s="86">
        <f>AJ178+AJ179-AJ180-AJ181</f>
        <v/>
      </c>
      <c r="AK182" s="86">
        <f>AK178+AK179-AK180-AK181</f>
        <v/>
      </c>
      <c r="AL182" s="86">
        <f>AL178+AL179-AL180-AL181</f>
        <v/>
      </c>
      <c r="AM182" s="86">
        <f>AM178+AM179-AM180-AM181</f>
        <v/>
      </c>
      <c r="AN182" s="86">
        <f>AN178+AN179-AN180-AN181</f>
        <v/>
      </c>
      <c r="AO182" s="86">
        <f>AO178+AO179-AO180-AO181</f>
        <v/>
      </c>
      <c r="AP182" s="108" t="n"/>
    </row>
    <row r="183">
      <c r="A183" s="22" t="inlineStr">
        <is>
          <t>Invested capital excluding goodwill</t>
        </is>
      </c>
      <c r="F183" s="108" t="n"/>
      <c r="G183" s="108" t="n"/>
      <c r="H183" s="108" t="n"/>
      <c r="I183" s="108" t="n"/>
      <c r="J183" s="108" t="n"/>
      <c r="K183" s="108" t="n"/>
      <c r="L183" s="108" t="n"/>
      <c r="M183" s="76" t="n"/>
      <c r="N183" s="86">
        <f>N182-N50</f>
        <v/>
      </c>
      <c r="O183" s="86">
        <f>O182-O50</f>
        <v/>
      </c>
      <c r="P183" s="86">
        <f>P182-P50</f>
        <v/>
      </c>
      <c r="Q183" s="86">
        <f>Q182-Q50</f>
        <v/>
      </c>
      <c r="R183" s="86">
        <f>R182-R50</f>
        <v/>
      </c>
      <c r="S183" s="86">
        <f>S182-S50</f>
        <v/>
      </c>
      <c r="T183" s="86">
        <f>T182-T50</f>
        <v/>
      </c>
      <c r="U183" s="86">
        <f>U182-U50</f>
        <v/>
      </c>
      <c r="V183" s="86">
        <f>V182-V50</f>
        <v/>
      </c>
      <c r="W183" s="86">
        <f>W182-W50</f>
        <v/>
      </c>
      <c r="X183" s="86">
        <f>X182-X50</f>
        <v/>
      </c>
      <c r="Y183" s="86">
        <f>Y182-Y50</f>
        <v/>
      </c>
      <c r="Z183" s="86">
        <f>Z182-Z50</f>
        <v/>
      </c>
      <c r="AA183" s="86">
        <f>AA182-AA50</f>
        <v/>
      </c>
      <c r="AB183" s="86">
        <f>AB182-AB50</f>
        <v/>
      </c>
      <c r="AC183" s="86">
        <f>AC182-AC50</f>
        <v/>
      </c>
      <c r="AD183" s="86">
        <f>AD182-AD50</f>
        <v/>
      </c>
      <c r="AE183" s="86">
        <f>AE182-AE50</f>
        <v/>
      </c>
      <c r="AF183" s="86">
        <f>AF182-AF50</f>
        <v/>
      </c>
      <c r="AG183" s="86">
        <f>AG182-AG50</f>
        <v/>
      </c>
      <c r="AH183" s="86">
        <f>AH182-AH50</f>
        <v/>
      </c>
      <c r="AI183" s="86">
        <f>AI182-AI50</f>
        <v/>
      </c>
      <c r="AJ183" s="86">
        <f>AJ182-AJ50</f>
        <v/>
      </c>
      <c r="AK183" s="86">
        <f>AK182-AK50</f>
        <v/>
      </c>
      <c r="AL183" s="86">
        <f>AL182-AL50</f>
        <v/>
      </c>
      <c r="AM183" s="86">
        <f>AM182-AM50</f>
        <v/>
      </c>
      <c r="AN183" s="86">
        <f>AN182-AN50</f>
        <v/>
      </c>
      <c r="AO183" s="86">
        <f>AO182-AO50</f>
        <v/>
      </c>
      <c r="AP183" s="108" t="n"/>
    </row>
    <row r="184">
      <c r="M184" s="31" t="n"/>
      <c r="N184" s="31" t="n"/>
      <c r="O184" s="31" t="n"/>
      <c r="P184" s="31" t="n"/>
      <c r="Q184" s="31" t="n"/>
      <c r="R184" s="31" t="n"/>
      <c r="S184" s="31" t="n"/>
      <c r="T184" s="31" t="n"/>
      <c r="U184" s="31" t="n"/>
      <c r="V184" s="31" t="n"/>
      <c r="W184" s="31" t="n"/>
      <c r="X184" s="31" t="n"/>
      <c r="Y184" s="31" t="n"/>
      <c r="Z184" s="31" t="n"/>
      <c r="AA184" s="31" t="n"/>
      <c r="AB184" s="31" t="n"/>
      <c r="AC184" s="31" t="n"/>
      <c r="AD184" s="31" t="n"/>
      <c r="AE184" s="31" t="n"/>
      <c r="AF184" s="31" t="n"/>
      <c r="AG184" s="31" t="n"/>
      <c r="AH184" s="31" t="n"/>
      <c r="AI184" s="31" t="n"/>
      <c r="AJ184" s="31" t="n"/>
      <c r="AK184" s="31" t="n"/>
      <c r="AL184" s="31" t="n"/>
      <c r="AM184" s="31" t="n"/>
      <c r="AN184" s="31" t="n"/>
      <c r="AO184" s="31" t="n"/>
      <c r="AP184" s="108" t="n"/>
    </row>
    <row r="185">
      <c r="A185" s="105" t="inlineStr">
        <is>
          <t>Net profit from operations + earning from JV and associates</t>
        </is>
      </c>
      <c r="F185" s="108" t="n"/>
      <c r="G185" s="108" t="n"/>
      <c r="H185" s="108" t="n"/>
      <c r="I185" s="108" t="n"/>
      <c r="J185" s="108" t="n"/>
      <c r="K185" s="108" t="n"/>
      <c r="L185" s="108" t="n"/>
      <c r="M185" s="76" t="n"/>
      <c r="N185" s="86">
        <f>N18+N21</f>
        <v/>
      </c>
      <c r="O185" s="86">
        <f>O18+O21</f>
        <v/>
      </c>
      <c r="P185" s="86">
        <f>P18+P21</f>
        <v/>
      </c>
      <c r="Q185" s="86">
        <f>Q18+Q21</f>
        <v/>
      </c>
      <c r="R185" s="86">
        <f>R18+R21</f>
        <v/>
      </c>
      <c r="S185" s="86">
        <f>S18+S21</f>
        <v/>
      </c>
      <c r="T185" s="86">
        <f>T18+T21</f>
        <v/>
      </c>
      <c r="U185" s="86">
        <f>U18+U21</f>
        <v/>
      </c>
      <c r="V185" s="86">
        <f>V18+V21</f>
        <v/>
      </c>
      <c r="W185" s="86">
        <f>W18+W21</f>
        <v/>
      </c>
      <c r="X185" s="86">
        <f>X18+X21</f>
        <v/>
      </c>
      <c r="Y185" s="86">
        <f>Y18+Y21</f>
        <v/>
      </c>
      <c r="Z185" s="86">
        <f>Z18+Z21</f>
        <v/>
      </c>
      <c r="AA185" s="86">
        <f>AA18+AA21</f>
        <v/>
      </c>
      <c r="AB185" s="86">
        <f>AB18+AB21</f>
        <v/>
      </c>
      <c r="AC185" s="86">
        <f>AC18+AC21</f>
        <v/>
      </c>
      <c r="AD185" s="86">
        <f>AD18+AD21</f>
        <v/>
      </c>
      <c r="AE185" s="86">
        <f>AE18+AE21</f>
        <v/>
      </c>
      <c r="AF185" s="86">
        <f>AF18+AF21</f>
        <v/>
      </c>
      <c r="AG185" s="86">
        <f>AG18+AG21</f>
        <v/>
      </c>
      <c r="AH185" s="86">
        <f>AH18+AH21</f>
        <v/>
      </c>
      <c r="AI185" s="86">
        <f>AI18+AI21</f>
        <v/>
      </c>
      <c r="AJ185" s="86">
        <f>AJ18+AJ21</f>
        <v/>
      </c>
      <c r="AK185" s="86">
        <f>AK18+AK21</f>
        <v/>
      </c>
      <c r="AL185" s="86">
        <f>AL18+AL21</f>
        <v/>
      </c>
      <c r="AM185" s="86">
        <f>AM18+AM21</f>
        <v/>
      </c>
      <c r="AN185" s="86">
        <f>AN18+AN21</f>
        <v/>
      </c>
      <c r="AO185" s="86">
        <f>AO18+AO21</f>
        <v/>
      </c>
      <c r="AP185" s="108" t="n"/>
    </row>
    <row r="186">
      <c r="A186" s="105" t="inlineStr">
        <is>
          <t>Income tax rate (marginal)</t>
        </is>
      </c>
      <c r="F186" s="100" t="n"/>
      <c r="G186" s="100" t="n"/>
      <c r="H186" s="100" t="n"/>
      <c r="I186" s="100" t="n"/>
      <c r="J186" s="100" t="n"/>
      <c r="K186" s="100" t="n"/>
      <c r="L186" s="100" t="n"/>
      <c r="M186" s="190" t="n"/>
      <c r="N186" s="885" t="n">
        <v>0.25</v>
      </c>
      <c r="O186" s="885" t="n">
        <v>0.25</v>
      </c>
      <c r="P186" s="885" t="n">
        <v>0.25</v>
      </c>
      <c r="Q186" s="885" t="n">
        <v>0.25</v>
      </c>
      <c r="R186" s="885" t="n">
        <v>0.25</v>
      </c>
      <c r="S186" s="885" t="n">
        <v>0.25</v>
      </c>
      <c r="T186" s="885" t="n">
        <v>0.25</v>
      </c>
      <c r="U186" s="885" t="n">
        <v>0.25</v>
      </c>
      <c r="V186" s="885" t="n">
        <v>0.25</v>
      </c>
      <c r="W186" s="885" t="n">
        <v>0.25</v>
      </c>
      <c r="X186" s="885" t="n">
        <v>0.25</v>
      </c>
      <c r="Y186" s="885" t="n">
        <v>0.25</v>
      </c>
      <c r="Z186" s="885" t="n">
        <v>0.25</v>
      </c>
      <c r="AA186" s="885" t="n">
        <v>0.25</v>
      </c>
      <c r="AB186" s="885" t="n">
        <v>0.25</v>
      </c>
      <c r="AC186" s="885" t="n">
        <v>0.25</v>
      </c>
      <c r="AD186" s="885" t="n">
        <v>0.25</v>
      </c>
      <c r="AE186" s="885" t="n">
        <v>0.25</v>
      </c>
      <c r="AF186" s="885" t="n">
        <v>0.25</v>
      </c>
      <c r="AG186" s="885" t="n">
        <v>0.25</v>
      </c>
      <c r="AH186" s="885" t="n">
        <v>0.25</v>
      </c>
      <c r="AI186" s="885" t="n">
        <v>0.25</v>
      </c>
      <c r="AJ186" s="885" t="n">
        <v>0.25</v>
      </c>
      <c r="AK186" s="885" t="n">
        <v>0.25</v>
      </c>
      <c r="AL186" s="885" t="n">
        <v>0.25</v>
      </c>
      <c r="AM186" s="885" t="n">
        <v>0.25</v>
      </c>
      <c r="AN186" s="885" t="n">
        <v>0.25</v>
      </c>
      <c r="AO186" s="885" t="n">
        <v>0.25</v>
      </c>
      <c r="AP186" s="108" t="n"/>
    </row>
    <row r="187">
      <c r="A187" s="40" t="inlineStr">
        <is>
          <t>NOPLAT</t>
        </is>
      </c>
      <c r="F187" s="131" t="n"/>
      <c r="G187" s="131" t="n"/>
      <c r="H187" s="131" t="n"/>
      <c r="I187" s="131" t="n"/>
      <c r="J187" s="131" t="n"/>
      <c r="K187" s="131" t="n"/>
      <c r="L187" s="131" t="n"/>
      <c r="M187" s="147" t="n"/>
      <c r="N187" s="123">
        <f>N185*(1-N$186)</f>
        <v/>
      </c>
      <c r="O187" s="123">
        <f>O185*(1-O$186)</f>
        <v/>
      </c>
      <c r="P187" s="123">
        <f>P185*(1-P$186)</f>
        <v/>
      </c>
      <c r="Q187" s="123">
        <f>Q185*(1-Q$186)</f>
        <v/>
      </c>
      <c r="R187" s="123">
        <f>R185*(1-R$186)</f>
        <v/>
      </c>
      <c r="S187" s="123">
        <f>S185*(1-S$186)</f>
        <v/>
      </c>
      <c r="T187" s="123">
        <f>T185*(1-T$186)</f>
        <v/>
      </c>
      <c r="U187" s="123">
        <f>U185*(1-U$186)</f>
        <v/>
      </c>
      <c r="V187" s="123">
        <f>V185*(1-V$186)</f>
        <v/>
      </c>
      <c r="W187" s="123">
        <f>W185*(1-W$186)</f>
        <v/>
      </c>
      <c r="X187" s="123">
        <f>X185*(1-X$186)</f>
        <v/>
      </c>
      <c r="Y187" s="123">
        <f>Y185*(1-Y$186)</f>
        <v/>
      </c>
      <c r="Z187" s="123">
        <f>Z185*(1-Z$186)</f>
        <v/>
      </c>
      <c r="AA187" s="123">
        <f>AA185*(1-AA$186)</f>
        <v/>
      </c>
      <c r="AB187" s="123">
        <f>AB185*(1-AB$186)</f>
        <v/>
      </c>
      <c r="AC187" s="123">
        <f>AC185*(1-AC$186)</f>
        <v/>
      </c>
      <c r="AD187" s="123">
        <f>AD185*(1-AD$186)</f>
        <v/>
      </c>
      <c r="AE187" s="123">
        <f>AE185*(1-AE$186)</f>
        <v/>
      </c>
      <c r="AF187" s="123">
        <f>AF185*(1-AF$186)</f>
        <v/>
      </c>
      <c r="AG187" s="123">
        <f>AG185*(1-AG$186)</f>
        <v/>
      </c>
      <c r="AH187" s="123">
        <f>AH185*(1-AH$186)</f>
        <v/>
      </c>
      <c r="AI187" s="123">
        <f>AI185*(1-AI$186)</f>
        <v/>
      </c>
      <c r="AJ187" s="123">
        <f>AJ185*(1-AJ$186)</f>
        <v/>
      </c>
      <c r="AK187" s="123">
        <f>AK185*(1-AK$186)</f>
        <v/>
      </c>
      <c r="AL187" s="123">
        <f>AL185*(1-AL$186)</f>
        <v/>
      </c>
      <c r="AM187" s="123">
        <f>AM185*(1-AM$186)</f>
        <v/>
      </c>
      <c r="AN187" s="123">
        <f>AN185*(1-AN$186)</f>
        <v/>
      </c>
      <c r="AO187" s="123">
        <f>AO185*(1-AO$186)</f>
        <v/>
      </c>
      <c r="AP187" s="108" t="n"/>
    </row>
    <row r="188">
      <c r="A188" s="174" t="inlineStr">
        <is>
          <t>Add: Depreciation and amortization</t>
        </is>
      </c>
      <c r="F188" s="112" t="n"/>
      <c r="G188" s="112" t="n"/>
      <c r="H188" s="112" t="n"/>
      <c r="I188" s="112" t="n"/>
      <c r="J188" s="112" t="n"/>
      <c r="K188" s="112" t="n"/>
      <c r="L188" s="112" t="n"/>
      <c r="M188" s="76" t="n"/>
      <c r="N188" s="86">
        <f>N104+N105</f>
        <v/>
      </c>
      <c r="O188" s="86">
        <f>O104+O105</f>
        <v/>
      </c>
      <c r="P188" s="86">
        <f>P104+P105</f>
        <v/>
      </c>
      <c r="Q188" s="86">
        <f>Q104+Q105</f>
        <v/>
      </c>
      <c r="R188" s="86">
        <f>R104+R105</f>
        <v/>
      </c>
      <c r="S188" s="86">
        <f>S104+S105</f>
        <v/>
      </c>
      <c r="T188" s="86">
        <f>T104+T105</f>
        <v/>
      </c>
      <c r="U188" s="86">
        <f>U104+U105</f>
        <v/>
      </c>
      <c r="V188" s="86">
        <f>V104+V105</f>
        <v/>
      </c>
      <c r="W188" s="86">
        <f>W104+W105</f>
        <v/>
      </c>
      <c r="X188" s="86">
        <f>X104+X105</f>
        <v/>
      </c>
      <c r="Y188" s="86">
        <f>Y104+Y105</f>
        <v/>
      </c>
      <c r="Z188" s="86">
        <f>Z104+Z105</f>
        <v/>
      </c>
      <c r="AA188" s="86">
        <f>AA104+AA105</f>
        <v/>
      </c>
      <c r="AB188" s="86">
        <f>AB104+AB105</f>
        <v/>
      </c>
      <c r="AC188" s="86">
        <f>AC104+AC105</f>
        <v/>
      </c>
      <c r="AD188" s="86">
        <f>AD104+AD105</f>
        <v/>
      </c>
      <c r="AE188" s="86">
        <f>AE104+AE105</f>
        <v/>
      </c>
      <c r="AF188" s="86">
        <f>AF104+AF105</f>
        <v/>
      </c>
      <c r="AG188" s="86">
        <f>AG104+AG105</f>
        <v/>
      </c>
      <c r="AH188" s="86">
        <f>AH104+AH105</f>
        <v/>
      </c>
      <c r="AI188" s="86">
        <f>AI104+AI105</f>
        <v/>
      </c>
      <c r="AJ188" s="86">
        <f>AJ104+AJ105</f>
        <v/>
      </c>
      <c r="AK188" s="86">
        <f>AK104+AK105</f>
        <v/>
      </c>
      <c r="AL188" s="86">
        <f>AL104+AL105</f>
        <v/>
      </c>
      <c r="AM188" s="86">
        <f>AM104+AM105</f>
        <v/>
      </c>
      <c r="AN188" s="86">
        <f>AN104+AN105</f>
        <v/>
      </c>
      <c r="AO188" s="86">
        <f>AO104+AO105</f>
        <v/>
      </c>
      <c r="AP188" s="108" t="n"/>
    </row>
    <row r="189">
      <c r="A189" s="105" t="inlineStr">
        <is>
          <t>Gross cash flow</t>
        </is>
      </c>
      <c r="F189" s="108" t="n"/>
      <c r="G189" s="108" t="n"/>
      <c r="H189" s="108" t="n"/>
      <c r="I189" s="108" t="n"/>
      <c r="J189" s="108" t="n"/>
      <c r="K189" s="108" t="n"/>
      <c r="L189" s="108" t="n"/>
      <c r="M189" s="76" t="n"/>
      <c r="N189" s="86">
        <f>N187+N188</f>
        <v/>
      </c>
      <c r="O189" s="86">
        <f>O187+O188</f>
        <v/>
      </c>
      <c r="P189" s="86">
        <f>P187+P188</f>
        <v/>
      </c>
      <c r="Q189" s="86">
        <f>Q187+Q188</f>
        <v/>
      </c>
      <c r="R189" s="86">
        <f>R187+R188</f>
        <v/>
      </c>
      <c r="S189" s="86">
        <f>S187+S188</f>
        <v/>
      </c>
      <c r="T189" s="86">
        <f>T187+T188</f>
        <v/>
      </c>
      <c r="U189" s="86">
        <f>U187+U188</f>
        <v/>
      </c>
      <c r="V189" s="86">
        <f>V187+V188</f>
        <v/>
      </c>
      <c r="W189" s="86">
        <f>W187+W188</f>
        <v/>
      </c>
      <c r="X189" s="86">
        <f>X187+X188</f>
        <v/>
      </c>
      <c r="Y189" s="86">
        <f>Y187+Y188</f>
        <v/>
      </c>
      <c r="Z189" s="86">
        <f>Z187+Z188</f>
        <v/>
      </c>
      <c r="AA189" s="86">
        <f>AA187+AA188</f>
        <v/>
      </c>
      <c r="AB189" s="86">
        <f>AB187+AB188</f>
        <v/>
      </c>
      <c r="AC189" s="86">
        <f>AC187+AC188</f>
        <v/>
      </c>
      <c r="AD189" s="86">
        <f>AD187+AD188</f>
        <v/>
      </c>
      <c r="AE189" s="86">
        <f>AE187+AE188</f>
        <v/>
      </c>
      <c r="AF189" s="86">
        <f>AF187+AF188</f>
        <v/>
      </c>
      <c r="AG189" s="86">
        <f>AG187+AG188</f>
        <v/>
      </c>
      <c r="AH189" s="86">
        <f>AH187+AH188</f>
        <v/>
      </c>
      <c r="AI189" s="86">
        <f>AI187+AI188</f>
        <v/>
      </c>
      <c r="AJ189" s="86">
        <f>AJ187+AJ188</f>
        <v/>
      </c>
      <c r="AK189" s="86">
        <f>AK187+AK188</f>
        <v/>
      </c>
      <c r="AL189" s="86">
        <f>AL187+AL188</f>
        <v/>
      </c>
      <c r="AM189" s="86">
        <f>AM187+AM188</f>
        <v/>
      </c>
      <c r="AN189" s="86">
        <f>AN187+AN188</f>
        <v/>
      </c>
      <c r="AO189" s="86">
        <f>AO187+AO188</f>
        <v/>
      </c>
      <c r="AP189" s="108" t="n"/>
    </row>
    <row r="190">
      <c r="A190" s="105" t="inlineStr">
        <is>
          <t>Gross investment, including</t>
        </is>
      </c>
      <c r="M190" s="31" t="n"/>
      <c r="N190" s="86">
        <f>SUM(N191:N196)</f>
        <v/>
      </c>
      <c r="O190" s="86">
        <f>SUM(O191:O196)</f>
        <v/>
      </c>
      <c r="P190" s="86">
        <f>SUM(P191:P196)</f>
        <v/>
      </c>
      <c r="Q190" s="86">
        <f>SUM(Q191:Q196)</f>
        <v/>
      </c>
      <c r="R190" s="86">
        <f>SUM(R191:R196)</f>
        <v/>
      </c>
      <c r="S190" s="86">
        <f>SUM(S191:S196)</f>
        <v/>
      </c>
      <c r="T190" s="86">
        <f>SUM(T191:T196)</f>
        <v/>
      </c>
      <c r="U190" s="86">
        <f>SUM(U191:U196)</f>
        <v/>
      </c>
      <c r="V190" s="86">
        <f>SUM(V191:V196)</f>
        <v/>
      </c>
      <c r="W190" s="86">
        <f>SUM(W191:W196)</f>
        <v/>
      </c>
      <c r="X190" s="86">
        <f>SUM(X191:X196)</f>
        <v/>
      </c>
      <c r="Y190" s="86">
        <f>SUM(Y191:Y196)</f>
        <v/>
      </c>
      <c r="Z190" s="86">
        <f>SUM(Z191:Z196)</f>
        <v/>
      </c>
      <c r="AA190" s="86">
        <f>SUM(AA191:AA196)</f>
        <v/>
      </c>
      <c r="AB190" s="86">
        <f>SUM(AB191:AB196)</f>
        <v/>
      </c>
      <c r="AC190" s="86">
        <f>SUM(AC191:AC196)</f>
        <v/>
      </c>
      <c r="AD190" s="86">
        <f>SUM(AD191:AD196)</f>
        <v/>
      </c>
      <c r="AE190" s="86">
        <f>SUM(AE191:AE196)</f>
        <v/>
      </c>
      <c r="AF190" s="86">
        <f>SUM(AF191:AF196)</f>
        <v/>
      </c>
      <c r="AG190" s="86">
        <f>SUM(AG191:AG196)</f>
        <v/>
      </c>
      <c r="AH190" s="86">
        <f>SUM(AH191:AH196)</f>
        <v/>
      </c>
      <c r="AI190" s="86">
        <f>SUM(AI191:AI196)</f>
        <v/>
      </c>
      <c r="AJ190" s="86">
        <f>SUM(AJ191:AJ196)</f>
        <v/>
      </c>
      <c r="AK190" s="86">
        <f>SUM(AK191:AK196)</f>
        <v/>
      </c>
      <c r="AL190" s="86">
        <f>SUM(AL191:AL196)</f>
        <v/>
      </c>
      <c r="AM190" s="86">
        <f>SUM(AM191:AM196)</f>
        <v/>
      </c>
      <c r="AN190" s="86">
        <f>SUM(AN191:AN196)</f>
        <v/>
      </c>
      <c r="AO190" s="86">
        <f>SUM(AO191:AO196)</f>
        <v/>
      </c>
      <c r="AP190" s="108" t="n"/>
    </row>
    <row r="191">
      <c r="A191" s="74" t="inlineStr">
        <is>
          <t>Increase in working capital</t>
        </is>
      </c>
      <c r="D191" s="108" t="n"/>
      <c r="E191" s="108" t="n"/>
      <c r="F191" s="108" t="n"/>
      <c r="G191" s="108" t="n"/>
      <c r="H191" s="108" t="n"/>
      <c r="I191" s="108" t="n"/>
      <c r="J191" s="108" t="n"/>
      <c r="K191" s="108" t="n"/>
      <c r="L191" s="108" t="n"/>
      <c r="M191" s="76" t="n"/>
      <c r="N191" s="86">
        <f>-SUM(N111:N115)</f>
        <v/>
      </c>
      <c r="O191" s="86">
        <f>-SUM(O111:O115)</f>
        <v/>
      </c>
      <c r="P191" s="86">
        <f>-SUM(P111:P115)</f>
        <v/>
      </c>
      <c r="Q191" s="86">
        <f>-SUM(Q111:Q115)</f>
        <v/>
      </c>
      <c r="R191" s="86">
        <f>-SUM(R111:R115)</f>
        <v/>
      </c>
      <c r="S191" s="86">
        <f>-SUM(S111:S115)</f>
        <v/>
      </c>
      <c r="T191" s="86">
        <f>-SUM(T111:T115)</f>
        <v/>
      </c>
      <c r="U191" s="86">
        <f>-SUM(U111:U115)</f>
        <v/>
      </c>
      <c r="V191" s="86">
        <f>-SUM(V111:V115)</f>
        <v/>
      </c>
      <c r="W191" s="86">
        <f>-SUM(W111:W115)</f>
        <v/>
      </c>
      <c r="X191" s="86">
        <f>-SUM(X111:X115)</f>
        <v/>
      </c>
      <c r="Y191" s="86">
        <f>-SUM(Y111:Y115)</f>
        <v/>
      </c>
      <c r="Z191" s="86">
        <f>-SUM(Z111:Z115)</f>
        <v/>
      </c>
      <c r="AA191" s="86">
        <f>-SUM(AA111:AA115)</f>
        <v/>
      </c>
      <c r="AB191" s="86">
        <f>-SUM(AB111:AB115)</f>
        <v/>
      </c>
      <c r="AC191" s="86">
        <f>-SUM(AC111:AC115)</f>
        <v/>
      </c>
      <c r="AD191" s="86">
        <f>-SUM(AD111:AD115)</f>
        <v/>
      </c>
      <c r="AE191" s="86">
        <f>-SUM(AE111:AE115)</f>
        <v/>
      </c>
      <c r="AF191" s="86">
        <f>-SUM(AF111:AF115)</f>
        <v/>
      </c>
      <c r="AG191" s="86">
        <f>-SUM(AG111:AG115)</f>
        <v/>
      </c>
      <c r="AH191" s="86">
        <f>-SUM(AH111:AH115)</f>
        <v/>
      </c>
      <c r="AI191" s="86">
        <f>-SUM(AI111:AI115)</f>
        <v/>
      </c>
      <c r="AJ191" s="86">
        <f>-SUM(AJ111:AJ115)</f>
        <v/>
      </c>
      <c r="AK191" s="86">
        <f>-SUM(AK111:AK115)</f>
        <v/>
      </c>
      <c r="AL191" s="86">
        <f>-SUM(AL111:AL115)</f>
        <v/>
      </c>
      <c r="AM191" s="86">
        <f>-SUM(AM111:AM115)</f>
        <v/>
      </c>
      <c r="AN191" s="86">
        <f>-SUM(AN111:AN115)</f>
        <v/>
      </c>
      <c r="AO191" s="86">
        <f>-SUM(AO111:AO115)</f>
        <v/>
      </c>
      <c r="AP191" s="108" t="n"/>
    </row>
    <row r="192">
      <c r="A192" s="74" t="inlineStr">
        <is>
          <t>Increase in working cash</t>
        </is>
      </c>
      <c r="D192" s="108" t="n"/>
      <c r="E192" s="108" t="n"/>
      <c r="F192" s="108" t="n"/>
      <c r="G192" s="108" t="n"/>
      <c r="H192" s="108" t="n"/>
      <c r="I192" s="108" t="n"/>
      <c r="J192" s="108" t="n"/>
      <c r="K192" s="108" t="n"/>
      <c r="L192" s="108" t="n"/>
      <c r="M192" s="76" t="n"/>
      <c r="N192" s="86">
        <f>N158-M158</f>
        <v/>
      </c>
      <c r="O192" s="86">
        <f>O158-N158</f>
        <v/>
      </c>
      <c r="P192" s="86">
        <f>P158-O158</f>
        <v/>
      </c>
      <c r="Q192" s="86">
        <f>Q158-P158</f>
        <v/>
      </c>
      <c r="R192" s="86">
        <f>R158-Q158</f>
        <v/>
      </c>
      <c r="S192" s="86">
        <f>S158-R158</f>
        <v/>
      </c>
      <c r="T192" s="86">
        <f>T158-S158</f>
        <v/>
      </c>
      <c r="U192" s="86">
        <f>U158-T158</f>
        <v/>
      </c>
      <c r="V192" s="86">
        <f>V158-U158</f>
        <v/>
      </c>
      <c r="W192" s="86">
        <f>W158-V158</f>
        <v/>
      </c>
      <c r="X192" s="86">
        <f>X158-W158</f>
        <v/>
      </c>
      <c r="Y192" s="86">
        <f>Y158-X158</f>
        <v/>
      </c>
      <c r="Z192" s="86">
        <f>Z158-Y158</f>
        <v/>
      </c>
      <c r="AA192" s="86">
        <f>AA158-Z158</f>
        <v/>
      </c>
      <c r="AB192" s="86">
        <f>AB158-AA158</f>
        <v/>
      </c>
      <c r="AC192" s="86">
        <f>AC158-AB158</f>
        <v/>
      </c>
      <c r="AD192" s="86">
        <f>AD158-AC158</f>
        <v/>
      </c>
      <c r="AE192" s="86">
        <f>AE158-AD158</f>
        <v/>
      </c>
      <c r="AF192" s="86">
        <f>AF158-AE158</f>
        <v/>
      </c>
      <c r="AG192" s="86">
        <f>AG158-AF158</f>
        <v/>
      </c>
      <c r="AH192" s="86">
        <f>AH158-AG158</f>
        <v/>
      </c>
      <c r="AI192" s="86">
        <f>AI158-AH158</f>
        <v/>
      </c>
      <c r="AJ192" s="86">
        <f>AJ158-AI158</f>
        <v/>
      </c>
      <c r="AK192" s="86">
        <f>AK158-AJ158</f>
        <v/>
      </c>
      <c r="AL192" s="86">
        <f>AL158-AK158</f>
        <v/>
      </c>
      <c r="AM192" s="86">
        <f>AM158-AL158</f>
        <v/>
      </c>
      <c r="AN192" s="86">
        <f>AN158-AM158</f>
        <v/>
      </c>
      <c r="AO192" s="86">
        <f>AO158-AN158</f>
        <v/>
      </c>
      <c r="AP192" s="108" t="n"/>
    </row>
    <row r="193">
      <c r="A193" s="74" t="inlineStr">
        <is>
          <t>Increase in loans receivables</t>
        </is>
      </c>
      <c r="D193" s="108" t="n"/>
      <c r="E193" s="108" t="n"/>
      <c r="F193" s="108" t="n"/>
      <c r="G193" s="108" t="n"/>
      <c r="H193" s="108" t="n"/>
      <c r="I193" s="108" t="n"/>
      <c r="J193" s="108" t="n"/>
      <c r="K193" s="108" t="n"/>
      <c r="L193" s="108" t="n"/>
      <c r="M193" s="76" t="n"/>
      <c r="N193" s="86">
        <f>-N109</f>
        <v/>
      </c>
      <c r="O193" s="86">
        <f>-O109</f>
        <v/>
      </c>
      <c r="P193" s="86">
        <f>-P109</f>
        <v/>
      </c>
      <c r="Q193" s="86">
        <f>-Q109</f>
        <v/>
      </c>
      <c r="R193" s="86">
        <f>-R109</f>
        <v/>
      </c>
      <c r="S193" s="86">
        <f>-S109</f>
        <v/>
      </c>
      <c r="T193" s="86">
        <f>-T109</f>
        <v/>
      </c>
      <c r="U193" s="86">
        <f>-U109</f>
        <v/>
      </c>
      <c r="V193" s="86">
        <f>-V109</f>
        <v/>
      </c>
      <c r="W193" s="86">
        <f>-W109</f>
        <v/>
      </c>
      <c r="X193" s="86">
        <f>-X109</f>
        <v/>
      </c>
      <c r="Y193" s="86">
        <f>-Y109</f>
        <v/>
      </c>
      <c r="Z193" s="86">
        <f>-Z109</f>
        <v/>
      </c>
      <c r="AA193" s="86">
        <f>-AA109</f>
        <v/>
      </c>
      <c r="AB193" s="86">
        <f>-AB109</f>
        <v/>
      </c>
      <c r="AC193" s="86">
        <f>-AC109</f>
        <v/>
      </c>
      <c r="AD193" s="86">
        <f>-AD109</f>
        <v/>
      </c>
      <c r="AE193" s="86">
        <f>-AE109</f>
        <v/>
      </c>
      <c r="AF193" s="86">
        <f>-AF109</f>
        <v/>
      </c>
      <c r="AG193" s="86">
        <f>-AG109</f>
        <v/>
      </c>
      <c r="AH193" s="86">
        <f>-AH109</f>
        <v/>
      </c>
      <c r="AI193" s="86">
        <f>-AI109</f>
        <v/>
      </c>
      <c r="AJ193" s="86">
        <f>-AJ109</f>
        <v/>
      </c>
      <c r="AK193" s="86">
        <f>-AK109</f>
        <v/>
      </c>
      <c r="AL193" s="86">
        <f>-AL109</f>
        <v/>
      </c>
      <c r="AM193" s="86">
        <f>-AM109</f>
        <v/>
      </c>
      <c r="AN193" s="86">
        <f>-AN109</f>
        <v/>
      </c>
      <c r="AO193" s="86">
        <f>-AO109</f>
        <v/>
      </c>
      <c r="AP193" s="108" t="n"/>
    </row>
    <row r="194">
      <c r="A194" s="74" t="inlineStr">
        <is>
          <t>Increase in net tax assets</t>
        </is>
      </c>
      <c r="D194" s="108" t="n"/>
      <c r="E194" s="108" t="n"/>
      <c r="F194" s="108" t="n"/>
      <c r="G194" s="108" t="n"/>
      <c r="H194" s="108" t="n"/>
      <c r="I194" s="108" t="n"/>
      <c r="J194" s="108" t="n"/>
      <c r="K194" s="108" t="n"/>
      <c r="L194" s="108" t="n"/>
      <c r="M194" s="76" t="n"/>
      <c r="N194" s="86">
        <f>N54-M54-(N75-M75+N65-M65)</f>
        <v/>
      </c>
      <c r="O194" s="86">
        <f>O54-N54-(O75-N75+O65-N65)</f>
        <v/>
      </c>
      <c r="P194" s="86">
        <f>P54-O54-(P75-O75+P65-O65)</f>
        <v/>
      </c>
      <c r="Q194" s="86">
        <f>Q54-P54-(Q75-P75+Q65-P65)</f>
        <v/>
      </c>
      <c r="R194" s="86">
        <f>R54-Q54-(R75-Q75+R65-Q65)</f>
        <v/>
      </c>
      <c r="S194" s="86">
        <f>S54-R54-(S75-R75+S65-R65)</f>
        <v/>
      </c>
      <c r="T194" s="86">
        <f>T54-S54-(T75-S75+T65-S65)</f>
        <v/>
      </c>
      <c r="U194" s="86">
        <f>U54-T54-(U75-T75+U65-T65)</f>
        <v/>
      </c>
      <c r="V194" s="86">
        <f>V54-U54-(V75-U75+V65-U65)</f>
        <v/>
      </c>
      <c r="W194" s="86">
        <f>W54-V54-(W75-V75+W65-V65)</f>
        <v/>
      </c>
      <c r="X194" s="86">
        <f>X54-W54-(X75-W75+X65-W65)</f>
        <v/>
      </c>
      <c r="Y194" s="86">
        <f>Y54-X54-(Y75-X75+Y65-X65)</f>
        <v/>
      </c>
      <c r="Z194" s="86">
        <f>Z54-Y54-(Z75-Y75+Z65-Y65)</f>
        <v/>
      </c>
      <c r="AA194" s="86">
        <f>AA54-Z54-(AA75-Z75+AA65-Z65)</f>
        <v/>
      </c>
      <c r="AB194" s="86">
        <f>AB54-AA54-(AB75-AA75+AB65-AA65)</f>
        <v/>
      </c>
      <c r="AC194" s="86">
        <f>AC54-AB54-(AC75-AB75+AC65-AB65)</f>
        <v/>
      </c>
      <c r="AD194" s="86">
        <f>AD54-AC54-(AD75-AC75+AD65-AC65)</f>
        <v/>
      </c>
      <c r="AE194" s="86">
        <f>AE54-AD54-(AE75-AD75+AE65-AD65)</f>
        <v/>
      </c>
      <c r="AF194" s="86">
        <f>AF54-AE54-(AF75-AE75+AF65-AE65)</f>
        <v/>
      </c>
      <c r="AG194" s="86">
        <f>AG54-AF54-(AG75-AF75+AG65-AF65)</f>
        <v/>
      </c>
      <c r="AH194" s="86">
        <f>AH54-AG54-(AH75-AG75+AH65-AG65)</f>
        <v/>
      </c>
      <c r="AI194" s="86">
        <f>AI54-AH54-(AI75-AH75+AI65-AH65)</f>
        <v/>
      </c>
      <c r="AJ194" s="86">
        <f>AJ54-AI54-(AJ75-AI75+AJ65-AI65)</f>
        <v/>
      </c>
      <c r="AK194" s="86">
        <f>AK54-AJ54-(AK75-AJ75+AK65-AJ65)</f>
        <v/>
      </c>
      <c r="AL194" s="86">
        <f>AL54-AK54-(AL75-AK75+AL65-AK65)</f>
        <v/>
      </c>
      <c r="AM194" s="86">
        <f>AM54-AL54-(AM75-AL75+AM65-AL65)</f>
        <v/>
      </c>
      <c r="AN194" s="86">
        <f>AN54-AM54-(AN75-AM75+AN65-AM65)</f>
        <v/>
      </c>
      <c r="AO194" s="86">
        <f>AO54-AN54-(AO75-AN75+AO65-AN65)</f>
        <v/>
      </c>
      <c r="AP194" s="108" t="n"/>
    </row>
    <row r="195">
      <c r="A195" s="74" t="inlineStr">
        <is>
          <t>Increase in investment in JV/Associates</t>
        </is>
      </c>
      <c r="H195" s="86">
        <f>H52-G52</f>
        <v/>
      </c>
      <c r="I195" s="86">
        <f>I52-H52</f>
        <v/>
      </c>
      <c r="J195" s="86">
        <f>J52-I52</f>
        <v/>
      </c>
      <c r="K195" s="86">
        <f>K52-J52</f>
        <v/>
      </c>
      <c r="L195" s="86">
        <f>L52-K52</f>
        <v/>
      </c>
      <c r="M195" s="86" t="n"/>
      <c r="N195" s="166">
        <f>N52-M52</f>
        <v/>
      </c>
      <c r="O195" s="166">
        <f>O52-N52</f>
        <v/>
      </c>
      <c r="P195" s="166">
        <f>P52-O52</f>
        <v/>
      </c>
      <c r="Q195" s="166">
        <f>Q52-P52</f>
        <v/>
      </c>
      <c r="R195" s="166">
        <f>R52-Q52</f>
        <v/>
      </c>
      <c r="S195" s="166">
        <f>S52-R52</f>
        <v/>
      </c>
      <c r="T195" s="166">
        <f>T52-S52</f>
        <v/>
      </c>
      <c r="U195" s="166">
        <f>U52-T52</f>
        <v/>
      </c>
      <c r="V195" s="166">
        <f>V52-U52</f>
        <v/>
      </c>
      <c r="W195" s="166">
        <f>W52-V52</f>
        <v/>
      </c>
      <c r="X195" s="166">
        <f>X52-W52</f>
        <v/>
      </c>
      <c r="Y195" s="166">
        <f>Y52-X52</f>
        <v/>
      </c>
      <c r="Z195" s="166">
        <f>Z52-Y52</f>
        <v/>
      </c>
      <c r="AA195" s="166">
        <f>AA52-Z52</f>
        <v/>
      </c>
      <c r="AB195" s="166">
        <f>AB52-AA52</f>
        <v/>
      </c>
      <c r="AC195" s="166">
        <f>AC52-AB52</f>
        <v/>
      </c>
      <c r="AD195" s="166">
        <f>AD52-AC52</f>
        <v/>
      </c>
      <c r="AE195" s="166">
        <f>AE52-AD52</f>
        <v/>
      </c>
      <c r="AF195" s="166">
        <f>AF52-AE52</f>
        <v/>
      </c>
      <c r="AG195" s="166">
        <f>AG52-AF52</f>
        <v/>
      </c>
      <c r="AH195" s="166">
        <f>AH52-AG52</f>
        <v/>
      </c>
      <c r="AI195" s="166">
        <f>AI52-AH52</f>
        <v/>
      </c>
      <c r="AJ195" s="166">
        <f>AJ52-AI52</f>
        <v/>
      </c>
      <c r="AK195" s="166">
        <f>AK52-AJ52</f>
        <v/>
      </c>
      <c r="AL195" s="166">
        <f>AL52-AK52</f>
        <v/>
      </c>
      <c r="AM195" s="166">
        <f>AM52-AL52</f>
        <v/>
      </c>
      <c r="AN195" s="166">
        <f>AN52-AM52</f>
        <v/>
      </c>
      <c r="AO195" s="166">
        <f>AO52-AN52</f>
        <v/>
      </c>
      <c r="AP195" s="108" t="n"/>
    </row>
    <row r="196">
      <c r="A196" s="74" t="inlineStr">
        <is>
          <t>Capex</t>
        </is>
      </c>
      <c r="D196" s="108" t="n"/>
      <c r="E196" s="108" t="n"/>
      <c r="F196" s="108" t="n"/>
      <c r="G196" s="108" t="n"/>
      <c r="H196" s="108" t="n"/>
      <c r="I196" s="108" t="n"/>
      <c r="J196" s="108" t="n"/>
      <c r="K196" s="108" t="n"/>
      <c r="L196" s="108" t="n"/>
      <c r="M196" s="76" t="n"/>
      <c r="N196" s="86">
        <f>N173</f>
        <v/>
      </c>
      <c r="O196" s="86">
        <f>O173</f>
        <v/>
      </c>
      <c r="P196" s="86">
        <f>P173</f>
        <v/>
      </c>
      <c r="Q196" s="86">
        <f>Q173</f>
        <v/>
      </c>
      <c r="R196" s="86">
        <f>R173</f>
        <v/>
      </c>
      <c r="S196" s="86">
        <f>S173</f>
        <v/>
      </c>
      <c r="T196" s="86">
        <f>T173</f>
        <v/>
      </c>
      <c r="U196" s="86">
        <f>U173</f>
        <v/>
      </c>
      <c r="V196" s="86">
        <f>V173</f>
        <v/>
      </c>
      <c r="W196" s="86">
        <f>W173</f>
        <v/>
      </c>
      <c r="X196" s="86">
        <f>X173</f>
        <v/>
      </c>
      <c r="Y196" s="86">
        <f>Y173</f>
        <v/>
      </c>
      <c r="Z196" s="86">
        <f>Z173</f>
        <v/>
      </c>
      <c r="AA196" s="86">
        <f>AA173</f>
        <v/>
      </c>
      <c r="AB196" s="86">
        <f>AB173</f>
        <v/>
      </c>
      <c r="AC196" s="86">
        <f>AC173</f>
        <v/>
      </c>
      <c r="AD196" s="86">
        <f>AD173</f>
        <v/>
      </c>
      <c r="AE196" s="86">
        <f>AE173</f>
        <v/>
      </c>
      <c r="AF196" s="86">
        <f>AF173</f>
        <v/>
      </c>
      <c r="AG196" s="86">
        <f>AG173</f>
        <v/>
      </c>
      <c r="AH196" s="86">
        <f>AH173</f>
        <v/>
      </c>
      <c r="AI196" s="86">
        <f>AI173</f>
        <v/>
      </c>
      <c r="AJ196" s="86">
        <f>AJ173</f>
        <v/>
      </c>
      <c r="AK196" s="86">
        <f>AK173</f>
        <v/>
      </c>
      <c r="AL196" s="86">
        <f>AL173</f>
        <v/>
      </c>
      <c r="AM196" s="86">
        <f>AM173</f>
        <v/>
      </c>
      <c r="AN196" s="86">
        <f>AN173</f>
        <v/>
      </c>
      <c r="AO196" s="86">
        <f>AO173</f>
        <v/>
      </c>
      <c r="AP196" s="108" t="n"/>
    </row>
    <row r="197">
      <c r="A197" s="40" t="inlineStr">
        <is>
          <t>FCF</t>
        </is>
      </c>
      <c r="B197" s="22" t="n"/>
      <c r="C197" s="22" t="n"/>
      <c r="D197" s="22" t="n"/>
      <c r="E197" s="22" t="n"/>
      <c r="F197" s="128" t="n"/>
      <c r="G197" s="128" t="n"/>
      <c r="H197" s="128" t="n"/>
      <c r="I197" s="128" t="n"/>
      <c r="J197" s="128" t="n"/>
      <c r="K197" s="128" t="n"/>
      <c r="L197" s="128" t="n"/>
      <c r="M197" s="122" t="n"/>
      <c r="N197" s="158">
        <f>N189-N190</f>
        <v/>
      </c>
      <c r="O197" s="158">
        <f>O189-O190</f>
        <v/>
      </c>
      <c r="P197" s="158">
        <f>P189-P190</f>
        <v/>
      </c>
      <c r="Q197" s="158">
        <f>Q189-Q190</f>
        <v/>
      </c>
      <c r="R197" s="158">
        <f>R189-R190</f>
        <v/>
      </c>
      <c r="S197" s="158">
        <f>S189-S190</f>
        <v/>
      </c>
      <c r="T197" s="158">
        <f>T189-T190</f>
        <v/>
      </c>
      <c r="U197" s="158">
        <f>U189-U190</f>
        <v/>
      </c>
      <c r="V197" s="158">
        <f>V189-V190</f>
        <v/>
      </c>
      <c r="W197" s="158">
        <f>W189-W190</f>
        <v/>
      </c>
      <c r="X197" s="158">
        <f>X189-X190</f>
        <v/>
      </c>
      <c r="Y197" s="158">
        <f>Y189-Y190</f>
        <v/>
      </c>
      <c r="Z197" s="158">
        <f>Z189-Z190</f>
        <v/>
      </c>
      <c r="AA197" s="158">
        <f>AA189-AA190</f>
        <v/>
      </c>
      <c r="AB197" s="158">
        <f>AB189-AB190</f>
        <v/>
      </c>
      <c r="AC197" s="158">
        <f>AC189-AC190</f>
        <v/>
      </c>
      <c r="AD197" s="158">
        <f>AD189-AD190</f>
        <v/>
      </c>
      <c r="AE197" s="158">
        <f>AE189-AE190</f>
        <v/>
      </c>
      <c r="AF197" s="158">
        <f>AF189-AF190</f>
        <v/>
      </c>
      <c r="AG197" s="158">
        <f>AG189-AG190</f>
        <v/>
      </c>
      <c r="AH197" s="158">
        <f>AH189-AH190</f>
        <v/>
      </c>
      <c r="AI197" s="158">
        <f>AI189-AI190</f>
        <v/>
      </c>
      <c r="AJ197" s="158">
        <f>AJ189-AJ190</f>
        <v/>
      </c>
      <c r="AK197" s="158">
        <f>AK189-AK190</f>
        <v/>
      </c>
      <c r="AL197" s="158">
        <f>AL189-AL190</f>
        <v/>
      </c>
      <c r="AM197" s="158">
        <f>AM189-AM190</f>
        <v/>
      </c>
      <c r="AN197" s="158">
        <f>AN189-AN190</f>
        <v/>
      </c>
      <c r="AO197" s="158">
        <f>AO189-AO190</f>
        <v/>
      </c>
      <c r="AP197" s="108" t="n"/>
    </row>
    <row r="198" outlineLevel="1">
      <c r="A198" s="106" t="inlineStr">
        <is>
          <t>FCF (alt. NOPLAT - NET CHANGE IN IC)</t>
        </is>
      </c>
      <c r="F198" s="108" t="n"/>
      <c r="G198" s="108" t="n"/>
      <c r="H198" s="108" t="n"/>
      <c r="I198" s="108" t="n"/>
      <c r="J198" s="108" t="n"/>
      <c r="K198" s="108" t="n"/>
      <c r="L198" s="108" t="n"/>
      <c r="M198" s="76" t="n"/>
      <c r="N198" s="159">
        <f>N187-(N182-M182)</f>
        <v/>
      </c>
      <c r="O198" s="159">
        <f>O187-(O182-N182)</f>
        <v/>
      </c>
      <c r="P198" s="159">
        <f>P187-(P182-O182)</f>
        <v/>
      </c>
      <c r="Q198" s="159">
        <f>Q187-(Q182-P182)</f>
        <v/>
      </c>
      <c r="R198" s="159">
        <f>R187-(R182-Q182)</f>
        <v/>
      </c>
      <c r="S198" s="159">
        <f>S187-(S182-R182)</f>
        <v/>
      </c>
      <c r="T198" s="159">
        <f>T187-(T182-S182)</f>
        <v/>
      </c>
      <c r="U198" s="159">
        <f>U187-(U182-T182)</f>
        <v/>
      </c>
      <c r="V198" s="159">
        <f>V187-(V182-U182)</f>
        <v/>
      </c>
      <c r="W198" s="159">
        <f>W187-(W182-V182)</f>
        <v/>
      </c>
      <c r="X198" s="159">
        <f>X187-(X182-W182)</f>
        <v/>
      </c>
      <c r="Y198" s="159">
        <f>Y187-(Y182-X182)</f>
        <v/>
      </c>
      <c r="Z198" s="159">
        <f>Z187-(Z182-Y182)</f>
        <v/>
      </c>
      <c r="AA198" s="159">
        <f>AA187-(AA182-Z182)</f>
        <v/>
      </c>
      <c r="AB198" s="159">
        <f>AB187-(AB182-AA182)</f>
        <v/>
      </c>
      <c r="AC198" s="159">
        <f>AC187-(AC182-AB182)</f>
        <v/>
      </c>
      <c r="AD198" s="159">
        <f>AD187-(AD182-AC182)</f>
        <v/>
      </c>
      <c r="AE198" s="159">
        <f>AE187-(AE182-AD182)</f>
        <v/>
      </c>
      <c r="AF198" s="159">
        <f>AF187-(AF182-AE182)</f>
        <v/>
      </c>
      <c r="AG198" s="159">
        <f>AG187-(AG182-AF182)</f>
        <v/>
      </c>
      <c r="AH198" s="159">
        <f>AH187-(AH182-AG182)</f>
        <v/>
      </c>
      <c r="AI198" s="159">
        <f>AI187-(AI182-AH182)</f>
        <v/>
      </c>
      <c r="AJ198" s="159">
        <f>AJ187-(AJ182-AI182)</f>
        <v/>
      </c>
      <c r="AK198" s="159">
        <f>AK187-(AK182-AJ182)</f>
        <v/>
      </c>
      <c r="AL198" s="159">
        <f>AL187-(AL182-AK182)</f>
        <v/>
      </c>
      <c r="AM198" s="159">
        <f>AM187-(AM182-AL182)</f>
        <v/>
      </c>
      <c r="AN198" s="159">
        <f>AN187-(AN182-AM182)</f>
        <v/>
      </c>
      <c r="AO198" s="159">
        <f>AO187-(AO182-AN182)</f>
        <v/>
      </c>
      <c r="AP198" s="108" t="n"/>
    </row>
    <row r="199" outlineLevel="1">
      <c r="A199" s="22" t="inlineStr">
        <is>
          <t>ROIC including goodwill</t>
        </is>
      </c>
      <c r="M199" s="31" t="n"/>
      <c r="N199" s="886">
        <f>N187/AVERAGE(M182,N182)*N223</f>
        <v/>
      </c>
      <c r="O199" s="886">
        <f>O187/AVERAGE(N182,O182)*O223</f>
        <v/>
      </c>
      <c r="P199" s="886">
        <f>P187/AVERAGE(O182,P182)*P223</f>
        <v/>
      </c>
      <c r="Q199" s="886">
        <f>Q187/AVERAGE(P182,Q182)*Q223</f>
        <v/>
      </c>
      <c r="R199" s="886">
        <f>R187/AVERAGE(Q182,R182)*R223</f>
        <v/>
      </c>
      <c r="S199" s="886">
        <f>S187/AVERAGE(R182,S182)*S223</f>
        <v/>
      </c>
      <c r="T199" s="886">
        <f>T187/AVERAGE(S182,T182)*T223</f>
        <v/>
      </c>
      <c r="U199" s="886">
        <f>U187/AVERAGE(T182,U182)*U223</f>
        <v/>
      </c>
      <c r="V199" s="886">
        <f>V187/AVERAGE(U182,V182)*V223</f>
        <v/>
      </c>
      <c r="W199" s="886">
        <f>W187/AVERAGE(V182,W182)*W223</f>
        <v/>
      </c>
      <c r="X199" s="886">
        <f>X187/AVERAGE(W182,X182)*X223</f>
        <v/>
      </c>
      <c r="Y199" s="886">
        <f>Y187/AVERAGE(X182,Y182)*Y223</f>
        <v/>
      </c>
      <c r="Z199" s="886">
        <f>Z187/AVERAGE(Y182,Z182)*Z223</f>
        <v/>
      </c>
      <c r="AA199" s="886">
        <f>AA187/AVERAGE(Z182,AA182)*AA223</f>
        <v/>
      </c>
      <c r="AB199" s="886">
        <f>AB187/AVERAGE(AA182,AB182)*AB223</f>
        <v/>
      </c>
      <c r="AC199" s="886">
        <f>AC187/AVERAGE(AB182,AC182)*AC223</f>
        <v/>
      </c>
      <c r="AD199" s="886">
        <f>AD187/AVERAGE(AC182,AD182)*AD223</f>
        <v/>
      </c>
      <c r="AE199" s="886">
        <f>AE187/AVERAGE(AD182,AE182)*AE223</f>
        <v/>
      </c>
      <c r="AF199" s="886">
        <f>AF187/AVERAGE(AE182,AF182)*AF223</f>
        <v/>
      </c>
      <c r="AG199" s="886">
        <f>AG187/AVERAGE(AF182,AG182)*AG223</f>
        <v/>
      </c>
      <c r="AH199" s="886">
        <f>AH187/AVERAGE(AG182,AH182)*AH223</f>
        <v/>
      </c>
      <c r="AI199" s="886">
        <f>AI187/AVERAGE(AH182,AI182)*AI223</f>
        <v/>
      </c>
      <c r="AJ199" s="886">
        <f>AJ187/AVERAGE(AI182,AJ182)*AJ223</f>
        <v/>
      </c>
      <c r="AK199" s="886">
        <f>AK187/AVERAGE(AJ182,AK182)*AK223</f>
        <v/>
      </c>
      <c r="AL199" s="886">
        <f>AL187/AVERAGE(AK182,AL182)*AL223</f>
        <v/>
      </c>
      <c r="AM199" s="886">
        <f>AM187/AVERAGE(AL182,AM182)*AM223</f>
        <v/>
      </c>
      <c r="AN199" s="886">
        <f>AN187/AVERAGE(AM182,AN182)*AN223</f>
        <v/>
      </c>
      <c r="AO199" s="886">
        <f>AO187/AVERAGE(AN182,AO182)*AO223</f>
        <v/>
      </c>
      <c r="AP199" s="108" t="n"/>
    </row>
    <row r="200" outlineLevel="1">
      <c r="A200" s="22" t="inlineStr">
        <is>
          <t>ROIC excluding goodwill</t>
        </is>
      </c>
      <c r="M200" s="31" t="n"/>
      <c r="N200" s="887">
        <f>N187/AVERAGE(M183,N183)*N223</f>
        <v/>
      </c>
      <c r="O200" s="887">
        <f>O187/AVERAGE(N183,O183)*O223</f>
        <v/>
      </c>
      <c r="P200" s="887">
        <f>P187/AVERAGE(O183,P183)*P223</f>
        <v/>
      </c>
      <c r="Q200" s="887">
        <f>Q187/AVERAGE(P183,Q183)*Q223</f>
        <v/>
      </c>
      <c r="R200" s="887">
        <f>R187/AVERAGE(Q183,R183)*R223</f>
        <v/>
      </c>
      <c r="S200" s="887">
        <f>S187/AVERAGE(R183,S183)*S223</f>
        <v/>
      </c>
      <c r="T200" s="887">
        <f>T187/AVERAGE(S183,T183)*T223</f>
        <v/>
      </c>
      <c r="U200" s="887">
        <f>U187/AVERAGE(T183,U183)*U223</f>
        <v/>
      </c>
      <c r="V200" s="887">
        <f>V187/AVERAGE(U183,V183)*V223</f>
        <v/>
      </c>
      <c r="W200" s="887">
        <f>W187/AVERAGE(V183,W183)*W223</f>
        <v/>
      </c>
      <c r="X200" s="887">
        <f>X187/AVERAGE(W183,X183)*X223</f>
        <v/>
      </c>
      <c r="Y200" s="887">
        <f>Y187/AVERAGE(X183,Y183)*Y223</f>
        <v/>
      </c>
      <c r="Z200" s="887">
        <f>Z187/AVERAGE(Y183,Z183)*Z223</f>
        <v/>
      </c>
      <c r="AA200" s="887">
        <f>AA187/AVERAGE(Z183,AA183)*AA223</f>
        <v/>
      </c>
      <c r="AB200" s="887">
        <f>AB187/AVERAGE(AA183,AB183)*AB223</f>
        <v/>
      </c>
      <c r="AC200" s="887">
        <f>AC187/AVERAGE(AB183,AC183)*AC223</f>
        <v/>
      </c>
      <c r="AD200" s="887">
        <f>AD187/AVERAGE(AC183,AD183)*AD223</f>
        <v/>
      </c>
      <c r="AE200" s="887">
        <f>AE187/AVERAGE(AD183,AE183)*AE223</f>
        <v/>
      </c>
      <c r="AF200" s="887">
        <f>AF187/AVERAGE(AE183,AF183)*AF223</f>
        <v/>
      </c>
      <c r="AG200" s="887">
        <f>AG187/AVERAGE(AF183,AG183)*AG223</f>
        <v/>
      </c>
      <c r="AH200" s="887">
        <f>AH187/AVERAGE(AG183,AH183)*AH223</f>
        <v/>
      </c>
      <c r="AI200" s="887">
        <f>AI187/AVERAGE(AH183,AI183)*AI223</f>
        <v/>
      </c>
      <c r="AJ200" s="887">
        <f>AJ187/AVERAGE(AI183,AJ183)*AJ223</f>
        <v/>
      </c>
      <c r="AK200" s="887">
        <f>AK187/AVERAGE(AJ183,AK183)*AK223</f>
        <v/>
      </c>
      <c r="AL200" s="887">
        <f>AL187/AVERAGE(AK183,AL183)*AL223</f>
        <v/>
      </c>
      <c r="AM200" s="887">
        <f>AM187/AVERAGE(AL183,AM183)*AM223</f>
        <v/>
      </c>
      <c r="AN200" s="887">
        <f>AN187/AVERAGE(AM183,AN183)*AN223</f>
        <v/>
      </c>
      <c r="AO200" s="887">
        <f>AO187/AVERAGE(AN183,AO183)*AO223</f>
        <v/>
      </c>
      <c r="AP200" s="108" t="n"/>
    </row>
    <row r="201" outlineLevel="1">
      <c r="A201" s="22" t="inlineStr">
        <is>
          <t>ROE</t>
        </is>
      </c>
      <c r="M201" s="31" t="n"/>
      <c r="N201" s="882">
        <f>N24/AVERAGE(N92,M92)*N223</f>
        <v/>
      </c>
      <c r="O201" s="882">
        <f>O24/AVERAGE(O92,N92)*O223</f>
        <v/>
      </c>
      <c r="P201" s="882">
        <f>P24/AVERAGE(P92,O92)*P223</f>
        <v/>
      </c>
      <c r="Q201" s="882">
        <f>Q24/AVERAGE(Q92,P92)*Q223</f>
        <v/>
      </c>
      <c r="R201" s="882">
        <f>R24/AVERAGE(R92,Q92)*R223</f>
        <v/>
      </c>
      <c r="S201" s="882">
        <f>S24/AVERAGE(S92,R92)*S223</f>
        <v/>
      </c>
      <c r="T201" s="882">
        <f>T24/AVERAGE(T92,S92)*T223</f>
        <v/>
      </c>
      <c r="U201" s="882">
        <f>U24/AVERAGE(U92,T92)*U223</f>
        <v/>
      </c>
      <c r="V201" s="882">
        <f>V24/AVERAGE(V92,U92)*V223</f>
        <v/>
      </c>
      <c r="W201" s="882">
        <f>W24/AVERAGE(W92,V92)*W223</f>
        <v/>
      </c>
      <c r="X201" s="882">
        <f>X24/AVERAGE(X92,W92)*X223</f>
        <v/>
      </c>
      <c r="Y201" s="882">
        <f>Y24/AVERAGE(Y92,X92)*Y223</f>
        <v/>
      </c>
      <c r="Z201" s="882">
        <f>Z24/AVERAGE(Z92,Y92)*Z223</f>
        <v/>
      </c>
      <c r="AA201" s="882">
        <f>AA24/AVERAGE(AA92,Z92)*AA223</f>
        <v/>
      </c>
      <c r="AB201" s="882">
        <f>AB24/AVERAGE(AB92,AA92)*AB223</f>
        <v/>
      </c>
      <c r="AC201" s="882">
        <f>AC24/AVERAGE(AC92,AB92)*AC223</f>
        <v/>
      </c>
      <c r="AD201" s="882">
        <f>AD24/AVERAGE(AD92,AC92)*AD223</f>
        <v/>
      </c>
      <c r="AE201" s="882">
        <f>AE24/AVERAGE(AE92,AD92)*AE223</f>
        <v/>
      </c>
      <c r="AF201" s="882">
        <f>AF24/AVERAGE(AF92,AE92)*AF223</f>
        <v/>
      </c>
      <c r="AG201" s="882">
        <f>AG24/AVERAGE(AG92,AF92)*AG223</f>
        <v/>
      </c>
      <c r="AH201" s="882">
        <f>AH24/AVERAGE(AH92,AG92)*AH223</f>
        <v/>
      </c>
      <c r="AI201" s="882">
        <f>AI24/AVERAGE(AI92,AH92)*AI223</f>
        <v/>
      </c>
      <c r="AJ201" s="882">
        <f>AJ24/AVERAGE(AJ92,AI92)*AJ223</f>
        <v/>
      </c>
      <c r="AK201" s="882">
        <f>AK24/AVERAGE(AK92,AJ92)*AK223</f>
        <v/>
      </c>
      <c r="AL201" s="882">
        <f>AL24/AVERAGE(AL92,AK92)*AL223</f>
        <v/>
      </c>
      <c r="AM201" s="882">
        <f>AM24/AVERAGE(AM92,AL92)*AM223</f>
        <v/>
      </c>
      <c r="AN201" s="882">
        <f>AN24/AVERAGE(AN92,AM92)*AN223</f>
        <v/>
      </c>
      <c r="AO201" s="882">
        <f>AO24/AVERAGE(AO92,AN92)*AO223</f>
        <v/>
      </c>
      <c r="AP201" s="108" t="n"/>
    </row>
    <row r="202" outlineLevel="1">
      <c r="A202" s="21" t="inlineStr">
        <is>
          <t>RONIC</t>
        </is>
      </c>
      <c r="M202" s="31" t="n"/>
      <c r="N202" s="882">
        <f>(N187-M187)/(N182-M182)</f>
        <v/>
      </c>
      <c r="O202" s="882">
        <f>(O187-N187)/(O182-N182)</f>
        <v/>
      </c>
      <c r="P202" s="882">
        <f>(P187-O187)/(P182-O182)</f>
        <v/>
      </c>
      <c r="Q202" s="882">
        <f>(Q187-P187)/(Q182-P182)</f>
        <v/>
      </c>
      <c r="R202" s="882">
        <f>(R187-Q187)/(R182-Q182)</f>
        <v/>
      </c>
      <c r="S202" s="882">
        <f>(S187-R187)/(S182-R182)</f>
        <v/>
      </c>
      <c r="T202" s="882">
        <f>(T187-S187)/(T182-S182)</f>
        <v/>
      </c>
      <c r="U202" s="882">
        <f>(U187-T187)/(U182-T182)</f>
        <v/>
      </c>
      <c r="V202" s="882">
        <f>(V187-U187)/(V182-U182)</f>
        <v/>
      </c>
      <c r="W202" s="882">
        <f>(W187-V187)/(W182-V182)</f>
        <v/>
      </c>
      <c r="X202" s="882">
        <f>(X187-W187)/(X182-W182)</f>
        <v/>
      </c>
      <c r="Y202" s="882">
        <f>(Y187-X187)/(Y182-X182)</f>
        <v/>
      </c>
      <c r="Z202" s="882">
        <f>(Z187-Y187)/(Z182-Y182)</f>
        <v/>
      </c>
      <c r="AA202" s="882">
        <f>(AA187-Z187)/(AA182-Z182)</f>
        <v/>
      </c>
      <c r="AB202" s="882">
        <f>(AB187-AA187)/(AB182-AA182)</f>
        <v/>
      </c>
      <c r="AC202" s="882">
        <f>(AC187-AB187)/(AC182-AB182)</f>
        <v/>
      </c>
      <c r="AD202" s="882">
        <f>(AD187-AC187)/(AD182-AC182)</f>
        <v/>
      </c>
      <c r="AE202" s="882">
        <f>(AE187-AD187)/(AE182-AD182)</f>
        <v/>
      </c>
      <c r="AF202" s="882">
        <f>(AF187-AE187)/(AF182-AE182)</f>
        <v/>
      </c>
      <c r="AG202" s="882">
        <f>(AG187-AF187)/(AG182-AF182)</f>
        <v/>
      </c>
      <c r="AH202" s="882">
        <f>(AH187-AG187)/(AH182-AG182)</f>
        <v/>
      </c>
      <c r="AI202" s="882">
        <f>(AI187-AH187)/(AI182-AH182)</f>
        <v/>
      </c>
      <c r="AJ202" s="882">
        <f>(AJ187-AI187)/(AJ182-AI182)</f>
        <v/>
      </c>
      <c r="AK202" s="882">
        <f>(AK187-AJ187)/(AK182-AJ182)</f>
        <v/>
      </c>
      <c r="AL202" s="882">
        <f>(AL187-AK187)/(AL182-AK182)</f>
        <v/>
      </c>
      <c r="AM202" s="882">
        <f>(AM187-AL187)/(AM182-AL182)</f>
        <v/>
      </c>
      <c r="AN202" s="882">
        <f>(AN187-AM187)/(AN182-AM182)</f>
        <v/>
      </c>
      <c r="AO202" s="882">
        <f>(AO187-AN187)/(AO182-AN182)</f>
        <v/>
      </c>
      <c r="AP202" s="108" t="n"/>
    </row>
    <row r="203" outlineLevel="1">
      <c r="M203" s="31" t="n"/>
      <c r="N203" s="31" t="n"/>
      <c r="O203" s="31" t="n"/>
      <c r="P203" s="31" t="n"/>
      <c r="Q203" s="31" t="n"/>
      <c r="R203" s="31" t="n"/>
      <c r="S203" s="31" t="n"/>
      <c r="T203" s="31" t="n"/>
      <c r="U203" s="31" t="n"/>
      <c r="V203" s="31" t="n"/>
      <c r="W203" s="31" t="n"/>
      <c r="X203" s="31" t="n"/>
      <c r="Y203" s="31" t="n"/>
      <c r="Z203" s="31" t="n"/>
      <c r="AA203" s="31" t="n"/>
      <c r="AB203" s="31" t="n"/>
      <c r="AC203" s="31" t="n"/>
      <c r="AD203" s="31" t="n"/>
      <c r="AE203" s="31" t="n"/>
      <c r="AF203" s="31" t="n"/>
      <c r="AG203" s="31" t="n"/>
      <c r="AH203" s="31" t="n"/>
      <c r="AI203" s="31" t="n"/>
      <c r="AJ203" s="31" t="n"/>
      <c r="AK203" s="31" t="n"/>
      <c r="AL203" s="31" t="n"/>
      <c r="AM203" s="31" t="n"/>
      <c r="AN203" s="31" t="n"/>
      <c r="AO203" s="31" t="n"/>
      <c r="AP203" s="108" t="n"/>
    </row>
    <row r="204" outlineLevel="1">
      <c r="A204" s="105" t="inlineStr">
        <is>
          <t>Working capital</t>
        </is>
      </c>
      <c r="M204" s="31" t="n"/>
      <c r="N204" s="86">
        <f>N39+N41+N42+N43-N61-N62-N64-N76</f>
        <v/>
      </c>
      <c r="O204" s="86">
        <f>O39+O41+O42+O43-O61-O62-O64-O76</f>
        <v/>
      </c>
      <c r="P204" s="86">
        <f>P39+P41+P42+P43-P61-P62-P64-P76</f>
        <v/>
      </c>
      <c r="Q204" s="86">
        <f>Q39+Q41+Q42+Q43-Q61-Q62-Q64-Q76</f>
        <v/>
      </c>
      <c r="R204" s="86">
        <f>R39+R41+R42+R43-R61-R62-R64-R76</f>
        <v/>
      </c>
      <c r="S204" s="86">
        <f>S39+S41+S42+S43-S61-S62-S64-S76</f>
        <v/>
      </c>
      <c r="T204" s="86">
        <f>T39+T41+T42+T43-T61-T62-T64-T76</f>
        <v/>
      </c>
      <c r="U204" s="86">
        <f>U39+U41+U42+U43-U61-U62-U64-U76</f>
        <v/>
      </c>
      <c r="V204" s="86">
        <f>V39+V41+V42+V43-V61-V62-V64-V76</f>
        <v/>
      </c>
      <c r="W204" s="86">
        <f>W39+W41+W42+W43-W61-W62-W64-W76</f>
        <v/>
      </c>
      <c r="X204" s="86">
        <f>X39+X41+X42+X43-X61-X62-X64-X76</f>
        <v/>
      </c>
      <c r="Y204" s="86">
        <f>Y39+Y41+Y42+Y43-Y61-Y62-Y64-Y76</f>
        <v/>
      </c>
      <c r="Z204" s="86">
        <f>Z39+Z41+Z42+Z43-Z61-Z62-Z64-Z76</f>
        <v/>
      </c>
      <c r="AA204" s="86">
        <f>AA39+AA41+AA42+AA43-AA61-AA62-AA64-AA76</f>
        <v/>
      </c>
      <c r="AB204" s="86">
        <f>AB39+AB41+AB42+AB43-AB61-AB62-AB64-AB76</f>
        <v/>
      </c>
      <c r="AC204" s="86">
        <f>AC39+AC41+AC42+AC43-AC61-AC62-AC64-AC76</f>
        <v/>
      </c>
      <c r="AD204" s="86">
        <f>AD39+AD41+AD42+AD43-AD61-AD62-AD64-AD76</f>
        <v/>
      </c>
      <c r="AE204" s="86">
        <f>AE39+AE41+AE42+AE43-AE61-AE62-AE64-AE76</f>
        <v/>
      </c>
      <c r="AF204" s="86">
        <f>AF39+AF41+AF42+AF43-AF61-AF62-AF64-AF76</f>
        <v/>
      </c>
      <c r="AG204" s="86">
        <f>AG39+AG41+AG42+AG43-AG61-AG62-AG64-AG76</f>
        <v/>
      </c>
      <c r="AH204" s="86">
        <f>AH39+AH41+AH42+AH43-AH61-AH62-AH64-AH76</f>
        <v/>
      </c>
      <c r="AI204" s="86">
        <f>AI39+AI41+AI42+AI43-AI61-AI62-AI64-AI76</f>
        <v/>
      </c>
      <c r="AJ204" s="86">
        <f>AJ39+AJ41+AJ42+AJ43-AJ61-AJ62-AJ64-AJ76</f>
        <v/>
      </c>
      <c r="AK204" s="86">
        <f>AK39+AK41+AK42+AK43-AK61-AK62-AK64-AK76</f>
        <v/>
      </c>
      <c r="AL204" s="86">
        <f>AL39+AL41+AL42+AL43-AL61-AL62-AL64-AL76</f>
        <v/>
      </c>
      <c r="AM204" s="86">
        <f>AM39+AM41+AM42+AM43-AM61-AM62-AM64-AM76</f>
        <v/>
      </c>
      <c r="AN204" s="86">
        <f>AN39+AN41+AN42+AN43-AN61-AN62-AN64-AN76</f>
        <v/>
      </c>
      <c r="AO204" s="86">
        <f>AO39+AO41+AO42+AO43-AO61-AO62-AO64-AO76</f>
        <v/>
      </c>
      <c r="AP204" s="108" t="n"/>
    </row>
    <row r="205" outlineLevel="1">
      <c r="A205" s="74" t="inlineStr">
        <is>
          <t>% of invested capital excluding goodwill</t>
        </is>
      </c>
      <c r="M205" s="31" t="n"/>
      <c r="N205" s="882">
        <f>N204/N$183</f>
        <v/>
      </c>
      <c r="O205" s="882">
        <f>O204/O$183</f>
        <v/>
      </c>
      <c r="P205" s="882">
        <f>P204/P$183</f>
        <v/>
      </c>
      <c r="Q205" s="882">
        <f>Q204/Q$183</f>
        <v/>
      </c>
      <c r="R205" s="882">
        <f>R204/R$183</f>
        <v/>
      </c>
      <c r="S205" s="882">
        <f>S204/S$183</f>
        <v/>
      </c>
      <c r="T205" s="882">
        <f>T204/T$183</f>
        <v/>
      </c>
      <c r="U205" s="882">
        <f>U204/U$183</f>
        <v/>
      </c>
      <c r="V205" s="882">
        <f>V204/V$183</f>
        <v/>
      </c>
      <c r="W205" s="882">
        <f>W204/W$183</f>
        <v/>
      </c>
      <c r="X205" s="882">
        <f>X204/X$183</f>
        <v/>
      </c>
      <c r="Y205" s="882">
        <f>Y204/Y$183</f>
        <v/>
      </c>
      <c r="Z205" s="882">
        <f>Z204/Z$183</f>
        <v/>
      </c>
      <c r="AA205" s="882">
        <f>AA204/AA$183</f>
        <v/>
      </c>
      <c r="AB205" s="882">
        <f>AB204/AB$183</f>
        <v/>
      </c>
      <c r="AC205" s="882">
        <f>AC204/AC$183</f>
        <v/>
      </c>
      <c r="AD205" s="882">
        <f>AD204/AD$183</f>
        <v/>
      </c>
      <c r="AE205" s="882">
        <f>AE204/AE$183</f>
        <v/>
      </c>
      <c r="AF205" s="882">
        <f>AF204/AF$183</f>
        <v/>
      </c>
      <c r="AG205" s="882">
        <f>AG204/AG$183</f>
        <v/>
      </c>
      <c r="AH205" s="882">
        <f>AH204/AH$183</f>
        <v/>
      </c>
      <c r="AI205" s="882">
        <f>AI204/AI$183</f>
        <v/>
      </c>
      <c r="AJ205" s="882">
        <f>AJ204/AJ$183</f>
        <v/>
      </c>
      <c r="AK205" s="882">
        <f>AK204/AK$183</f>
        <v/>
      </c>
      <c r="AL205" s="882">
        <f>AL204/AL$183</f>
        <v/>
      </c>
      <c r="AM205" s="882">
        <f>AM204/AM$183</f>
        <v/>
      </c>
      <c r="AN205" s="882">
        <f>AN204/AN$183</f>
        <v/>
      </c>
      <c r="AO205" s="882">
        <f>AO204/AO$183</f>
        <v/>
      </c>
      <c r="AP205" s="108" t="n"/>
    </row>
    <row r="206" outlineLevel="1">
      <c r="A206" s="105" t="inlineStr">
        <is>
          <t>PPE</t>
        </is>
      </c>
      <c r="M206" s="31" t="n"/>
      <c r="N206" s="86">
        <f>N48</f>
        <v/>
      </c>
      <c r="O206" s="86">
        <f>O48</f>
        <v/>
      </c>
      <c r="P206" s="86">
        <f>P48</f>
        <v/>
      </c>
      <c r="Q206" s="86">
        <f>Q48</f>
        <v/>
      </c>
      <c r="R206" s="86">
        <f>R48</f>
        <v/>
      </c>
      <c r="S206" s="86">
        <f>S48</f>
        <v/>
      </c>
      <c r="T206" s="86">
        <f>T48</f>
        <v/>
      </c>
      <c r="U206" s="86">
        <f>U48</f>
        <v/>
      </c>
      <c r="V206" s="86">
        <f>V48</f>
        <v/>
      </c>
      <c r="W206" s="86">
        <f>W48</f>
        <v/>
      </c>
      <c r="X206" s="86">
        <f>X48</f>
        <v/>
      </c>
      <c r="Y206" s="86">
        <f>Y48</f>
        <v/>
      </c>
      <c r="Z206" s="86">
        <f>Z48</f>
        <v/>
      </c>
      <c r="AA206" s="86">
        <f>AA48</f>
        <v/>
      </c>
      <c r="AB206" s="86">
        <f>AB48</f>
        <v/>
      </c>
      <c r="AC206" s="86">
        <f>AC48</f>
        <v/>
      </c>
      <c r="AD206" s="86">
        <f>AD48</f>
        <v/>
      </c>
      <c r="AE206" s="86">
        <f>AE48</f>
        <v/>
      </c>
      <c r="AF206" s="86">
        <f>AF48</f>
        <v/>
      </c>
      <c r="AG206" s="86">
        <f>AG48</f>
        <v/>
      </c>
      <c r="AH206" s="86">
        <f>AH48</f>
        <v/>
      </c>
      <c r="AI206" s="86">
        <f>AI48</f>
        <v/>
      </c>
      <c r="AJ206" s="86">
        <f>AJ48</f>
        <v/>
      </c>
      <c r="AK206" s="86">
        <f>AK48</f>
        <v/>
      </c>
      <c r="AL206" s="86">
        <f>AL48</f>
        <v/>
      </c>
      <c r="AM206" s="86">
        <f>AM48</f>
        <v/>
      </c>
      <c r="AN206" s="86">
        <f>AN48</f>
        <v/>
      </c>
      <c r="AO206" s="86">
        <f>AO48</f>
        <v/>
      </c>
      <c r="AP206" s="108" t="n"/>
    </row>
    <row r="207" outlineLevel="1">
      <c r="A207" s="74" t="inlineStr">
        <is>
          <t>% of invested capital excluding goodwill</t>
        </is>
      </c>
      <c r="M207" s="31" t="n"/>
      <c r="N207" s="882">
        <f>N206/N$183</f>
        <v/>
      </c>
      <c r="O207" s="882">
        <f>O206/O$183</f>
        <v/>
      </c>
      <c r="P207" s="882">
        <f>P206/P$183</f>
        <v/>
      </c>
      <c r="Q207" s="882">
        <f>Q206/Q$183</f>
        <v/>
      </c>
      <c r="R207" s="882">
        <f>R206/R$183</f>
        <v/>
      </c>
      <c r="S207" s="882">
        <f>S206/S$183</f>
        <v/>
      </c>
      <c r="T207" s="882">
        <f>T206/T$183</f>
        <v/>
      </c>
      <c r="U207" s="882">
        <f>U206/U$183</f>
        <v/>
      </c>
      <c r="V207" s="882">
        <f>V206/V$183</f>
        <v/>
      </c>
      <c r="W207" s="882">
        <f>W206/W$183</f>
        <v/>
      </c>
      <c r="X207" s="882">
        <f>X206/X$183</f>
        <v/>
      </c>
      <c r="Y207" s="882">
        <f>Y206/Y$183</f>
        <v/>
      </c>
      <c r="Z207" s="882">
        <f>Z206/Z$183</f>
        <v/>
      </c>
      <c r="AA207" s="882">
        <f>AA206/AA$183</f>
        <v/>
      </c>
      <c r="AB207" s="882">
        <f>AB206/AB$183</f>
        <v/>
      </c>
      <c r="AC207" s="882">
        <f>AC206/AC$183</f>
        <v/>
      </c>
      <c r="AD207" s="882">
        <f>AD206/AD$183</f>
        <v/>
      </c>
      <c r="AE207" s="882">
        <f>AE206/AE$183</f>
        <v/>
      </c>
      <c r="AF207" s="882">
        <f>AF206/AF$183</f>
        <v/>
      </c>
      <c r="AG207" s="882">
        <f>AG206/AG$183</f>
        <v/>
      </c>
      <c r="AH207" s="882">
        <f>AH206/AH$183</f>
        <v/>
      </c>
      <c r="AI207" s="882">
        <f>AI206/AI$183</f>
        <v/>
      </c>
      <c r="AJ207" s="882">
        <f>AJ206/AJ$183</f>
        <v/>
      </c>
      <c r="AK207" s="882">
        <f>AK206/AK$183</f>
        <v/>
      </c>
      <c r="AL207" s="882">
        <f>AL206/AL$183</f>
        <v/>
      </c>
      <c r="AM207" s="882">
        <f>AM206/AM$183</f>
        <v/>
      </c>
      <c r="AN207" s="882">
        <f>AN206/AN$183</f>
        <v/>
      </c>
      <c r="AO207" s="882">
        <f>AO206/AO$183</f>
        <v/>
      </c>
      <c r="AP207" s="108" t="n"/>
    </row>
    <row r="208" outlineLevel="1">
      <c r="A208" s="105" t="inlineStr">
        <is>
          <t>Prepaid land lease and other intangible</t>
        </is>
      </c>
      <c r="M208" s="31" t="n"/>
      <c r="N208" s="86">
        <f>N51+N49</f>
        <v/>
      </c>
      <c r="O208" s="86">
        <f>O51+O49</f>
        <v/>
      </c>
      <c r="P208" s="86">
        <f>P51+P49</f>
        <v/>
      </c>
      <c r="Q208" s="86">
        <f>Q51+Q49</f>
        <v/>
      </c>
      <c r="R208" s="86">
        <f>R51+R49</f>
        <v/>
      </c>
      <c r="S208" s="86">
        <f>S51+S49</f>
        <v/>
      </c>
      <c r="T208" s="86">
        <f>T51+T49</f>
        <v/>
      </c>
      <c r="U208" s="86">
        <f>U51+U49</f>
        <v/>
      </c>
      <c r="V208" s="86">
        <f>V51+V49</f>
        <v/>
      </c>
      <c r="W208" s="86">
        <f>W51+W49</f>
        <v/>
      </c>
      <c r="X208" s="86">
        <f>X51+X49</f>
        <v/>
      </c>
      <c r="Y208" s="86">
        <f>Y51+Y49</f>
        <v/>
      </c>
      <c r="Z208" s="86">
        <f>Z51+Z49</f>
        <v/>
      </c>
      <c r="AA208" s="86">
        <f>AA51+AA49</f>
        <v/>
      </c>
      <c r="AB208" s="86">
        <f>AB51+AB49</f>
        <v/>
      </c>
      <c r="AC208" s="86">
        <f>AC51+AC49</f>
        <v/>
      </c>
      <c r="AD208" s="86">
        <f>AD51+AD49</f>
        <v/>
      </c>
      <c r="AE208" s="86">
        <f>AE51+AE49</f>
        <v/>
      </c>
      <c r="AF208" s="86">
        <f>AF51+AF49</f>
        <v/>
      </c>
      <c r="AG208" s="86">
        <f>AG51+AG49</f>
        <v/>
      </c>
      <c r="AH208" s="86">
        <f>AH51+AH49</f>
        <v/>
      </c>
      <c r="AI208" s="86">
        <f>AI51+AI49</f>
        <v/>
      </c>
      <c r="AJ208" s="86">
        <f>AJ51+AJ49</f>
        <v/>
      </c>
      <c r="AK208" s="86">
        <f>AK51+AK49</f>
        <v/>
      </c>
      <c r="AL208" s="86">
        <f>AL51+AL49</f>
        <v/>
      </c>
      <c r="AM208" s="86">
        <f>AM51+AM49</f>
        <v/>
      </c>
      <c r="AN208" s="86">
        <f>AN51+AN49</f>
        <v/>
      </c>
      <c r="AO208" s="86">
        <f>AO51+AO49</f>
        <v/>
      </c>
      <c r="AP208" s="108" t="n"/>
    </row>
    <row r="209" outlineLevel="1">
      <c r="A209" s="74" t="inlineStr">
        <is>
          <t>% of invested capital excluding goodwill</t>
        </is>
      </c>
      <c r="M209" s="31" t="n"/>
      <c r="N209" s="882">
        <f>N208/N$183</f>
        <v/>
      </c>
      <c r="O209" s="882">
        <f>O208/O$183</f>
        <v/>
      </c>
      <c r="P209" s="882">
        <f>P208/P$183</f>
        <v/>
      </c>
      <c r="Q209" s="882">
        <f>Q208/Q$183</f>
        <v/>
      </c>
      <c r="R209" s="882">
        <f>R208/R$183</f>
        <v/>
      </c>
      <c r="S209" s="882">
        <f>S208/S$183</f>
        <v/>
      </c>
      <c r="T209" s="882">
        <f>T208/T$183</f>
        <v/>
      </c>
      <c r="U209" s="882">
        <f>U208/U$183</f>
        <v/>
      </c>
      <c r="V209" s="882">
        <f>V208/V$183</f>
        <v/>
      </c>
      <c r="W209" s="882">
        <f>W208/W$183</f>
        <v/>
      </c>
      <c r="X209" s="882">
        <f>X208/X$183</f>
        <v/>
      </c>
      <c r="Y209" s="882">
        <f>Y208/Y$183</f>
        <v/>
      </c>
      <c r="Z209" s="882">
        <f>Z208/Z$183</f>
        <v/>
      </c>
      <c r="AA209" s="882">
        <f>AA208/AA$183</f>
        <v/>
      </c>
      <c r="AB209" s="882">
        <f>AB208/AB$183</f>
        <v/>
      </c>
      <c r="AC209" s="882">
        <f>AC208/AC$183</f>
        <v/>
      </c>
      <c r="AD209" s="882">
        <f>AD208/AD$183</f>
        <v/>
      </c>
      <c r="AE209" s="882">
        <f>AE208/AE$183</f>
        <v/>
      </c>
      <c r="AF209" s="882">
        <f>AF208/AF$183</f>
        <v/>
      </c>
      <c r="AG209" s="882">
        <f>AG208/AG$183</f>
        <v/>
      </c>
      <c r="AH209" s="882">
        <f>AH208/AH$183</f>
        <v/>
      </c>
      <c r="AI209" s="882">
        <f>AI208/AI$183</f>
        <v/>
      </c>
      <c r="AJ209" s="882">
        <f>AJ208/AJ$183</f>
        <v/>
      </c>
      <c r="AK209" s="882">
        <f>AK208/AK$183</f>
        <v/>
      </c>
      <c r="AL209" s="882">
        <f>AL208/AL$183</f>
        <v/>
      </c>
      <c r="AM209" s="882">
        <f>AM208/AM$183</f>
        <v/>
      </c>
      <c r="AN209" s="882">
        <f>AN208/AN$183</f>
        <v/>
      </c>
      <c r="AO209" s="882">
        <f>AO208/AO$183</f>
        <v/>
      </c>
      <c r="AP209" s="108" t="n"/>
    </row>
    <row r="210" outlineLevel="1">
      <c r="A210" s="105" t="inlineStr">
        <is>
          <t>Working cash</t>
        </is>
      </c>
      <c r="M210" s="31" t="n"/>
      <c r="N210" s="86">
        <f>N158+N53</f>
        <v/>
      </c>
      <c r="O210" s="86">
        <f>O158+O53</f>
        <v/>
      </c>
      <c r="P210" s="86">
        <f>P158+P53</f>
        <v/>
      </c>
      <c r="Q210" s="86">
        <f>Q158+Q53</f>
        <v/>
      </c>
      <c r="R210" s="86">
        <f>R158+R53</f>
        <v/>
      </c>
      <c r="S210" s="86">
        <f>S158+S53</f>
        <v/>
      </c>
      <c r="T210" s="86">
        <f>T158+T53</f>
        <v/>
      </c>
      <c r="U210" s="86">
        <f>U158+U53</f>
        <v/>
      </c>
      <c r="V210" s="86">
        <f>V158+V53</f>
        <v/>
      </c>
      <c r="W210" s="86">
        <f>W158+W53</f>
        <v/>
      </c>
      <c r="X210" s="86">
        <f>X158+X53</f>
        <v/>
      </c>
      <c r="Y210" s="86">
        <f>Y158+Y53</f>
        <v/>
      </c>
      <c r="Z210" s="86">
        <f>Z158+Z53</f>
        <v/>
      </c>
      <c r="AA210" s="86">
        <f>AA158+AA53</f>
        <v/>
      </c>
      <c r="AB210" s="86">
        <f>AB158+AB53</f>
        <v/>
      </c>
      <c r="AC210" s="86">
        <f>AC158+AC53</f>
        <v/>
      </c>
      <c r="AD210" s="86">
        <f>AD158+AD53</f>
        <v/>
      </c>
      <c r="AE210" s="86">
        <f>AE158+AE53</f>
        <v/>
      </c>
      <c r="AF210" s="86">
        <f>AF158+AF53</f>
        <v/>
      </c>
      <c r="AG210" s="86">
        <f>AG158+AG53</f>
        <v/>
      </c>
      <c r="AH210" s="86">
        <f>AH158+AH53</f>
        <v/>
      </c>
      <c r="AI210" s="86">
        <f>AI158+AI53</f>
        <v/>
      </c>
      <c r="AJ210" s="86">
        <f>AJ158+AJ53</f>
        <v/>
      </c>
      <c r="AK210" s="86">
        <f>AK158+AK53</f>
        <v/>
      </c>
      <c r="AL210" s="86">
        <f>AL158+AL53</f>
        <v/>
      </c>
      <c r="AM210" s="86">
        <f>AM158+AM53</f>
        <v/>
      </c>
      <c r="AN210" s="86">
        <f>AN158+AN53</f>
        <v/>
      </c>
      <c r="AO210" s="86">
        <f>AO158+AO53</f>
        <v/>
      </c>
      <c r="AP210" s="108" t="n"/>
    </row>
    <row r="211" outlineLevel="1">
      <c r="A211" s="74" t="inlineStr">
        <is>
          <t>% of invested capital excluding goodwill</t>
        </is>
      </c>
      <c r="M211" s="31" t="n"/>
      <c r="N211" s="882">
        <f>N210/N$183</f>
        <v/>
      </c>
      <c r="O211" s="882">
        <f>O210/O$183</f>
        <v/>
      </c>
      <c r="P211" s="882">
        <f>P210/P$183</f>
        <v/>
      </c>
      <c r="Q211" s="882">
        <f>Q210/Q$183</f>
        <v/>
      </c>
      <c r="R211" s="882">
        <f>R210/R$183</f>
        <v/>
      </c>
      <c r="S211" s="882">
        <f>S210/S$183</f>
        <v/>
      </c>
      <c r="T211" s="882">
        <f>T210/T$183</f>
        <v/>
      </c>
      <c r="U211" s="882">
        <f>U210/U$183</f>
        <v/>
      </c>
      <c r="V211" s="882">
        <f>V210/V$183</f>
        <v/>
      </c>
      <c r="W211" s="882">
        <f>W210/W$183</f>
        <v/>
      </c>
      <c r="X211" s="882">
        <f>X210/X$183</f>
        <v/>
      </c>
      <c r="Y211" s="882">
        <f>Y210/Y$183</f>
        <v/>
      </c>
      <c r="Z211" s="882">
        <f>Z210/Z$183</f>
        <v/>
      </c>
      <c r="AA211" s="882">
        <f>AA210/AA$183</f>
        <v/>
      </c>
      <c r="AB211" s="882">
        <f>AB210/AB$183</f>
        <v/>
      </c>
      <c r="AC211" s="882">
        <f>AC210/AC$183</f>
        <v/>
      </c>
      <c r="AD211" s="882">
        <f>AD210/AD$183</f>
        <v/>
      </c>
      <c r="AE211" s="882">
        <f>AE210/AE$183</f>
        <v/>
      </c>
      <c r="AF211" s="882">
        <f>AF210/AF$183</f>
        <v/>
      </c>
      <c r="AG211" s="882">
        <f>AG210/AG$183</f>
        <v/>
      </c>
      <c r="AH211" s="882">
        <f>AH210/AH$183</f>
        <v/>
      </c>
      <c r="AI211" s="882">
        <f>AI210/AI$183</f>
        <v/>
      </c>
      <c r="AJ211" s="882">
        <f>AJ210/AJ$183</f>
        <v/>
      </c>
      <c r="AK211" s="882">
        <f>AK210/AK$183</f>
        <v/>
      </c>
      <c r="AL211" s="882">
        <f>AL210/AL$183</f>
        <v/>
      </c>
      <c r="AM211" s="882">
        <f>AM210/AM$183</f>
        <v/>
      </c>
      <c r="AN211" s="882">
        <f>AN210/AN$183</f>
        <v/>
      </c>
      <c r="AO211" s="882">
        <f>AO210/AO$183</f>
        <v/>
      </c>
      <c r="AP211" s="108" t="n"/>
    </row>
    <row r="212" outlineLevel="1">
      <c r="A212" s="105" t="inlineStr">
        <is>
          <t>Others</t>
        </is>
      </c>
      <c r="M212" s="31" t="n"/>
      <c r="N212" s="883">
        <f>1-N205-N207-N209-N211</f>
        <v/>
      </c>
      <c r="O212" s="883">
        <f>1-O205-O207-O209-O211</f>
        <v/>
      </c>
      <c r="P212" s="883">
        <f>1-P205-P207-P209-P211</f>
        <v/>
      </c>
      <c r="Q212" s="883">
        <f>1-Q205-Q207-Q209-Q211</f>
        <v/>
      </c>
      <c r="R212" s="883">
        <f>1-R205-R207-R209-R211</f>
        <v/>
      </c>
      <c r="S212" s="883">
        <f>1-S205-S207-S209-S211</f>
        <v/>
      </c>
      <c r="T212" s="883">
        <f>1-T205-T207-T209-T211</f>
        <v/>
      </c>
      <c r="U212" s="883">
        <f>1-U205-U207-U209-U211</f>
        <v/>
      </c>
      <c r="V212" s="883">
        <f>1-V205-V207-V209-V211</f>
        <v/>
      </c>
      <c r="W212" s="883">
        <f>1-W205-W207-W209-W211</f>
        <v/>
      </c>
      <c r="X212" s="883">
        <f>1-X205-X207-X209-X211</f>
        <v/>
      </c>
      <c r="Y212" s="883">
        <f>1-Y205-Y207-Y209-Y211</f>
        <v/>
      </c>
      <c r="Z212" s="883">
        <f>1-Z205-Z207-Z209-Z211</f>
        <v/>
      </c>
      <c r="AA212" s="883">
        <f>1-AA205-AA207-AA209-AA211</f>
        <v/>
      </c>
      <c r="AB212" s="883">
        <f>1-AB205-AB207-AB209-AB211</f>
        <v/>
      </c>
      <c r="AC212" s="883">
        <f>1-AC205-AC207-AC209-AC211</f>
        <v/>
      </c>
      <c r="AD212" s="883">
        <f>1-AD205-AD207-AD209-AD211</f>
        <v/>
      </c>
      <c r="AE212" s="883">
        <f>1-AE205-AE207-AE209-AE211</f>
        <v/>
      </c>
      <c r="AF212" s="883">
        <f>1-AF205-AF207-AF209-AF211</f>
        <v/>
      </c>
      <c r="AG212" s="883">
        <f>1-AG205-AG207-AG209-AG211</f>
        <v/>
      </c>
      <c r="AH212" s="883">
        <f>1-AH205-AH207-AH209-AH211</f>
        <v/>
      </c>
      <c r="AI212" s="883">
        <f>1-AI205-AI207-AI209-AI211</f>
        <v/>
      </c>
      <c r="AJ212" s="883">
        <f>1-AJ205-AJ207-AJ209-AJ211</f>
        <v/>
      </c>
      <c r="AK212" s="883">
        <f>1-AK205-AK207-AK209-AK211</f>
        <v/>
      </c>
      <c r="AL212" s="883">
        <f>1-AL205-AL207-AL209-AL211</f>
        <v/>
      </c>
      <c r="AM212" s="883">
        <f>1-AM205-AM207-AM209-AM211</f>
        <v/>
      </c>
      <c r="AN212" s="883">
        <f>1-AN205-AN207-AN209-AN211</f>
        <v/>
      </c>
      <c r="AO212" s="883">
        <f>1-AO205-AO207-AO209-AO211</f>
        <v/>
      </c>
      <c r="AP212" s="108" t="n"/>
    </row>
    <row r="213" outlineLevel="1">
      <c r="M213" s="31" t="n"/>
      <c r="N213" s="31" t="n"/>
      <c r="O213" s="31" t="n"/>
      <c r="P213" s="31" t="n"/>
      <c r="Q213" s="31" t="n"/>
      <c r="R213" s="31" t="n"/>
      <c r="S213" s="31" t="n"/>
      <c r="T213" s="31" t="n"/>
      <c r="U213" s="31" t="n"/>
      <c r="V213" s="31" t="n"/>
      <c r="W213" s="31" t="n"/>
      <c r="X213" s="31" t="n"/>
      <c r="Y213" s="31" t="n"/>
      <c r="Z213" s="31" t="n"/>
      <c r="AA213" s="31" t="n"/>
      <c r="AB213" s="31" t="n"/>
      <c r="AC213" s="31" t="n"/>
      <c r="AD213" s="31" t="n"/>
      <c r="AE213" s="31" t="n"/>
      <c r="AF213" s="31" t="n"/>
      <c r="AG213" s="31" t="n"/>
      <c r="AH213" s="31" t="n"/>
      <c r="AI213" s="31" t="n"/>
      <c r="AJ213" s="31" t="n"/>
      <c r="AK213" s="31" t="n"/>
      <c r="AL213" s="31" t="n"/>
      <c r="AM213" s="31" t="n"/>
      <c r="AN213" s="31" t="n"/>
      <c r="AO213" s="31" t="n"/>
    </row>
    <row r="214" outlineLevel="1">
      <c r="M214" s="31" t="n"/>
      <c r="N214" s="31" t="n"/>
      <c r="O214" s="31" t="n"/>
      <c r="P214" s="31" t="n"/>
      <c r="Q214" s="31" t="n"/>
      <c r="R214" s="31" t="n"/>
      <c r="S214" s="31" t="n"/>
      <c r="T214" s="31" t="n"/>
      <c r="U214" s="31" t="n"/>
      <c r="V214" s="31" t="n"/>
      <c r="W214" s="31" t="n"/>
      <c r="X214" s="31" t="n"/>
      <c r="Y214" s="31" t="n"/>
      <c r="Z214" s="31" t="n"/>
      <c r="AA214" s="31" t="n"/>
      <c r="AB214" s="31" t="n"/>
      <c r="AC214" s="31" t="n"/>
      <c r="AD214" s="31" t="n"/>
      <c r="AE214" s="31" t="n"/>
      <c r="AF214" s="31" t="n"/>
      <c r="AG214" s="31" t="n"/>
      <c r="AH214" s="31" t="n"/>
      <c r="AI214" s="31" t="n"/>
      <c r="AJ214" s="31" t="n"/>
      <c r="AK214" s="31" t="n"/>
      <c r="AL214" s="31" t="n"/>
      <c r="AM214" s="31" t="n"/>
      <c r="AN214" s="31" t="n"/>
      <c r="AO214" s="31" t="n"/>
    </row>
    <row r="215" outlineLevel="1">
      <c r="M215" s="31" t="n"/>
      <c r="N215" s="31" t="n"/>
      <c r="O215" s="31" t="n"/>
      <c r="P215" s="31" t="n"/>
      <c r="Q215" s="31" t="n"/>
      <c r="R215" s="31" t="n"/>
      <c r="S215" s="31" t="n"/>
      <c r="T215" s="31" t="n"/>
      <c r="U215" s="31" t="n"/>
      <c r="V215" s="31" t="n"/>
      <c r="W215" s="31" t="n"/>
      <c r="X215" s="31" t="n"/>
      <c r="Y215" s="31" t="n"/>
      <c r="Z215" s="31" t="n"/>
      <c r="AA215" s="31" t="n"/>
      <c r="AB215" s="31" t="n"/>
      <c r="AC215" s="31" t="n"/>
      <c r="AD215" s="31" t="n"/>
      <c r="AE215" s="31" t="n"/>
      <c r="AF215" s="31" t="n"/>
      <c r="AG215" s="31" t="n"/>
      <c r="AH215" s="31" t="n"/>
      <c r="AI215" s="31" t="n"/>
      <c r="AJ215" s="31" t="n"/>
      <c r="AK215" s="31" t="n"/>
      <c r="AL215" s="31" t="n"/>
      <c r="AM215" s="31" t="n"/>
      <c r="AN215" s="31" t="n"/>
      <c r="AO215" s="31" t="n"/>
    </row>
    <row r="216" outlineLevel="1">
      <c r="A216" s="81" t="inlineStr">
        <is>
          <t>Annualization - Half</t>
        </is>
      </c>
      <c r="M216" s="31" t="n"/>
      <c r="N216" s="31" t="n"/>
      <c r="O216" s="31" t="n"/>
      <c r="P216" s="31" t="n"/>
      <c r="Q216" s="31" t="n"/>
      <c r="R216" s="31" t="n"/>
      <c r="S216" s="31" t="n"/>
      <c r="T216" s="31" t="n"/>
      <c r="U216" s="31" t="n"/>
      <c r="V216" s="31" t="n"/>
      <c r="W216" s="31" t="n"/>
      <c r="X216" s="31" t="n"/>
      <c r="Y216" s="31" t="n"/>
      <c r="Z216" s="31" t="n"/>
      <c r="AA216" s="31" t="n"/>
      <c r="AB216" s="31" t="n"/>
      <c r="AC216" s="31" t="n"/>
      <c r="AD216" s="31" t="n"/>
      <c r="AE216" s="31" t="n"/>
      <c r="AF216" s="31" t="n"/>
      <c r="AG216" s="31" t="n"/>
      <c r="AH216" s="31" t="n"/>
      <c r="AI216" s="31" t="n"/>
      <c r="AJ216" s="31" t="n"/>
      <c r="AK216" s="31" t="n"/>
      <c r="AL216" s="31" t="n"/>
      <c r="AM216" s="31" t="n"/>
      <c r="AN216" s="31" t="n"/>
      <c r="AO216" s="31" t="n"/>
    </row>
    <row r="217" outlineLevel="1">
      <c r="A217" s="44" t="inlineStr">
        <is>
          <t>Period Start</t>
        </is>
      </c>
      <c r="B217" s="46">
        <f>DATE(Assumption!#REF!,1,1)</f>
        <v/>
      </c>
      <c r="C217" s="46">
        <f>+B218+1</f>
        <v/>
      </c>
      <c r="D217" s="46">
        <f>+C218+1</f>
        <v/>
      </c>
      <c r="E217" s="46">
        <f>+D218+1</f>
        <v/>
      </c>
      <c r="F217" s="46">
        <f>+E218+1</f>
        <v/>
      </c>
      <c r="G217" s="46">
        <f>+F218+1</f>
        <v/>
      </c>
      <c r="H217" s="46">
        <f>+G218+1</f>
        <v/>
      </c>
      <c r="I217" s="46">
        <f>+H218+1</f>
        <v/>
      </c>
      <c r="J217" s="46">
        <f>+I218+1</f>
        <v/>
      </c>
      <c r="K217" s="46">
        <f>+J218+1</f>
        <v/>
      </c>
      <c r="L217" s="46">
        <f>+K218+1</f>
        <v/>
      </c>
      <c r="M217" s="162">
        <f>+L218+1</f>
        <v/>
      </c>
      <c r="N217" s="162">
        <f>+M218+1</f>
        <v/>
      </c>
      <c r="O217" s="162">
        <f>+N218+1</f>
        <v/>
      </c>
      <c r="P217" s="162">
        <f>+O218+1</f>
        <v/>
      </c>
      <c r="Q217" s="162">
        <f>+P218+1</f>
        <v/>
      </c>
      <c r="R217" s="162">
        <f>+Q218+1</f>
        <v/>
      </c>
      <c r="S217" s="162">
        <f>+R218+1</f>
        <v/>
      </c>
      <c r="T217" s="162">
        <f>+S218+1</f>
        <v/>
      </c>
      <c r="U217" s="162">
        <f>+T218+1</f>
        <v/>
      </c>
      <c r="V217" s="162">
        <f>+U218+1</f>
        <v/>
      </c>
      <c r="W217" s="162">
        <f>+V218+1</f>
        <v/>
      </c>
      <c r="X217" s="162">
        <f>+W218+1</f>
        <v/>
      </c>
      <c r="Y217" s="162">
        <f>+X218+1</f>
        <v/>
      </c>
      <c r="Z217" s="162">
        <f>+Y218+1</f>
        <v/>
      </c>
      <c r="AA217" s="162">
        <f>+Z218+1</f>
        <v/>
      </c>
      <c r="AB217" s="162">
        <f>+AA218+1</f>
        <v/>
      </c>
      <c r="AC217" s="162">
        <f>+AB218+1</f>
        <v/>
      </c>
      <c r="AD217" s="162">
        <f>+AC218+1</f>
        <v/>
      </c>
      <c r="AE217" s="162">
        <f>+AD218+1</f>
        <v/>
      </c>
      <c r="AF217" s="162">
        <f>+AE218+1</f>
        <v/>
      </c>
      <c r="AG217" s="162">
        <f>+AF218+1</f>
        <v/>
      </c>
      <c r="AH217" s="162">
        <f>+AG218+1</f>
        <v/>
      </c>
      <c r="AI217" s="162">
        <f>+AH218+1</f>
        <v/>
      </c>
      <c r="AJ217" s="162">
        <f>+AI218+1</f>
        <v/>
      </c>
      <c r="AK217" s="162">
        <f>+AJ218+1</f>
        <v/>
      </c>
      <c r="AL217" s="162">
        <f>+AK218+1</f>
        <v/>
      </c>
      <c r="AM217" s="162">
        <f>+AL218+1</f>
        <v/>
      </c>
      <c r="AN217" s="162">
        <f>+AM218+1</f>
        <v/>
      </c>
      <c r="AO217" s="162">
        <f>+AN218+1</f>
        <v/>
      </c>
    </row>
    <row r="218" outlineLevel="1">
      <c r="A218" s="44" t="inlineStr">
        <is>
          <t>Period Ends</t>
        </is>
      </c>
      <c r="B218" s="46">
        <f>EOMONTH(B217,5)</f>
        <v/>
      </c>
      <c r="C218" s="46">
        <f>EOMONTH(C217,5)</f>
        <v/>
      </c>
      <c r="D218" s="46">
        <f>EOMONTH(D217,5)</f>
        <v/>
      </c>
      <c r="E218" s="46">
        <f>EOMONTH(E217,5)</f>
        <v/>
      </c>
      <c r="F218" s="46">
        <f>EOMONTH(F217,5)</f>
        <v/>
      </c>
      <c r="G218" s="46">
        <f>EOMONTH(G217,5)</f>
        <v/>
      </c>
      <c r="H218" s="46">
        <f>EOMONTH(H217,5)</f>
        <v/>
      </c>
      <c r="I218" s="46">
        <f>EOMONTH(I217,5)</f>
        <v/>
      </c>
      <c r="J218" s="46">
        <f>EOMONTH(J217,5)</f>
        <v/>
      </c>
      <c r="K218" s="46">
        <f>EOMONTH(K217,5)</f>
        <v/>
      </c>
      <c r="L218" s="46">
        <f>EOMONTH(L217,5)</f>
        <v/>
      </c>
      <c r="M218" s="162">
        <f>EOMONTH(M217,5)</f>
        <v/>
      </c>
      <c r="N218" s="162">
        <f>EOMONTH(N217,5)</f>
        <v/>
      </c>
      <c r="O218" s="162">
        <f>EOMONTH(O217,5)</f>
        <v/>
      </c>
      <c r="P218" s="162">
        <f>EOMONTH(P217,5)</f>
        <v/>
      </c>
      <c r="Q218" s="162">
        <f>EOMONTH(Q217,5)</f>
        <v/>
      </c>
      <c r="R218" s="162">
        <f>EOMONTH(R217,5)</f>
        <v/>
      </c>
      <c r="S218" s="162">
        <f>EOMONTH(S217,5)</f>
        <v/>
      </c>
      <c r="T218" s="162">
        <f>EOMONTH(T217,5)</f>
        <v/>
      </c>
      <c r="U218" s="162">
        <f>EOMONTH(U217,5)</f>
        <v/>
      </c>
      <c r="V218" s="162">
        <f>EOMONTH(V217,5)</f>
        <v/>
      </c>
      <c r="W218" s="162">
        <f>EOMONTH(W217,5)</f>
        <v/>
      </c>
      <c r="X218" s="162">
        <f>EOMONTH(X217,5)</f>
        <v/>
      </c>
      <c r="Y218" s="162">
        <f>EOMONTH(Y217,5)</f>
        <v/>
      </c>
      <c r="Z218" s="162">
        <f>EOMONTH(Z217,5)</f>
        <v/>
      </c>
      <c r="AA218" s="162">
        <f>EOMONTH(AA217,5)</f>
        <v/>
      </c>
      <c r="AB218" s="162">
        <f>EOMONTH(AB217,5)</f>
        <v/>
      </c>
      <c r="AC218" s="162">
        <f>EOMONTH(AC217,5)</f>
        <v/>
      </c>
      <c r="AD218" s="162">
        <f>EOMONTH(AD217,5)</f>
        <v/>
      </c>
      <c r="AE218" s="162">
        <f>EOMONTH(AE217,5)</f>
        <v/>
      </c>
      <c r="AF218" s="162">
        <f>EOMONTH(AF217,5)</f>
        <v/>
      </c>
      <c r="AG218" s="162">
        <f>EOMONTH(AG217,5)</f>
        <v/>
      </c>
      <c r="AH218" s="162">
        <f>EOMONTH(AH217,5)</f>
        <v/>
      </c>
      <c r="AI218" s="162">
        <f>EOMONTH(AI217,5)</f>
        <v/>
      </c>
      <c r="AJ218" s="162">
        <f>EOMONTH(AJ217,5)</f>
        <v/>
      </c>
      <c r="AK218" s="162">
        <f>EOMONTH(AK217,5)</f>
        <v/>
      </c>
      <c r="AL218" s="162">
        <f>EOMONTH(AL217,5)</f>
        <v/>
      </c>
      <c r="AM218" s="162">
        <f>EOMONTH(AM217,5)</f>
        <v/>
      </c>
      <c r="AN218" s="162">
        <f>EOMONTH(AN217,5)</f>
        <v/>
      </c>
      <c r="AO218" s="162">
        <f>EOMONTH(AO217,5)</f>
        <v/>
      </c>
    </row>
    <row r="219" outlineLevel="1">
      <c r="A219" s="44" t="inlineStr">
        <is>
          <t>Year Starts</t>
        </is>
      </c>
      <c r="B219" s="46">
        <f>DATE(Assumption!#REF!,1,1)</f>
        <v/>
      </c>
      <c r="C219" s="46">
        <f>DATE(Assumption!#REF!,1,1)</f>
        <v/>
      </c>
      <c r="D219" s="46">
        <f>DATE(Assumption!#REF!,1,1)</f>
        <v/>
      </c>
      <c r="E219" s="46">
        <f>DATE(Assumption!#REF!,1,1)</f>
        <v/>
      </c>
      <c r="F219" s="46">
        <f>DATE(Assumption!#REF!,1,1)</f>
        <v/>
      </c>
      <c r="G219" s="46">
        <f>DATE(Assumption!#REF!,1,1)</f>
        <v/>
      </c>
      <c r="H219" s="46">
        <f>DATE(Assumption!#REF!,1,1)</f>
        <v/>
      </c>
      <c r="I219" s="46">
        <f>DATE(Assumption!#REF!,1,1)</f>
        <v/>
      </c>
      <c r="J219" s="46">
        <f>DATE(Assumption!#REF!,1,1)</f>
        <v/>
      </c>
      <c r="K219" s="46">
        <f>DATE(Assumption!#REF!,1,1)</f>
        <v/>
      </c>
      <c r="L219" s="46">
        <f>DATE(Assumption!#REF!,1,1)</f>
        <v/>
      </c>
      <c r="M219" s="163">
        <f>DATE(Assumption!#REF!,1,1)</f>
        <v/>
      </c>
      <c r="N219" s="163">
        <f>DATE(Assumption!#REF!,1,1)</f>
        <v/>
      </c>
      <c r="O219" s="163">
        <f>DATE(Assumption!#REF!,1,1)</f>
        <v/>
      </c>
      <c r="P219" s="163">
        <f>DATE(Assumption!#REF!,1,1)</f>
        <v/>
      </c>
      <c r="Q219" s="163">
        <f>DATE(Assumption!#REF!,1,1)</f>
        <v/>
      </c>
      <c r="R219" s="163">
        <f>DATE(Assumption!#REF!,1,1)</f>
        <v/>
      </c>
      <c r="S219" s="163">
        <f>DATE(Assumption!#REF!,1,1)</f>
        <v/>
      </c>
      <c r="T219" s="163">
        <f>DATE(Assumption!#REF!,1,1)</f>
        <v/>
      </c>
      <c r="U219" s="163">
        <f>DATE(Assumption!#REF!,1,1)</f>
        <v/>
      </c>
      <c r="V219" s="163">
        <f>DATE(Assumption!#REF!,1,1)</f>
        <v/>
      </c>
      <c r="W219" s="163">
        <f>DATE(Assumption!#REF!,1,1)</f>
        <v/>
      </c>
      <c r="X219" s="163">
        <f>DATE(Assumption!B1,1,1)</f>
        <v/>
      </c>
      <c r="Y219" s="163">
        <f>DATE(Assumption!C1,1,1)</f>
        <v/>
      </c>
      <c r="Z219" s="163">
        <f>DATE(Assumption!D1,1,1)</f>
        <v/>
      </c>
      <c r="AA219" s="163">
        <f>DATE(Assumption!E1,1,1)</f>
        <v/>
      </c>
      <c r="AB219" s="163">
        <f>DATE(Assumption!F1,1,1)</f>
        <v/>
      </c>
      <c r="AC219" s="163">
        <f>DATE(Assumption!G1,1,1)</f>
        <v/>
      </c>
      <c r="AD219" s="163">
        <f>DATE(Assumption!H1,1,1)</f>
        <v/>
      </c>
      <c r="AE219" s="163">
        <f>DATE(Assumption!I1,1,1)</f>
        <v/>
      </c>
      <c r="AF219" s="163">
        <f>DATE(Assumption!J1,1,1)</f>
        <v/>
      </c>
      <c r="AG219" s="163">
        <f>DATE(Assumption!K1,1,1)</f>
        <v/>
      </c>
      <c r="AH219" s="163">
        <f>DATE(Assumption!L1,1,1)</f>
        <v/>
      </c>
      <c r="AI219" s="163">
        <f>DATE(Assumption!M1,1,1)</f>
        <v/>
      </c>
      <c r="AJ219" s="163">
        <f>DATE(Assumption!N1,1,1)</f>
        <v/>
      </c>
      <c r="AK219" s="163">
        <f>DATE(Assumption!O1,1,1)</f>
        <v/>
      </c>
      <c r="AL219" s="163">
        <f>DATE(Assumption!P1,1,1)</f>
        <v/>
      </c>
      <c r="AM219" s="163">
        <f>DATE(Assumption!Q1,1,1)</f>
        <v/>
      </c>
      <c r="AN219" s="163">
        <f>DATE(Assumption!R1,1,1)</f>
        <v/>
      </c>
      <c r="AO219" s="163">
        <f>DATE(Assumption!S1,1,1)</f>
        <v/>
      </c>
    </row>
    <row r="220" outlineLevel="1">
      <c r="A220" s="44" t="inlineStr">
        <is>
          <t>Year Ends</t>
        </is>
      </c>
      <c r="B220" s="46">
        <f>EOMONTH(B219,11)</f>
        <v/>
      </c>
      <c r="C220" s="46">
        <f>EOMONTH(C219,11)</f>
        <v/>
      </c>
      <c r="D220" s="46">
        <f>EOMONTH(D219,11)</f>
        <v/>
      </c>
      <c r="E220" s="46">
        <f>EOMONTH(E219,11)</f>
        <v/>
      </c>
      <c r="F220" s="46">
        <f>EOMONTH(F219,11)</f>
        <v/>
      </c>
      <c r="G220" s="46">
        <f>EOMONTH(G219,11)</f>
        <v/>
      </c>
      <c r="H220" s="46">
        <f>EOMONTH(H219,11)</f>
        <v/>
      </c>
      <c r="I220" s="46">
        <f>EOMONTH(I219,11)</f>
        <v/>
      </c>
      <c r="J220" s="46">
        <f>EOMONTH(J219,11)</f>
        <v/>
      </c>
      <c r="K220" s="46">
        <f>EOMONTH(K219,11)</f>
        <v/>
      </c>
      <c r="L220" s="46">
        <f>EOMONTH(L219,11)</f>
        <v/>
      </c>
      <c r="M220" s="162">
        <f>EOMONTH(M219,11)</f>
        <v/>
      </c>
      <c r="N220" s="162">
        <f>EOMONTH(N219,11)</f>
        <v/>
      </c>
      <c r="O220" s="162">
        <f>EOMONTH(O219,11)</f>
        <v/>
      </c>
      <c r="P220" s="162">
        <f>EOMONTH(P219,11)</f>
        <v/>
      </c>
      <c r="Q220" s="162">
        <f>EOMONTH(Q219,11)</f>
        <v/>
      </c>
      <c r="R220" s="162">
        <f>EOMONTH(R219,11)</f>
        <v/>
      </c>
      <c r="S220" s="162">
        <f>EOMONTH(S219,11)</f>
        <v/>
      </c>
      <c r="T220" s="162">
        <f>EOMONTH(T219,11)</f>
        <v/>
      </c>
      <c r="U220" s="162">
        <f>EOMONTH(U219,11)</f>
        <v/>
      </c>
      <c r="V220" s="162">
        <f>EOMONTH(V219,11)</f>
        <v/>
      </c>
      <c r="W220" s="162">
        <f>EOMONTH(W219,11)</f>
        <v/>
      </c>
      <c r="X220" s="162">
        <f>EOMONTH(X219,11)</f>
        <v/>
      </c>
      <c r="Y220" s="162">
        <f>EOMONTH(Y219,11)</f>
        <v/>
      </c>
      <c r="Z220" s="162">
        <f>EOMONTH(Z219,11)</f>
        <v/>
      </c>
      <c r="AA220" s="162">
        <f>EOMONTH(AA219,11)</f>
        <v/>
      </c>
      <c r="AB220" s="162">
        <f>EOMONTH(AB219,11)</f>
        <v/>
      </c>
      <c r="AC220" s="162">
        <f>EOMONTH(AC219,11)</f>
        <v/>
      </c>
      <c r="AD220" s="162">
        <f>EOMONTH(AD219,11)</f>
        <v/>
      </c>
      <c r="AE220" s="162">
        <f>EOMONTH(AE219,11)</f>
        <v/>
      </c>
      <c r="AF220" s="162">
        <f>EOMONTH(AF219,11)</f>
        <v/>
      </c>
      <c r="AG220" s="162">
        <f>EOMONTH(AG219,11)</f>
        <v/>
      </c>
      <c r="AH220" s="162">
        <f>EOMONTH(AH219,11)</f>
        <v/>
      </c>
      <c r="AI220" s="162">
        <f>EOMONTH(AI219,11)</f>
        <v/>
      </c>
      <c r="AJ220" s="162">
        <f>EOMONTH(AJ219,11)</f>
        <v/>
      </c>
      <c r="AK220" s="162">
        <f>EOMONTH(AK219,11)</f>
        <v/>
      </c>
      <c r="AL220" s="162">
        <f>EOMONTH(AL219,11)</f>
        <v/>
      </c>
      <c r="AM220" s="162">
        <f>EOMONTH(AM219,11)</f>
        <v/>
      </c>
      <c r="AN220" s="162">
        <f>EOMONTH(AN219,11)</f>
        <v/>
      </c>
      <c r="AO220" s="162">
        <f>EOMONTH(AO219,11)</f>
        <v/>
      </c>
    </row>
    <row r="221" outlineLevel="1">
      <c r="A221" s="44" t="inlineStr">
        <is>
          <t>Period Days</t>
        </is>
      </c>
      <c r="B221" s="82">
        <f>B218-B217+1</f>
        <v/>
      </c>
      <c r="C221" s="82">
        <f>C218-C217+1</f>
        <v/>
      </c>
      <c r="D221" s="82">
        <f>D218-D217+1</f>
        <v/>
      </c>
      <c r="E221" s="82">
        <f>E218-E217+1</f>
        <v/>
      </c>
      <c r="F221" s="82">
        <f>F218-F217+1</f>
        <v/>
      </c>
      <c r="G221" s="82">
        <f>G218-G217+1</f>
        <v/>
      </c>
      <c r="H221" s="82">
        <f>H218-H217+1</f>
        <v/>
      </c>
      <c r="I221" s="82">
        <f>I218-I217+1</f>
        <v/>
      </c>
      <c r="J221" s="82">
        <f>J218-J217+1</f>
        <v/>
      </c>
      <c r="K221" s="82">
        <f>K218-K217+1</f>
        <v/>
      </c>
      <c r="L221" s="82">
        <f>L218-L217+1</f>
        <v/>
      </c>
      <c r="M221" s="82">
        <f>M218-M217+1</f>
        <v/>
      </c>
      <c r="N221" s="82">
        <f>N218-N217+1</f>
        <v/>
      </c>
      <c r="O221" s="82">
        <f>O218-O217+1</f>
        <v/>
      </c>
      <c r="P221" s="82">
        <f>P218-P217+1</f>
        <v/>
      </c>
      <c r="Q221" s="82">
        <f>Q218-Q217+1</f>
        <v/>
      </c>
      <c r="R221" s="82">
        <f>R218-R217+1</f>
        <v/>
      </c>
      <c r="S221" s="82">
        <f>S218-S217+1</f>
        <v/>
      </c>
      <c r="T221" s="82">
        <f>T218-T217+1</f>
        <v/>
      </c>
      <c r="U221" s="82">
        <f>U218-U217+1</f>
        <v/>
      </c>
      <c r="V221" s="82">
        <f>V218-V217+1</f>
        <v/>
      </c>
      <c r="W221" s="82">
        <f>W218-W217+1</f>
        <v/>
      </c>
      <c r="X221" s="82">
        <f>X218-X217+1</f>
        <v/>
      </c>
      <c r="Y221" s="82">
        <f>Y218-Y217+1</f>
        <v/>
      </c>
      <c r="Z221" s="82">
        <f>Z218-Z217+1</f>
        <v/>
      </c>
      <c r="AA221" s="82">
        <f>AA218-AA217+1</f>
        <v/>
      </c>
      <c r="AB221" s="82">
        <f>AB218-AB217+1</f>
        <v/>
      </c>
      <c r="AC221" s="82">
        <f>AC218-AC217+1</f>
        <v/>
      </c>
      <c r="AD221" s="82">
        <f>AD218-AD217+1</f>
        <v/>
      </c>
      <c r="AE221" s="82">
        <f>AE218-AE217+1</f>
        <v/>
      </c>
      <c r="AF221" s="82">
        <f>AF218-AF217+1</f>
        <v/>
      </c>
      <c r="AG221" s="82">
        <f>AG218-AG217+1</f>
        <v/>
      </c>
      <c r="AH221" s="82">
        <f>AH218-AH217+1</f>
        <v/>
      </c>
      <c r="AI221" s="82">
        <f>AI218-AI217+1</f>
        <v/>
      </c>
      <c r="AJ221" s="82">
        <f>AJ218-AJ217+1</f>
        <v/>
      </c>
      <c r="AK221" s="82">
        <f>AK218-AK217+1</f>
        <v/>
      </c>
      <c r="AL221" s="82">
        <f>AL218-AL217+1</f>
        <v/>
      </c>
      <c r="AM221" s="82">
        <f>AM218-AM217+1</f>
        <v/>
      </c>
      <c r="AN221" s="82">
        <f>AN218-AN217+1</f>
        <v/>
      </c>
      <c r="AO221" s="82">
        <f>AO218-AO217+1</f>
        <v/>
      </c>
    </row>
    <row r="222" outlineLevel="1">
      <c r="A222" s="44" t="inlineStr">
        <is>
          <t>Year Days</t>
        </is>
      </c>
      <c r="B222" s="82">
        <f>B220-B219+1</f>
        <v/>
      </c>
      <c r="C222" s="82">
        <f>C220-C219+1</f>
        <v/>
      </c>
      <c r="D222" s="82">
        <f>D220-D219+1</f>
        <v/>
      </c>
      <c r="E222" s="82">
        <f>E220-E219+1</f>
        <v/>
      </c>
      <c r="F222" s="82">
        <f>F220-F219+1</f>
        <v/>
      </c>
      <c r="G222" s="82">
        <f>G220-G219+1</f>
        <v/>
      </c>
      <c r="H222" s="82">
        <f>H220-H219+1</f>
        <v/>
      </c>
      <c r="I222" s="82">
        <f>I220-I219+1</f>
        <v/>
      </c>
      <c r="J222" s="82">
        <f>J220-J219+1</f>
        <v/>
      </c>
      <c r="K222" s="82">
        <f>K220-K219+1</f>
        <v/>
      </c>
      <c r="L222" s="82">
        <f>L220-L219+1</f>
        <v/>
      </c>
      <c r="M222" s="82">
        <f>M220-M219+1</f>
        <v/>
      </c>
      <c r="N222" s="82">
        <f>N220-N219+1</f>
        <v/>
      </c>
      <c r="O222" s="82">
        <f>O220-O219+1</f>
        <v/>
      </c>
      <c r="P222" s="82">
        <f>P220-P219+1</f>
        <v/>
      </c>
      <c r="Q222" s="82">
        <f>Q220-Q219+1</f>
        <v/>
      </c>
      <c r="R222" s="82">
        <f>R220-R219+1</f>
        <v/>
      </c>
      <c r="S222" s="82">
        <f>S220-S219+1</f>
        <v/>
      </c>
      <c r="T222" s="82">
        <f>T220-T219+1</f>
        <v/>
      </c>
      <c r="U222" s="82">
        <f>U220-U219+1</f>
        <v/>
      </c>
      <c r="V222" s="82">
        <f>V220-V219+1</f>
        <v/>
      </c>
      <c r="W222" s="82">
        <f>W220-W219+1</f>
        <v/>
      </c>
      <c r="X222" s="82">
        <f>X220-X219+1</f>
        <v/>
      </c>
      <c r="Y222" s="82">
        <f>Y220-Y219+1</f>
        <v/>
      </c>
      <c r="Z222" s="82">
        <f>Z220-Z219+1</f>
        <v/>
      </c>
      <c r="AA222" s="82">
        <f>AA220-AA219+1</f>
        <v/>
      </c>
      <c r="AB222" s="82">
        <f>AB220-AB219+1</f>
        <v/>
      </c>
      <c r="AC222" s="82">
        <f>AC220-AC219+1</f>
        <v/>
      </c>
      <c r="AD222" s="82">
        <f>AD220-AD219+1</f>
        <v/>
      </c>
      <c r="AE222" s="82">
        <f>AE220-AE219+1</f>
        <v/>
      </c>
      <c r="AF222" s="82">
        <f>AF220-AF219+1</f>
        <v/>
      </c>
      <c r="AG222" s="82">
        <f>AG220-AG219+1</f>
        <v/>
      </c>
      <c r="AH222" s="82">
        <f>AH220-AH219+1</f>
        <v/>
      </c>
      <c r="AI222" s="82">
        <f>AI220-AI219+1</f>
        <v/>
      </c>
      <c r="AJ222" s="82">
        <f>AJ220-AJ219+1</f>
        <v/>
      </c>
      <c r="AK222" s="82">
        <f>AK220-AK219+1</f>
        <v/>
      </c>
      <c r="AL222" s="82">
        <f>AL220-AL219+1</f>
        <v/>
      </c>
      <c r="AM222" s="82">
        <f>AM220-AM219+1</f>
        <v/>
      </c>
      <c r="AN222" s="82">
        <f>AN220-AN219+1</f>
        <v/>
      </c>
      <c r="AO222" s="82">
        <f>AO220-AO219+1</f>
        <v/>
      </c>
    </row>
    <row r="223" outlineLevel="1">
      <c r="A223" s="44" t="inlineStr">
        <is>
          <t>Annualization Factor</t>
        </is>
      </c>
      <c r="B223" s="47">
        <f>+B222/B221</f>
        <v/>
      </c>
      <c r="C223" s="47">
        <f>+C222/C221</f>
        <v/>
      </c>
      <c r="D223" s="47">
        <f>+D222/D221</f>
        <v/>
      </c>
      <c r="E223" s="47">
        <f>+E222/E221</f>
        <v/>
      </c>
      <c r="F223" s="47">
        <f>+F222/F221</f>
        <v/>
      </c>
      <c r="G223" s="47">
        <f>+G222/G221</f>
        <v/>
      </c>
      <c r="H223" s="47">
        <f>+H222/H221</f>
        <v/>
      </c>
      <c r="I223" s="47">
        <f>+I222/I221</f>
        <v/>
      </c>
      <c r="J223" s="47">
        <f>+J222/J221</f>
        <v/>
      </c>
      <c r="K223" s="47">
        <f>+K222/K221</f>
        <v/>
      </c>
      <c r="L223" s="47">
        <f>+L222/L221</f>
        <v/>
      </c>
      <c r="M223" s="164">
        <f>+M222/M221</f>
        <v/>
      </c>
      <c r="N223" s="164">
        <f>+N222/N221</f>
        <v/>
      </c>
      <c r="O223" s="164">
        <f>+O222/O221</f>
        <v/>
      </c>
      <c r="P223" s="164">
        <f>+P222/P221</f>
        <v/>
      </c>
      <c r="Q223" s="164">
        <f>+Q222/Q221</f>
        <v/>
      </c>
      <c r="R223" s="164">
        <f>+R222/R221</f>
        <v/>
      </c>
      <c r="S223" s="164">
        <f>+S222/S221</f>
        <v/>
      </c>
      <c r="T223" s="164">
        <f>+T222/T221</f>
        <v/>
      </c>
      <c r="U223" s="164">
        <f>+U222/U221</f>
        <v/>
      </c>
      <c r="V223" s="164">
        <f>+V222/V221</f>
        <v/>
      </c>
      <c r="W223" s="164">
        <f>+W222/W221</f>
        <v/>
      </c>
      <c r="X223" s="164">
        <f>+X222/X221</f>
        <v/>
      </c>
      <c r="Y223" s="164">
        <f>+Y222/Y221</f>
        <v/>
      </c>
      <c r="Z223" s="164">
        <f>+Z222/Z221</f>
        <v/>
      </c>
      <c r="AA223" s="164">
        <f>+AA222/AA221</f>
        <v/>
      </c>
      <c r="AB223" s="164">
        <f>+AB222/AB221</f>
        <v/>
      </c>
      <c r="AC223" s="164">
        <f>+AC222/AC221</f>
        <v/>
      </c>
      <c r="AD223" s="164">
        <f>+AD222/AD221</f>
        <v/>
      </c>
      <c r="AE223" s="164">
        <f>+AE222/AE221</f>
        <v/>
      </c>
      <c r="AF223" s="164">
        <f>+AF222/AF221</f>
        <v/>
      </c>
      <c r="AG223" s="164">
        <f>+AG222/AG221</f>
        <v/>
      </c>
      <c r="AH223" s="164">
        <f>+AH222/AH221</f>
        <v/>
      </c>
      <c r="AI223" s="164">
        <f>+AI222/AI221</f>
        <v/>
      </c>
      <c r="AJ223" s="164">
        <f>+AJ222/AJ221</f>
        <v/>
      </c>
      <c r="AK223" s="164">
        <f>+AK222/AK221</f>
        <v/>
      </c>
      <c r="AL223" s="164">
        <f>+AL222/AL221</f>
        <v/>
      </c>
      <c r="AM223" s="164">
        <f>+AM222/AM221</f>
        <v/>
      </c>
      <c r="AN223" s="164">
        <f>+AN222/AN221</f>
        <v/>
      </c>
      <c r="AO223" s="164">
        <f>+AO222/AO221</f>
        <v/>
      </c>
    </row>
    <row r="224" outlineLevel="1">
      <c r="M224" s="31" t="n"/>
      <c r="N224" s="31" t="n"/>
      <c r="O224" s="31" t="n"/>
      <c r="P224" s="31" t="n"/>
      <c r="Q224" s="31" t="n"/>
      <c r="R224" s="31" t="n"/>
      <c r="S224" s="31" t="n"/>
      <c r="T224" s="31" t="n"/>
      <c r="U224" s="31" t="n"/>
      <c r="V224" s="31" t="n"/>
      <c r="W224" s="31" t="n"/>
      <c r="X224" s="31" t="n"/>
      <c r="Y224" s="31" t="n"/>
      <c r="Z224" s="31" t="n"/>
      <c r="AA224" s="31" t="n"/>
      <c r="AB224" s="31" t="n"/>
      <c r="AC224" s="31" t="n"/>
      <c r="AD224" s="31" t="n"/>
      <c r="AE224" s="31" t="n"/>
      <c r="AF224" s="31" t="n"/>
      <c r="AG224" s="31" t="n"/>
      <c r="AH224" s="31" t="n"/>
      <c r="AI224" s="31" t="n"/>
      <c r="AJ224" s="31" t="n"/>
      <c r="AK224" s="31" t="n"/>
      <c r="AL224" s="31" t="n"/>
      <c r="AM224" s="31" t="n"/>
      <c r="AN224" s="31" t="n"/>
      <c r="AO224" s="31" t="n"/>
    </row>
    <row r="225" outlineLevel="1">
      <c r="A225" s="81" t="inlineStr">
        <is>
          <t>FX Rate</t>
        </is>
      </c>
      <c r="M225" s="31" t="n"/>
      <c r="N225" s="31" t="n"/>
      <c r="O225" s="31" t="n"/>
      <c r="P225" s="31" t="n"/>
      <c r="Q225" s="31" t="n"/>
      <c r="R225" s="31" t="n"/>
      <c r="S225" s="31" t="n"/>
      <c r="T225" s="31" t="n"/>
      <c r="U225" s="31" t="n"/>
      <c r="V225" s="31" t="n"/>
      <c r="W225" s="31" t="n"/>
      <c r="X225" s="31" t="n"/>
      <c r="Y225" s="31" t="n"/>
      <c r="Z225" s="31" t="n"/>
      <c r="AA225" s="31" t="n"/>
      <c r="AB225" s="31" t="n"/>
      <c r="AC225" s="31" t="n"/>
      <c r="AD225" s="31" t="n"/>
      <c r="AE225" s="31" t="n"/>
      <c r="AF225" s="31" t="n"/>
      <c r="AG225" s="31" t="n"/>
      <c r="AH225" s="31" t="n"/>
      <c r="AI225" s="31" t="n"/>
      <c r="AJ225" s="31" t="n"/>
      <c r="AK225" s="31" t="n"/>
      <c r="AL225" s="31" t="n"/>
      <c r="AM225" s="31" t="n"/>
      <c r="AN225" s="31" t="n"/>
      <c r="AO225" s="31" t="n"/>
    </row>
    <row r="226" outlineLevel="1">
      <c r="A226" s="44">
        <f>Assumption!A250</f>
        <v/>
      </c>
      <c r="B226" s="892">
        <f>Assumption!#REF!</f>
        <v/>
      </c>
      <c r="C226" s="892">
        <f>Assumption!#REF!</f>
        <v/>
      </c>
      <c r="D226" s="892">
        <f>Assumption!#REF!</f>
        <v/>
      </c>
      <c r="E226" s="892">
        <f>Assumption!#REF!</f>
        <v/>
      </c>
      <c r="F226" s="892">
        <f>Assumption!#REF!</f>
        <v/>
      </c>
      <c r="G226" s="892">
        <f>Assumption!#REF!</f>
        <v/>
      </c>
      <c r="H226" s="892">
        <f>Assumption!#REF!</f>
        <v/>
      </c>
      <c r="I226" s="892">
        <f>Assumption!#REF!</f>
        <v/>
      </c>
      <c r="J226" s="892">
        <f>Assumption!#REF!</f>
        <v/>
      </c>
      <c r="K226" s="892">
        <f>Assumption!#REF!</f>
        <v/>
      </c>
      <c r="L226" s="892">
        <f>Assumption!#REF!</f>
        <v/>
      </c>
      <c r="M226" s="893">
        <f>Assumption!#REF!</f>
        <v/>
      </c>
      <c r="N226" s="893">
        <f>Assumption!#REF!</f>
        <v/>
      </c>
      <c r="O226" s="893">
        <f>Assumption!#REF!</f>
        <v/>
      </c>
      <c r="P226" s="893">
        <f>Assumption!#REF!</f>
        <v/>
      </c>
      <c r="Q226" s="893">
        <f>Assumption!#REF!</f>
        <v/>
      </c>
      <c r="R226" s="893">
        <f>Assumption!#REF!</f>
        <v/>
      </c>
      <c r="S226" s="893">
        <f>Assumption!#REF!</f>
        <v/>
      </c>
      <c r="T226" s="893">
        <f>Assumption!#REF!</f>
        <v/>
      </c>
      <c r="U226" s="893">
        <f>Assumption!#REF!</f>
        <v/>
      </c>
      <c r="V226" s="893">
        <f>Assumption!#REF!</f>
        <v/>
      </c>
      <c r="W226" s="893">
        <f>Assumption!#REF!</f>
        <v/>
      </c>
      <c r="X226" s="893">
        <f>Assumption!B250</f>
        <v/>
      </c>
      <c r="Y226" s="893">
        <f>Assumption!C250</f>
        <v/>
      </c>
      <c r="Z226" s="893">
        <f>Assumption!D250</f>
        <v/>
      </c>
      <c r="AA226" s="893">
        <f>Assumption!E250</f>
        <v/>
      </c>
      <c r="AB226" s="893">
        <f>Assumption!F250</f>
        <v/>
      </c>
      <c r="AC226" s="893">
        <f>Assumption!G250</f>
        <v/>
      </c>
      <c r="AD226" s="893">
        <f>Assumption!H250</f>
        <v/>
      </c>
      <c r="AE226" s="893">
        <f>Assumption!I250</f>
        <v/>
      </c>
      <c r="AF226" s="893">
        <f>Assumption!J250</f>
        <v/>
      </c>
      <c r="AG226" s="893">
        <f>Assumption!K250</f>
        <v/>
      </c>
      <c r="AH226" s="893">
        <f>Assumption!L250</f>
        <v/>
      </c>
      <c r="AI226" s="893">
        <f>Assumption!M250</f>
        <v/>
      </c>
      <c r="AJ226" s="893">
        <f>Assumption!N250</f>
        <v/>
      </c>
      <c r="AK226" s="893">
        <f>Assumption!O250</f>
        <v/>
      </c>
      <c r="AL226" s="893">
        <f>Assumption!P250</f>
        <v/>
      </c>
      <c r="AM226" s="893">
        <f>Assumption!Q250</f>
        <v/>
      </c>
      <c r="AN226" s="893">
        <f>Assumption!R250</f>
        <v/>
      </c>
      <c r="AO226" s="893">
        <f>Assumption!S250</f>
        <v/>
      </c>
    </row>
    <row r="227"/>
    <row r="228"/>
    <row r="229"/>
    <row r="230"/>
    <row r="231"/>
    <row r="232"/>
    <row r="233"/>
    <row r="234"/>
    <row r="235"/>
    <row r="236"/>
    <row r="237"/>
    <row r="238"/>
    <row r="239"/>
    <row r="240"/>
    <row r="241"/>
    <row r="242"/>
    <row r="243"/>
    <row r="244"/>
    <row r="245"/>
    <row r="246"/>
  </sheetData>
  <pageMargins left="0.7" right="0.7" top="0.75" bottom="0.75" header="0.3" footer="0.3"/>
  <pageSetup orientation="portrait" paperSize="9" scale="17" fitToHeight="0" horizontalDpi="300" verticalDpi="300"/>
</worksheet>
</file>

<file path=xl/worksheets/sheet5.xml><?xml version="1.0" encoding="utf-8"?>
<worksheet xmlns="http://schemas.openxmlformats.org/spreadsheetml/2006/main">
  <sheetPr codeName="Sheet11">
    <tabColor theme="1"/>
    <outlinePr summaryBelow="1" summaryRight="1"/>
    <pageSetUpPr fitToPage="1"/>
  </sheetPr>
  <dimension ref="A1:T111"/>
  <sheetViews>
    <sheetView topLeftCell="A71" zoomScale="85" zoomScaleNormal="85" workbookViewId="0">
      <selection activeCell="M125" sqref="M125"/>
    </sheetView>
  </sheetViews>
  <sheetFormatPr baseColWidth="10" defaultColWidth="9.33203125" defaultRowHeight="13" outlineLevelRow="1"/>
  <cols>
    <col width="47.5" bestFit="1" customWidth="1" style="56" min="1" max="1"/>
    <col hidden="1" outlineLevel="2" width="10.6640625" customWidth="1" style="20" min="2" max="6"/>
    <col hidden="1" outlineLevel="1" width="10.6640625" customWidth="1" style="20" min="7" max="7"/>
    <col hidden="1" collapsed="1" width="10.6640625" customWidth="1" style="20" min="8" max="8"/>
    <col hidden="1" width="10.6640625" customWidth="1" style="20" min="9" max="10"/>
    <col width="10.6640625" customWidth="1" style="20" min="11" max="14"/>
    <col width="11.6640625" customWidth="1" style="20" min="15" max="17"/>
    <col width="11.6640625" customWidth="1" min="18" max="20"/>
  </cols>
  <sheetData>
    <row r="1" customFormat="1" s="20">
      <c r="A1" s="21">
        <f>FS_Y!A1</f>
        <v/>
      </c>
      <c r="B1" s="549">
        <f>B6</f>
        <v/>
      </c>
      <c r="C1" s="549">
        <f>B1+1</f>
        <v/>
      </c>
      <c r="D1" s="549">
        <f>C1+1</f>
        <v/>
      </c>
      <c r="E1" s="549">
        <f>D1+1</f>
        <v/>
      </c>
      <c r="F1" s="549">
        <f>E1+1</f>
        <v/>
      </c>
      <c r="G1" s="549">
        <f>F1+1</f>
        <v/>
      </c>
      <c r="H1" s="549">
        <f>G1+1</f>
        <v/>
      </c>
      <c r="I1" s="549">
        <f>H1+1</f>
        <v/>
      </c>
      <c r="J1" s="549">
        <f>I1+1</f>
        <v/>
      </c>
      <c r="K1" s="549">
        <f>J1+1</f>
        <v/>
      </c>
      <c r="L1" s="549">
        <f>K1+1</f>
        <v/>
      </c>
      <c r="M1" s="549">
        <f>L1+1</f>
        <v/>
      </c>
      <c r="N1" s="549">
        <f>M1+1</f>
        <v/>
      </c>
      <c r="O1" s="549">
        <f>N1+1</f>
        <v/>
      </c>
      <c r="P1" s="549">
        <f>O1+1</f>
        <v/>
      </c>
    </row>
    <row r="2" customFormat="1" s="20">
      <c r="A2" s="20" t="inlineStr">
        <is>
          <t>Summary financials</t>
        </is>
      </c>
    </row>
    <row r="3" customFormat="1" s="20">
      <c r="A3" s="56" t="n"/>
    </row>
    <row r="4" customFormat="1" s="20">
      <c r="A4" s="313" t="inlineStr">
        <is>
          <t>Income Statement</t>
        </is>
      </c>
    </row>
    <row r="5">
      <c r="B5" s="395" t="n"/>
      <c r="C5" s="395" t="n"/>
      <c r="D5" s="395" t="n"/>
      <c r="E5" s="395" t="n"/>
      <c r="F5" s="395" t="n"/>
      <c r="G5" s="395" t="n"/>
      <c r="H5" s="395" t="n"/>
      <c r="R5" s="20" t="n"/>
      <c r="S5" s="20" t="n"/>
      <c r="T5" s="20" t="n"/>
    </row>
    <row r="6">
      <c r="A6" s="337" t="inlineStr">
        <is>
          <t>in '000 USD</t>
        </is>
      </c>
      <c r="B6" s="336">
        <f>FS_Y!E8</f>
        <v/>
      </c>
      <c r="C6" s="336">
        <f>FS_Y!F8</f>
        <v/>
      </c>
      <c r="D6" s="336">
        <f>FS_Y!G8</f>
        <v/>
      </c>
      <c r="E6" s="336">
        <f>FS_Y!H8</f>
        <v/>
      </c>
      <c r="F6" s="336">
        <f>FS_Y!I8</f>
        <v/>
      </c>
      <c r="G6" s="336">
        <f>FS_Y!J8</f>
        <v/>
      </c>
      <c r="H6" s="336">
        <f>FS_Y!K8</f>
        <v/>
      </c>
      <c r="I6" s="336">
        <f>FS_Y!L8</f>
        <v/>
      </c>
      <c r="J6" s="336">
        <f>FS_Y!M8</f>
        <v/>
      </c>
      <c r="K6" s="336">
        <f>FS_Y!N8</f>
        <v/>
      </c>
      <c r="L6" s="336">
        <f>FS_Y!O8</f>
        <v/>
      </c>
      <c r="M6" s="336">
        <f>FS_Y!P8</f>
        <v/>
      </c>
      <c r="N6" s="336">
        <f>FS_Y!Q8</f>
        <v/>
      </c>
      <c r="O6" s="336">
        <f>FS_Y!R8</f>
        <v/>
      </c>
      <c r="P6" s="336">
        <f>FS_Y!S8</f>
        <v/>
      </c>
      <c r="Q6" s="336">
        <f>FS_Y!T8</f>
        <v/>
      </c>
      <c r="R6" s="336">
        <f>FS_Y!U8</f>
        <v/>
      </c>
      <c r="S6" s="336">
        <f>FS_Y!V8</f>
        <v/>
      </c>
      <c r="T6" s="336">
        <f>FS_Y!W8</f>
        <v/>
      </c>
    </row>
    <row r="7" outlineLevel="1">
      <c r="A7" s="56">
        <f>Assumption!A14</f>
        <v/>
      </c>
      <c r="B7" s="894" t="inlineStr">
        <is>
          <t>n.a.</t>
        </is>
      </c>
      <c r="C7" s="894" t="inlineStr">
        <is>
          <t>n.a.</t>
        </is>
      </c>
      <c r="D7" s="894" t="inlineStr">
        <is>
          <t>n.a.</t>
        </is>
      </c>
      <c r="E7" s="464">
        <f>Assumption!DD14</f>
        <v/>
      </c>
      <c r="F7" s="464">
        <f>Assumption!DE14</f>
        <v/>
      </c>
      <c r="G7" s="464">
        <f>Assumption!DF14</f>
        <v/>
      </c>
      <c r="H7" s="464">
        <f>Assumption!DG14</f>
        <v/>
      </c>
      <c r="I7" s="464">
        <f>Assumption!DH14</f>
        <v/>
      </c>
      <c r="J7" s="464">
        <f>Assumption!DI14</f>
        <v/>
      </c>
      <c r="K7" s="464">
        <f>Assumption!DJ14</f>
        <v/>
      </c>
      <c r="L7" s="464">
        <f>Assumption!DK14</f>
        <v/>
      </c>
      <c r="M7" s="464">
        <f>Assumption!DL14</f>
        <v/>
      </c>
      <c r="N7" s="464">
        <f>Assumption!DM14</f>
        <v/>
      </c>
      <c r="O7" s="464">
        <f>Assumption!DN14</f>
        <v/>
      </c>
      <c r="P7" s="464">
        <f>Assumption!DO14</f>
        <v/>
      </c>
      <c r="Q7" s="464">
        <f>Assumption!DP14</f>
        <v/>
      </c>
      <c r="R7" s="464">
        <f>Assumption!DQ14</f>
        <v/>
      </c>
      <c r="S7" s="464">
        <f>Assumption!DR14</f>
        <v/>
      </c>
      <c r="T7" s="464">
        <f>Assumption!DS14</f>
        <v/>
      </c>
    </row>
    <row r="8" outlineLevel="1">
      <c r="A8" s="56">
        <f>Assumption!A15</f>
        <v/>
      </c>
      <c r="B8" s="894" t="inlineStr">
        <is>
          <t>n.a.</t>
        </is>
      </c>
      <c r="C8" s="894" t="inlineStr">
        <is>
          <t>n.a.</t>
        </is>
      </c>
      <c r="D8" s="894" t="inlineStr">
        <is>
          <t>n.a.</t>
        </is>
      </c>
      <c r="E8" s="464">
        <f>Assumption!DD15</f>
        <v/>
      </c>
      <c r="F8" s="464">
        <f>Assumption!DE15</f>
        <v/>
      </c>
      <c r="G8" s="464">
        <f>Assumption!DF15</f>
        <v/>
      </c>
      <c r="H8" s="464">
        <f>Assumption!DG15</f>
        <v/>
      </c>
      <c r="I8" s="464">
        <f>Assumption!DH15</f>
        <v/>
      </c>
      <c r="J8" s="464">
        <f>Assumption!DI15</f>
        <v/>
      </c>
      <c r="K8" s="464">
        <f>Assumption!DJ15</f>
        <v/>
      </c>
      <c r="L8" s="464">
        <f>Assumption!DK15</f>
        <v/>
      </c>
      <c r="M8" s="464">
        <f>Assumption!DL15</f>
        <v/>
      </c>
      <c r="N8" s="464">
        <f>Assumption!DM15</f>
        <v/>
      </c>
      <c r="O8" s="464">
        <f>Assumption!DN15</f>
        <v/>
      </c>
      <c r="P8" s="464">
        <f>Assumption!DO15</f>
        <v/>
      </c>
      <c r="Q8" s="464">
        <f>Assumption!DP15</f>
        <v/>
      </c>
      <c r="R8" s="464">
        <f>Assumption!DQ15</f>
        <v/>
      </c>
      <c r="S8" s="464">
        <f>Assumption!DR15</f>
        <v/>
      </c>
      <c r="T8" s="464">
        <f>Assumption!DS15</f>
        <v/>
      </c>
    </row>
    <row r="9" outlineLevel="1">
      <c r="A9" s="56">
        <f>Assumption!A16</f>
        <v/>
      </c>
      <c r="B9" s="894" t="inlineStr">
        <is>
          <t>n.a.</t>
        </is>
      </c>
      <c r="C9" s="894" t="inlineStr">
        <is>
          <t>n.a.</t>
        </is>
      </c>
      <c r="D9" s="894" t="inlineStr">
        <is>
          <t>n.a.</t>
        </is>
      </c>
      <c r="E9" s="464">
        <f>Assumption!DD16</f>
        <v/>
      </c>
      <c r="F9" s="464">
        <f>Assumption!DE16</f>
        <v/>
      </c>
      <c r="G9" s="464">
        <f>Assumption!DF16</f>
        <v/>
      </c>
      <c r="H9" s="464">
        <f>Assumption!DG16</f>
        <v/>
      </c>
      <c r="I9" s="464">
        <f>Assumption!DH16</f>
        <v/>
      </c>
      <c r="J9" s="464">
        <f>Assumption!DI16</f>
        <v/>
      </c>
      <c r="K9" s="464">
        <f>Assumption!DJ16</f>
        <v/>
      </c>
      <c r="L9" s="464">
        <f>Assumption!DK16</f>
        <v/>
      </c>
      <c r="M9" s="464">
        <f>Assumption!DL16</f>
        <v/>
      </c>
      <c r="N9" s="464">
        <f>Assumption!DM16</f>
        <v/>
      </c>
      <c r="O9" s="464">
        <f>Assumption!DN16</f>
        <v/>
      </c>
      <c r="P9" s="464">
        <f>Assumption!DO16</f>
        <v/>
      </c>
      <c r="Q9" s="464">
        <f>Assumption!DP16</f>
        <v/>
      </c>
      <c r="R9" s="464">
        <f>Assumption!DQ16</f>
        <v/>
      </c>
      <c r="S9" s="464">
        <f>Assumption!DR16</f>
        <v/>
      </c>
      <c r="T9" s="464">
        <f>Assumption!DS16</f>
        <v/>
      </c>
    </row>
    <row r="10" outlineLevel="1">
      <c r="A10" s="56">
        <f>Assumption!A17</f>
        <v/>
      </c>
      <c r="B10" s="894" t="inlineStr">
        <is>
          <t>n.a.</t>
        </is>
      </c>
      <c r="C10" s="894" t="inlineStr">
        <is>
          <t>n.a.</t>
        </is>
      </c>
      <c r="D10" s="894" t="inlineStr">
        <is>
          <t>n.a.</t>
        </is>
      </c>
      <c r="E10" s="464">
        <f>Assumption!DD17</f>
        <v/>
      </c>
      <c r="F10" s="464">
        <f>Assumption!DE17</f>
        <v/>
      </c>
      <c r="G10" s="464">
        <f>Assumption!DF17</f>
        <v/>
      </c>
      <c r="H10" s="464">
        <f>Assumption!DG17</f>
        <v/>
      </c>
      <c r="I10" s="464">
        <f>Assumption!DH17</f>
        <v/>
      </c>
      <c r="J10" s="464">
        <f>Assumption!DI17</f>
        <v/>
      </c>
      <c r="K10" s="464">
        <f>Assumption!DJ17</f>
        <v/>
      </c>
      <c r="L10" s="464">
        <f>Assumption!DK17</f>
        <v/>
      </c>
      <c r="M10" s="464">
        <f>Assumption!DL17</f>
        <v/>
      </c>
      <c r="N10" s="464">
        <f>Assumption!DM17</f>
        <v/>
      </c>
      <c r="O10" s="464">
        <f>Assumption!DN17</f>
        <v/>
      </c>
      <c r="P10" s="464">
        <f>Assumption!DO17</f>
        <v/>
      </c>
      <c r="Q10" s="464">
        <f>Assumption!DP17</f>
        <v/>
      </c>
      <c r="R10" s="464">
        <f>Assumption!DQ17</f>
        <v/>
      </c>
      <c r="S10" s="464">
        <f>Assumption!DR17</f>
        <v/>
      </c>
      <c r="T10" s="464">
        <f>Assumption!DS17</f>
        <v/>
      </c>
    </row>
    <row r="11" outlineLevel="1">
      <c r="A11" s="56">
        <f>Assumption!A18</f>
        <v/>
      </c>
      <c r="B11" s="894" t="inlineStr">
        <is>
          <t>n.a.</t>
        </is>
      </c>
      <c r="C11" s="894" t="inlineStr">
        <is>
          <t>n.a.</t>
        </is>
      </c>
      <c r="D11" s="894" t="inlineStr">
        <is>
          <t>n.a.</t>
        </is>
      </c>
      <c r="E11" s="464">
        <f>Assumption!DD18</f>
        <v/>
      </c>
      <c r="F11" s="464">
        <f>Assumption!DE18</f>
        <v/>
      </c>
      <c r="G11" s="464">
        <f>Assumption!DF18</f>
        <v/>
      </c>
      <c r="H11" s="464">
        <f>Assumption!DG18</f>
        <v/>
      </c>
      <c r="I11" s="464">
        <f>Assumption!DH18</f>
        <v/>
      </c>
      <c r="J11" s="464">
        <f>Assumption!DI18</f>
        <v/>
      </c>
      <c r="K11" s="464">
        <f>Assumption!DJ18</f>
        <v/>
      </c>
      <c r="L11" s="464">
        <f>Assumption!DK18</f>
        <v/>
      </c>
      <c r="M11" s="464">
        <f>Assumption!DL18</f>
        <v/>
      </c>
      <c r="N11" s="464">
        <f>Assumption!DM18</f>
        <v/>
      </c>
      <c r="O11" s="464">
        <f>Assumption!DN18</f>
        <v/>
      </c>
      <c r="P11" s="464">
        <f>Assumption!DO18</f>
        <v/>
      </c>
      <c r="Q11" s="464">
        <f>Assumption!DP18</f>
        <v/>
      </c>
      <c r="R11" s="464">
        <f>Assumption!DQ18</f>
        <v/>
      </c>
      <c r="S11" s="464">
        <f>Assumption!DR18</f>
        <v/>
      </c>
      <c r="T11" s="464">
        <f>Assumption!DS18</f>
        <v/>
      </c>
    </row>
    <row r="12" outlineLevel="1">
      <c r="A12" s="56">
        <f>Assumption!A19</f>
        <v/>
      </c>
      <c r="B12" s="894" t="inlineStr">
        <is>
          <t>n.a.</t>
        </is>
      </c>
      <c r="C12" s="894" t="inlineStr">
        <is>
          <t>n.a.</t>
        </is>
      </c>
      <c r="D12" s="894" t="inlineStr">
        <is>
          <t>n.a.</t>
        </is>
      </c>
      <c r="E12" s="464">
        <f>Assumption!DD19</f>
        <v/>
      </c>
      <c r="F12" s="464">
        <f>Assumption!DE19</f>
        <v/>
      </c>
      <c r="G12" s="464">
        <f>Assumption!DF19</f>
        <v/>
      </c>
      <c r="H12" s="464">
        <f>Assumption!DG19</f>
        <v/>
      </c>
      <c r="I12" s="464">
        <f>Assumption!DH19</f>
        <v/>
      </c>
      <c r="J12" s="464">
        <f>Assumption!DI19</f>
        <v/>
      </c>
      <c r="K12" s="464">
        <f>Assumption!DJ19</f>
        <v/>
      </c>
      <c r="L12" s="464">
        <f>Assumption!DK19</f>
        <v/>
      </c>
      <c r="M12" s="464">
        <f>Assumption!DL19</f>
        <v/>
      </c>
      <c r="N12" s="464">
        <f>Assumption!DM19</f>
        <v/>
      </c>
      <c r="O12" s="464">
        <f>Assumption!DN19</f>
        <v/>
      </c>
      <c r="P12" s="464">
        <f>Assumption!DO19</f>
        <v/>
      </c>
      <c r="Q12" s="464">
        <f>Assumption!DP19</f>
        <v/>
      </c>
      <c r="R12" s="464">
        <f>Assumption!DQ19</f>
        <v/>
      </c>
      <c r="S12" s="464">
        <f>Assumption!DR19</f>
        <v/>
      </c>
      <c r="T12" s="464">
        <f>Assumption!DS19</f>
        <v/>
      </c>
    </row>
    <row r="13" customFormat="1" s="22">
      <c r="A13" s="335" t="inlineStr">
        <is>
          <t>Revenue</t>
        </is>
      </c>
      <c r="B13" s="334">
        <f>FS_Y!E11</f>
        <v/>
      </c>
      <c r="C13" s="551">
        <f>FS_Y!F11</f>
        <v/>
      </c>
      <c r="D13" s="551">
        <f>FS_Y!G11</f>
        <v/>
      </c>
      <c r="E13" s="551">
        <f>FS_Y!H11</f>
        <v/>
      </c>
      <c r="F13" s="551">
        <f>FS_Y!I11</f>
        <v/>
      </c>
      <c r="G13" s="551">
        <f>FS_Y!J11</f>
        <v/>
      </c>
      <c r="H13" s="551">
        <f>FS_Y!K11</f>
        <v/>
      </c>
      <c r="I13" s="551">
        <f>FS_Y!L11</f>
        <v/>
      </c>
      <c r="J13" s="551">
        <f>FS_Y!M11</f>
        <v/>
      </c>
      <c r="K13" s="551">
        <f>FS_Y!N11</f>
        <v/>
      </c>
      <c r="L13" s="551">
        <f>FS_Y!O11</f>
        <v/>
      </c>
      <c r="M13" s="551">
        <f>FS_Y!P11</f>
        <v/>
      </c>
      <c r="N13" s="551">
        <f>FS_Y!Q11</f>
        <v/>
      </c>
      <c r="O13" s="551">
        <f>FS_Y!R11</f>
        <v/>
      </c>
      <c r="P13" s="551">
        <f>FS_Y!S11</f>
        <v/>
      </c>
      <c r="Q13" s="551">
        <f>FS_Y!T11</f>
        <v/>
      </c>
      <c r="R13" s="551">
        <f>FS_Y!U11</f>
        <v/>
      </c>
      <c r="S13" s="551">
        <f>FS_Y!V11</f>
        <v/>
      </c>
      <c r="T13" s="551">
        <f>FS_Y!W11</f>
        <v/>
      </c>
    </row>
    <row r="14">
      <c r="A14" s="56" t="inlineStr">
        <is>
          <t>Cost of Goods Sold</t>
        </is>
      </c>
      <c r="B14" s="64">
        <f>FS_Y!E12</f>
        <v/>
      </c>
      <c r="C14" s="464">
        <f>FS_Y!F12</f>
        <v/>
      </c>
      <c r="D14" s="464">
        <f>FS_Y!G12</f>
        <v/>
      </c>
      <c r="E14" s="464">
        <f>FS_Y!H12</f>
        <v/>
      </c>
      <c r="F14" s="464">
        <f>FS_Y!I12</f>
        <v/>
      </c>
      <c r="G14" s="464">
        <f>FS_Y!J12</f>
        <v/>
      </c>
      <c r="H14" s="464">
        <f>FS_Y!K12</f>
        <v/>
      </c>
      <c r="I14" s="464">
        <f>FS_Y!L12</f>
        <v/>
      </c>
      <c r="J14" s="464">
        <f>FS_Y!M12</f>
        <v/>
      </c>
      <c r="K14" s="464">
        <f>FS_Y!N12</f>
        <v/>
      </c>
      <c r="L14" s="464">
        <f>FS_Y!O12</f>
        <v/>
      </c>
      <c r="M14" s="464">
        <f>FS_Y!P12</f>
        <v/>
      </c>
      <c r="N14" s="464">
        <f>FS_Y!Q12</f>
        <v/>
      </c>
      <c r="O14" s="464">
        <f>FS_Y!R12</f>
        <v/>
      </c>
      <c r="P14" s="464">
        <f>FS_Y!S12</f>
        <v/>
      </c>
      <c r="Q14" s="464">
        <f>FS_Y!T12</f>
        <v/>
      </c>
      <c r="R14" s="464">
        <f>FS_Y!U12</f>
        <v/>
      </c>
      <c r="S14" s="464">
        <f>FS_Y!V12</f>
        <v/>
      </c>
      <c r="T14" s="464">
        <f>FS_Y!W12</f>
        <v/>
      </c>
    </row>
    <row r="15" customFormat="1" s="22">
      <c r="A15" s="335" t="inlineStr">
        <is>
          <t>Gross profit</t>
        </is>
      </c>
      <c r="B15" s="334">
        <f>FS_Y!E13</f>
        <v/>
      </c>
      <c r="C15" s="551">
        <f>FS_Y!F13</f>
        <v/>
      </c>
      <c r="D15" s="551">
        <f>FS_Y!G13</f>
        <v/>
      </c>
      <c r="E15" s="551">
        <f>FS_Y!H13</f>
        <v/>
      </c>
      <c r="F15" s="551">
        <f>FS_Y!I13</f>
        <v/>
      </c>
      <c r="G15" s="551">
        <f>FS_Y!J13</f>
        <v/>
      </c>
      <c r="H15" s="551">
        <f>FS_Y!K13</f>
        <v/>
      </c>
      <c r="I15" s="551">
        <f>FS_Y!L13</f>
        <v/>
      </c>
      <c r="J15" s="551">
        <f>FS_Y!M13</f>
        <v/>
      </c>
      <c r="K15" s="551">
        <f>FS_Y!N13</f>
        <v/>
      </c>
      <c r="L15" s="551">
        <f>FS_Y!O13</f>
        <v/>
      </c>
      <c r="M15" s="551">
        <f>FS_Y!P13</f>
        <v/>
      </c>
      <c r="N15" s="551">
        <f>FS_Y!Q13</f>
        <v/>
      </c>
      <c r="O15" s="551">
        <f>FS_Y!R13</f>
        <v/>
      </c>
      <c r="P15" s="551">
        <f>FS_Y!S13</f>
        <v/>
      </c>
      <c r="Q15" s="551">
        <f>FS_Y!T13</f>
        <v/>
      </c>
      <c r="R15" s="551">
        <f>FS_Y!U13</f>
        <v/>
      </c>
      <c r="S15" s="551">
        <f>FS_Y!V13</f>
        <v/>
      </c>
      <c r="T15" s="551">
        <f>FS_Y!W13</f>
        <v/>
      </c>
    </row>
    <row r="16">
      <c r="A16" s="64" t="inlineStr">
        <is>
          <t>Operating expenses</t>
        </is>
      </c>
      <c r="B16" s="64">
        <f>FS_Y!E18</f>
        <v/>
      </c>
      <c r="C16" s="464">
        <f>FS_Y!F18</f>
        <v/>
      </c>
      <c r="D16" s="464">
        <f>FS_Y!G18</f>
        <v/>
      </c>
      <c r="E16" s="464">
        <f>FS_Y!H18</f>
        <v/>
      </c>
      <c r="F16" s="464">
        <f>FS_Y!I18</f>
        <v/>
      </c>
      <c r="G16" s="464">
        <f>FS_Y!J18</f>
        <v/>
      </c>
      <c r="H16" s="464">
        <f>FS_Y!K18</f>
        <v/>
      </c>
      <c r="I16" s="464">
        <f>FS_Y!L18</f>
        <v/>
      </c>
      <c r="J16" s="464">
        <f>FS_Y!M18</f>
        <v/>
      </c>
      <c r="K16" s="464">
        <f>FS_Y!N18</f>
        <v/>
      </c>
      <c r="L16" s="464">
        <f>FS_Y!O18</f>
        <v/>
      </c>
      <c r="M16" s="464">
        <f>FS_Y!P18</f>
        <v/>
      </c>
      <c r="N16" s="464">
        <f>FS_Y!Q18</f>
        <v/>
      </c>
      <c r="O16" s="464">
        <f>FS_Y!R18</f>
        <v/>
      </c>
      <c r="P16" s="464">
        <f>FS_Y!S18</f>
        <v/>
      </c>
      <c r="Q16" s="464">
        <f>FS_Y!T18</f>
        <v/>
      </c>
      <c r="R16" s="464">
        <f>FS_Y!U18</f>
        <v/>
      </c>
      <c r="S16" s="464">
        <f>FS_Y!V18</f>
        <v/>
      </c>
      <c r="T16" s="464">
        <f>FS_Y!W18</f>
        <v/>
      </c>
    </row>
    <row r="17" customFormat="1" s="22">
      <c r="A17" s="335" t="inlineStr">
        <is>
          <t>EBIT</t>
        </is>
      </c>
      <c r="B17" s="334">
        <f>FS_Y!E19</f>
        <v/>
      </c>
      <c r="C17" s="551">
        <f>FS_Y!F19</f>
        <v/>
      </c>
      <c r="D17" s="551">
        <f>FS_Y!G19</f>
        <v/>
      </c>
      <c r="E17" s="551">
        <f>FS_Y!H19</f>
        <v/>
      </c>
      <c r="F17" s="551">
        <f>FS_Y!I19</f>
        <v/>
      </c>
      <c r="G17" s="551">
        <f>FS_Y!J19</f>
        <v/>
      </c>
      <c r="H17" s="551">
        <f>FS_Y!K19</f>
        <v/>
      </c>
      <c r="I17" s="551">
        <f>FS_Y!L19</f>
        <v/>
      </c>
      <c r="J17" s="551">
        <f>FS_Y!M19</f>
        <v/>
      </c>
      <c r="K17" s="551">
        <f>FS_Y!N19</f>
        <v/>
      </c>
      <c r="L17" s="551">
        <f>FS_Y!O19</f>
        <v/>
      </c>
      <c r="M17" s="551">
        <f>FS_Y!P19</f>
        <v/>
      </c>
      <c r="N17" s="551">
        <f>FS_Y!Q19</f>
        <v/>
      </c>
      <c r="O17" s="551">
        <f>FS_Y!R19</f>
        <v/>
      </c>
      <c r="P17" s="551">
        <f>FS_Y!S19</f>
        <v/>
      </c>
      <c r="Q17" s="551">
        <f>FS_Y!T19</f>
        <v/>
      </c>
      <c r="R17" s="551">
        <f>FS_Y!U19</f>
        <v/>
      </c>
      <c r="S17" s="551">
        <f>FS_Y!V19</f>
        <v/>
      </c>
      <c r="T17" s="551">
        <f>FS_Y!W19</f>
        <v/>
      </c>
    </row>
    <row r="18">
      <c r="A18" s="56" t="inlineStr">
        <is>
          <t>Net Finance income / (costs)</t>
        </is>
      </c>
      <c r="B18" s="64">
        <f>FS_Y!E20</f>
        <v/>
      </c>
      <c r="C18" s="464">
        <f>FS_Y!F20</f>
        <v/>
      </c>
      <c r="D18" s="464">
        <f>FS_Y!G20</f>
        <v/>
      </c>
      <c r="E18" s="464">
        <f>FS_Y!H20</f>
        <v/>
      </c>
      <c r="F18" s="464">
        <f>FS_Y!I20</f>
        <v/>
      </c>
      <c r="G18" s="464">
        <f>FS_Y!J20</f>
        <v/>
      </c>
      <c r="H18" s="464">
        <f>FS_Y!K20</f>
        <v/>
      </c>
      <c r="I18" s="464">
        <f>FS_Y!L20</f>
        <v/>
      </c>
      <c r="J18" s="464">
        <f>FS_Y!M20</f>
        <v/>
      </c>
      <c r="K18" s="464">
        <f>FS_Y!N20</f>
        <v/>
      </c>
      <c r="L18" s="464">
        <f>FS_Y!O20</f>
        <v/>
      </c>
      <c r="M18" s="464">
        <f>FS_Y!P20</f>
        <v/>
      </c>
      <c r="N18" s="464">
        <f>FS_Y!Q20</f>
        <v/>
      </c>
      <c r="O18" s="464">
        <f>FS_Y!R20</f>
        <v/>
      </c>
      <c r="P18" s="464">
        <f>FS_Y!S20</f>
        <v/>
      </c>
      <c r="Q18" s="464">
        <f>FS_Y!T20</f>
        <v/>
      </c>
      <c r="R18" s="464">
        <f>FS_Y!U20</f>
        <v/>
      </c>
      <c r="S18" s="464">
        <f>FS_Y!V20</f>
        <v/>
      </c>
      <c r="T18" s="464">
        <f>FS_Y!W20</f>
        <v/>
      </c>
    </row>
    <row r="19">
      <c r="A19" s="56" t="inlineStr">
        <is>
          <t>Other income / (costs)</t>
        </is>
      </c>
      <c r="B19" s="64">
        <f>FS_Y!E21</f>
        <v/>
      </c>
      <c r="C19" s="464">
        <f>FS_Y!F21</f>
        <v/>
      </c>
      <c r="D19" s="464">
        <f>FS_Y!G21</f>
        <v/>
      </c>
      <c r="E19" s="464">
        <f>FS_Y!H21</f>
        <v/>
      </c>
      <c r="F19" s="464">
        <f>FS_Y!I21</f>
        <v/>
      </c>
      <c r="G19" s="464">
        <f>FS_Y!J21</f>
        <v/>
      </c>
      <c r="H19" s="464">
        <f>FS_Y!K21</f>
        <v/>
      </c>
      <c r="I19" s="464">
        <f>FS_Y!L21</f>
        <v/>
      </c>
      <c r="J19" s="464">
        <f>FS_Y!M21</f>
        <v/>
      </c>
      <c r="K19" s="464">
        <f>FS_Y!N21</f>
        <v/>
      </c>
      <c r="L19" s="464">
        <f>FS_Y!O21</f>
        <v/>
      </c>
      <c r="M19" s="464">
        <f>FS_Y!P21</f>
        <v/>
      </c>
      <c r="N19" s="464">
        <f>FS_Y!Q21</f>
        <v/>
      </c>
      <c r="O19" s="464">
        <f>FS_Y!R21</f>
        <v/>
      </c>
      <c r="P19" s="464">
        <f>FS_Y!S21</f>
        <v/>
      </c>
      <c r="Q19" s="464">
        <f>FS_Y!T21</f>
        <v/>
      </c>
      <c r="R19" s="464">
        <f>FS_Y!U21</f>
        <v/>
      </c>
      <c r="S19" s="464">
        <f>FS_Y!V21</f>
        <v/>
      </c>
      <c r="T19" s="464">
        <f>FS_Y!W21</f>
        <v/>
      </c>
    </row>
    <row r="20" customFormat="1" s="22">
      <c r="A20" s="335" t="inlineStr">
        <is>
          <t>Profit before tax</t>
        </is>
      </c>
      <c r="B20" s="334">
        <f>FS_Y!E23</f>
        <v/>
      </c>
      <c r="C20" s="551">
        <f>FS_Y!F23</f>
        <v/>
      </c>
      <c r="D20" s="551">
        <f>FS_Y!G23</f>
        <v/>
      </c>
      <c r="E20" s="551">
        <f>FS_Y!H23</f>
        <v/>
      </c>
      <c r="F20" s="551">
        <f>FS_Y!I23</f>
        <v/>
      </c>
      <c r="G20" s="551">
        <f>FS_Y!J23</f>
        <v/>
      </c>
      <c r="H20" s="551">
        <f>FS_Y!K23</f>
        <v/>
      </c>
      <c r="I20" s="551">
        <f>FS_Y!L23</f>
        <v/>
      </c>
      <c r="J20" s="551">
        <f>FS_Y!M23</f>
        <v/>
      </c>
      <c r="K20" s="551">
        <f>FS_Y!N23</f>
        <v/>
      </c>
      <c r="L20" s="551">
        <f>FS_Y!O23</f>
        <v/>
      </c>
      <c r="M20" s="551">
        <f>FS_Y!P23</f>
        <v/>
      </c>
      <c r="N20" s="551">
        <f>FS_Y!Q23</f>
        <v/>
      </c>
      <c r="O20" s="551">
        <f>FS_Y!R23</f>
        <v/>
      </c>
      <c r="P20" s="551">
        <f>FS_Y!S23</f>
        <v/>
      </c>
      <c r="Q20" s="551">
        <f>FS_Y!T23</f>
        <v/>
      </c>
      <c r="R20" s="551">
        <f>FS_Y!U23</f>
        <v/>
      </c>
      <c r="S20" s="551">
        <f>FS_Y!V23</f>
        <v/>
      </c>
      <c r="T20" s="551">
        <f>FS_Y!W23</f>
        <v/>
      </c>
    </row>
    <row r="21">
      <c r="A21" s="56" t="inlineStr">
        <is>
          <t>Income tax expense</t>
        </is>
      </c>
      <c r="B21" s="64">
        <f>FS_Y!E24</f>
        <v/>
      </c>
      <c r="C21" s="464">
        <f>FS_Y!F24</f>
        <v/>
      </c>
      <c r="D21" s="464">
        <f>FS_Y!G24</f>
        <v/>
      </c>
      <c r="E21" s="464">
        <f>FS_Y!H24</f>
        <v/>
      </c>
      <c r="F21" s="464">
        <f>FS_Y!I24</f>
        <v/>
      </c>
      <c r="G21" s="464">
        <f>FS_Y!J24</f>
        <v/>
      </c>
      <c r="H21" s="464">
        <f>FS_Y!K24</f>
        <v/>
      </c>
      <c r="I21" s="464">
        <f>FS_Y!L24</f>
        <v/>
      </c>
      <c r="J21" s="464">
        <f>FS_Y!M24</f>
        <v/>
      </c>
      <c r="K21" s="464">
        <f>FS_Y!N24</f>
        <v/>
      </c>
      <c r="L21" s="464">
        <f>FS_Y!O24</f>
        <v/>
      </c>
      <c r="M21" s="464">
        <f>FS_Y!P24</f>
        <v/>
      </c>
      <c r="N21" s="464">
        <f>FS_Y!Q24</f>
        <v/>
      </c>
      <c r="O21" s="464">
        <f>FS_Y!R24</f>
        <v/>
      </c>
      <c r="P21" s="464">
        <f>FS_Y!S24</f>
        <v/>
      </c>
      <c r="Q21" s="464">
        <f>FS_Y!T24</f>
        <v/>
      </c>
      <c r="R21" s="464">
        <f>FS_Y!U24</f>
        <v/>
      </c>
      <c r="S21" s="464">
        <f>FS_Y!V24</f>
        <v/>
      </c>
      <c r="T21" s="464">
        <f>FS_Y!W24</f>
        <v/>
      </c>
    </row>
    <row r="22" customFormat="1" s="22">
      <c r="A22" s="32" t="inlineStr">
        <is>
          <t xml:space="preserve">Net income </t>
        </is>
      </c>
      <c r="B22" s="66">
        <f>FS_Y!E27</f>
        <v/>
      </c>
      <c r="C22" s="552">
        <f>FS_Y!F27</f>
        <v/>
      </c>
      <c r="D22" s="552">
        <f>FS_Y!G27</f>
        <v/>
      </c>
      <c r="E22" s="552">
        <f>FS_Y!H25</f>
        <v/>
      </c>
      <c r="F22" s="552">
        <f>FS_Y!I25</f>
        <v/>
      </c>
      <c r="G22" s="552">
        <f>FS_Y!J25</f>
        <v/>
      </c>
      <c r="H22" s="552">
        <f>FS_Y!K25</f>
        <v/>
      </c>
      <c r="I22" s="552">
        <f>FS_Y!L25</f>
        <v/>
      </c>
      <c r="J22" s="552">
        <f>FS_Y!M25</f>
        <v/>
      </c>
      <c r="K22" s="552">
        <f>FS_Y!N25</f>
        <v/>
      </c>
      <c r="L22" s="552">
        <f>FS_Y!O25</f>
        <v/>
      </c>
      <c r="M22" s="552">
        <f>FS_Y!P25</f>
        <v/>
      </c>
      <c r="N22" s="552">
        <f>FS_Y!Q25</f>
        <v/>
      </c>
      <c r="O22" s="552">
        <f>FS_Y!R25</f>
        <v/>
      </c>
      <c r="P22" s="552">
        <f>FS_Y!S25</f>
        <v/>
      </c>
      <c r="Q22" s="552">
        <f>FS_Y!T25</f>
        <v/>
      </c>
      <c r="R22" s="552">
        <f>FS_Y!U25</f>
        <v/>
      </c>
      <c r="S22" s="552">
        <f>FS_Y!V25</f>
        <v/>
      </c>
      <c r="T22" s="552">
        <f>FS_Y!W25</f>
        <v/>
      </c>
    </row>
    <row r="23">
      <c r="A23" s="71" t="inlineStr">
        <is>
          <t>Basic EPS (USD)</t>
        </is>
      </c>
      <c r="B23" s="330">
        <f>FS_Y!E29</f>
        <v/>
      </c>
      <c r="C23" s="330">
        <f>FS_Y!F29</f>
        <v/>
      </c>
      <c r="D23" s="330">
        <f>FS_Y!G29</f>
        <v/>
      </c>
      <c r="E23" s="330">
        <f>FS_Y!H29</f>
        <v/>
      </c>
      <c r="F23" s="330">
        <f>FS_Y!I29</f>
        <v/>
      </c>
      <c r="G23" s="330">
        <f>FS_Y!J29</f>
        <v/>
      </c>
      <c r="H23" s="330">
        <f>FS_Y!K29</f>
        <v/>
      </c>
      <c r="I23" s="330">
        <f>FS_Y!L29</f>
        <v/>
      </c>
      <c r="J23" s="330">
        <f>FS_Y!M29</f>
        <v/>
      </c>
      <c r="K23" s="330">
        <f>FS_Y!N29</f>
        <v/>
      </c>
      <c r="L23" s="330">
        <f>FS_Y!O29</f>
        <v/>
      </c>
      <c r="M23" s="330">
        <f>FS_Y!P29</f>
        <v/>
      </c>
      <c r="N23" s="330">
        <f>FS_Y!Q29</f>
        <v/>
      </c>
      <c r="O23" s="330">
        <f>FS_Y!R29</f>
        <v/>
      </c>
      <c r="P23" s="330">
        <f>FS_Y!S29</f>
        <v/>
      </c>
      <c r="Q23" s="330">
        <f>FS_Y!T29</f>
        <v/>
      </c>
      <c r="R23" s="330">
        <f>FS_Y!U29</f>
        <v/>
      </c>
      <c r="S23" s="330">
        <f>FS_Y!V29</f>
        <v/>
      </c>
      <c r="T23" s="330">
        <f>FS_Y!W29</f>
        <v/>
      </c>
    </row>
    <row r="24">
      <c r="A24" s="339" t="inlineStr">
        <is>
          <t>Diluted EPS (USD)</t>
        </is>
      </c>
      <c r="B24" s="338">
        <f>FS_Y!E30</f>
        <v/>
      </c>
      <c r="C24" s="338">
        <f>FS_Y!F30</f>
        <v/>
      </c>
      <c r="D24" s="338">
        <f>FS_Y!G30</f>
        <v/>
      </c>
      <c r="E24" s="338">
        <f>FS_Y!H30</f>
        <v/>
      </c>
      <c r="F24" s="338">
        <f>FS_Y!I30</f>
        <v/>
      </c>
      <c r="G24" s="338">
        <f>FS_Y!J30</f>
        <v/>
      </c>
      <c r="H24" s="338">
        <f>FS_Y!K30</f>
        <v/>
      </c>
      <c r="I24" s="338">
        <f>FS_Y!L30</f>
        <v/>
      </c>
      <c r="J24" s="338">
        <f>FS_Y!M30</f>
        <v/>
      </c>
      <c r="K24" s="338">
        <f>FS_Y!N30</f>
        <v/>
      </c>
      <c r="L24" s="338">
        <f>FS_Y!O30</f>
        <v/>
      </c>
      <c r="M24" s="338">
        <f>FS_Y!P30</f>
        <v/>
      </c>
      <c r="N24" s="338">
        <f>FS_Y!Q30</f>
        <v/>
      </c>
      <c r="O24" s="338">
        <f>FS_Y!R30</f>
        <v/>
      </c>
      <c r="P24" s="338">
        <f>FS_Y!S30</f>
        <v/>
      </c>
      <c r="Q24" s="338">
        <f>FS_Y!T30</f>
        <v/>
      </c>
      <c r="R24" s="338">
        <f>FS_Y!U30</f>
        <v/>
      </c>
      <c r="S24" s="338">
        <f>FS_Y!V30</f>
        <v/>
      </c>
      <c r="T24" s="338">
        <f>FS_Y!W30</f>
        <v/>
      </c>
    </row>
    <row r="25" customFormat="1" s="20">
      <c r="A25" s="56" t="n"/>
    </row>
    <row r="26" customFormat="1" s="20">
      <c r="A26" s="56" t="n"/>
    </row>
    <row r="27" customFormat="1" s="20">
      <c r="A27" s="56" t="n"/>
    </row>
    <row r="28" customFormat="1" s="20">
      <c r="A28" s="313" t="inlineStr">
        <is>
          <t>Key Ratios</t>
        </is>
      </c>
    </row>
    <row r="29">
      <c r="R29" s="20" t="n"/>
      <c r="S29" s="20" t="n"/>
      <c r="T29" s="20" t="n"/>
    </row>
    <row r="30" customFormat="1" s="20">
      <c r="A30" s="337" t="n"/>
      <c r="B30" s="336">
        <f>B$6</f>
        <v/>
      </c>
      <c r="C30" s="336">
        <f>C$6</f>
        <v/>
      </c>
      <c r="D30" s="336">
        <f>D$6</f>
        <v/>
      </c>
      <c r="E30" s="336">
        <f>E$6</f>
        <v/>
      </c>
      <c r="F30" s="336">
        <f>F$6</f>
        <v/>
      </c>
      <c r="G30" s="336">
        <f>G$6</f>
        <v/>
      </c>
      <c r="H30" s="336">
        <f>H$6</f>
        <v/>
      </c>
      <c r="I30" s="336">
        <f>I$6</f>
        <v/>
      </c>
      <c r="J30" s="336">
        <f>J$6</f>
        <v/>
      </c>
      <c r="K30" s="336">
        <f>K$6</f>
        <v/>
      </c>
      <c r="L30" s="336">
        <f>L$6</f>
        <v/>
      </c>
      <c r="M30" s="336">
        <f>M$6</f>
        <v/>
      </c>
      <c r="N30" s="336">
        <f>N$6</f>
        <v/>
      </c>
      <c r="O30" s="336">
        <f>O$6</f>
        <v/>
      </c>
      <c r="P30" s="336">
        <f>P$6</f>
        <v/>
      </c>
      <c r="Q30" s="336">
        <f>Q$6</f>
        <v/>
      </c>
      <c r="R30" s="336">
        <f>R$6</f>
        <v/>
      </c>
      <c r="S30" s="336">
        <f>S$6</f>
        <v/>
      </c>
      <c r="T30" s="336">
        <f>T$6</f>
        <v/>
      </c>
    </row>
    <row r="31" customFormat="1" s="20">
      <c r="A31" s="32" t="inlineStr">
        <is>
          <t>Growth Rate</t>
        </is>
      </c>
    </row>
    <row r="32" customFormat="1" s="20">
      <c r="A32" s="56" t="inlineStr">
        <is>
          <t>Revenue</t>
        </is>
      </c>
      <c r="B32" s="861" t="n"/>
      <c r="C32" s="895">
        <f>C13/B13-1</f>
        <v/>
      </c>
      <c r="D32" s="895">
        <f>D13/C13-1</f>
        <v/>
      </c>
      <c r="E32" s="895">
        <f>E13/D13-1</f>
        <v/>
      </c>
      <c r="F32" s="895">
        <f>F13/E13-1</f>
        <v/>
      </c>
      <c r="G32" s="895">
        <f>G13/F13-1</f>
        <v/>
      </c>
      <c r="H32" s="894">
        <f>H13/G13-1</f>
        <v/>
      </c>
      <c r="I32" s="894">
        <f>I13/H13-1</f>
        <v/>
      </c>
      <c r="J32" s="894">
        <f>J13/I13-1</f>
        <v/>
      </c>
      <c r="K32" s="894">
        <f>K13/J13-1</f>
        <v/>
      </c>
      <c r="L32" s="894">
        <f>L13/K13-1</f>
        <v/>
      </c>
      <c r="M32" s="894">
        <f>M13/L13-1</f>
        <v/>
      </c>
      <c r="N32" s="894">
        <f>N13/M13-1</f>
        <v/>
      </c>
      <c r="O32" s="894">
        <f>O13/N13-1</f>
        <v/>
      </c>
      <c r="P32" s="894">
        <f>P13/O13-1</f>
        <v/>
      </c>
      <c r="Q32" s="894">
        <f>Q13/P13-1</f>
        <v/>
      </c>
      <c r="R32" s="894">
        <f>R13/Q13-1</f>
        <v/>
      </c>
      <c r="S32" s="894">
        <f>S13/R13-1</f>
        <v/>
      </c>
      <c r="T32" s="894">
        <f>T13/S13-1</f>
        <v/>
      </c>
    </row>
    <row r="33" outlineLevel="1" ht="13.25" customFormat="1" customHeight="1" s="20">
      <c r="A33" s="89">
        <f>A7</f>
        <v/>
      </c>
      <c r="B33" s="861" t="n"/>
      <c r="C33" s="895" t="inlineStr">
        <is>
          <t>n.a.</t>
        </is>
      </c>
      <c r="D33" s="895" t="inlineStr">
        <is>
          <t>n.a.</t>
        </is>
      </c>
      <c r="E33" s="895" t="inlineStr">
        <is>
          <t>n.a.</t>
        </is>
      </c>
      <c r="F33" s="895" t="inlineStr">
        <is>
          <t>n.a.</t>
        </is>
      </c>
      <c r="G33" s="895" t="inlineStr">
        <is>
          <t>n.a.</t>
        </is>
      </c>
      <c r="H33" s="861">
        <f>H7/G7-1</f>
        <v/>
      </c>
      <c r="I33" s="861">
        <f>I7/H7-1</f>
        <v/>
      </c>
      <c r="J33" s="861">
        <f>J7/I7-1</f>
        <v/>
      </c>
      <c r="K33" s="861">
        <f>K7/J7-1</f>
        <v/>
      </c>
      <c r="L33" s="861">
        <f>L7/K7-1</f>
        <v/>
      </c>
      <c r="M33" s="861">
        <f>M7/L7-1</f>
        <v/>
      </c>
      <c r="N33" s="861">
        <f>N7/M7-1</f>
        <v/>
      </c>
      <c r="O33" s="861">
        <f>O7/N7-1</f>
        <v/>
      </c>
      <c r="P33" s="861">
        <f>P7/O7-1</f>
        <v/>
      </c>
      <c r="Q33" s="861">
        <f>Q7/P7-1</f>
        <v/>
      </c>
      <c r="R33" s="861">
        <f>R7/Q7-1</f>
        <v/>
      </c>
      <c r="S33" s="861">
        <f>S7/R7-1</f>
        <v/>
      </c>
      <c r="T33" s="861">
        <f>T7/S7-1</f>
        <v/>
      </c>
    </row>
    <row r="34" outlineLevel="1" ht="13.25" customFormat="1" customHeight="1" s="20">
      <c r="A34" s="89">
        <f>A8</f>
        <v/>
      </c>
      <c r="B34" s="861" t="n"/>
      <c r="C34" s="895" t="inlineStr">
        <is>
          <t>n.a.</t>
        </is>
      </c>
      <c r="D34" s="895" t="inlineStr">
        <is>
          <t>n.a.</t>
        </is>
      </c>
      <c r="E34" s="895" t="inlineStr">
        <is>
          <t>n.a.</t>
        </is>
      </c>
      <c r="F34" s="895" t="inlineStr">
        <is>
          <t>n.a.</t>
        </is>
      </c>
      <c r="G34" s="895" t="inlineStr">
        <is>
          <t>n.a.</t>
        </is>
      </c>
      <c r="H34" s="861">
        <f>H8/G8-1</f>
        <v/>
      </c>
      <c r="I34" s="861">
        <f>I8/H8-1</f>
        <v/>
      </c>
      <c r="J34" s="861">
        <f>J8/I8-1</f>
        <v/>
      </c>
      <c r="K34" s="861">
        <f>K8/J8-1</f>
        <v/>
      </c>
      <c r="L34" s="861">
        <f>L8/K8-1</f>
        <v/>
      </c>
      <c r="M34" s="861">
        <f>M8/L8-1</f>
        <v/>
      </c>
      <c r="N34" s="861">
        <f>N8/M8-1</f>
        <v/>
      </c>
      <c r="O34" s="861">
        <f>O8/N8-1</f>
        <v/>
      </c>
      <c r="P34" s="861">
        <f>P8/O8-1</f>
        <v/>
      </c>
      <c r="Q34" s="861">
        <f>Q8/P8-1</f>
        <v/>
      </c>
      <c r="R34" s="861">
        <f>R8/Q8-1</f>
        <v/>
      </c>
      <c r="S34" s="861">
        <f>S8/R8-1</f>
        <v/>
      </c>
      <c r="T34" s="861">
        <f>T8/S8-1</f>
        <v/>
      </c>
    </row>
    <row r="35" outlineLevel="1" ht="13.25" customFormat="1" customHeight="1" s="20">
      <c r="A35" s="89">
        <f>A9</f>
        <v/>
      </c>
      <c r="B35" s="861" t="n"/>
      <c r="C35" s="895" t="inlineStr">
        <is>
          <t>n.a.</t>
        </is>
      </c>
      <c r="D35" s="895" t="inlineStr">
        <is>
          <t>n.a.</t>
        </is>
      </c>
      <c r="E35" s="895" t="inlineStr">
        <is>
          <t>n.a.</t>
        </is>
      </c>
      <c r="F35" s="895" t="inlineStr">
        <is>
          <t>n.a.</t>
        </is>
      </c>
      <c r="G35" s="895" t="inlineStr">
        <is>
          <t>n.a.</t>
        </is>
      </c>
      <c r="H35" s="861">
        <f>H9/G9-1</f>
        <v/>
      </c>
      <c r="I35" s="861">
        <f>I9/H9-1</f>
        <v/>
      </c>
      <c r="J35" s="861">
        <f>J9/I9-1</f>
        <v/>
      </c>
      <c r="K35" s="861">
        <f>K9/J9-1</f>
        <v/>
      </c>
      <c r="L35" s="861">
        <f>L9/K9-1</f>
        <v/>
      </c>
      <c r="M35" s="861">
        <f>M9/L9-1</f>
        <v/>
      </c>
      <c r="N35" s="861">
        <f>N9/M9-1</f>
        <v/>
      </c>
      <c r="O35" s="861">
        <f>O9/N9-1</f>
        <v/>
      </c>
      <c r="P35" s="861">
        <f>P9/O9-1</f>
        <v/>
      </c>
      <c r="Q35" s="861">
        <f>Q9/P9-1</f>
        <v/>
      </c>
      <c r="R35" s="861">
        <f>R9/Q9-1</f>
        <v/>
      </c>
      <c r="S35" s="861">
        <f>S9/R9-1</f>
        <v/>
      </c>
      <c r="T35" s="861">
        <f>T9/S9-1</f>
        <v/>
      </c>
    </row>
    <row r="36" outlineLevel="1" ht="13.25" customFormat="1" customHeight="1" s="20">
      <c r="A36" s="89">
        <f>A10</f>
        <v/>
      </c>
      <c r="B36" s="861" t="n"/>
      <c r="C36" s="895" t="inlineStr">
        <is>
          <t>n.a.</t>
        </is>
      </c>
      <c r="D36" s="895" t="inlineStr">
        <is>
          <t>n.a.</t>
        </is>
      </c>
      <c r="E36" s="895" t="inlineStr">
        <is>
          <t>n.a.</t>
        </is>
      </c>
      <c r="F36" s="895" t="inlineStr">
        <is>
          <t>n.a.</t>
        </is>
      </c>
      <c r="G36" s="895" t="inlineStr">
        <is>
          <t>n.a.</t>
        </is>
      </c>
      <c r="H36" s="861">
        <f>H10/G10-1</f>
        <v/>
      </c>
      <c r="I36" s="861">
        <f>I10/H10-1</f>
        <v/>
      </c>
      <c r="J36" s="861">
        <f>J10/I10-1</f>
        <v/>
      </c>
      <c r="K36" s="861">
        <f>K10/J10-1</f>
        <v/>
      </c>
      <c r="L36" s="861">
        <f>L10/K10-1</f>
        <v/>
      </c>
      <c r="M36" s="861">
        <f>M10/L10-1</f>
        <v/>
      </c>
      <c r="N36" s="861">
        <f>N10/M10-1</f>
        <v/>
      </c>
      <c r="O36" s="861">
        <f>O10/N10-1</f>
        <v/>
      </c>
      <c r="P36" s="861">
        <f>P10/O10-1</f>
        <v/>
      </c>
      <c r="Q36" s="861">
        <f>Q10/P10-1</f>
        <v/>
      </c>
      <c r="R36" s="861">
        <f>R10/Q10-1</f>
        <v/>
      </c>
      <c r="S36" s="861">
        <f>S10/R10-1</f>
        <v/>
      </c>
      <c r="T36" s="861">
        <f>T10/S10-1</f>
        <v/>
      </c>
    </row>
    <row r="37" outlineLevel="1" ht="13.25" customFormat="1" customHeight="1" s="20">
      <c r="A37" s="89">
        <f>A11</f>
        <v/>
      </c>
      <c r="B37" s="861" t="n"/>
      <c r="C37" s="895" t="inlineStr">
        <is>
          <t>n.a.</t>
        </is>
      </c>
      <c r="D37" s="895" t="inlineStr">
        <is>
          <t>n.a.</t>
        </is>
      </c>
      <c r="E37" s="895" t="inlineStr">
        <is>
          <t>n.a.</t>
        </is>
      </c>
      <c r="F37" s="895" t="inlineStr">
        <is>
          <t>n.a.</t>
        </is>
      </c>
      <c r="G37" s="895" t="inlineStr">
        <is>
          <t>n.a.</t>
        </is>
      </c>
      <c r="H37" s="861">
        <f>H11/G11-1</f>
        <v/>
      </c>
      <c r="I37" s="861">
        <f>I11/H11-1</f>
        <v/>
      </c>
      <c r="J37" s="861">
        <f>J11/I11-1</f>
        <v/>
      </c>
      <c r="K37" s="861">
        <f>K11/J11-1</f>
        <v/>
      </c>
      <c r="L37" s="861">
        <f>L11/K11-1</f>
        <v/>
      </c>
      <c r="M37" s="861">
        <f>M11/L11-1</f>
        <v/>
      </c>
      <c r="N37" s="861">
        <f>N11/M11-1</f>
        <v/>
      </c>
      <c r="O37" s="861">
        <f>O11/N11-1</f>
        <v/>
      </c>
      <c r="P37" s="861">
        <f>P11/O11-1</f>
        <v/>
      </c>
      <c r="Q37" s="861">
        <f>Q11/P11-1</f>
        <v/>
      </c>
      <c r="R37" s="861">
        <f>R11/Q11-1</f>
        <v/>
      </c>
      <c r="S37" s="861">
        <f>S11/R11-1</f>
        <v/>
      </c>
      <c r="T37" s="861">
        <f>T11/S11-1</f>
        <v/>
      </c>
    </row>
    <row r="38" outlineLevel="1" ht="13.25" customFormat="1" customHeight="1" s="20">
      <c r="A38" s="89">
        <f>A12</f>
        <v/>
      </c>
      <c r="B38" s="861" t="n"/>
      <c r="C38" s="895" t="inlineStr">
        <is>
          <t>n.a.</t>
        </is>
      </c>
      <c r="D38" s="895" t="inlineStr">
        <is>
          <t>n.a.</t>
        </is>
      </c>
      <c r="E38" s="895" t="inlineStr">
        <is>
          <t>n.a.</t>
        </is>
      </c>
      <c r="F38" s="895" t="inlineStr">
        <is>
          <t>n.a.</t>
        </is>
      </c>
      <c r="G38" s="895" t="inlineStr">
        <is>
          <t>n.a.</t>
        </is>
      </c>
      <c r="H38" s="861">
        <f>H12/G12-1</f>
        <v/>
      </c>
      <c r="I38" s="861">
        <f>I12/H12-1</f>
        <v/>
      </c>
      <c r="J38" s="861">
        <f>J12/I12-1</f>
        <v/>
      </c>
      <c r="K38" s="861">
        <f>K12/J12-1</f>
        <v/>
      </c>
      <c r="L38" s="861">
        <f>L12/K12-1</f>
        <v/>
      </c>
      <c r="M38" s="861">
        <f>M12/L12-1</f>
        <v/>
      </c>
      <c r="N38" s="861">
        <f>N12/M12-1</f>
        <v/>
      </c>
      <c r="O38" s="861">
        <f>O12/N12-1</f>
        <v/>
      </c>
      <c r="P38" s="861">
        <f>P12/O12-1</f>
        <v/>
      </c>
      <c r="Q38" s="861">
        <f>Q12/P12-1</f>
        <v/>
      </c>
      <c r="R38" s="861">
        <f>R12/Q12-1</f>
        <v/>
      </c>
      <c r="S38" s="861">
        <f>S12/R12-1</f>
        <v/>
      </c>
      <c r="T38" s="861">
        <f>T12/S12-1</f>
        <v/>
      </c>
    </row>
    <row r="39" customFormat="1" s="20">
      <c r="A39" s="56" t="inlineStr">
        <is>
          <t>Gross Profit</t>
        </is>
      </c>
      <c r="B39" s="861" t="n"/>
      <c r="C39" s="895">
        <f>C15/B15-1</f>
        <v/>
      </c>
      <c r="D39" s="895">
        <f>D15/C15-1</f>
        <v/>
      </c>
      <c r="E39" s="895">
        <f>E15/D15-1</f>
        <v/>
      </c>
      <c r="F39" s="895">
        <f>F15/E15-1</f>
        <v/>
      </c>
      <c r="G39" s="895">
        <f>G15/F15-1</f>
        <v/>
      </c>
      <c r="H39" s="894">
        <f>H15/G15-1</f>
        <v/>
      </c>
      <c r="I39" s="894">
        <f>I15/H15-1</f>
        <v/>
      </c>
      <c r="J39" s="894">
        <f>J15/I15-1</f>
        <v/>
      </c>
      <c r="K39" s="894">
        <f>K15/J15-1</f>
        <v/>
      </c>
      <c r="L39" s="894">
        <f>L15/K15-1</f>
        <v/>
      </c>
      <c r="M39" s="894">
        <f>M15/L15-1</f>
        <v/>
      </c>
      <c r="N39" s="894">
        <f>N15/M15-1</f>
        <v/>
      </c>
      <c r="O39" s="894">
        <f>O15/N15-1</f>
        <v/>
      </c>
      <c r="P39" s="894">
        <f>P15/O15-1</f>
        <v/>
      </c>
      <c r="Q39" s="894">
        <f>Q15/P15-1</f>
        <v/>
      </c>
      <c r="R39" s="894">
        <f>R15/Q15-1</f>
        <v/>
      </c>
      <c r="S39" s="894">
        <f>S15/R15-1</f>
        <v/>
      </c>
      <c r="T39" s="894">
        <f>T15/S15-1</f>
        <v/>
      </c>
    </row>
    <row r="40" customFormat="1" s="20">
      <c r="A40" s="56" t="inlineStr">
        <is>
          <t>EBIT</t>
        </is>
      </c>
      <c r="B40" s="861" t="n"/>
      <c r="C40" s="895">
        <f>C17/B17-1</f>
        <v/>
      </c>
      <c r="D40" s="895">
        <f>D17/C17-1</f>
        <v/>
      </c>
      <c r="E40" s="895">
        <f>E17/D17-1</f>
        <v/>
      </c>
      <c r="F40" s="895">
        <f>F17/E17-1</f>
        <v/>
      </c>
      <c r="G40" s="895">
        <f>G17/F17-1</f>
        <v/>
      </c>
      <c r="H40" s="894">
        <f>H17/G17-1</f>
        <v/>
      </c>
      <c r="I40" s="894">
        <f>I17/H17-1</f>
        <v/>
      </c>
      <c r="J40" s="894">
        <f>J17/I17-1</f>
        <v/>
      </c>
      <c r="K40" s="894">
        <f>K17/J17-1</f>
        <v/>
      </c>
      <c r="L40" s="894">
        <f>L17/K17-1</f>
        <v/>
      </c>
      <c r="M40" s="894">
        <f>M17/L17-1</f>
        <v/>
      </c>
      <c r="N40" s="894">
        <f>N17/M17-1</f>
        <v/>
      </c>
      <c r="O40" s="894">
        <f>O17/N17-1</f>
        <v/>
      </c>
      <c r="P40" s="894">
        <f>P17/O17-1</f>
        <v/>
      </c>
      <c r="Q40" s="894">
        <f>Q17/P17-1</f>
        <v/>
      </c>
      <c r="R40" s="894">
        <f>R17/Q17-1</f>
        <v/>
      </c>
      <c r="S40" s="894">
        <f>S17/R17-1</f>
        <v/>
      </c>
      <c r="T40" s="894">
        <f>T17/S17-1</f>
        <v/>
      </c>
    </row>
    <row r="41" customFormat="1" s="20">
      <c r="A41" s="56" t="inlineStr">
        <is>
          <t>Net Profit (Attributable)</t>
        </is>
      </c>
      <c r="B41" s="861" t="n"/>
      <c r="C41" s="895">
        <f>C22/B22-1</f>
        <v/>
      </c>
      <c r="D41" s="895">
        <f>D22/C22-1</f>
        <v/>
      </c>
      <c r="E41" s="895">
        <f>E22/D22-1</f>
        <v/>
      </c>
      <c r="F41" s="895">
        <f>F22/E22-1</f>
        <v/>
      </c>
      <c r="G41" s="895">
        <f>G22/F22-1</f>
        <v/>
      </c>
      <c r="H41" s="894">
        <f>H22/G22-1</f>
        <v/>
      </c>
      <c r="I41" s="894">
        <f>I22/H22-1</f>
        <v/>
      </c>
      <c r="J41" s="894">
        <f>J22/I22-1</f>
        <v/>
      </c>
      <c r="K41" s="894">
        <f>K22/J22-1</f>
        <v/>
      </c>
      <c r="L41" s="894">
        <f>L22/K22-1</f>
        <v/>
      </c>
      <c r="M41" s="894">
        <f>M22/L22-1</f>
        <v/>
      </c>
      <c r="N41" s="894">
        <f>N22/M22-1</f>
        <v/>
      </c>
      <c r="O41" s="894">
        <f>O22/N22-1</f>
        <v/>
      </c>
      <c r="P41" s="894">
        <f>P22/O22-1</f>
        <v/>
      </c>
      <c r="Q41" s="894">
        <f>Q22/P22-1</f>
        <v/>
      </c>
      <c r="R41" s="894">
        <f>R22/Q22-1</f>
        <v/>
      </c>
      <c r="S41" s="894">
        <f>S22/R22-1</f>
        <v/>
      </c>
      <c r="T41" s="894">
        <f>T22/S22-1</f>
        <v/>
      </c>
    </row>
    <row r="42" customFormat="1" s="20">
      <c r="A42" s="56" t="inlineStr">
        <is>
          <t xml:space="preserve">EPS (Basic) </t>
        </is>
      </c>
      <c r="B42" s="861" t="n"/>
      <c r="C42" s="895">
        <f>C23/B23-1</f>
        <v/>
      </c>
      <c r="D42" s="895">
        <f>D23/C23-1</f>
        <v/>
      </c>
      <c r="E42" s="895">
        <f>E23/D23-1</f>
        <v/>
      </c>
      <c r="F42" s="895">
        <f>F23/E23-1</f>
        <v/>
      </c>
      <c r="G42" s="895">
        <f>G23/F23-1</f>
        <v/>
      </c>
      <c r="H42" s="894">
        <f>H23/G23-1</f>
        <v/>
      </c>
      <c r="I42" s="894">
        <f>I23/H23-1</f>
        <v/>
      </c>
      <c r="J42" s="894">
        <f>J23/I23-1</f>
        <v/>
      </c>
      <c r="K42" s="894">
        <f>K23/J23-1</f>
        <v/>
      </c>
      <c r="L42" s="894">
        <f>L23/K23-1</f>
        <v/>
      </c>
      <c r="M42" s="894">
        <f>M23/L23-1</f>
        <v/>
      </c>
      <c r="N42" s="894">
        <f>N23/M23-1</f>
        <v/>
      </c>
      <c r="O42" s="894">
        <f>O23/N23-1</f>
        <v/>
      </c>
      <c r="P42" s="894">
        <f>P23/O23-1</f>
        <v/>
      </c>
      <c r="Q42" s="894">
        <f>Q23/P23-1</f>
        <v/>
      </c>
      <c r="R42" s="894">
        <f>R23/Q23-1</f>
        <v/>
      </c>
      <c r="S42" s="894">
        <f>S23/R23-1</f>
        <v/>
      </c>
      <c r="T42" s="894">
        <f>T23/S23-1</f>
        <v/>
      </c>
    </row>
    <row r="43" customFormat="1" s="20">
      <c r="A43" s="89" t="n"/>
      <c r="B43" s="861" t="n"/>
      <c r="C43" s="861" t="n"/>
      <c r="D43" s="861" t="n"/>
      <c r="E43" s="861" t="n"/>
      <c r="F43" s="861" t="n"/>
      <c r="G43" s="861" t="n"/>
      <c r="H43" s="861" t="n"/>
      <c r="I43" s="861" t="n"/>
      <c r="J43" s="861" t="n"/>
      <c r="K43" s="861" t="n"/>
      <c r="L43" s="861" t="n"/>
      <c r="M43" s="861" t="n"/>
      <c r="N43" s="861" t="n"/>
      <c r="O43" s="861" t="n"/>
      <c r="P43" s="861" t="n"/>
      <c r="Q43" s="861" t="n"/>
      <c r="R43" s="861" t="n"/>
      <c r="S43" s="861" t="n"/>
      <c r="T43" s="861" t="n"/>
    </row>
    <row r="44" customFormat="1" s="20">
      <c r="A44" s="32" t="inlineStr">
        <is>
          <t>Margin</t>
        </is>
      </c>
    </row>
    <row r="45" customFormat="1" s="20">
      <c r="A45" s="56" t="inlineStr">
        <is>
          <t>Gross Margin</t>
        </is>
      </c>
      <c r="B45" s="861" t="n"/>
      <c r="C45" s="861">
        <f>+C15/C13</f>
        <v/>
      </c>
      <c r="D45" s="861">
        <f>+D15/D13</f>
        <v/>
      </c>
      <c r="E45" s="861">
        <f>+E15/E13</f>
        <v/>
      </c>
      <c r="F45" s="861">
        <f>+F15/F13</f>
        <v/>
      </c>
      <c r="G45" s="861">
        <f>+G15/G13</f>
        <v/>
      </c>
      <c r="H45" s="861">
        <f>+H15/H13</f>
        <v/>
      </c>
      <c r="I45" s="861">
        <f>+I15/I13</f>
        <v/>
      </c>
      <c r="J45" s="861">
        <f>+J15/J13</f>
        <v/>
      </c>
      <c r="K45" s="861">
        <f>+K15/K13</f>
        <v/>
      </c>
      <c r="L45" s="861">
        <f>+L15/L13</f>
        <v/>
      </c>
      <c r="M45" s="861">
        <f>+M15/M13</f>
        <v/>
      </c>
      <c r="N45" s="861">
        <f>+N15/N13</f>
        <v/>
      </c>
      <c r="O45" s="861">
        <f>+O15/O13</f>
        <v/>
      </c>
      <c r="P45" s="861">
        <f>+P15/P13</f>
        <v/>
      </c>
      <c r="Q45" s="861">
        <f>+Q15/Q13</f>
        <v/>
      </c>
      <c r="R45" s="861">
        <f>+R15/R13</f>
        <v/>
      </c>
      <c r="S45" s="861">
        <f>+S15/S13</f>
        <v/>
      </c>
      <c r="T45" s="861">
        <f>+T15/T13</f>
        <v/>
      </c>
    </row>
    <row r="46" hidden="1" customFormat="1" s="20">
      <c r="A46" s="89">
        <f>INDEX(Assumption!A:A,Financials!#REF!-1)</f>
        <v/>
      </c>
      <c r="B46" s="861" t="n"/>
      <c r="C46" s="861" t="n"/>
      <c r="D46" s="861" t="n"/>
      <c r="E46" s="861" t="n"/>
      <c r="F46" s="861" t="n"/>
      <c r="G46" s="861" t="n"/>
      <c r="H46" s="861" t="n"/>
      <c r="I46" s="861" t="n"/>
      <c r="J46" s="861" t="n"/>
      <c r="K46" s="861" t="n"/>
      <c r="L46" s="861" t="n"/>
      <c r="M46" s="861" t="n"/>
      <c r="N46" s="861" t="n"/>
      <c r="O46" s="861" t="n"/>
      <c r="P46" s="861" t="n"/>
      <c r="Q46" s="861" t="n"/>
      <c r="R46" s="861" t="n"/>
      <c r="S46" s="861" t="n"/>
      <c r="T46" s="861" t="n"/>
    </row>
    <row r="47" hidden="1" customFormat="1" s="20">
      <c r="A47" s="89">
        <f>INDEX(Assumption!A:A,Financials!#REF!-1)</f>
        <v/>
      </c>
      <c r="B47" s="861" t="n"/>
      <c r="C47" s="861" t="n"/>
      <c r="D47" s="861" t="n"/>
      <c r="E47" s="861" t="n"/>
      <c r="F47" s="861" t="n"/>
      <c r="G47" s="861" t="n"/>
      <c r="H47" s="861" t="n"/>
      <c r="I47" s="861" t="n"/>
      <c r="J47" s="861" t="n"/>
      <c r="K47" s="861" t="n"/>
      <c r="L47" s="861" t="n"/>
      <c r="M47" s="861" t="n"/>
      <c r="N47" s="861" t="n"/>
      <c r="O47" s="861" t="n"/>
      <c r="P47" s="861" t="n"/>
      <c r="Q47" s="861" t="n"/>
      <c r="R47" s="861" t="n"/>
      <c r="S47" s="861" t="n"/>
      <c r="T47" s="861" t="n"/>
    </row>
    <row r="48" hidden="1" customFormat="1" s="20">
      <c r="A48" s="89">
        <f>INDEX(Assumption!A:A,Financials!#REF!-1)</f>
        <v/>
      </c>
      <c r="B48" s="895" t="n"/>
      <c r="C48" s="895" t="n"/>
      <c r="D48" s="895" t="n"/>
      <c r="E48" s="895" t="n"/>
      <c r="F48" s="895" t="n"/>
      <c r="G48" s="895" t="n"/>
      <c r="H48" s="894" t="n"/>
      <c r="I48" s="894" t="n"/>
      <c r="J48" s="894" t="n"/>
      <c r="K48" s="894" t="n"/>
      <c r="L48" s="894" t="n"/>
      <c r="M48" s="894" t="n"/>
      <c r="N48" s="894" t="n"/>
      <c r="O48" s="894" t="n"/>
      <c r="P48" s="894" t="n"/>
      <c r="Q48" s="894" t="n"/>
      <c r="R48" s="894" t="n"/>
      <c r="S48" s="894" t="n"/>
      <c r="T48" s="894" t="n"/>
    </row>
    <row r="49" hidden="1" customFormat="1" s="20">
      <c r="A49" s="89">
        <f>INDEX(Assumption!A:A,Financials!#REF!-1)</f>
        <v/>
      </c>
      <c r="B49" s="895" t="n"/>
      <c r="C49" s="895" t="n"/>
      <c r="D49" s="895" t="n"/>
      <c r="E49" s="895" t="n"/>
      <c r="F49" s="895" t="n"/>
      <c r="G49" s="895" t="n"/>
      <c r="H49" s="894" t="n"/>
      <c r="I49" s="894" t="n"/>
      <c r="J49" s="894" t="n"/>
      <c r="K49" s="894" t="n"/>
      <c r="L49" s="894" t="n"/>
      <c r="M49" s="894" t="n"/>
      <c r="N49" s="894" t="n"/>
      <c r="O49" s="894" t="n"/>
      <c r="P49" s="894" t="n"/>
      <c r="Q49" s="894" t="n"/>
      <c r="R49" s="894" t="n"/>
      <c r="S49" s="894" t="n"/>
      <c r="T49" s="894" t="n"/>
    </row>
    <row r="50" customFormat="1" s="20">
      <c r="A50" s="56" t="inlineStr">
        <is>
          <t>Operating Margin</t>
        </is>
      </c>
      <c r="B50" s="861" t="n"/>
      <c r="C50" s="861">
        <f>+C17/C13</f>
        <v/>
      </c>
      <c r="D50" s="861">
        <f>+D17/D13</f>
        <v/>
      </c>
      <c r="E50" s="861">
        <f>+E17/E13</f>
        <v/>
      </c>
      <c r="F50" s="861">
        <f>+F17/F13</f>
        <v/>
      </c>
      <c r="G50" s="861">
        <f>+G17/G13</f>
        <v/>
      </c>
      <c r="H50" s="861">
        <f>+H17/H13</f>
        <v/>
      </c>
      <c r="I50" s="861">
        <f>+I17/I13</f>
        <v/>
      </c>
      <c r="J50" s="861">
        <f>+J17/J13</f>
        <v/>
      </c>
      <c r="K50" s="861">
        <f>+K17/K13</f>
        <v/>
      </c>
      <c r="L50" s="861">
        <f>+L17/L13</f>
        <v/>
      </c>
      <c r="M50" s="861">
        <f>+M17/M13</f>
        <v/>
      </c>
      <c r="N50" s="861">
        <f>+N17/N13</f>
        <v/>
      </c>
      <c r="O50" s="861">
        <f>+O17/O13</f>
        <v/>
      </c>
      <c r="P50" s="861">
        <f>+P17/P13</f>
        <v/>
      </c>
      <c r="Q50" s="861">
        <f>+Q17/Q13</f>
        <v/>
      </c>
      <c r="R50" s="861">
        <f>+R17/R13</f>
        <v/>
      </c>
      <c r="S50" s="861">
        <f>+S17/S13</f>
        <v/>
      </c>
      <c r="T50" s="861">
        <f>+T17/T13</f>
        <v/>
      </c>
    </row>
    <row r="51" customFormat="1" s="20">
      <c r="A51" s="56" t="inlineStr">
        <is>
          <t>Pre-tax Margin</t>
        </is>
      </c>
      <c r="B51" s="861" t="n"/>
      <c r="C51" s="861">
        <f>+C20/C13</f>
        <v/>
      </c>
      <c r="D51" s="861">
        <f>+D20/D13</f>
        <v/>
      </c>
      <c r="E51" s="861">
        <f>+E20/E13</f>
        <v/>
      </c>
      <c r="F51" s="861">
        <f>+F20/F13</f>
        <v/>
      </c>
      <c r="G51" s="861">
        <f>+G20/G13</f>
        <v/>
      </c>
      <c r="H51" s="861">
        <f>+H20/H13</f>
        <v/>
      </c>
      <c r="I51" s="861">
        <f>+I20/I13</f>
        <v/>
      </c>
      <c r="J51" s="861">
        <f>+J20/J13</f>
        <v/>
      </c>
      <c r="K51" s="861">
        <f>+K20/K13</f>
        <v/>
      </c>
      <c r="L51" s="861">
        <f>+L20/L13</f>
        <v/>
      </c>
      <c r="M51" s="861">
        <f>+M20/M13</f>
        <v/>
      </c>
      <c r="N51" s="861">
        <f>+N20/N13</f>
        <v/>
      </c>
      <c r="O51" s="861">
        <f>+O20/O13</f>
        <v/>
      </c>
      <c r="P51" s="861">
        <f>+P20/P13</f>
        <v/>
      </c>
      <c r="Q51" s="861">
        <f>+Q20/Q13</f>
        <v/>
      </c>
      <c r="R51" s="861">
        <f>+R20/R13</f>
        <v/>
      </c>
      <c r="S51" s="861">
        <f>+S20/S13</f>
        <v/>
      </c>
      <c r="T51" s="861">
        <f>+T20/T13</f>
        <v/>
      </c>
    </row>
    <row r="52" customFormat="1" s="20">
      <c r="A52" s="56" t="inlineStr">
        <is>
          <t>Net Margin</t>
        </is>
      </c>
      <c r="B52" s="861" t="n"/>
      <c r="C52" s="861">
        <f>+C22/C13</f>
        <v/>
      </c>
      <c r="D52" s="861">
        <f>+D22/D13</f>
        <v/>
      </c>
      <c r="E52" s="861">
        <f>+E22/E13</f>
        <v/>
      </c>
      <c r="F52" s="861">
        <f>+F22/F13</f>
        <v/>
      </c>
      <c r="G52" s="861">
        <f>+G22/G13</f>
        <v/>
      </c>
      <c r="H52" s="861">
        <f>+H22/H13</f>
        <v/>
      </c>
      <c r="I52" s="861">
        <f>+I22/I13</f>
        <v/>
      </c>
      <c r="J52" s="861">
        <f>+J22/J13</f>
        <v/>
      </c>
      <c r="K52" s="861">
        <f>+K22/K13</f>
        <v/>
      </c>
      <c r="L52" s="861">
        <f>+L22/L13</f>
        <v/>
      </c>
      <c r="M52" s="861">
        <f>+M22/M13</f>
        <v/>
      </c>
      <c r="N52" s="861">
        <f>+N22/N13</f>
        <v/>
      </c>
      <c r="O52" s="861">
        <f>+O22/O13</f>
        <v/>
      </c>
      <c r="P52" s="861">
        <f>+P22/P13</f>
        <v/>
      </c>
      <c r="Q52" s="861">
        <f>+Q22/Q13</f>
        <v/>
      </c>
      <c r="R52" s="861">
        <f>+R22/R13</f>
        <v/>
      </c>
      <c r="S52" s="861">
        <f>+S22/S13</f>
        <v/>
      </c>
      <c r="T52" s="861">
        <f>+T22/T13</f>
        <v/>
      </c>
    </row>
    <row r="53" customFormat="1" s="20">
      <c r="A53" s="89" t="n"/>
      <c r="B53" s="861" t="n"/>
      <c r="C53" s="861" t="n"/>
      <c r="D53" s="861" t="n"/>
      <c r="E53" s="861" t="n"/>
      <c r="F53" s="861" t="n"/>
      <c r="G53" s="861" t="n"/>
      <c r="H53" s="861" t="n"/>
      <c r="I53" s="861" t="n"/>
      <c r="J53" s="861" t="n"/>
      <c r="K53" s="861" t="n"/>
      <c r="L53" s="861" t="n"/>
      <c r="M53" s="861" t="n"/>
      <c r="N53" s="861" t="n"/>
      <c r="O53" s="861" t="n"/>
      <c r="P53" s="861" t="n"/>
      <c r="Q53" s="861" t="n"/>
      <c r="R53" s="861" t="n"/>
      <c r="S53" s="861" t="n"/>
      <c r="T53" s="861" t="n"/>
    </row>
    <row r="54" customFormat="1" s="20">
      <c r="A54" s="32" t="inlineStr">
        <is>
          <t>Ratio</t>
        </is>
      </c>
    </row>
    <row r="55" customFormat="1" s="20">
      <c r="A55" s="56" t="inlineStr">
        <is>
          <t>ROIC</t>
        </is>
      </c>
      <c r="B55" s="861" t="n"/>
      <c r="C55" s="861">
        <f>FS_Y!F177</f>
        <v/>
      </c>
      <c r="D55" s="861">
        <f>FS_Y!G177</f>
        <v/>
      </c>
      <c r="E55" s="861">
        <f>FS_Y!H177</f>
        <v/>
      </c>
      <c r="F55" s="861">
        <f>FS_Y!I177</f>
        <v/>
      </c>
      <c r="G55" s="861">
        <f>FS_Y!J177</f>
        <v/>
      </c>
      <c r="H55" s="861">
        <f>FS_Y!K177</f>
        <v/>
      </c>
      <c r="I55" s="861">
        <f>FS_Y!L177</f>
        <v/>
      </c>
      <c r="J55" s="861">
        <f>FS_Y!M177</f>
        <v/>
      </c>
      <c r="K55" s="861">
        <f>FS_Y!N177</f>
        <v/>
      </c>
      <c r="L55" s="861">
        <f>FS_Y!O177</f>
        <v/>
      </c>
      <c r="M55" s="861">
        <f>FS_Y!P177</f>
        <v/>
      </c>
      <c r="N55" s="861">
        <f>FS_Y!Q177</f>
        <v/>
      </c>
      <c r="O55" s="861">
        <f>FS_Y!R177</f>
        <v/>
      </c>
      <c r="P55" s="861">
        <f>FS_Y!S177</f>
        <v/>
      </c>
      <c r="Q55" s="861">
        <f>FS_Y!T177</f>
        <v/>
      </c>
      <c r="R55" s="861">
        <f>FS_Y!U177</f>
        <v/>
      </c>
      <c r="S55" s="861">
        <f>FS_Y!V177</f>
        <v/>
      </c>
      <c r="T55" s="861">
        <f>FS_Y!W177</f>
        <v/>
      </c>
    </row>
    <row r="56" customFormat="1" s="20">
      <c r="A56" s="339" t="inlineStr">
        <is>
          <t>ROE</t>
        </is>
      </c>
      <c r="B56" s="896" t="n"/>
      <c r="C56" s="896">
        <f>FS_Y!F178</f>
        <v/>
      </c>
      <c r="D56" s="896">
        <f>FS_Y!G178</f>
        <v/>
      </c>
      <c r="E56" s="896">
        <f>FS_Y!H178</f>
        <v/>
      </c>
      <c r="F56" s="896">
        <f>FS_Y!I178</f>
        <v/>
      </c>
      <c r="G56" s="896">
        <f>FS_Y!J178</f>
        <v/>
      </c>
      <c r="H56" s="896">
        <f>FS_Y!K178</f>
        <v/>
      </c>
      <c r="I56" s="896">
        <f>FS_Y!L178</f>
        <v/>
      </c>
      <c r="J56" s="896">
        <f>FS_Y!M178</f>
        <v/>
      </c>
      <c r="K56" s="896">
        <f>FS_Y!N178</f>
        <v/>
      </c>
      <c r="L56" s="896">
        <f>FS_Y!O178</f>
        <v/>
      </c>
      <c r="M56" s="896">
        <f>FS_Y!P178</f>
        <v/>
      </c>
      <c r="N56" s="896">
        <f>FS_Y!Q178</f>
        <v/>
      </c>
      <c r="O56" s="896">
        <f>FS_Y!R178</f>
        <v/>
      </c>
      <c r="P56" s="896">
        <f>FS_Y!S178</f>
        <v/>
      </c>
      <c r="Q56" s="896">
        <f>FS_Y!T178</f>
        <v/>
      </c>
      <c r="R56" s="896">
        <f>FS_Y!U178</f>
        <v/>
      </c>
      <c r="S56" s="896">
        <f>FS_Y!V178</f>
        <v/>
      </c>
      <c r="T56" s="896">
        <f>FS_Y!W178</f>
        <v/>
      </c>
    </row>
    <row r="57" customFormat="1" s="20">
      <c r="A57" s="56" t="n"/>
    </row>
    <row r="58" customFormat="1" s="20">
      <c r="A58" s="56" t="n"/>
    </row>
    <row r="59" customFormat="1" s="20">
      <c r="A59" s="56" t="n"/>
    </row>
    <row r="60" customFormat="1" s="20">
      <c r="A60" s="313" t="inlineStr">
        <is>
          <t>Balance Sheet</t>
        </is>
      </c>
    </row>
    <row r="61">
      <c r="A61" s="105" t="n"/>
      <c r="R61" s="20" t="n"/>
      <c r="S61" s="20" t="n"/>
      <c r="T61" s="20" t="n"/>
    </row>
    <row r="62">
      <c r="A62" s="337">
        <f>A$6</f>
        <v/>
      </c>
      <c r="B62" s="336">
        <f>B$6</f>
        <v/>
      </c>
      <c r="C62" s="336">
        <f>C$6</f>
        <v/>
      </c>
      <c r="D62" s="336">
        <f>D$6</f>
        <v/>
      </c>
      <c r="E62" s="336">
        <f>E$6</f>
        <v/>
      </c>
      <c r="F62" s="336">
        <f>F$6</f>
        <v/>
      </c>
      <c r="G62" s="336">
        <f>G$6</f>
        <v/>
      </c>
      <c r="H62" s="336">
        <f>H$6</f>
        <v/>
      </c>
      <c r="I62" s="336">
        <f>I$6</f>
        <v/>
      </c>
      <c r="J62" s="336">
        <f>J$6</f>
        <v/>
      </c>
      <c r="K62" s="336">
        <f>K$6</f>
        <v/>
      </c>
      <c r="L62" s="336">
        <f>L$6</f>
        <v/>
      </c>
      <c r="M62" s="336">
        <f>M$6</f>
        <v/>
      </c>
      <c r="N62" s="336">
        <f>N$6</f>
        <v/>
      </c>
      <c r="O62" s="336">
        <f>O$6</f>
        <v/>
      </c>
      <c r="P62" s="336">
        <f>P$6</f>
        <v/>
      </c>
      <c r="Q62" s="336">
        <f>Q$6</f>
        <v/>
      </c>
      <c r="R62" s="336">
        <f>R$6</f>
        <v/>
      </c>
      <c r="S62" s="336">
        <f>S$6</f>
        <v/>
      </c>
      <c r="T62" s="336">
        <f>T$6</f>
        <v/>
      </c>
    </row>
    <row r="63">
      <c r="A63" s="56">
        <f>FS_Y!A44</f>
        <v/>
      </c>
      <c r="B63" s="64">
        <f>FS_Y!E44</f>
        <v/>
      </c>
      <c r="C63" s="464">
        <f>FS_Y!F44</f>
        <v/>
      </c>
      <c r="D63" s="464">
        <f>FS_Y!G44</f>
        <v/>
      </c>
      <c r="E63" s="464">
        <f>FS_Y!H44</f>
        <v/>
      </c>
      <c r="F63" s="464">
        <f>FS_Y!I44</f>
        <v/>
      </c>
      <c r="G63" s="464">
        <f>FS_Y!J44</f>
        <v/>
      </c>
      <c r="H63" s="464">
        <f>FS_Y!K44</f>
        <v/>
      </c>
      <c r="I63" s="464">
        <f>FS_Y!L44</f>
        <v/>
      </c>
      <c r="J63" s="464">
        <f>FS_Y!M44</f>
        <v/>
      </c>
      <c r="K63" s="464">
        <f>FS_Y!N44</f>
        <v/>
      </c>
      <c r="L63" s="464">
        <f>FS_Y!O44</f>
        <v/>
      </c>
      <c r="M63" s="464">
        <f>FS_Y!P44</f>
        <v/>
      </c>
      <c r="N63" s="464">
        <f>FS_Y!Q44</f>
        <v/>
      </c>
      <c r="O63" s="464">
        <f>FS_Y!R44</f>
        <v/>
      </c>
      <c r="P63" s="464">
        <f>FS_Y!S44</f>
        <v/>
      </c>
      <c r="Q63" s="464">
        <f>FS_Y!T44</f>
        <v/>
      </c>
      <c r="R63" s="464">
        <f>FS_Y!U44</f>
        <v/>
      </c>
      <c r="S63" s="464">
        <f>FS_Y!V44</f>
        <v/>
      </c>
      <c r="T63" s="464">
        <f>FS_Y!W44</f>
        <v/>
      </c>
    </row>
    <row r="64">
      <c r="A64" s="56">
        <f>FS_Y!A45</f>
        <v/>
      </c>
      <c r="B64" s="64">
        <f>FS_Y!E45</f>
        <v/>
      </c>
      <c r="C64" s="464">
        <f>FS_Y!F45</f>
        <v/>
      </c>
      <c r="D64" s="464">
        <f>FS_Y!G45</f>
        <v/>
      </c>
      <c r="E64" s="464">
        <f>FS_Y!H45</f>
        <v/>
      </c>
      <c r="F64" s="464">
        <f>FS_Y!I45</f>
        <v/>
      </c>
      <c r="G64" s="464">
        <f>FS_Y!J45</f>
        <v/>
      </c>
      <c r="H64" s="464">
        <f>FS_Y!K45</f>
        <v/>
      </c>
      <c r="I64" s="464">
        <f>FS_Y!L45</f>
        <v/>
      </c>
      <c r="J64" s="464">
        <f>FS_Y!M45</f>
        <v/>
      </c>
      <c r="K64" s="464">
        <f>FS_Y!N45</f>
        <v/>
      </c>
      <c r="L64" s="464">
        <f>FS_Y!O45</f>
        <v/>
      </c>
      <c r="M64" s="464">
        <f>FS_Y!P45</f>
        <v/>
      </c>
      <c r="N64" s="464">
        <f>FS_Y!Q45</f>
        <v/>
      </c>
      <c r="O64" s="464">
        <f>FS_Y!R45</f>
        <v/>
      </c>
      <c r="P64" s="464">
        <f>FS_Y!S45</f>
        <v/>
      </c>
      <c r="Q64" s="464">
        <f>FS_Y!T45</f>
        <v/>
      </c>
      <c r="R64" s="464">
        <f>FS_Y!U45</f>
        <v/>
      </c>
      <c r="S64" s="464">
        <f>FS_Y!V45</f>
        <v/>
      </c>
      <c r="T64" s="464">
        <f>FS_Y!W45</f>
        <v/>
      </c>
    </row>
    <row r="65">
      <c r="A65" s="56">
        <f>FS_Y!A46</f>
        <v/>
      </c>
      <c r="B65" s="64">
        <f>FS_Y!E46</f>
        <v/>
      </c>
      <c r="C65" s="464">
        <f>FS_Y!F46</f>
        <v/>
      </c>
      <c r="D65" s="464">
        <f>FS_Y!G46</f>
        <v/>
      </c>
      <c r="E65" s="464">
        <f>FS_Y!H46</f>
        <v/>
      </c>
      <c r="F65" s="464">
        <f>FS_Y!I46</f>
        <v/>
      </c>
      <c r="G65" s="464">
        <f>FS_Y!J46</f>
        <v/>
      </c>
      <c r="H65" s="464">
        <f>FS_Y!K46</f>
        <v/>
      </c>
      <c r="I65" s="464">
        <f>FS_Y!L46</f>
        <v/>
      </c>
      <c r="J65" s="464">
        <f>FS_Y!M46</f>
        <v/>
      </c>
      <c r="K65" s="464">
        <f>FS_Y!N46</f>
        <v/>
      </c>
      <c r="L65" s="464">
        <f>FS_Y!O46</f>
        <v/>
      </c>
      <c r="M65" s="464">
        <f>FS_Y!P46</f>
        <v/>
      </c>
      <c r="N65" s="464">
        <f>FS_Y!Q46</f>
        <v/>
      </c>
      <c r="O65" s="464">
        <f>FS_Y!R46</f>
        <v/>
      </c>
      <c r="P65" s="464">
        <f>FS_Y!S46</f>
        <v/>
      </c>
      <c r="Q65" s="464">
        <f>FS_Y!T46</f>
        <v/>
      </c>
      <c r="R65" s="464">
        <f>FS_Y!U46</f>
        <v/>
      </c>
      <c r="S65" s="464">
        <f>FS_Y!V46</f>
        <v/>
      </c>
      <c r="T65" s="464">
        <f>FS_Y!W46</f>
        <v/>
      </c>
    </row>
    <row r="66">
      <c r="A66" s="56">
        <f>FS_Y!A47</f>
        <v/>
      </c>
      <c r="B66" s="64">
        <f>FS_Y!E47</f>
        <v/>
      </c>
      <c r="C66" s="464">
        <f>FS_Y!F47</f>
        <v/>
      </c>
      <c r="D66" s="464">
        <f>FS_Y!G47</f>
        <v/>
      </c>
      <c r="E66" s="464">
        <f>FS_Y!H47</f>
        <v/>
      </c>
      <c r="F66" s="464">
        <f>FS_Y!I47</f>
        <v/>
      </c>
      <c r="G66" s="464">
        <f>FS_Y!J47</f>
        <v/>
      </c>
      <c r="H66" s="464">
        <f>FS_Y!K47</f>
        <v/>
      </c>
      <c r="I66" s="464">
        <f>FS_Y!L47</f>
        <v/>
      </c>
      <c r="J66" s="464">
        <f>FS_Y!M47</f>
        <v/>
      </c>
      <c r="K66" s="464">
        <f>FS_Y!N47</f>
        <v/>
      </c>
      <c r="L66" s="464">
        <f>FS_Y!O47</f>
        <v/>
      </c>
      <c r="M66" s="464">
        <f>FS_Y!P47</f>
        <v/>
      </c>
      <c r="N66" s="464">
        <f>FS_Y!Q47</f>
        <v/>
      </c>
      <c r="O66" s="464">
        <f>FS_Y!R47</f>
        <v/>
      </c>
      <c r="P66" s="464">
        <f>FS_Y!S47</f>
        <v/>
      </c>
      <c r="Q66" s="464">
        <f>FS_Y!T47</f>
        <v/>
      </c>
      <c r="R66" s="464">
        <f>FS_Y!U47</f>
        <v/>
      </c>
      <c r="S66" s="464">
        <f>FS_Y!V47</f>
        <v/>
      </c>
      <c r="T66" s="464">
        <f>FS_Y!W47</f>
        <v/>
      </c>
    </row>
    <row r="67">
      <c r="A67" s="56" t="inlineStr">
        <is>
          <t>Other current assets</t>
        </is>
      </c>
      <c r="B67" s="64">
        <f>SUM(FS_Y!E48:E50)</f>
        <v/>
      </c>
      <c r="C67" s="464">
        <f>SUM(FS_Y!F48:F50)</f>
        <v/>
      </c>
      <c r="D67" s="464">
        <f>SUM(FS_Y!G48:G50)</f>
        <v/>
      </c>
      <c r="E67" s="464">
        <f>SUM(FS_Y!H48:H50)</f>
        <v/>
      </c>
      <c r="F67" s="464">
        <f>SUM(FS_Y!I48:I50)</f>
        <v/>
      </c>
      <c r="G67" s="464">
        <f>SUM(FS_Y!J48:J50)</f>
        <v/>
      </c>
      <c r="H67" s="464">
        <f>SUM(FS_Y!K48:K50)</f>
        <v/>
      </c>
      <c r="I67" s="464">
        <f>SUM(FS_Y!L48:L50)</f>
        <v/>
      </c>
      <c r="J67" s="464">
        <f>SUM(FS_Y!M48:M50)</f>
        <v/>
      </c>
      <c r="K67" s="464">
        <f>SUM(FS_Y!N48:N50)</f>
        <v/>
      </c>
      <c r="L67" s="464">
        <f>SUM(FS_Y!O48:O50)</f>
        <v/>
      </c>
      <c r="M67" s="464">
        <f>SUM(FS_Y!P48:P50)</f>
        <v/>
      </c>
      <c r="N67" s="464">
        <f>SUM(FS_Y!Q48:Q50)</f>
        <v/>
      </c>
      <c r="O67" s="464">
        <f>SUM(FS_Y!R48:R50)</f>
        <v/>
      </c>
      <c r="P67" s="464">
        <f>SUM(FS_Y!S48:S50)</f>
        <v/>
      </c>
      <c r="Q67" s="464">
        <f>SUM(FS_Y!T48:T50)</f>
        <v/>
      </c>
      <c r="R67" s="464">
        <f>SUM(FS_Y!U48:U50)</f>
        <v/>
      </c>
      <c r="S67" s="464">
        <f>SUM(FS_Y!V48:V50)</f>
        <v/>
      </c>
      <c r="T67" s="464">
        <f>SUM(FS_Y!W48:W50)</f>
        <v/>
      </c>
    </row>
    <row r="68">
      <c r="A68" s="56" t="inlineStr">
        <is>
          <t>PP&amp;E and intangible assets</t>
        </is>
      </c>
      <c r="B68" s="64">
        <f>FS_Y!E54</f>
        <v/>
      </c>
      <c r="C68" s="464">
        <f>FS_Y!F54</f>
        <v/>
      </c>
      <c r="D68" s="464">
        <f>FS_Y!G54</f>
        <v/>
      </c>
      <c r="E68" s="464">
        <f>FS_Y!H54</f>
        <v/>
      </c>
      <c r="F68" s="464">
        <f>FS_Y!I54</f>
        <v/>
      </c>
      <c r="G68" s="464">
        <f>FS_Y!J54</f>
        <v/>
      </c>
      <c r="H68" s="464">
        <f>FS_Y!K54</f>
        <v/>
      </c>
      <c r="I68" s="464">
        <f>FS_Y!L54</f>
        <v/>
      </c>
      <c r="J68" s="464">
        <f>FS_Y!M54</f>
        <v/>
      </c>
      <c r="K68" s="464">
        <f>FS_Y!N54</f>
        <v/>
      </c>
      <c r="L68" s="464">
        <f>FS_Y!O54</f>
        <v/>
      </c>
      <c r="M68" s="464">
        <f>FS_Y!P54</f>
        <v/>
      </c>
      <c r="N68" s="464">
        <f>FS_Y!Q54</f>
        <v/>
      </c>
      <c r="O68" s="464">
        <f>FS_Y!R54</f>
        <v/>
      </c>
      <c r="P68" s="464">
        <f>FS_Y!S54</f>
        <v/>
      </c>
      <c r="Q68" s="464">
        <f>FS_Y!T54</f>
        <v/>
      </c>
      <c r="R68" s="464">
        <f>FS_Y!U54</f>
        <v/>
      </c>
      <c r="S68" s="464">
        <f>FS_Y!V54</f>
        <v/>
      </c>
      <c r="T68" s="464">
        <f>FS_Y!W54</f>
        <v/>
      </c>
    </row>
    <row r="69">
      <c r="A69" s="56" t="inlineStr">
        <is>
          <t>Other non-current assets</t>
        </is>
      </c>
      <c r="B69" s="64">
        <f>SUM(FS_Y!E52:E53,FS_Y!E55)</f>
        <v/>
      </c>
      <c r="C69" s="464">
        <f>SUM(FS_Y!F52:F53,FS_Y!F55)</f>
        <v/>
      </c>
      <c r="D69" s="464">
        <f>SUM(FS_Y!G52:G53,FS_Y!G55)</f>
        <v/>
      </c>
      <c r="E69" s="464">
        <f>SUM(FS_Y!H52:H53,FS_Y!H55)</f>
        <v/>
      </c>
      <c r="F69" s="464">
        <f>SUM(FS_Y!I52:I53,FS_Y!I55)</f>
        <v/>
      </c>
      <c r="G69" s="464">
        <f>SUM(FS_Y!J52:J53,FS_Y!J55)</f>
        <v/>
      </c>
      <c r="H69" s="464">
        <f>SUM(FS_Y!K52:K53,FS_Y!K55)</f>
        <v/>
      </c>
      <c r="I69" s="464">
        <f>SUM(FS_Y!L52:L53,FS_Y!L55)</f>
        <v/>
      </c>
      <c r="J69" s="464">
        <f>SUM(FS_Y!M52:M53,FS_Y!M55)</f>
        <v/>
      </c>
      <c r="K69" s="464">
        <f>SUM(FS_Y!N52:N53,FS_Y!N55)</f>
        <v/>
      </c>
      <c r="L69" s="464">
        <f>SUM(FS_Y!O52:O53,FS_Y!O55)</f>
        <v/>
      </c>
      <c r="M69" s="464">
        <f>SUM(FS_Y!P52:P53,FS_Y!P55)</f>
        <v/>
      </c>
      <c r="N69" s="464">
        <f>SUM(FS_Y!Q52:Q53,FS_Y!Q55)</f>
        <v/>
      </c>
      <c r="O69" s="464">
        <f>SUM(FS_Y!R52:R53,FS_Y!R55)</f>
        <v/>
      </c>
      <c r="P69" s="464">
        <f>SUM(FS_Y!S52:S53,FS_Y!S55)</f>
        <v/>
      </c>
      <c r="Q69" s="464">
        <f>SUM(FS_Y!T52:T53,FS_Y!T55)</f>
        <v/>
      </c>
      <c r="R69" s="464">
        <f>SUM(FS_Y!U52:U53,FS_Y!U55)</f>
        <v/>
      </c>
      <c r="S69" s="464">
        <f>SUM(FS_Y!V52:V53,FS_Y!V55)</f>
        <v/>
      </c>
      <c r="T69" s="464">
        <f>SUM(FS_Y!W52:W53,FS_Y!W55)</f>
        <v/>
      </c>
    </row>
    <row r="70" customFormat="1" s="22">
      <c r="A70" s="335" t="inlineStr">
        <is>
          <t>Total assets</t>
        </is>
      </c>
      <c r="B70" s="334">
        <f>FS_Y!E56</f>
        <v/>
      </c>
      <c r="C70" s="551">
        <f>FS_Y!F56</f>
        <v/>
      </c>
      <c r="D70" s="551">
        <f>FS_Y!G56</f>
        <v/>
      </c>
      <c r="E70" s="551">
        <f>FS_Y!H56</f>
        <v/>
      </c>
      <c r="F70" s="551">
        <f>FS_Y!I56</f>
        <v/>
      </c>
      <c r="G70" s="551">
        <f>FS_Y!J56</f>
        <v/>
      </c>
      <c r="H70" s="551">
        <f>FS_Y!K56</f>
        <v/>
      </c>
      <c r="I70" s="551">
        <f>FS_Y!L56</f>
        <v/>
      </c>
      <c r="J70" s="551">
        <f>FS_Y!M56</f>
        <v/>
      </c>
      <c r="K70" s="551">
        <f>FS_Y!N56</f>
        <v/>
      </c>
      <c r="L70" s="551">
        <f>FS_Y!O56</f>
        <v/>
      </c>
      <c r="M70" s="551">
        <f>FS_Y!P56</f>
        <v/>
      </c>
      <c r="N70" s="551">
        <f>FS_Y!Q56</f>
        <v/>
      </c>
      <c r="O70" s="551">
        <f>FS_Y!R56</f>
        <v/>
      </c>
      <c r="P70" s="551">
        <f>FS_Y!S56</f>
        <v/>
      </c>
      <c r="Q70" s="551">
        <f>FS_Y!T56</f>
        <v/>
      </c>
      <c r="R70" s="551">
        <f>FS_Y!U56</f>
        <v/>
      </c>
      <c r="S70" s="551">
        <f>FS_Y!V56</f>
        <v/>
      </c>
      <c r="T70" s="551">
        <f>FS_Y!W56</f>
        <v/>
      </c>
    </row>
    <row r="71" customFormat="1" s="22">
      <c r="A71" s="32" t="n"/>
      <c r="B71" s="66" t="n"/>
      <c r="C71" s="552" t="n"/>
      <c r="D71" s="552" t="n"/>
      <c r="E71" s="552" t="n"/>
      <c r="F71" s="552" t="n"/>
      <c r="G71" s="552" t="n"/>
      <c r="H71" s="552" t="n"/>
      <c r="I71" s="552" t="n"/>
      <c r="J71" s="552" t="n"/>
      <c r="K71" s="552" t="n"/>
      <c r="L71" s="552" t="n"/>
      <c r="M71" s="552" t="n"/>
      <c r="N71" s="552" t="n"/>
      <c r="O71" s="552" t="n"/>
      <c r="P71" s="552" t="n"/>
      <c r="Q71" s="552" t="n"/>
      <c r="R71" s="552" t="n"/>
      <c r="S71" s="552" t="n"/>
      <c r="T71" s="552" t="n"/>
    </row>
    <row r="72">
      <c r="A72" s="56" t="inlineStr">
        <is>
          <t>Debt</t>
        </is>
      </c>
      <c r="B72" s="464">
        <f>SUM(FS_Y!E58,FS_Y!E65)</f>
        <v/>
      </c>
      <c r="C72" s="464">
        <f>SUM(FS_Y!F58,FS_Y!F65)</f>
        <v/>
      </c>
      <c r="D72" s="464">
        <f>SUM(FS_Y!G58,FS_Y!G65)</f>
        <v/>
      </c>
      <c r="E72" s="464">
        <f>SUM(FS_Y!H58,FS_Y!H65)</f>
        <v/>
      </c>
      <c r="F72" s="464">
        <f>SUM(FS_Y!I58,FS_Y!I65)</f>
        <v/>
      </c>
      <c r="G72" s="464">
        <f>SUM(FS_Y!J58,FS_Y!J65)</f>
        <v/>
      </c>
      <c r="H72" s="464">
        <f>SUM(FS_Y!K58,FS_Y!K65)</f>
        <v/>
      </c>
      <c r="I72" s="464">
        <f>SUM(FS_Y!L58,FS_Y!L65)</f>
        <v/>
      </c>
      <c r="J72" s="464">
        <f>SUM(FS_Y!M58,FS_Y!M65)</f>
        <v/>
      </c>
      <c r="K72" s="464">
        <f>SUM(FS_Y!N58,FS_Y!N65)</f>
        <v/>
      </c>
      <c r="L72" s="464">
        <f>SUM(FS_Y!O58,FS_Y!O65)</f>
        <v/>
      </c>
      <c r="M72" s="464">
        <f>SUM(FS_Y!P58,FS_Y!P65)</f>
        <v/>
      </c>
      <c r="N72" s="464">
        <f>SUM(FS_Y!Q58,FS_Y!Q65)</f>
        <v/>
      </c>
      <c r="O72" s="464">
        <f>SUM(FS_Y!R58,FS_Y!R65)</f>
        <v/>
      </c>
      <c r="P72" s="464">
        <f>SUM(FS_Y!S58,FS_Y!S65)</f>
        <v/>
      </c>
      <c r="Q72" s="464">
        <f>SUM(FS_Y!T58,FS_Y!T65)</f>
        <v/>
      </c>
      <c r="R72" s="464">
        <f>SUM(FS_Y!U58,FS_Y!U65)</f>
        <v/>
      </c>
      <c r="S72" s="464">
        <f>SUM(FS_Y!V58,FS_Y!V65)</f>
        <v/>
      </c>
      <c r="T72" s="464">
        <f>SUM(FS_Y!W58,FS_Y!W65)</f>
        <v/>
      </c>
    </row>
    <row r="73">
      <c r="A73" s="56" t="inlineStr">
        <is>
          <t>Accounts payable</t>
        </is>
      </c>
      <c r="B73" s="64">
        <f>FS_Y!E59</f>
        <v/>
      </c>
      <c r="C73" s="464">
        <f>FS_Y!F59</f>
        <v/>
      </c>
      <c r="D73" s="464">
        <f>FS_Y!G59</f>
        <v/>
      </c>
      <c r="E73" s="464">
        <f>FS_Y!H59</f>
        <v/>
      </c>
      <c r="F73" s="464">
        <f>FS_Y!I59</f>
        <v/>
      </c>
      <c r="G73" s="464">
        <f>FS_Y!J59</f>
        <v/>
      </c>
      <c r="H73" s="464">
        <f>FS_Y!K59</f>
        <v/>
      </c>
      <c r="I73" s="464">
        <f>FS_Y!L59</f>
        <v/>
      </c>
      <c r="J73" s="464">
        <f>FS_Y!M59</f>
        <v/>
      </c>
      <c r="K73" s="464">
        <f>FS_Y!N59</f>
        <v/>
      </c>
      <c r="L73" s="464">
        <f>FS_Y!O59</f>
        <v/>
      </c>
      <c r="M73" s="464">
        <f>FS_Y!P59</f>
        <v/>
      </c>
      <c r="N73" s="464">
        <f>FS_Y!Q59</f>
        <v/>
      </c>
      <c r="O73" s="464">
        <f>FS_Y!R59</f>
        <v/>
      </c>
      <c r="P73" s="464">
        <f>FS_Y!S59</f>
        <v/>
      </c>
      <c r="Q73" s="464">
        <f>FS_Y!T59</f>
        <v/>
      </c>
      <c r="R73" s="464">
        <f>FS_Y!U59</f>
        <v/>
      </c>
      <c r="S73" s="464">
        <f>FS_Y!V59</f>
        <v/>
      </c>
      <c r="T73" s="464">
        <f>FS_Y!W59</f>
        <v/>
      </c>
    </row>
    <row r="74">
      <c r="A74" s="56" t="inlineStr">
        <is>
          <t>Other liabilities</t>
        </is>
      </c>
      <c r="B74" s="64">
        <f>SUM(FS_Y!E60:E62,FS_Y!E64)</f>
        <v/>
      </c>
      <c r="C74" s="464">
        <f>SUM(FS_Y!F60:F62,FS_Y!F64)</f>
        <v/>
      </c>
      <c r="D74" s="464">
        <f>SUM(FS_Y!G60:G62,FS_Y!G64)</f>
        <v/>
      </c>
      <c r="E74" s="464">
        <f>SUM(FS_Y!H60:H62,FS_Y!H64)</f>
        <v/>
      </c>
      <c r="F74" s="464">
        <f>SUM(FS_Y!I60:I62,FS_Y!I64)</f>
        <v/>
      </c>
      <c r="G74" s="464">
        <f>SUM(FS_Y!J60:J62,FS_Y!J64)</f>
        <v/>
      </c>
      <c r="H74" s="464">
        <f>SUM(FS_Y!K60:K62,FS_Y!K64)</f>
        <v/>
      </c>
      <c r="I74" s="464">
        <f>SUM(FS_Y!L60:L62,FS_Y!L64)</f>
        <v/>
      </c>
      <c r="J74" s="464">
        <f>SUM(FS_Y!M60:M62,FS_Y!M64)</f>
        <v/>
      </c>
      <c r="K74" s="464">
        <f>SUM(FS_Y!N60:N62,FS_Y!N64)</f>
        <v/>
      </c>
      <c r="L74" s="464">
        <f>SUM(FS_Y!O60:O62,FS_Y!O64)</f>
        <v/>
      </c>
      <c r="M74" s="464">
        <f>SUM(FS_Y!P60:P62,FS_Y!P64)</f>
        <v/>
      </c>
      <c r="N74" s="464">
        <f>SUM(FS_Y!Q60:Q62,FS_Y!Q64)</f>
        <v/>
      </c>
      <c r="O74" s="464">
        <f>SUM(FS_Y!R60:R62,FS_Y!R64)</f>
        <v/>
      </c>
      <c r="P74" s="464">
        <f>SUM(FS_Y!S60:S62,FS_Y!S64)</f>
        <v/>
      </c>
      <c r="Q74" s="464">
        <f>SUM(FS_Y!T60:T62,FS_Y!T64)</f>
        <v/>
      </c>
      <c r="R74" s="464">
        <f>SUM(FS_Y!U60:U62,FS_Y!U64)</f>
        <v/>
      </c>
      <c r="S74" s="464">
        <f>SUM(FS_Y!V60:V62,FS_Y!V64)</f>
        <v/>
      </c>
      <c r="T74" s="464">
        <f>SUM(FS_Y!W60:W62,FS_Y!W64)</f>
        <v/>
      </c>
    </row>
    <row r="75" customFormat="1" s="22">
      <c r="A75" s="335" t="inlineStr">
        <is>
          <t>Total liabilities</t>
        </is>
      </c>
      <c r="B75" s="334">
        <f>FS_Y!E66</f>
        <v/>
      </c>
      <c r="C75" s="551">
        <f>FS_Y!F66</f>
        <v/>
      </c>
      <c r="D75" s="551">
        <f>FS_Y!G66</f>
        <v/>
      </c>
      <c r="E75" s="551">
        <f>FS_Y!H66</f>
        <v/>
      </c>
      <c r="F75" s="551">
        <f>FS_Y!I66</f>
        <v/>
      </c>
      <c r="G75" s="551">
        <f>FS_Y!J66</f>
        <v/>
      </c>
      <c r="H75" s="551">
        <f>FS_Y!K66</f>
        <v/>
      </c>
      <c r="I75" s="551">
        <f>FS_Y!L66</f>
        <v/>
      </c>
      <c r="J75" s="551">
        <f>FS_Y!M66</f>
        <v/>
      </c>
      <c r="K75" s="551">
        <f>FS_Y!N66</f>
        <v/>
      </c>
      <c r="L75" s="551">
        <f>FS_Y!O66</f>
        <v/>
      </c>
      <c r="M75" s="551">
        <f>FS_Y!P66</f>
        <v/>
      </c>
      <c r="N75" s="551">
        <f>FS_Y!Q66</f>
        <v/>
      </c>
      <c r="O75" s="551">
        <f>FS_Y!R66</f>
        <v/>
      </c>
      <c r="P75" s="551">
        <f>FS_Y!S66</f>
        <v/>
      </c>
      <c r="Q75" s="551">
        <f>FS_Y!T66</f>
        <v/>
      </c>
      <c r="R75" s="551">
        <f>FS_Y!U66</f>
        <v/>
      </c>
      <c r="S75" s="551">
        <f>FS_Y!V66</f>
        <v/>
      </c>
      <c r="T75" s="551">
        <f>FS_Y!W66</f>
        <v/>
      </c>
    </row>
    <row r="76" customFormat="1" s="22">
      <c r="A76" s="32" t="n"/>
      <c r="B76" s="66" t="n"/>
      <c r="C76" s="552" t="n"/>
      <c r="D76" s="552" t="n"/>
      <c r="E76" s="552" t="n"/>
      <c r="F76" s="552" t="n"/>
      <c r="G76" s="552" t="n"/>
      <c r="H76" s="552" t="n"/>
      <c r="I76" s="552" t="n"/>
      <c r="J76" s="552" t="n"/>
      <c r="K76" s="552" t="n"/>
      <c r="L76" s="552" t="n"/>
      <c r="M76" s="552" t="n"/>
      <c r="N76" s="552" t="n"/>
      <c r="O76" s="552" t="n"/>
      <c r="P76" s="552" t="n"/>
      <c r="Q76" s="552" t="n"/>
      <c r="R76" s="552" t="n"/>
      <c r="S76" s="552" t="n"/>
      <c r="T76" s="552" t="n"/>
    </row>
    <row r="77">
      <c r="A77" s="56">
        <f>FS_Y!A68</f>
        <v/>
      </c>
      <c r="B77" s="464">
        <f>FS_Y!E68</f>
        <v/>
      </c>
      <c r="C77" s="464">
        <f>FS_Y!F68</f>
        <v/>
      </c>
      <c r="D77" s="464">
        <f>FS_Y!G68</f>
        <v/>
      </c>
      <c r="E77" s="464">
        <f>FS_Y!H68</f>
        <v/>
      </c>
      <c r="F77" s="464">
        <f>FS_Y!I68</f>
        <v/>
      </c>
      <c r="G77" s="464">
        <f>FS_Y!J68</f>
        <v/>
      </c>
      <c r="H77" s="464">
        <f>FS_Y!K68</f>
        <v/>
      </c>
      <c r="I77" s="464">
        <f>FS_Y!L68</f>
        <v/>
      </c>
      <c r="J77" s="464">
        <f>FS_Y!M68</f>
        <v/>
      </c>
      <c r="K77" s="464">
        <f>FS_Y!N68</f>
        <v/>
      </c>
      <c r="L77" s="464">
        <f>FS_Y!O68</f>
        <v/>
      </c>
      <c r="M77" s="464">
        <f>FS_Y!P68</f>
        <v/>
      </c>
      <c r="N77" s="464">
        <f>FS_Y!Q68</f>
        <v/>
      </c>
      <c r="O77" s="464">
        <f>FS_Y!R68</f>
        <v/>
      </c>
      <c r="P77" s="464">
        <f>FS_Y!S68</f>
        <v/>
      </c>
      <c r="Q77" s="464">
        <f>FS_Y!T68</f>
        <v/>
      </c>
      <c r="R77" s="464">
        <f>FS_Y!U68</f>
        <v/>
      </c>
      <c r="S77" s="464">
        <f>FS_Y!V68</f>
        <v/>
      </c>
      <c r="T77" s="464">
        <f>FS_Y!W68</f>
        <v/>
      </c>
    </row>
    <row r="78">
      <c r="A78" s="56">
        <f>FS_Y!A69</f>
        <v/>
      </c>
      <c r="B78" s="464">
        <f>FS_Y!E69</f>
        <v/>
      </c>
      <c r="C78" s="464">
        <f>FS_Y!F69</f>
        <v/>
      </c>
      <c r="D78" s="464">
        <f>FS_Y!G69</f>
        <v/>
      </c>
      <c r="E78" s="464">
        <f>FS_Y!H69</f>
        <v/>
      </c>
      <c r="F78" s="464">
        <f>FS_Y!I69</f>
        <v/>
      </c>
      <c r="G78" s="464">
        <f>FS_Y!J69</f>
        <v/>
      </c>
      <c r="H78" s="464">
        <f>FS_Y!K69</f>
        <v/>
      </c>
      <c r="I78" s="464">
        <f>FS_Y!L69</f>
        <v/>
      </c>
      <c r="J78" s="464">
        <f>FS_Y!M69</f>
        <v/>
      </c>
      <c r="K78" s="464">
        <f>FS_Y!N69</f>
        <v/>
      </c>
      <c r="L78" s="464">
        <f>FS_Y!O69</f>
        <v/>
      </c>
      <c r="M78" s="464">
        <f>FS_Y!P69</f>
        <v/>
      </c>
      <c r="N78" s="464">
        <f>FS_Y!Q69</f>
        <v/>
      </c>
      <c r="O78" s="464">
        <f>FS_Y!R69</f>
        <v/>
      </c>
      <c r="P78" s="464">
        <f>FS_Y!S69</f>
        <v/>
      </c>
      <c r="Q78" s="464">
        <f>FS_Y!T69</f>
        <v/>
      </c>
      <c r="R78" s="464">
        <f>FS_Y!U69</f>
        <v/>
      </c>
      <c r="S78" s="464">
        <f>FS_Y!V69</f>
        <v/>
      </c>
      <c r="T78" s="464">
        <f>FS_Y!W69</f>
        <v/>
      </c>
    </row>
    <row r="79">
      <c r="A79" s="56">
        <f>FS_Y!A70</f>
        <v/>
      </c>
      <c r="B79" s="464">
        <f>FS_Y!E70</f>
        <v/>
      </c>
      <c r="C79" s="464">
        <f>FS_Y!F70</f>
        <v/>
      </c>
      <c r="D79" s="464">
        <f>FS_Y!G70</f>
        <v/>
      </c>
      <c r="E79" s="464">
        <f>FS_Y!H70</f>
        <v/>
      </c>
      <c r="F79" s="464">
        <f>FS_Y!I70</f>
        <v/>
      </c>
      <c r="G79" s="464">
        <f>FS_Y!J70</f>
        <v/>
      </c>
      <c r="H79" s="464">
        <f>FS_Y!K70</f>
        <v/>
      </c>
      <c r="I79" s="464">
        <f>FS_Y!L70</f>
        <v/>
      </c>
      <c r="J79" s="464">
        <f>FS_Y!M70</f>
        <v/>
      </c>
      <c r="K79" s="464">
        <f>FS_Y!N70</f>
        <v/>
      </c>
      <c r="L79" s="464">
        <f>FS_Y!O70</f>
        <v/>
      </c>
      <c r="M79" s="464">
        <f>FS_Y!P70</f>
        <v/>
      </c>
      <c r="N79" s="464">
        <f>FS_Y!Q70</f>
        <v/>
      </c>
      <c r="O79" s="464">
        <f>FS_Y!R70</f>
        <v/>
      </c>
      <c r="P79" s="464">
        <f>FS_Y!S70</f>
        <v/>
      </c>
      <c r="Q79" s="464">
        <f>FS_Y!T70</f>
        <v/>
      </c>
      <c r="R79" s="464">
        <f>FS_Y!U70</f>
        <v/>
      </c>
      <c r="S79" s="464">
        <f>FS_Y!V70</f>
        <v/>
      </c>
      <c r="T79" s="464">
        <f>FS_Y!W70</f>
        <v/>
      </c>
    </row>
    <row r="80">
      <c r="A80" s="56">
        <f>FS_Y!A71</f>
        <v/>
      </c>
      <c r="B80" s="464">
        <f>FS_Y!E71</f>
        <v/>
      </c>
      <c r="C80" s="464">
        <f>FS_Y!F71</f>
        <v/>
      </c>
      <c r="D80" s="464">
        <f>FS_Y!G71</f>
        <v/>
      </c>
      <c r="E80" s="464">
        <f>FS_Y!H71</f>
        <v/>
      </c>
      <c r="F80" s="464">
        <f>FS_Y!I71</f>
        <v/>
      </c>
      <c r="G80" s="464">
        <f>FS_Y!J71</f>
        <v/>
      </c>
      <c r="H80" s="464">
        <f>FS_Y!K71</f>
        <v/>
      </c>
      <c r="I80" s="464">
        <f>FS_Y!L71</f>
        <v/>
      </c>
      <c r="J80" s="464">
        <f>FS_Y!M71</f>
        <v/>
      </c>
      <c r="K80" s="464">
        <f>FS_Y!N71</f>
        <v/>
      </c>
      <c r="L80" s="464">
        <f>FS_Y!O71</f>
        <v/>
      </c>
      <c r="M80" s="464">
        <f>FS_Y!P71</f>
        <v/>
      </c>
      <c r="N80" s="464">
        <f>FS_Y!Q71</f>
        <v/>
      </c>
      <c r="O80" s="464">
        <f>FS_Y!R71</f>
        <v/>
      </c>
      <c r="P80" s="464">
        <f>FS_Y!S71</f>
        <v/>
      </c>
      <c r="Q80" s="464">
        <f>FS_Y!T71</f>
        <v/>
      </c>
      <c r="R80" s="464">
        <f>FS_Y!U71</f>
        <v/>
      </c>
      <c r="S80" s="464">
        <f>FS_Y!V71</f>
        <v/>
      </c>
      <c r="T80" s="464">
        <f>FS_Y!W71</f>
        <v/>
      </c>
    </row>
    <row r="81">
      <c r="A81" s="56">
        <f>FS_Y!A72</f>
        <v/>
      </c>
      <c r="B81" s="464">
        <f>FS_Y!E72</f>
        <v/>
      </c>
      <c r="C81" s="464">
        <f>FS_Y!F72</f>
        <v/>
      </c>
      <c r="D81" s="464">
        <f>FS_Y!G72</f>
        <v/>
      </c>
      <c r="E81" s="464">
        <f>FS_Y!H72</f>
        <v/>
      </c>
      <c r="F81" s="464">
        <f>FS_Y!I72</f>
        <v/>
      </c>
      <c r="G81" s="464">
        <f>FS_Y!J72</f>
        <v/>
      </c>
      <c r="H81" s="464">
        <f>FS_Y!K72</f>
        <v/>
      </c>
      <c r="I81" s="464">
        <f>FS_Y!L72</f>
        <v/>
      </c>
      <c r="J81" s="464">
        <f>FS_Y!M72</f>
        <v/>
      </c>
      <c r="K81" s="464">
        <f>FS_Y!N72</f>
        <v/>
      </c>
      <c r="L81" s="464">
        <f>FS_Y!O72</f>
        <v/>
      </c>
      <c r="M81" s="464">
        <f>FS_Y!P72</f>
        <v/>
      </c>
      <c r="N81" s="464">
        <f>FS_Y!Q72</f>
        <v/>
      </c>
      <c r="O81" s="464">
        <f>FS_Y!R72</f>
        <v/>
      </c>
      <c r="P81" s="464">
        <f>FS_Y!S72</f>
        <v/>
      </c>
      <c r="Q81" s="464">
        <f>FS_Y!T72</f>
        <v/>
      </c>
      <c r="R81" s="464">
        <f>FS_Y!U72</f>
        <v/>
      </c>
      <c r="S81" s="464">
        <f>FS_Y!V72</f>
        <v/>
      </c>
      <c r="T81" s="464">
        <f>FS_Y!W72</f>
        <v/>
      </c>
    </row>
    <row r="82">
      <c r="A82" s="32" t="inlineStr">
        <is>
          <t>Equity attributable to owners of the parent</t>
        </is>
      </c>
      <c r="B82" s="552">
        <f>FS_Y!E73</f>
        <v/>
      </c>
      <c r="C82" s="552">
        <f>FS_Y!F73</f>
        <v/>
      </c>
      <c r="D82" s="552">
        <f>FS_Y!G73</f>
        <v/>
      </c>
      <c r="E82" s="552">
        <f>FS_Y!H73</f>
        <v/>
      </c>
      <c r="F82" s="552">
        <f>FS_Y!I73</f>
        <v/>
      </c>
      <c r="G82" s="552">
        <f>FS_Y!J73</f>
        <v/>
      </c>
      <c r="H82" s="552">
        <f>FS_Y!K73</f>
        <v/>
      </c>
      <c r="I82" s="552">
        <f>FS_Y!L73</f>
        <v/>
      </c>
      <c r="J82" s="552">
        <f>FS_Y!M73</f>
        <v/>
      </c>
      <c r="K82" s="552">
        <f>FS_Y!N73</f>
        <v/>
      </c>
      <c r="L82" s="552">
        <f>FS_Y!O73</f>
        <v/>
      </c>
      <c r="M82" s="552">
        <f>FS_Y!P73</f>
        <v/>
      </c>
      <c r="N82" s="552">
        <f>FS_Y!Q73</f>
        <v/>
      </c>
      <c r="O82" s="552">
        <f>FS_Y!R73</f>
        <v/>
      </c>
      <c r="P82" s="552">
        <f>FS_Y!S73</f>
        <v/>
      </c>
      <c r="Q82" s="552">
        <f>FS_Y!T73</f>
        <v/>
      </c>
      <c r="R82" s="552">
        <f>FS_Y!U73</f>
        <v/>
      </c>
      <c r="S82" s="552">
        <f>FS_Y!V73</f>
        <v/>
      </c>
      <c r="T82" s="552">
        <f>FS_Y!W73</f>
        <v/>
      </c>
    </row>
    <row r="83" customFormat="1" s="22">
      <c r="A83" s="335" t="inlineStr">
        <is>
          <t>Total Equity</t>
        </is>
      </c>
      <c r="B83" s="334">
        <f>FS_Y!E75</f>
        <v/>
      </c>
      <c r="C83" s="551">
        <f>FS_Y!F75</f>
        <v/>
      </c>
      <c r="D83" s="551">
        <f>FS_Y!G75</f>
        <v/>
      </c>
      <c r="E83" s="551">
        <f>FS_Y!H75</f>
        <v/>
      </c>
      <c r="F83" s="551">
        <f>FS_Y!I75</f>
        <v/>
      </c>
      <c r="G83" s="551">
        <f>FS_Y!J75</f>
        <v/>
      </c>
      <c r="H83" s="551">
        <f>FS_Y!K75</f>
        <v/>
      </c>
      <c r="I83" s="551">
        <f>FS_Y!L75</f>
        <v/>
      </c>
      <c r="J83" s="551">
        <f>FS_Y!M75</f>
        <v/>
      </c>
      <c r="K83" s="551">
        <f>FS_Y!N75</f>
        <v/>
      </c>
      <c r="L83" s="551">
        <f>FS_Y!O75</f>
        <v/>
      </c>
      <c r="M83" s="551">
        <f>FS_Y!P75</f>
        <v/>
      </c>
      <c r="N83" s="551">
        <f>FS_Y!Q75</f>
        <v/>
      </c>
      <c r="O83" s="551">
        <f>FS_Y!R75</f>
        <v/>
      </c>
      <c r="P83" s="551">
        <f>FS_Y!S75</f>
        <v/>
      </c>
      <c r="Q83" s="551">
        <f>FS_Y!T75</f>
        <v/>
      </c>
      <c r="R83" s="551">
        <f>FS_Y!U75</f>
        <v/>
      </c>
      <c r="S83" s="551">
        <f>FS_Y!V75</f>
        <v/>
      </c>
      <c r="T83" s="551">
        <f>FS_Y!W75</f>
        <v/>
      </c>
    </row>
    <row r="84">
      <c r="A84" s="339" t="inlineStr">
        <is>
          <t>BVPS (USD)</t>
        </is>
      </c>
      <c r="B84" s="897">
        <f>FS_Y!E181</f>
        <v/>
      </c>
      <c r="C84" s="897">
        <f>FS_Y!F181</f>
        <v/>
      </c>
      <c r="D84" s="897">
        <f>FS_Y!G181</f>
        <v/>
      </c>
      <c r="E84" s="897">
        <f>FS_Y!H181</f>
        <v/>
      </c>
      <c r="F84" s="897">
        <f>FS_Y!I181</f>
        <v/>
      </c>
      <c r="G84" s="897">
        <f>FS_Y!J181</f>
        <v/>
      </c>
      <c r="H84" s="897">
        <f>FS_Y!K181</f>
        <v/>
      </c>
      <c r="I84" s="897">
        <f>FS_Y!L181</f>
        <v/>
      </c>
      <c r="J84" s="897">
        <f>FS_Y!M181</f>
        <v/>
      </c>
      <c r="K84" s="897">
        <f>FS_Y!N181</f>
        <v/>
      </c>
      <c r="L84" s="897">
        <f>FS_Y!O181</f>
        <v/>
      </c>
      <c r="M84" s="897">
        <f>FS_Y!P181</f>
        <v/>
      </c>
      <c r="N84" s="897">
        <f>FS_Y!Q181</f>
        <v/>
      </c>
      <c r="O84" s="897">
        <f>FS_Y!R181</f>
        <v/>
      </c>
      <c r="P84" s="897">
        <f>FS_Y!S181</f>
        <v/>
      </c>
      <c r="Q84" s="897">
        <f>FS_Y!T181</f>
        <v/>
      </c>
      <c r="R84" s="897">
        <f>FS_Y!U181</f>
        <v/>
      </c>
      <c r="S84" s="897">
        <f>FS_Y!V181</f>
        <v/>
      </c>
      <c r="T84" s="897">
        <f>FS_Y!W181</f>
        <v/>
      </c>
    </row>
    <row r="85" customFormat="1" s="20">
      <c r="A85" s="56" t="n"/>
    </row>
    <row r="86" customFormat="1" s="20">
      <c r="A86" s="56" t="n"/>
    </row>
    <row r="87" customFormat="1" s="20">
      <c r="A87" s="56" t="n"/>
    </row>
    <row r="88" customFormat="1" s="20">
      <c r="A88" s="313" t="inlineStr">
        <is>
          <t>Cash Flow Statement</t>
        </is>
      </c>
    </row>
    <row r="89">
      <c r="R89" s="20" t="n"/>
      <c r="S89" s="20" t="n"/>
      <c r="T89" s="20" t="n"/>
    </row>
    <row r="90" customFormat="1" s="20">
      <c r="A90" s="447">
        <f>A$6</f>
        <v/>
      </c>
      <c r="B90" s="445">
        <f>B$6</f>
        <v/>
      </c>
      <c r="C90" s="445">
        <f>C$6</f>
        <v/>
      </c>
      <c r="D90" s="445">
        <f>D$6</f>
        <v/>
      </c>
      <c r="E90" s="445">
        <f>E$6</f>
        <v/>
      </c>
      <c r="F90" s="445">
        <f>F$6</f>
        <v/>
      </c>
      <c r="G90" s="445">
        <f>G$6</f>
        <v/>
      </c>
      <c r="H90" s="336">
        <f>H$6</f>
        <v/>
      </c>
      <c r="I90" s="336">
        <f>I$6</f>
        <v/>
      </c>
      <c r="J90" s="336">
        <f>J$6</f>
        <v/>
      </c>
      <c r="K90" s="336">
        <f>K$6</f>
        <v/>
      </c>
      <c r="L90" s="336">
        <f>L$6</f>
        <v/>
      </c>
      <c r="M90" s="336">
        <f>M$6</f>
        <v/>
      </c>
      <c r="N90" s="336">
        <f>N$6</f>
        <v/>
      </c>
      <c r="O90" s="336">
        <f>O$6</f>
        <v/>
      </c>
      <c r="P90" s="336">
        <f>P$6</f>
        <v/>
      </c>
      <c r="Q90" s="336">
        <f>Q$6</f>
        <v/>
      </c>
      <c r="R90" s="336">
        <f>R$6</f>
        <v/>
      </c>
      <c r="S90" s="336">
        <f>S$6</f>
        <v/>
      </c>
      <c r="T90" s="336">
        <f>T$6</f>
        <v/>
      </c>
    </row>
    <row r="91" customFormat="1" s="20">
      <c r="A91" s="105" t="inlineStr">
        <is>
          <t>Net income</t>
        </is>
      </c>
      <c r="B91" s="50">
        <f>FS_Y!E91</f>
        <v/>
      </c>
      <c r="C91" s="517">
        <f>FS_Y!F91</f>
        <v/>
      </c>
      <c r="D91" s="517">
        <f>FS_Y!G91</f>
        <v/>
      </c>
      <c r="E91" s="517">
        <f>FS_Y!H91</f>
        <v/>
      </c>
      <c r="F91" s="517">
        <f>FS_Y!I91</f>
        <v/>
      </c>
      <c r="G91" s="517">
        <f>FS_Y!J91</f>
        <v/>
      </c>
      <c r="H91" s="464">
        <f>FS_Y!K91</f>
        <v/>
      </c>
      <c r="I91" s="464">
        <f>FS_Y!L91</f>
        <v/>
      </c>
      <c r="J91" s="464">
        <f>FS_Y!M91</f>
        <v/>
      </c>
      <c r="K91" s="464">
        <f>FS_Y!N91</f>
        <v/>
      </c>
      <c r="L91" s="464">
        <f>FS_Y!O91</f>
        <v/>
      </c>
      <c r="M91" s="464">
        <f>FS_Y!P91</f>
        <v/>
      </c>
      <c r="N91" s="464">
        <f>FS_Y!Q91</f>
        <v/>
      </c>
      <c r="O91" s="464">
        <f>FS_Y!R91</f>
        <v/>
      </c>
      <c r="P91" s="464">
        <f>FS_Y!S91</f>
        <v/>
      </c>
      <c r="Q91" s="464">
        <f>FS_Y!T91</f>
        <v/>
      </c>
      <c r="R91" s="464">
        <f>FS_Y!U91</f>
        <v/>
      </c>
      <c r="S91" s="464">
        <f>FS_Y!V91</f>
        <v/>
      </c>
      <c r="T91" s="464">
        <f>FS_Y!W91</f>
        <v/>
      </c>
    </row>
    <row r="92" customFormat="1" s="20">
      <c r="A92" s="105" t="inlineStr">
        <is>
          <t>Depreciation and amortization</t>
        </is>
      </c>
      <c r="B92" s="50">
        <f>FS_Y!E93</f>
        <v/>
      </c>
      <c r="C92" s="517">
        <f>FS_Y!F93</f>
        <v/>
      </c>
      <c r="D92" s="517">
        <f>FS_Y!G93</f>
        <v/>
      </c>
      <c r="E92" s="517">
        <f>FS_Y!H93</f>
        <v/>
      </c>
      <c r="F92" s="517">
        <f>FS_Y!I93</f>
        <v/>
      </c>
      <c r="G92" s="517">
        <f>FS_Y!J93</f>
        <v/>
      </c>
      <c r="H92" s="464">
        <f>FS_Y!K93</f>
        <v/>
      </c>
      <c r="I92" s="464">
        <f>FS_Y!L93</f>
        <v/>
      </c>
      <c r="J92" s="464">
        <f>FS_Y!M93</f>
        <v/>
      </c>
      <c r="K92" s="464">
        <f>FS_Y!N93</f>
        <v/>
      </c>
      <c r="L92" s="464">
        <f>FS_Y!O93</f>
        <v/>
      </c>
      <c r="M92" s="464">
        <f>FS_Y!P93</f>
        <v/>
      </c>
      <c r="N92" s="464">
        <f>FS_Y!Q93</f>
        <v/>
      </c>
      <c r="O92" s="464">
        <f>FS_Y!R93</f>
        <v/>
      </c>
      <c r="P92" s="464">
        <f>FS_Y!S93</f>
        <v/>
      </c>
      <c r="Q92" s="464">
        <f>FS_Y!T93</f>
        <v/>
      </c>
      <c r="R92" s="464">
        <f>FS_Y!U93</f>
        <v/>
      </c>
      <c r="S92" s="464">
        <f>FS_Y!V93</f>
        <v/>
      </c>
      <c r="T92" s="464">
        <f>FS_Y!W93</f>
        <v/>
      </c>
    </row>
    <row r="93" customFormat="1" s="20">
      <c r="A93" s="105" t="inlineStr">
        <is>
          <t>Change in working capital</t>
        </is>
      </c>
      <c r="B93" s="50">
        <f>SUM(FS_Y!E97:E101)</f>
        <v/>
      </c>
      <c r="C93" s="517">
        <f>SUM(FS_Y!F97:F101)</f>
        <v/>
      </c>
      <c r="D93" s="517">
        <f>SUM(FS_Y!G97:G101)</f>
        <v/>
      </c>
      <c r="E93" s="517">
        <f>SUM(FS_Y!H97:H101)</f>
        <v/>
      </c>
      <c r="F93" s="517">
        <f>SUM(FS_Y!I97:I101)</f>
        <v/>
      </c>
      <c r="G93" s="517">
        <f>SUM(FS_Y!J97:J101)</f>
        <v/>
      </c>
      <c r="H93" s="464">
        <f>SUM(FS_Y!K97:K101)</f>
        <v/>
      </c>
      <c r="I93" s="464">
        <f>SUM(FS_Y!L97:L101)</f>
        <v/>
      </c>
      <c r="J93" s="464">
        <f>SUM(FS_Y!M97:M101)</f>
        <v/>
      </c>
      <c r="K93" s="464">
        <f>SUM(FS_Y!N97:N101)</f>
        <v/>
      </c>
      <c r="L93" s="464">
        <f>SUM(FS_Y!O97:O101)</f>
        <v/>
      </c>
      <c r="M93" s="464">
        <f>SUM(FS_Y!P97:P101)</f>
        <v/>
      </c>
      <c r="N93" s="464">
        <f>SUM(FS_Y!Q97:Q101)</f>
        <v/>
      </c>
      <c r="O93" s="464">
        <f>SUM(FS_Y!R97:R101)</f>
        <v/>
      </c>
      <c r="P93" s="464">
        <f>SUM(FS_Y!S97:S101)</f>
        <v/>
      </c>
      <c r="Q93" s="464">
        <f>SUM(FS_Y!T97:T101)</f>
        <v/>
      </c>
      <c r="R93" s="464">
        <f>SUM(FS_Y!U97:U101)</f>
        <v/>
      </c>
      <c r="S93" s="464">
        <f>SUM(FS_Y!V97:V101)</f>
        <v/>
      </c>
      <c r="T93" s="464">
        <f>SUM(FS_Y!W97:W101)</f>
        <v/>
      </c>
    </row>
    <row r="94" customFormat="1" s="20">
      <c r="A94" s="105" t="inlineStr">
        <is>
          <t>Other operating cashflow</t>
        </is>
      </c>
      <c r="B94" s="50">
        <f>SUM(FS_Y!E94:E95)</f>
        <v/>
      </c>
      <c r="C94" s="517">
        <f>SUM(FS_Y!F94:F95)</f>
        <v/>
      </c>
      <c r="D94" s="517">
        <f>SUM(FS_Y!G94:G95)</f>
        <v/>
      </c>
      <c r="E94" s="517">
        <f>SUM(FS_Y!H94:H95)</f>
        <v/>
      </c>
      <c r="F94" s="517">
        <f>SUM(FS_Y!I94:I95)</f>
        <v/>
      </c>
      <c r="G94" s="517">
        <f>SUM(FS_Y!J94:J95)</f>
        <v/>
      </c>
      <c r="H94" s="464">
        <f>SUM(FS_Y!K94:K95)</f>
        <v/>
      </c>
      <c r="I94" s="464">
        <f>SUM(FS_Y!L94:L95)</f>
        <v/>
      </c>
      <c r="J94" s="464">
        <f>SUM(FS_Y!M94:M95)</f>
        <v/>
      </c>
      <c r="K94" s="464">
        <f>SUM(FS_Y!N94:N95)</f>
        <v/>
      </c>
      <c r="L94" s="464">
        <f>SUM(FS_Y!O94:O95)</f>
        <v/>
      </c>
      <c r="M94" s="464">
        <f>SUM(FS_Y!P94:P95)</f>
        <v/>
      </c>
      <c r="N94" s="464">
        <f>SUM(FS_Y!Q94:Q95)</f>
        <v/>
      </c>
      <c r="O94" s="464">
        <f>SUM(FS_Y!R94:R95)</f>
        <v/>
      </c>
      <c r="P94" s="464">
        <f>SUM(FS_Y!S94:S95)</f>
        <v/>
      </c>
      <c r="Q94" s="464">
        <f>SUM(FS_Y!T94:T95)</f>
        <v/>
      </c>
      <c r="R94" s="464">
        <f>SUM(FS_Y!U94:U95)</f>
        <v/>
      </c>
      <c r="S94" s="464">
        <f>SUM(FS_Y!V94:V95)</f>
        <v/>
      </c>
      <c r="T94" s="464">
        <f>SUM(FS_Y!W94:W95)</f>
        <v/>
      </c>
    </row>
    <row r="95" customFormat="1" s="20">
      <c r="A95" s="448" t="inlineStr">
        <is>
          <t>Net Cash flows from operating activities</t>
        </is>
      </c>
      <c r="B95" s="446">
        <f>FS_Y!E102</f>
        <v/>
      </c>
      <c r="C95" s="553">
        <f>FS_Y!F102</f>
        <v/>
      </c>
      <c r="D95" s="553">
        <f>FS_Y!G102</f>
        <v/>
      </c>
      <c r="E95" s="553">
        <f>FS_Y!H102</f>
        <v/>
      </c>
      <c r="F95" s="553">
        <f>FS_Y!I102</f>
        <v/>
      </c>
      <c r="G95" s="553">
        <f>FS_Y!J102</f>
        <v/>
      </c>
      <c r="H95" s="551">
        <f>FS_Y!K102</f>
        <v/>
      </c>
      <c r="I95" s="551">
        <f>FS_Y!L102</f>
        <v/>
      </c>
      <c r="J95" s="551">
        <f>FS_Y!M102</f>
        <v/>
      </c>
      <c r="K95" s="551">
        <f>FS_Y!N102</f>
        <v/>
      </c>
      <c r="L95" s="551">
        <f>FS_Y!O102</f>
        <v/>
      </c>
      <c r="M95" s="551">
        <f>FS_Y!P102</f>
        <v/>
      </c>
      <c r="N95" s="551">
        <f>FS_Y!Q102</f>
        <v/>
      </c>
      <c r="O95" s="551">
        <f>FS_Y!R102</f>
        <v/>
      </c>
      <c r="P95" s="551">
        <f>FS_Y!S102</f>
        <v/>
      </c>
      <c r="Q95" s="551">
        <f>FS_Y!T102</f>
        <v/>
      </c>
      <c r="R95" s="551">
        <f>FS_Y!U102</f>
        <v/>
      </c>
      <c r="S95" s="551">
        <f>FS_Y!V102</f>
        <v/>
      </c>
      <c r="T95" s="551">
        <f>FS_Y!W102</f>
        <v/>
      </c>
    </row>
    <row r="96" customFormat="1" s="20">
      <c r="A96" s="105" t="n"/>
      <c r="B96" s="50" t="n"/>
      <c r="C96" s="517" t="n"/>
      <c r="D96" s="517" t="n"/>
      <c r="E96" s="517" t="n"/>
      <c r="F96" s="517" t="n"/>
      <c r="G96" s="517" t="n"/>
      <c r="H96" s="464" t="n"/>
      <c r="I96" s="464" t="n"/>
      <c r="J96" s="464" t="n"/>
      <c r="K96" s="464" t="n"/>
      <c r="L96" s="464" t="n"/>
      <c r="M96" s="464" t="n"/>
      <c r="N96" s="464" t="n"/>
      <c r="O96" s="464" t="n"/>
      <c r="P96" s="464" t="n"/>
      <c r="Q96" s="464" t="n"/>
      <c r="R96" s="464" t="n"/>
      <c r="S96" s="464" t="n"/>
      <c r="T96" s="464" t="n"/>
    </row>
    <row r="97" customFormat="1" s="20">
      <c r="A97" s="105" t="inlineStr">
        <is>
          <t>Cash paid to acquire PP&amp;E and intangible assets</t>
        </is>
      </c>
      <c r="B97" s="50">
        <f>FS_Y!E105</f>
        <v/>
      </c>
      <c r="C97" s="517">
        <f>FS_Y!F105</f>
        <v/>
      </c>
      <c r="D97" s="517">
        <f>FS_Y!G105</f>
        <v/>
      </c>
      <c r="E97" s="517">
        <f>FS_Y!H105</f>
        <v/>
      </c>
      <c r="F97" s="517">
        <f>FS_Y!I105</f>
        <v/>
      </c>
      <c r="G97" s="517">
        <f>FS_Y!J105</f>
        <v/>
      </c>
      <c r="H97" s="464">
        <f>FS_Y!K105</f>
        <v/>
      </c>
      <c r="I97" s="464">
        <f>FS_Y!L105</f>
        <v/>
      </c>
      <c r="J97" s="464">
        <f>FS_Y!M105</f>
        <v/>
      </c>
      <c r="K97" s="464">
        <f>FS_Y!N105</f>
        <v/>
      </c>
      <c r="L97" s="464">
        <f>FS_Y!O105</f>
        <v/>
      </c>
      <c r="M97" s="464">
        <f>FS_Y!P105</f>
        <v/>
      </c>
      <c r="N97" s="464">
        <f>FS_Y!Q105</f>
        <v/>
      </c>
      <c r="O97" s="464">
        <f>FS_Y!R105</f>
        <v/>
      </c>
      <c r="P97" s="464">
        <f>FS_Y!S105</f>
        <v/>
      </c>
      <c r="Q97" s="464">
        <f>FS_Y!T105</f>
        <v/>
      </c>
      <c r="R97" s="464">
        <f>FS_Y!U105</f>
        <v/>
      </c>
      <c r="S97" s="464">
        <f>FS_Y!V105</f>
        <v/>
      </c>
      <c r="T97" s="464">
        <f>FS_Y!W105</f>
        <v/>
      </c>
    </row>
    <row r="98" customFormat="1" s="20">
      <c r="A98" s="105" t="inlineStr">
        <is>
          <t>Other investing cashflow</t>
        </is>
      </c>
      <c r="B98" s="50">
        <f>FS_Y!E106</f>
        <v/>
      </c>
      <c r="C98" s="517">
        <f>FS_Y!F106</f>
        <v/>
      </c>
      <c r="D98" s="517">
        <f>FS_Y!G106</f>
        <v/>
      </c>
      <c r="E98" s="517">
        <f>FS_Y!H106</f>
        <v/>
      </c>
      <c r="F98" s="517">
        <f>FS_Y!I106</f>
        <v/>
      </c>
      <c r="G98" s="517">
        <f>FS_Y!J106</f>
        <v/>
      </c>
      <c r="H98" s="464">
        <f>FS_Y!K106</f>
        <v/>
      </c>
      <c r="I98" s="464">
        <f>FS_Y!L106</f>
        <v/>
      </c>
      <c r="J98" s="464">
        <f>FS_Y!M106</f>
        <v/>
      </c>
      <c r="K98" s="464">
        <f>FS_Y!N106</f>
        <v/>
      </c>
      <c r="L98" s="464">
        <f>FS_Y!O106</f>
        <v/>
      </c>
      <c r="M98" s="464">
        <f>FS_Y!P106</f>
        <v/>
      </c>
      <c r="N98" s="464">
        <f>FS_Y!Q106</f>
        <v/>
      </c>
      <c r="O98" s="464">
        <f>FS_Y!R106</f>
        <v/>
      </c>
      <c r="P98" s="464">
        <f>FS_Y!S106</f>
        <v/>
      </c>
      <c r="Q98" s="464">
        <f>FS_Y!T106</f>
        <v/>
      </c>
      <c r="R98" s="464">
        <f>FS_Y!U106</f>
        <v/>
      </c>
      <c r="S98" s="464">
        <f>FS_Y!V106</f>
        <v/>
      </c>
      <c r="T98" s="464">
        <f>FS_Y!W106</f>
        <v/>
      </c>
    </row>
    <row r="99" customFormat="1" s="22">
      <c r="A99" s="448" t="inlineStr">
        <is>
          <t>Net cash flows used in investing activities</t>
        </is>
      </c>
      <c r="B99" s="446">
        <f>FS_Y!E107</f>
        <v/>
      </c>
      <c r="C99" s="553">
        <f>FS_Y!F107</f>
        <v/>
      </c>
      <c r="D99" s="553">
        <f>FS_Y!G107</f>
        <v/>
      </c>
      <c r="E99" s="553">
        <f>FS_Y!H107</f>
        <v/>
      </c>
      <c r="F99" s="553">
        <f>FS_Y!I107</f>
        <v/>
      </c>
      <c r="G99" s="553">
        <f>FS_Y!J107</f>
        <v/>
      </c>
      <c r="H99" s="551">
        <f>FS_Y!K107</f>
        <v/>
      </c>
      <c r="I99" s="551">
        <f>FS_Y!L107</f>
        <v/>
      </c>
      <c r="J99" s="551">
        <f>FS_Y!M107</f>
        <v/>
      </c>
      <c r="K99" s="551">
        <f>FS_Y!N107</f>
        <v/>
      </c>
      <c r="L99" s="551">
        <f>FS_Y!O107</f>
        <v/>
      </c>
      <c r="M99" s="551">
        <f>FS_Y!P107</f>
        <v/>
      </c>
      <c r="N99" s="551">
        <f>FS_Y!Q107</f>
        <v/>
      </c>
      <c r="O99" s="551">
        <f>FS_Y!R107</f>
        <v/>
      </c>
      <c r="P99" s="551">
        <f>FS_Y!S107</f>
        <v/>
      </c>
      <c r="Q99" s="551">
        <f>FS_Y!T107</f>
        <v/>
      </c>
      <c r="R99" s="551">
        <f>FS_Y!U107</f>
        <v/>
      </c>
      <c r="S99" s="551">
        <f>FS_Y!V107</f>
        <v/>
      </c>
      <c r="T99" s="551">
        <f>FS_Y!W107</f>
        <v/>
      </c>
    </row>
    <row r="100">
      <c r="A100" s="105" t="n"/>
      <c r="B100" s="50" t="n"/>
      <c r="C100" s="517" t="n"/>
      <c r="D100" s="517" t="n"/>
      <c r="E100" s="517" t="n"/>
      <c r="F100" s="517" t="n"/>
      <c r="G100" s="517" t="n"/>
      <c r="H100" s="464" t="n"/>
      <c r="I100" s="464" t="n"/>
      <c r="J100" s="464" t="n"/>
      <c r="K100" s="464" t="n"/>
      <c r="L100" s="464" t="n"/>
      <c r="M100" s="464" t="n"/>
      <c r="N100" s="464" t="n"/>
      <c r="O100" s="464" t="n"/>
      <c r="P100" s="464" t="n"/>
      <c r="Q100" s="464" t="n"/>
      <c r="R100" s="464" t="n"/>
      <c r="S100" s="464" t="n"/>
      <c r="T100" s="464" t="n"/>
    </row>
    <row r="101">
      <c r="A101" s="105">
        <f>FS_Y!A111</f>
        <v/>
      </c>
      <c r="B101" s="50">
        <f>FS_Y!E111</f>
        <v/>
      </c>
      <c r="C101" s="517">
        <f>FS_Y!F111</f>
        <v/>
      </c>
      <c r="D101" s="517">
        <f>FS_Y!G111</f>
        <v/>
      </c>
      <c r="E101" s="517">
        <f>FS_Y!H111</f>
        <v/>
      </c>
      <c r="F101" s="517">
        <f>FS_Y!I111</f>
        <v/>
      </c>
      <c r="G101" s="517">
        <f>FS_Y!J111</f>
        <v/>
      </c>
      <c r="H101" s="464">
        <f>FS_Y!K111</f>
        <v/>
      </c>
      <c r="I101" s="464">
        <f>FS_Y!L111</f>
        <v/>
      </c>
      <c r="J101" s="464">
        <f>FS_Y!M111</f>
        <v/>
      </c>
      <c r="K101" s="464">
        <f>FS_Y!N111</f>
        <v/>
      </c>
      <c r="L101" s="464">
        <f>FS_Y!O111</f>
        <v/>
      </c>
      <c r="M101" s="464">
        <f>FS_Y!P111</f>
        <v/>
      </c>
      <c r="N101" s="464">
        <f>FS_Y!Q111</f>
        <v/>
      </c>
      <c r="O101" s="464">
        <f>FS_Y!R111</f>
        <v/>
      </c>
      <c r="P101" s="464">
        <f>FS_Y!S111</f>
        <v/>
      </c>
      <c r="Q101" s="464">
        <f>FS_Y!T111</f>
        <v/>
      </c>
      <c r="R101" s="464">
        <f>FS_Y!U111</f>
        <v/>
      </c>
      <c r="S101" s="464">
        <f>FS_Y!V111</f>
        <v/>
      </c>
      <c r="T101" s="464">
        <f>FS_Y!W111</f>
        <v/>
      </c>
    </row>
    <row r="102">
      <c r="A102" s="105" t="inlineStr">
        <is>
          <t>Other financing cashflow</t>
        </is>
      </c>
      <c r="B102" s="50">
        <f>SUM(FS_Y!E110,FS_Y!E112)</f>
        <v/>
      </c>
      <c r="C102" s="517">
        <f>SUM(FS_Y!F110,FS_Y!F112)</f>
        <v/>
      </c>
      <c r="D102" s="517">
        <f>SUM(FS_Y!G110,FS_Y!G112)</f>
        <v/>
      </c>
      <c r="E102" s="517">
        <f>SUM(FS_Y!H110,FS_Y!H112)</f>
        <v/>
      </c>
      <c r="F102" s="517">
        <f>SUM(FS_Y!I110,FS_Y!I112)</f>
        <v/>
      </c>
      <c r="G102" s="517">
        <f>SUM(FS_Y!J110,FS_Y!J112)</f>
        <v/>
      </c>
      <c r="H102" s="464">
        <f>SUM(FS_Y!K110,FS_Y!K112)</f>
        <v/>
      </c>
      <c r="I102" s="464">
        <f>SUM(FS_Y!L110,FS_Y!L112)</f>
        <v/>
      </c>
      <c r="J102" s="464">
        <f>SUM(FS_Y!M110,FS_Y!M112)</f>
        <v/>
      </c>
      <c r="K102" s="464">
        <f>SUM(FS_Y!N110,FS_Y!N112)</f>
        <v/>
      </c>
      <c r="L102" s="464">
        <f>SUM(FS_Y!O110,FS_Y!O112)</f>
        <v/>
      </c>
      <c r="M102" s="464">
        <f>SUM(FS_Y!P110,FS_Y!P112)</f>
        <v/>
      </c>
      <c r="N102" s="464">
        <f>SUM(FS_Y!Q110,FS_Y!Q112)</f>
        <v/>
      </c>
      <c r="O102" s="464">
        <f>SUM(FS_Y!R110,FS_Y!R112)</f>
        <v/>
      </c>
      <c r="P102" s="464">
        <f>SUM(FS_Y!S110,FS_Y!S112)</f>
        <v/>
      </c>
      <c r="Q102" s="464">
        <f>SUM(FS_Y!T110,FS_Y!T112)</f>
        <v/>
      </c>
      <c r="R102" s="464">
        <f>SUM(FS_Y!U110,FS_Y!U112)</f>
        <v/>
      </c>
      <c r="S102" s="464">
        <f>SUM(FS_Y!V110,FS_Y!V112)</f>
        <v/>
      </c>
      <c r="T102" s="464">
        <f>SUM(FS_Y!W110,FS_Y!W112)</f>
        <v/>
      </c>
    </row>
    <row r="103">
      <c r="A103" s="448" t="inlineStr">
        <is>
          <t>Net cash flows used in financing activities</t>
        </is>
      </c>
      <c r="B103" s="446">
        <f>FS_Y!E113</f>
        <v/>
      </c>
      <c r="C103" s="553">
        <f>FS_Y!F113</f>
        <v/>
      </c>
      <c r="D103" s="553">
        <f>FS_Y!G113</f>
        <v/>
      </c>
      <c r="E103" s="553">
        <f>FS_Y!H113</f>
        <v/>
      </c>
      <c r="F103" s="553">
        <f>FS_Y!I113</f>
        <v/>
      </c>
      <c r="G103" s="553">
        <f>FS_Y!J113</f>
        <v/>
      </c>
      <c r="H103" s="551">
        <f>FS_Y!K113</f>
        <v/>
      </c>
      <c r="I103" s="551">
        <f>FS_Y!L113</f>
        <v/>
      </c>
      <c r="J103" s="551">
        <f>FS_Y!M113</f>
        <v/>
      </c>
      <c r="K103" s="551">
        <f>FS_Y!N113</f>
        <v/>
      </c>
      <c r="L103" s="551">
        <f>FS_Y!O113</f>
        <v/>
      </c>
      <c r="M103" s="551">
        <f>FS_Y!P113</f>
        <v/>
      </c>
      <c r="N103" s="551">
        <f>FS_Y!Q113</f>
        <v/>
      </c>
      <c r="O103" s="551">
        <f>FS_Y!R113</f>
        <v/>
      </c>
      <c r="P103" s="551">
        <f>FS_Y!S113</f>
        <v/>
      </c>
      <c r="Q103" s="551">
        <f>FS_Y!T113</f>
        <v/>
      </c>
      <c r="R103" s="551">
        <f>FS_Y!U113</f>
        <v/>
      </c>
      <c r="S103" s="551">
        <f>FS_Y!V113</f>
        <v/>
      </c>
      <c r="T103" s="551">
        <f>FS_Y!W113</f>
        <v/>
      </c>
    </row>
    <row r="104">
      <c r="A104" s="40" t="n"/>
      <c r="B104" s="403" t="n"/>
      <c r="C104" s="519" t="n"/>
      <c r="D104" s="519" t="n"/>
      <c r="E104" s="519" t="n"/>
      <c r="F104" s="519" t="n"/>
      <c r="G104" s="519" t="n"/>
      <c r="H104" s="552" t="n"/>
      <c r="I104" s="552" t="n"/>
      <c r="J104" s="552" t="n"/>
      <c r="K104" s="552" t="n"/>
      <c r="L104" s="552" t="n"/>
      <c r="M104" s="552" t="n"/>
      <c r="N104" s="552" t="n"/>
      <c r="O104" s="552" t="n"/>
      <c r="P104" s="552" t="n"/>
      <c r="Q104" s="552" t="n"/>
      <c r="R104" s="552" t="n"/>
      <c r="S104" s="552" t="n"/>
      <c r="T104" s="552" t="n"/>
    </row>
    <row r="105" outlineLevel="1">
      <c r="A105" s="105">
        <f>FS_Y!A115</f>
        <v/>
      </c>
      <c r="B105" s="50">
        <f>FS_Y!E115</f>
        <v/>
      </c>
      <c r="C105" s="517">
        <f>FS_Y!F115</f>
        <v/>
      </c>
      <c r="D105" s="517">
        <f>FS_Y!G115</f>
        <v/>
      </c>
      <c r="E105" s="517">
        <f>FS_Y!H115</f>
        <v/>
      </c>
      <c r="F105" s="517">
        <f>FS_Y!I115</f>
        <v/>
      </c>
      <c r="G105" s="517">
        <f>FS_Y!J115</f>
        <v/>
      </c>
      <c r="H105" s="464">
        <f>FS_Y!K115</f>
        <v/>
      </c>
      <c r="I105" s="464">
        <f>FS_Y!L115</f>
        <v/>
      </c>
      <c r="J105" s="464">
        <f>FS_Y!M115</f>
        <v/>
      </c>
      <c r="K105" s="464">
        <f>FS_Y!N115</f>
        <v/>
      </c>
      <c r="L105" s="464">
        <f>FS_Y!O115</f>
        <v/>
      </c>
      <c r="M105" s="464">
        <f>FS_Y!P115</f>
        <v/>
      </c>
      <c r="N105" s="464">
        <f>FS_Y!Q115</f>
        <v/>
      </c>
      <c r="O105" s="464">
        <f>FS_Y!R115</f>
        <v/>
      </c>
      <c r="P105" s="464">
        <f>FS_Y!S115</f>
        <v/>
      </c>
      <c r="Q105" s="464">
        <f>FS_Y!T115</f>
        <v/>
      </c>
      <c r="R105" s="464">
        <f>FS_Y!U115</f>
        <v/>
      </c>
      <c r="S105" s="464">
        <f>FS_Y!V115</f>
        <v/>
      </c>
      <c r="T105" s="464">
        <f>FS_Y!W115</f>
        <v/>
      </c>
    </row>
    <row r="106">
      <c r="A106" s="40" t="inlineStr">
        <is>
          <t>Net (decrease)/increase in cash &amp; equivalents</t>
        </is>
      </c>
      <c r="B106" s="403">
        <f>FS_Y!E116</f>
        <v/>
      </c>
      <c r="C106" s="519">
        <f>FS_Y!F116</f>
        <v/>
      </c>
      <c r="D106" s="519">
        <f>FS_Y!G116</f>
        <v/>
      </c>
      <c r="E106" s="519">
        <f>FS_Y!H116</f>
        <v/>
      </c>
      <c r="F106" s="519">
        <f>FS_Y!I116</f>
        <v/>
      </c>
      <c r="G106" s="519">
        <f>FS_Y!J116</f>
        <v/>
      </c>
      <c r="H106" s="552">
        <f>FS_Y!K116</f>
        <v/>
      </c>
      <c r="I106" s="552">
        <f>FS_Y!L116</f>
        <v/>
      </c>
      <c r="J106" s="552">
        <f>FS_Y!M116</f>
        <v/>
      </c>
      <c r="K106" s="552">
        <f>FS_Y!N116-FS_Y!N118</f>
        <v/>
      </c>
      <c r="L106" s="552">
        <f>FS_Y!O116-FS_Y!O118</f>
        <v/>
      </c>
      <c r="M106" s="552">
        <f>FS_Y!P116-FS_Y!P118</f>
        <v/>
      </c>
      <c r="N106" s="552">
        <f>FS_Y!Q116-FS_Y!Q118</f>
        <v/>
      </c>
      <c r="O106" s="552">
        <f>FS_Y!R116-FS_Y!R118</f>
        <v/>
      </c>
      <c r="P106" s="552">
        <f>FS_Y!S116-FS_Y!S118</f>
        <v/>
      </c>
      <c r="Q106" s="552">
        <f>FS_Y!T116-FS_Y!T118</f>
        <v/>
      </c>
      <c r="R106" s="552">
        <f>FS_Y!U116-FS_Y!U118</f>
        <v/>
      </c>
      <c r="S106" s="552">
        <f>FS_Y!V116-FS_Y!V118</f>
        <v/>
      </c>
      <c r="T106" s="552">
        <f>FS_Y!W116-FS_Y!W118</f>
        <v/>
      </c>
    </row>
    <row r="107">
      <c r="A107" s="40" t="inlineStr">
        <is>
          <t>Cash &amp; equivalents at beginning of period</t>
        </is>
      </c>
      <c r="B107" s="403">
        <f>FS_Y!E117</f>
        <v/>
      </c>
      <c r="C107" s="519">
        <f>FS_Y!F117</f>
        <v/>
      </c>
      <c r="D107" s="519">
        <f>FS_Y!G117</f>
        <v/>
      </c>
      <c r="E107" s="519">
        <f>FS_Y!H117</f>
        <v/>
      </c>
      <c r="F107" s="519">
        <f>FS_Y!I117</f>
        <v/>
      </c>
      <c r="G107" s="519">
        <f>FS_Y!J117</f>
        <v/>
      </c>
      <c r="H107" s="552">
        <f>FS_Y!K117</f>
        <v/>
      </c>
      <c r="I107" s="552">
        <f>FS_Y!L117</f>
        <v/>
      </c>
      <c r="J107" s="552">
        <f>FS_Y!M117</f>
        <v/>
      </c>
      <c r="K107" s="552">
        <f>FS_Y!N117</f>
        <v/>
      </c>
      <c r="L107" s="552">
        <f>FS_Y!O117</f>
        <v/>
      </c>
      <c r="M107" s="552">
        <f>FS_Y!P117</f>
        <v/>
      </c>
      <c r="N107" s="552">
        <f>FS_Y!Q117</f>
        <v/>
      </c>
      <c r="O107" s="552">
        <f>FS_Y!R117</f>
        <v/>
      </c>
      <c r="P107" s="552">
        <f>FS_Y!S117</f>
        <v/>
      </c>
      <c r="Q107" s="552">
        <f>FS_Y!T117</f>
        <v/>
      </c>
      <c r="R107" s="552">
        <f>FS_Y!U117</f>
        <v/>
      </c>
      <c r="S107" s="552">
        <f>FS_Y!V117</f>
        <v/>
      </c>
      <c r="T107" s="552">
        <f>FS_Y!W117</f>
        <v/>
      </c>
    </row>
    <row r="108">
      <c r="A108" s="449" t="inlineStr">
        <is>
          <t>Cash &amp; equivalents at end of period</t>
        </is>
      </c>
      <c r="B108" s="450">
        <f>FS_Y!E119</f>
        <v/>
      </c>
      <c r="C108" s="554">
        <f>FS_Y!F119</f>
        <v/>
      </c>
      <c r="D108" s="554">
        <f>FS_Y!G119</f>
        <v/>
      </c>
      <c r="E108" s="554">
        <f>FS_Y!H119</f>
        <v/>
      </c>
      <c r="F108" s="554">
        <f>FS_Y!I119</f>
        <v/>
      </c>
      <c r="G108" s="554">
        <f>FS_Y!J119</f>
        <v/>
      </c>
      <c r="H108" s="676">
        <f>FS_Y!K119</f>
        <v/>
      </c>
      <c r="I108" s="676">
        <f>FS_Y!L119</f>
        <v/>
      </c>
      <c r="J108" s="676">
        <f>FS_Y!M119</f>
        <v/>
      </c>
      <c r="K108" s="676">
        <f>FS_Y!N119</f>
        <v/>
      </c>
      <c r="L108" s="676">
        <f>FS_Y!O119</f>
        <v/>
      </c>
      <c r="M108" s="676">
        <f>FS_Y!P119</f>
        <v/>
      </c>
      <c r="N108" s="676">
        <f>FS_Y!Q119</f>
        <v/>
      </c>
      <c r="O108" s="676">
        <f>FS_Y!R119</f>
        <v/>
      </c>
      <c r="P108" s="676">
        <f>FS_Y!S119</f>
        <v/>
      </c>
      <c r="Q108" s="676">
        <f>FS_Y!T119</f>
        <v/>
      </c>
      <c r="R108" s="676">
        <f>FS_Y!U119</f>
        <v/>
      </c>
      <c r="S108" s="676">
        <f>FS_Y!V119</f>
        <v/>
      </c>
      <c r="T108" s="676">
        <f>FS_Y!W119</f>
        <v/>
      </c>
    </row>
    <row r="109">
      <c r="A109" s="40" t="n"/>
      <c r="B109" s="403" t="n"/>
      <c r="C109" s="519" t="n"/>
      <c r="D109" s="519" t="n"/>
      <c r="E109" s="519" t="n"/>
      <c r="F109" s="519" t="n"/>
      <c r="G109" s="519" t="n"/>
      <c r="H109" s="552" t="n"/>
      <c r="I109" s="552" t="n"/>
      <c r="J109" s="552" t="n"/>
      <c r="K109" s="552" t="n"/>
      <c r="L109" s="552" t="n"/>
      <c r="M109" s="552" t="n"/>
      <c r="N109" s="552" t="n"/>
      <c r="O109" s="552" t="n"/>
      <c r="P109" s="552" t="n"/>
      <c r="Q109" s="552" t="n"/>
      <c r="R109" s="552" t="n"/>
      <c r="S109" s="552" t="n"/>
      <c r="T109" s="552" t="n"/>
    </row>
    <row r="110">
      <c r="A110" s="449" t="inlineStr">
        <is>
          <t>FCF</t>
        </is>
      </c>
      <c r="B110" s="450" t="n"/>
      <c r="C110" s="554">
        <f>FS_Y!F173</f>
        <v/>
      </c>
      <c r="D110" s="554">
        <f>FS_Y!G173</f>
        <v/>
      </c>
      <c r="E110" s="554">
        <f>FS_Y!H173</f>
        <v/>
      </c>
      <c r="F110" s="554">
        <f>FS_Y!I173</f>
        <v/>
      </c>
      <c r="G110" s="554">
        <f>FS_Y!J173</f>
        <v/>
      </c>
      <c r="H110" s="676">
        <f>FS_Y!K173</f>
        <v/>
      </c>
      <c r="I110" s="676">
        <f>FS_Y!L173</f>
        <v/>
      </c>
      <c r="J110" s="676">
        <f>FS_Y!M173</f>
        <v/>
      </c>
      <c r="K110" s="676">
        <f>FS_Y!N173</f>
        <v/>
      </c>
      <c r="L110" s="676">
        <f>FS_Y!O173</f>
        <v/>
      </c>
      <c r="M110" s="676">
        <f>FS_Y!P173</f>
        <v/>
      </c>
      <c r="N110" s="676">
        <f>FS_Y!Q173</f>
        <v/>
      </c>
      <c r="O110" s="676">
        <f>FS_Y!R173</f>
        <v/>
      </c>
      <c r="P110" s="676">
        <f>FS_Y!S173</f>
        <v/>
      </c>
      <c r="Q110" s="676">
        <f>FS_Y!T173</f>
        <v/>
      </c>
      <c r="R110" s="676">
        <f>FS_Y!U173</f>
        <v/>
      </c>
      <c r="S110" s="676">
        <f>FS_Y!V173</f>
        <v/>
      </c>
      <c r="T110" s="676">
        <f>FS_Y!W173</f>
        <v/>
      </c>
    </row>
    <row r="111">
      <c r="A111" s="40" t="inlineStr">
        <is>
          <t>FCF margin</t>
        </is>
      </c>
      <c r="B111" s="403" t="n"/>
      <c r="C111" s="465">
        <f>C110/C13</f>
        <v/>
      </c>
      <c r="D111" s="465">
        <f>D110/D13</f>
        <v/>
      </c>
      <c r="E111" s="465">
        <f>E110/E13</f>
        <v/>
      </c>
      <c r="F111" s="465">
        <f>F110/F13</f>
        <v/>
      </c>
      <c r="G111" s="465">
        <f>G110/G13</f>
        <v/>
      </c>
      <c r="H111" s="677">
        <f>H110/H13</f>
        <v/>
      </c>
      <c r="I111" s="677">
        <f>I110/I13</f>
        <v/>
      </c>
      <c r="J111" s="677">
        <f>J110/J13</f>
        <v/>
      </c>
      <c r="K111" s="677">
        <f>K110/K13</f>
        <v/>
      </c>
      <c r="L111" s="677">
        <f>L110/L13</f>
        <v/>
      </c>
      <c r="M111" s="677">
        <f>M110/M13</f>
        <v/>
      </c>
      <c r="N111" s="677">
        <f>N110/N13</f>
        <v/>
      </c>
      <c r="O111" s="677">
        <f>O110/O13</f>
        <v/>
      </c>
      <c r="P111" s="677">
        <f>P110/P13</f>
        <v/>
      </c>
      <c r="Q111" s="677">
        <f>Q110/Q13</f>
        <v/>
      </c>
      <c r="R111" s="677">
        <f>R110/R13</f>
        <v/>
      </c>
      <c r="S111" s="677">
        <f>S110/S13</f>
        <v/>
      </c>
      <c r="T111" s="677">
        <f>T110/T13</f>
        <v/>
      </c>
    </row>
  </sheetData>
  <pageMargins left="0.7" right="0.7" top="0.2" bottom="0.2" header="0.3" footer="0.3"/>
  <pageSetup orientation="landscape" paperSize="9" scale="42" horizontalDpi="300" verticalDpi="300"/>
</worksheet>
</file>

<file path=xl/worksheets/sheet6.xml><?xml version="1.0" encoding="utf-8"?>
<worksheet xmlns="http://schemas.openxmlformats.org/spreadsheetml/2006/main">
  <sheetPr codeName="Sheet14">
    <tabColor theme="1"/>
    <outlinePr summaryBelow="1" summaryRight="1"/>
    <pageSetUpPr/>
  </sheetPr>
  <dimension ref="A1:AX192"/>
  <sheetViews>
    <sheetView topLeftCell="A96" zoomScale="85" zoomScaleNormal="85" workbookViewId="0">
      <selection activeCell="H126" sqref="H126"/>
    </sheetView>
  </sheetViews>
  <sheetFormatPr baseColWidth="10" defaultColWidth="9.33203125" defaultRowHeight="13"/>
  <cols>
    <col width="65.33203125" bestFit="1" customWidth="1" style="20" min="1" max="1"/>
    <col hidden="1" width="11.5" customWidth="1" style="20" min="2" max="2"/>
    <col hidden="1" width="10.5" customWidth="1" style="20" min="3" max="4"/>
    <col width="12.6640625" customWidth="1" style="20" min="5" max="6"/>
    <col width="15.6640625" customWidth="1" style="20" min="7" max="33"/>
    <col width="9.33203125" customWidth="1" style="20" min="34" max="16384"/>
  </cols>
  <sheetData>
    <row r="1">
      <c r="A1" s="22">
        <f>FS_Q!A1</f>
        <v/>
      </c>
      <c r="B1" s="23" t="n">
        <v>2007</v>
      </c>
      <c r="C1" s="23">
        <f>+B1+1</f>
        <v/>
      </c>
      <c r="D1" s="23">
        <f>+C1+1</f>
        <v/>
      </c>
      <c r="E1" s="23">
        <f>+D1+1</f>
        <v/>
      </c>
      <c r="F1" s="23">
        <f>+E1+1</f>
        <v/>
      </c>
      <c r="G1" s="23">
        <f>+F1+1</f>
        <v/>
      </c>
      <c r="H1" s="23">
        <f>+G1+1</f>
        <v/>
      </c>
      <c r="I1" s="23">
        <f>+H1+1</f>
        <v/>
      </c>
      <c r="J1" s="23">
        <f>+I1+1</f>
        <v/>
      </c>
      <c r="K1" s="23">
        <f>+J1+1</f>
        <v/>
      </c>
      <c r="L1" s="23">
        <f>+K1+1</f>
        <v/>
      </c>
      <c r="M1" s="23">
        <f>+L1+1</f>
        <v/>
      </c>
      <c r="N1" s="23">
        <f>+M1+1</f>
        <v/>
      </c>
      <c r="O1" s="23">
        <f>+N1+1</f>
        <v/>
      </c>
      <c r="P1" s="23">
        <f>+O1+1</f>
        <v/>
      </c>
      <c r="Q1" s="23">
        <f>+P1+1</f>
        <v/>
      </c>
      <c r="R1" s="23">
        <f>+Q1+1</f>
        <v/>
      </c>
      <c r="S1" s="23">
        <f>+R1+1</f>
        <v/>
      </c>
      <c r="T1" s="23">
        <f>+S1+1</f>
        <v/>
      </c>
      <c r="U1" s="23">
        <f>+T1+1</f>
        <v/>
      </c>
      <c r="V1" s="23">
        <f>+U1+1</f>
        <v/>
      </c>
      <c r="W1" s="23">
        <f>+V1+1</f>
        <v/>
      </c>
      <c r="X1" s="23" t="n"/>
      <c r="Y1" s="23" t="n"/>
      <c r="Z1" s="23" t="n"/>
      <c r="AA1" s="23" t="n"/>
      <c r="AB1" s="23" t="n"/>
      <c r="AC1" s="23" t="n"/>
      <c r="AD1" s="23" t="n"/>
      <c r="AE1" s="23" t="n"/>
      <c r="AF1" s="23" t="n"/>
      <c r="AG1" s="23" t="n"/>
      <c r="AH1" s="23" t="n"/>
      <c r="AI1" s="23" t="n"/>
      <c r="AJ1" s="23" t="n"/>
      <c r="AK1" s="23" t="n"/>
      <c r="AL1" s="23" t="n"/>
      <c r="AM1" s="23" t="n"/>
      <c r="AN1" s="23" t="n"/>
      <c r="AO1" s="23" t="n"/>
      <c r="AP1" s="23" t="n"/>
      <c r="AQ1" s="23" t="n"/>
      <c r="AR1" s="23" t="n"/>
      <c r="AS1" s="23" t="n"/>
    </row>
    <row r="2">
      <c r="A2">
        <f>FS_Q!A2</f>
        <v/>
      </c>
      <c r="B2" s="24" t="n"/>
      <c r="C2" s="24" t="n"/>
      <c r="D2" s="24" t="n"/>
      <c r="E2" s="24" t="n"/>
      <c r="F2" s="24" t="n"/>
      <c r="G2" s="24" t="n"/>
      <c r="H2" s="24" t="n"/>
      <c r="I2" s="24" t="n"/>
      <c r="J2" s="24" t="n"/>
      <c r="K2" s="24" t="n"/>
      <c r="L2" s="24" t="n"/>
      <c r="M2" s="24" t="n"/>
      <c r="N2" s="24" t="n"/>
      <c r="O2" s="24" t="n"/>
      <c r="P2" s="24" t="n"/>
      <c r="Q2" s="24" t="n"/>
      <c r="R2" s="24" t="n"/>
      <c r="S2" s="24" t="n"/>
      <c r="T2" s="24" t="n"/>
      <c r="U2" s="24" t="n"/>
      <c r="V2" s="24" t="n"/>
      <c r="W2" s="24" t="n"/>
      <c r="X2" s="24" t="n"/>
      <c r="Y2" s="24" t="n"/>
      <c r="Z2" s="24" t="n"/>
      <c r="AA2" s="24" t="n"/>
      <c r="AB2" s="24" t="n"/>
      <c r="AC2" s="24" t="n"/>
      <c r="AD2" s="24" t="n"/>
      <c r="AE2" s="24" t="n"/>
      <c r="AF2" s="24" t="n"/>
      <c r="AG2" s="24" t="n"/>
      <c r="AH2" s="24" t="n"/>
      <c r="AI2" s="24" t="n"/>
      <c r="AJ2" s="24" t="n"/>
      <c r="AK2" s="24" t="n"/>
      <c r="AL2" s="24" t="n"/>
      <c r="AM2" s="24" t="n"/>
      <c r="AN2" s="24" t="n"/>
      <c r="AO2" s="24" t="n"/>
      <c r="AP2" s="24" t="n"/>
      <c r="AQ2" s="24" t="n"/>
      <c r="AR2" s="24" t="n"/>
      <c r="AS2" s="24" t="n"/>
    </row>
    <row r="3">
      <c r="A3" t="inlineStr">
        <is>
          <t>Annual</t>
        </is>
      </c>
      <c r="B3" s="24" t="n"/>
      <c r="C3" s="24" t="n"/>
      <c r="D3" s="24" t="n"/>
      <c r="E3" s="24" t="n"/>
      <c r="F3" s="24" t="n"/>
      <c r="G3" s="24" t="n"/>
      <c r="H3" s="24" t="n"/>
      <c r="I3" s="24" t="n"/>
      <c r="J3" s="24" t="n"/>
      <c r="K3" s="24" t="n"/>
      <c r="L3" s="24" t="n"/>
      <c r="M3" s="24" t="n"/>
      <c r="N3" s="24" t="n"/>
      <c r="O3" s="24" t="n"/>
      <c r="P3" s="24" t="n"/>
      <c r="Q3" s="24" t="n"/>
      <c r="R3" s="24" t="n"/>
      <c r="S3" s="24" t="n"/>
      <c r="T3" s="24" t="n"/>
      <c r="U3" s="24" t="n"/>
      <c r="V3" s="24" t="n"/>
      <c r="W3" s="24" t="n"/>
      <c r="X3" s="24" t="n"/>
      <c r="Y3" s="24" t="n"/>
      <c r="Z3" s="24" t="n"/>
      <c r="AA3" s="24" t="n"/>
      <c r="AB3" s="24" t="n"/>
      <c r="AC3" s="24" t="n"/>
      <c r="AD3" s="24" t="n"/>
      <c r="AE3" s="24" t="n"/>
      <c r="AF3" s="24" t="n"/>
      <c r="AG3" s="24" t="n"/>
      <c r="AH3" s="24" t="n"/>
      <c r="AI3" s="24" t="n"/>
      <c r="AJ3" s="24" t="n"/>
      <c r="AK3" s="24" t="n"/>
      <c r="AL3" s="24" t="n"/>
      <c r="AM3" s="24" t="n"/>
      <c r="AN3" s="24" t="n"/>
      <c r="AO3" s="24" t="n"/>
      <c r="AP3" s="24" t="n"/>
      <c r="AQ3" s="24" t="n"/>
      <c r="AR3" s="24" t="n"/>
      <c r="AS3" s="24" t="n"/>
    </row>
    <row r="4"/>
    <row r="5">
      <c r="A5" s="25" t="n"/>
      <c r="B5" s="26">
        <f>B1</f>
        <v/>
      </c>
      <c r="C5" s="26">
        <f>C1</f>
        <v/>
      </c>
      <c r="D5" s="26">
        <f>D1</f>
        <v/>
      </c>
      <c r="E5" s="26">
        <f>E1</f>
        <v/>
      </c>
      <c r="F5" s="26">
        <f>F1</f>
        <v/>
      </c>
      <c r="G5" s="26">
        <f>G1</f>
        <v/>
      </c>
      <c r="H5" s="26">
        <f>H1</f>
        <v/>
      </c>
      <c r="I5" s="26">
        <f>I1</f>
        <v/>
      </c>
      <c r="J5" s="26">
        <f>J1</f>
        <v/>
      </c>
      <c r="K5" s="26">
        <f>K1</f>
        <v/>
      </c>
      <c r="L5" s="26">
        <f>L1</f>
        <v/>
      </c>
      <c r="M5" s="26">
        <f>M1</f>
        <v/>
      </c>
      <c r="N5" s="26">
        <f>N1</f>
        <v/>
      </c>
      <c r="O5" s="26">
        <f>O1</f>
        <v/>
      </c>
      <c r="P5" s="26">
        <f>P1</f>
        <v/>
      </c>
      <c r="Q5" s="26">
        <f>Q1</f>
        <v/>
      </c>
      <c r="R5" s="26">
        <f>R1</f>
        <v/>
      </c>
      <c r="S5" s="26">
        <f>S1</f>
        <v/>
      </c>
      <c r="T5" s="26">
        <f>T1</f>
        <v/>
      </c>
      <c r="U5" s="26">
        <f>U1</f>
        <v/>
      </c>
      <c r="V5" s="26">
        <f>V1</f>
        <v/>
      </c>
      <c r="W5" s="26">
        <f>W1</f>
        <v/>
      </c>
      <c r="X5" s="26" t="n"/>
      <c r="Y5" s="26" t="n"/>
      <c r="Z5" s="26" t="n"/>
      <c r="AA5" s="26" t="n"/>
      <c r="AB5" s="26" t="n"/>
      <c r="AC5" s="26" t="n"/>
      <c r="AD5" s="26" t="n"/>
      <c r="AE5" s="26" t="n"/>
      <c r="AF5" s="26" t="n"/>
      <c r="AG5" s="26" t="n"/>
      <c r="AH5" s="26" t="n"/>
      <c r="AI5" s="26" t="n"/>
      <c r="AJ5" s="26" t="n"/>
      <c r="AK5" s="26" t="n"/>
      <c r="AL5" s="26" t="n"/>
      <c r="AM5" s="26" t="n"/>
      <c r="AN5" s="26" t="n"/>
      <c r="AO5" s="26" t="n"/>
      <c r="AP5" s="26" t="n"/>
      <c r="AQ5" s="26" t="n"/>
      <c r="AR5" s="26" t="n"/>
      <c r="AS5" s="26" t="n"/>
    </row>
    <row r="6">
      <c r="A6" s="25" t="n"/>
      <c r="B6" s="26" t="n"/>
      <c r="C6" s="26" t="n"/>
      <c r="D6" s="26" t="n"/>
      <c r="E6" s="26" t="n"/>
      <c r="F6" s="26" t="n"/>
      <c r="G6" s="26" t="n"/>
      <c r="H6" s="26" t="n"/>
      <c r="I6" s="26" t="n"/>
      <c r="J6" s="26" t="n"/>
      <c r="K6" s="26" t="n"/>
      <c r="L6" s="26" t="n"/>
      <c r="M6" s="26" t="n"/>
      <c r="N6" s="26" t="n"/>
      <c r="O6" s="26" t="n"/>
      <c r="P6" s="26" t="n"/>
      <c r="Q6" s="26" t="n"/>
      <c r="R6" s="26" t="n"/>
      <c r="S6" s="26" t="n"/>
      <c r="T6" s="26" t="n"/>
      <c r="U6" s="26" t="n"/>
      <c r="V6" s="26" t="n"/>
      <c r="W6" s="26" t="n"/>
      <c r="X6" s="36" t="n"/>
      <c r="Y6" s="36" t="n"/>
      <c r="Z6" s="36" t="n"/>
      <c r="AA6" s="36" t="n"/>
      <c r="AB6" s="36" t="n"/>
      <c r="AC6" s="36" t="n"/>
      <c r="AD6" s="36" t="n"/>
      <c r="AE6" s="36" t="n"/>
      <c r="AF6" s="36" t="n"/>
      <c r="AG6" s="36" t="n"/>
      <c r="AH6" s="36" t="n"/>
      <c r="AI6" s="36" t="n"/>
      <c r="AJ6" s="36" t="n"/>
      <c r="AK6" s="36" t="n"/>
      <c r="AL6" s="36" t="n"/>
      <c r="AM6" s="36" t="n"/>
      <c r="AN6" s="36" t="n"/>
      <c r="AO6" s="36" t="n"/>
      <c r="AP6" s="36" t="n"/>
      <c r="AQ6" s="36" t="n"/>
      <c r="AR6" s="36" t="n"/>
      <c r="AS6" s="36" t="n"/>
    </row>
    <row r="7" ht="16" customHeight="1">
      <c r="A7" s="27">
        <f>FS_Q!A7</f>
        <v/>
      </c>
      <c r="B7" s="28" t="n"/>
      <c r="C7" s="28"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28" t="n"/>
      <c r="AE7" s="28" t="n"/>
      <c r="AF7" s="28" t="n"/>
      <c r="AG7" s="28" t="n"/>
      <c r="AH7" s="28" t="n"/>
      <c r="AI7" s="28" t="n"/>
      <c r="AJ7" s="28" t="n"/>
      <c r="AK7" s="28" t="n"/>
      <c r="AL7" s="28" t="n"/>
      <c r="AM7" s="28" t="n"/>
      <c r="AN7" s="28" t="n"/>
      <c r="AO7" s="28" t="n"/>
      <c r="AP7" s="28" t="n"/>
      <c r="AQ7" s="28" t="n"/>
      <c r="AR7" s="28" t="n"/>
      <c r="AS7" s="28" t="n"/>
    </row>
    <row r="8">
      <c r="A8" s="105" t="n"/>
      <c r="B8" s="22">
        <f>B5</f>
        <v/>
      </c>
      <c r="C8" s="22">
        <f>C5</f>
        <v/>
      </c>
      <c r="D8" s="22">
        <f>D5</f>
        <v/>
      </c>
      <c r="E8" s="22">
        <f>E5</f>
        <v/>
      </c>
      <c r="F8" s="22">
        <f>F5</f>
        <v/>
      </c>
      <c r="G8" s="22">
        <f>G5</f>
        <v/>
      </c>
      <c r="H8" s="22">
        <f>H5</f>
        <v/>
      </c>
      <c r="I8" s="22">
        <f>I5</f>
        <v/>
      </c>
      <c r="J8" s="22">
        <f>J5</f>
        <v/>
      </c>
      <c r="K8" s="22">
        <f>K5</f>
        <v/>
      </c>
      <c r="L8" s="26">
        <f>L5</f>
        <v/>
      </c>
      <c r="M8" s="26">
        <f>M5</f>
        <v/>
      </c>
      <c r="N8" s="26">
        <f>N5</f>
        <v/>
      </c>
      <c r="O8" s="26">
        <f>O5</f>
        <v/>
      </c>
      <c r="P8" s="26">
        <f>P5</f>
        <v/>
      </c>
      <c r="Q8" s="26">
        <f>Q5</f>
        <v/>
      </c>
      <c r="R8" s="26">
        <f>R5</f>
        <v/>
      </c>
      <c r="S8" s="26">
        <f>S5&amp;"E"</f>
        <v/>
      </c>
      <c r="T8" s="26">
        <f>T5&amp;"E"</f>
        <v/>
      </c>
      <c r="U8" s="26">
        <f>U5&amp;"E"</f>
        <v/>
      </c>
      <c r="V8" s="26">
        <f>V5&amp;"E"</f>
        <v/>
      </c>
      <c r="W8" s="26">
        <f>W5&amp;"E"</f>
        <v/>
      </c>
    </row>
    <row r="9">
      <c r="A9" s="81">
        <f>FS_Q!A9</f>
        <v/>
      </c>
    </row>
    <row r="10"/>
    <row r="11">
      <c r="A11" s="22">
        <f>FS_Q!A11</f>
        <v/>
      </c>
      <c r="B11" s="148" t="n"/>
      <c r="C11" s="148" t="n"/>
      <c r="D11" s="148" t="n"/>
      <c r="E11" s="519">
        <f>SUMIF(FS_Q!$1:$1,FS_Y!E$1,FS_Q!11:11)</f>
        <v/>
      </c>
      <c r="F11" s="519">
        <f>SUMIF(FS_Q!$1:$1,FS_Y!F$1,FS_Q!11:11)</f>
        <v/>
      </c>
      <c r="G11" s="519">
        <f>SUMIF(FS_Q!$1:$1,FS_Y!G$1,FS_Q!11:11)</f>
        <v/>
      </c>
      <c r="H11" s="519">
        <f>SUMIF(FS_Q!$1:$1,FS_Y!H$1,FS_Q!11:11)</f>
        <v/>
      </c>
      <c r="I11" s="519">
        <f>SUMIF(FS_Q!$1:$1,FS_Y!I$1,FS_Q!11:11)</f>
        <v/>
      </c>
      <c r="J11" s="519">
        <f>SUMIF(FS_Q!$1:$1,FS_Y!J$1,FS_Q!11:11)</f>
        <v/>
      </c>
      <c r="K11" s="519">
        <f>SUMIF(FS_Q!$1:$1,FS_Y!K$1,FS_Q!11:11)</f>
        <v/>
      </c>
      <c r="L11" s="519">
        <f>SUMIF(FS_Q!$1:$1,FS_Y!L$1,FS_Q!11:11)</f>
        <v/>
      </c>
      <c r="M11" s="519">
        <f>SUMIF(FS_Q!$1:$1,FS_Y!M$1,FS_Q!11:11)</f>
        <v/>
      </c>
      <c r="N11" s="519">
        <f>SUMIF(FS_Q!$1:$1,FS_Y!N$1,FS_Q!11:11)</f>
        <v/>
      </c>
      <c r="O11" s="519">
        <f>SUMIF(FS_Q!$1:$1,FS_Y!O$1,FS_Q!11:11)</f>
        <v/>
      </c>
      <c r="P11" s="519">
        <f>SUMIF(FS_Q!$1:$1,FS_Y!P$1,FS_Q!11:11)</f>
        <v/>
      </c>
      <c r="Q11" s="519">
        <f>SUMIF(FS_Q!$1:$1,FS_Y!Q$1,FS_Q!11:11)</f>
        <v/>
      </c>
      <c r="R11" s="519">
        <f>SUMIF(FS_Q!$1:$1,FS_Y!R$1,FS_Q!11:11)</f>
        <v/>
      </c>
      <c r="S11" s="519">
        <f>SUMIF(FS_Q!$1:$1,FS_Y!S$1,FS_Q!11:11)</f>
        <v/>
      </c>
      <c r="T11" s="519">
        <f>SUMIF(FS_Q!$1:$1,FS_Y!T$1,FS_Q!11:11)</f>
        <v/>
      </c>
      <c r="U11" s="519">
        <f>SUMIF(FS_Q!$1:$1,FS_Y!U$1,FS_Q!11:11)</f>
        <v/>
      </c>
      <c r="V11" s="519">
        <f>SUMIF(FS_Q!$1:$1,FS_Y!V$1,FS_Q!11:11)</f>
        <v/>
      </c>
      <c r="W11" s="519">
        <f>SUMIF(FS_Q!$1:$1,FS_Y!W$1,FS_Q!11:11)</f>
        <v/>
      </c>
      <c r="X11" s="148" t="n"/>
      <c r="Y11" s="148" t="n"/>
      <c r="Z11" s="148" t="n"/>
      <c r="AA11" s="148" t="n"/>
      <c r="AB11" s="148" t="n"/>
      <c r="AC11" s="148" t="n"/>
      <c r="AD11" s="148" t="n"/>
      <c r="AE11" s="148" t="n"/>
      <c r="AF11" s="148" t="n"/>
      <c r="AG11" s="148" t="n"/>
      <c r="AH11" s="148" t="n"/>
      <c r="AI11" s="148" t="n"/>
      <c r="AJ11" s="148" t="n"/>
    </row>
    <row r="12">
      <c r="A12" s="74">
        <f>FS_Q!A12</f>
        <v/>
      </c>
      <c r="B12" s="143" t="n"/>
      <c r="C12" s="143" t="n"/>
      <c r="D12" s="143" t="n"/>
      <c r="E12" s="517">
        <f>SUMIF(FS_Q!$1:$1,FS_Y!E$1,FS_Q!12:12)</f>
        <v/>
      </c>
      <c r="F12" s="517">
        <f>SUMIF(FS_Q!$1:$1,FS_Y!F$1,FS_Q!12:12)</f>
        <v/>
      </c>
      <c r="G12" s="517">
        <f>SUMIF(FS_Q!$1:$1,FS_Y!G$1,FS_Q!12:12)</f>
        <v/>
      </c>
      <c r="H12" s="517">
        <f>SUMIF(FS_Q!$1:$1,FS_Y!H$1,FS_Q!12:12)</f>
        <v/>
      </c>
      <c r="I12" s="517">
        <f>SUMIF(FS_Q!$1:$1,FS_Y!I$1,FS_Q!12:12)</f>
        <v/>
      </c>
      <c r="J12" s="517">
        <f>SUMIF(FS_Q!$1:$1,FS_Y!J$1,FS_Q!12:12)</f>
        <v/>
      </c>
      <c r="K12" s="517">
        <f>SUMIF(FS_Q!$1:$1,FS_Y!K$1,FS_Q!12:12)</f>
        <v/>
      </c>
      <c r="L12" s="517">
        <f>SUMIF(FS_Q!$1:$1,FS_Y!L$1,FS_Q!12:12)</f>
        <v/>
      </c>
      <c r="M12" s="517">
        <f>SUMIF(FS_Q!$1:$1,FS_Y!M$1,FS_Q!12:12)</f>
        <v/>
      </c>
      <c r="N12" s="517">
        <f>SUMIF(FS_Q!$1:$1,FS_Y!N$1,FS_Q!12:12)</f>
        <v/>
      </c>
      <c r="O12" s="517">
        <f>SUMIF(FS_Q!$1:$1,FS_Y!O$1,FS_Q!12:12)</f>
        <v/>
      </c>
      <c r="P12" s="517">
        <f>SUMIF(FS_Q!$1:$1,FS_Y!P$1,FS_Q!12:12)</f>
        <v/>
      </c>
      <c r="Q12" s="517">
        <f>SUMIF(FS_Q!$1:$1,FS_Y!Q$1,FS_Q!12:12)</f>
        <v/>
      </c>
      <c r="R12" s="517">
        <f>SUMIF(FS_Q!$1:$1,FS_Y!R$1,FS_Q!12:12)</f>
        <v/>
      </c>
      <c r="S12" s="517">
        <f>SUMIF(FS_Q!$1:$1,FS_Y!S$1,FS_Q!12:12)</f>
        <v/>
      </c>
      <c r="T12" s="517">
        <f>SUMIF(FS_Q!$1:$1,FS_Y!T$1,FS_Q!12:12)</f>
        <v/>
      </c>
      <c r="U12" s="517">
        <f>SUMIF(FS_Q!$1:$1,FS_Y!U$1,FS_Q!12:12)</f>
        <v/>
      </c>
      <c r="V12" s="517">
        <f>SUMIF(FS_Q!$1:$1,FS_Y!V$1,FS_Q!12:12)</f>
        <v/>
      </c>
      <c r="W12" s="517">
        <f>SUMIF(FS_Q!$1:$1,FS_Y!W$1,FS_Q!12:12)</f>
        <v/>
      </c>
      <c r="X12" s="148" t="n"/>
      <c r="Y12" s="148" t="n"/>
      <c r="Z12" s="148" t="n"/>
      <c r="AA12" s="148" t="n"/>
      <c r="AB12" s="148" t="n"/>
      <c r="AC12" s="148" t="n"/>
      <c r="AD12" s="148" t="n"/>
      <c r="AE12" s="148" t="n"/>
      <c r="AF12" s="148" t="n"/>
      <c r="AG12" s="148" t="n"/>
      <c r="AH12" s="148" t="n"/>
      <c r="AI12" s="148" t="n"/>
      <c r="AJ12" s="148" t="n"/>
      <c r="AK12" s="148" t="n"/>
      <c r="AL12" s="148" t="n"/>
      <c r="AM12" s="148" t="n"/>
      <c r="AN12" s="148" t="n"/>
      <c r="AO12" s="148" t="n"/>
      <c r="AP12" s="148" t="n"/>
      <c r="AQ12" s="148" t="n"/>
      <c r="AR12" s="148" t="n"/>
      <c r="AS12" s="148" t="n"/>
    </row>
    <row r="13">
      <c r="A13" s="22">
        <f>FS_Q!A13</f>
        <v/>
      </c>
      <c r="B13" s="143" t="n"/>
      <c r="C13" s="143" t="n"/>
      <c r="D13" s="143" t="n"/>
      <c r="E13" s="519">
        <f>SUMIF(FS_Q!$1:$1,FS_Y!E$1,FS_Q!13:13)</f>
        <v/>
      </c>
      <c r="F13" s="519">
        <f>SUMIF(FS_Q!$1:$1,FS_Y!F$1,FS_Q!13:13)</f>
        <v/>
      </c>
      <c r="G13" s="519">
        <f>SUMIF(FS_Q!$1:$1,FS_Y!G$1,FS_Q!13:13)</f>
        <v/>
      </c>
      <c r="H13" s="519">
        <f>SUMIF(FS_Q!$1:$1,FS_Y!H$1,FS_Q!13:13)</f>
        <v/>
      </c>
      <c r="I13" s="519">
        <f>SUMIF(FS_Q!$1:$1,FS_Y!I$1,FS_Q!13:13)</f>
        <v/>
      </c>
      <c r="J13" s="519">
        <f>SUMIF(FS_Q!$1:$1,FS_Y!J$1,FS_Q!13:13)</f>
        <v/>
      </c>
      <c r="K13" s="519">
        <f>SUMIF(FS_Q!$1:$1,FS_Y!K$1,FS_Q!13:13)</f>
        <v/>
      </c>
      <c r="L13" s="519">
        <f>SUMIF(FS_Q!$1:$1,FS_Y!L$1,FS_Q!13:13)</f>
        <v/>
      </c>
      <c r="M13" s="519">
        <f>SUMIF(FS_Q!$1:$1,FS_Y!M$1,FS_Q!13:13)</f>
        <v/>
      </c>
      <c r="N13" s="519">
        <f>SUMIF(FS_Q!$1:$1,FS_Y!N$1,FS_Q!13:13)</f>
        <v/>
      </c>
      <c r="O13" s="519">
        <f>SUMIF(FS_Q!$1:$1,FS_Y!O$1,FS_Q!13:13)</f>
        <v/>
      </c>
      <c r="P13" s="519">
        <f>SUMIF(FS_Q!$1:$1,FS_Y!P$1,FS_Q!13:13)</f>
        <v/>
      </c>
      <c r="Q13" s="519">
        <f>SUMIF(FS_Q!$1:$1,FS_Y!Q$1,FS_Q!13:13)</f>
        <v/>
      </c>
      <c r="R13" s="519">
        <f>SUMIF(FS_Q!$1:$1,FS_Y!R$1,FS_Q!13:13)</f>
        <v/>
      </c>
      <c r="S13" s="519">
        <f>SUMIF(FS_Q!$1:$1,FS_Y!S$1,FS_Q!13:13)</f>
        <v/>
      </c>
      <c r="T13" s="519">
        <f>SUMIF(FS_Q!$1:$1,FS_Y!T$1,FS_Q!13:13)</f>
        <v/>
      </c>
      <c r="U13" s="519">
        <f>SUMIF(FS_Q!$1:$1,FS_Y!U$1,FS_Q!13:13)</f>
        <v/>
      </c>
      <c r="V13" s="519">
        <f>SUMIF(FS_Q!$1:$1,FS_Y!V$1,FS_Q!13:13)</f>
        <v/>
      </c>
      <c r="W13" s="519">
        <f>SUMIF(FS_Q!$1:$1,FS_Y!W$1,FS_Q!13:13)</f>
        <v/>
      </c>
      <c r="X13" s="148" t="n"/>
      <c r="Y13" s="148" t="n"/>
      <c r="Z13" s="148" t="n"/>
      <c r="AA13" s="148" t="n"/>
      <c r="AB13" s="148" t="n"/>
      <c r="AC13" s="148" t="n"/>
      <c r="AD13" s="148" t="n"/>
      <c r="AE13" s="148" t="n"/>
      <c r="AF13" s="148" t="n"/>
      <c r="AG13" s="148" t="n"/>
      <c r="AH13" s="148" t="n"/>
      <c r="AI13" s="148" t="n"/>
      <c r="AJ13" s="148" t="n"/>
      <c r="AK13" s="148" t="n"/>
      <c r="AL13" s="148" t="n"/>
      <c r="AM13" s="148" t="n"/>
      <c r="AN13" s="148" t="n"/>
      <c r="AO13" s="148" t="n"/>
      <c r="AP13" s="148" t="n"/>
      <c r="AQ13" s="148" t="n"/>
      <c r="AR13" s="148" t="n"/>
      <c r="AS13" s="148" t="n"/>
    </row>
    <row r="14">
      <c r="A14" s="33">
        <f>FS_Q!A14</f>
        <v/>
      </c>
      <c r="B14" s="147" t="n"/>
      <c r="C14" s="147" t="n"/>
      <c r="D14" s="147" t="n"/>
      <c r="E14" s="517">
        <f>SUMIF(FS_Q!$1:$1,FS_Y!E$1,FS_Q!14:14)</f>
        <v/>
      </c>
      <c r="F14" s="517">
        <f>SUMIF(FS_Q!$1:$1,FS_Y!F$1,FS_Q!14:14)</f>
        <v/>
      </c>
      <c r="G14" s="517">
        <f>SUMIF(FS_Q!$1:$1,FS_Y!G$1,FS_Q!14:14)</f>
        <v/>
      </c>
      <c r="H14" s="517">
        <f>SUMIF(FS_Q!$1:$1,FS_Y!H$1,FS_Q!14:14)</f>
        <v/>
      </c>
      <c r="I14" s="517">
        <f>SUMIF(FS_Q!$1:$1,FS_Y!I$1,FS_Q!14:14)</f>
        <v/>
      </c>
      <c r="J14" s="517">
        <f>SUMIF(FS_Q!$1:$1,FS_Y!J$1,FS_Q!14:14)</f>
        <v/>
      </c>
      <c r="K14" s="517">
        <f>SUMIF(FS_Q!$1:$1,FS_Y!K$1,FS_Q!14:14)</f>
        <v/>
      </c>
      <c r="L14" s="517">
        <f>SUMIF(FS_Q!$1:$1,FS_Y!L$1,FS_Q!14:14)</f>
        <v/>
      </c>
      <c r="M14" s="517">
        <f>SUMIF(FS_Q!$1:$1,FS_Y!M$1,FS_Q!14:14)</f>
        <v/>
      </c>
      <c r="N14" s="517">
        <f>SUMIF(FS_Q!$1:$1,FS_Y!N$1,FS_Q!14:14)</f>
        <v/>
      </c>
      <c r="O14" s="517">
        <f>SUMIF(FS_Q!$1:$1,FS_Y!O$1,FS_Q!14:14)</f>
        <v/>
      </c>
      <c r="P14" s="517">
        <f>SUMIF(FS_Q!$1:$1,FS_Y!P$1,FS_Q!14:14)</f>
        <v/>
      </c>
      <c r="Q14" s="517">
        <f>SUMIF(FS_Q!$1:$1,FS_Y!Q$1,FS_Q!14:14)</f>
        <v/>
      </c>
      <c r="R14" s="517">
        <f>SUMIF(FS_Q!$1:$1,FS_Y!R$1,FS_Q!14:14)</f>
        <v/>
      </c>
      <c r="S14" s="517">
        <f>SUMIF(FS_Q!$1:$1,FS_Y!S$1,FS_Q!14:14)</f>
        <v/>
      </c>
      <c r="T14" s="517">
        <f>SUMIF(FS_Q!$1:$1,FS_Y!T$1,FS_Q!14:14)</f>
        <v/>
      </c>
      <c r="U14" s="517">
        <f>SUMIF(FS_Q!$1:$1,FS_Y!U$1,FS_Q!14:14)</f>
        <v/>
      </c>
      <c r="V14" s="517">
        <f>SUMIF(FS_Q!$1:$1,FS_Y!V$1,FS_Q!14:14)</f>
        <v/>
      </c>
      <c r="W14" s="517">
        <f>SUMIF(FS_Q!$1:$1,FS_Y!W$1,FS_Q!14:14)</f>
        <v/>
      </c>
      <c r="X14" s="148" t="n"/>
      <c r="Y14" s="148" t="n"/>
      <c r="Z14" s="148" t="n"/>
      <c r="AA14" s="148" t="n"/>
      <c r="AB14" s="148" t="n"/>
      <c r="AC14" s="148" t="n"/>
      <c r="AD14" s="148" t="n"/>
      <c r="AE14" s="148" t="n"/>
      <c r="AF14" s="148" t="n"/>
      <c r="AG14" s="148" t="n"/>
      <c r="AH14" s="148" t="n"/>
      <c r="AI14" s="148" t="n"/>
      <c r="AJ14" s="148" t="n"/>
      <c r="AK14" s="148" t="n"/>
      <c r="AL14" s="148" t="n"/>
      <c r="AM14" s="148" t="n"/>
      <c r="AN14" s="148" t="n"/>
      <c r="AO14" s="148" t="n"/>
      <c r="AP14" s="148" t="n"/>
      <c r="AQ14" s="148" t="n"/>
      <c r="AR14" s="148" t="n"/>
      <c r="AS14" s="148" t="n"/>
    </row>
    <row r="15" customFormat="1" s="281">
      <c r="A15" s="33">
        <f>FS_Q!A15</f>
        <v/>
      </c>
      <c r="B15" s="382" t="n"/>
      <c r="C15" s="382" t="n"/>
      <c r="D15" s="382" t="n"/>
      <c r="E15" s="517">
        <f>SUMIF(FS_Q!$1:$1,FS_Y!E$1,FS_Q!15:15)</f>
        <v/>
      </c>
      <c r="F15" s="517">
        <f>SUMIF(FS_Q!$1:$1,FS_Y!F$1,FS_Q!15:15)</f>
        <v/>
      </c>
      <c r="G15" s="517">
        <f>SUMIF(FS_Q!$1:$1,FS_Y!G$1,FS_Q!15:15)</f>
        <v/>
      </c>
      <c r="H15" s="517">
        <f>SUMIF(FS_Q!$1:$1,FS_Y!H$1,FS_Q!15:15)</f>
        <v/>
      </c>
      <c r="I15" s="517">
        <f>SUMIF(FS_Q!$1:$1,FS_Y!I$1,FS_Q!15:15)</f>
        <v/>
      </c>
      <c r="J15" s="517">
        <f>SUMIF(FS_Q!$1:$1,FS_Y!J$1,FS_Q!15:15)</f>
        <v/>
      </c>
      <c r="K15" s="517">
        <f>SUMIF(FS_Q!$1:$1,FS_Y!K$1,FS_Q!15:15)</f>
        <v/>
      </c>
      <c r="L15" s="517">
        <f>SUMIF(FS_Q!$1:$1,FS_Y!L$1,FS_Q!15:15)</f>
        <v/>
      </c>
      <c r="M15" s="517">
        <f>SUMIF(FS_Q!$1:$1,FS_Y!M$1,FS_Q!15:15)</f>
        <v/>
      </c>
      <c r="N15" s="517">
        <f>SUMIF(FS_Q!$1:$1,FS_Y!N$1,FS_Q!15:15)</f>
        <v/>
      </c>
      <c r="O15" s="517">
        <f>SUMIF(FS_Q!$1:$1,FS_Y!O$1,FS_Q!15:15)</f>
        <v/>
      </c>
      <c r="P15" s="517">
        <f>SUMIF(FS_Q!$1:$1,FS_Y!P$1,FS_Q!15:15)</f>
        <v/>
      </c>
      <c r="Q15" s="517">
        <f>SUMIF(FS_Q!$1:$1,FS_Y!Q$1,FS_Q!15:15)</f>
        <v/>
      </c>
      <c r="R15" s="517">
        <f>SUMIF(FS_Q!$1:$1,FS_Y!R$1,FS_Q!15:15)</f>
        <v/>
      </c>
      <c r="S15" s="517">
        <f>SUMIF(FS_Q!$1:$1,FS_Y!S$1,FS_Q!15:15)</f>
        <v/>
      </c>
      <c r="T15" s="517">
        <f>SUMIF(FS_Q!$1:$1,FS_Y!T$1,FS_Q!15:15)</f>
        <v/>
      </c>
      <c r="U15" s="517">
        <f>SUMIF(FS_Q!$1:$1,FS_Y!U$1,FS_Q!15:15)</f>
        <v/>
      </c>
      <c r="V15" s="517">
        <f>SUMIF(FS_Q!$1:$1,FS_Y!V$1,FS_Q!15:15)</f>
        <v/>
      </c>
      <c r="W15" s="517">
        <f>SUMIF(FS_Q!$1:$1,FS_Y!W$1,FS_Q!15:15)</f>
        <v/>
      </c>
      <c r="X15" s="382" t="n"/>
      <c r="Y15" s="382" t="n"/>
      <c r="Z15" s="382" t="n"/>
      <c r="AA15" s="382" t="n"/>
      <c r="AB15" s="382" t="n"/>
      <c r="AC15" s="382" t="n"/>
      <c r="AD15" s="382" t="n"/>
      <c r="AE15" s="382" t="n"/>
      <c r="AF15" s="382" t="n"/>
      <c r="AG15" s="382" t="n"/>
      <c r="AH15" s="382" t="n"/>
      <c r="AI15" s="382" t="n"/>
      <c r="AJ15" s="382" t="n"/>
      <c r="AK15" s="382" t="n"/>
      <c r="AL15" s="382" t="n"/>
      <c r="AM15" s="382" t="n"/>
      <c r="AN15" s="382" t="n"/>
      <c r="AO15" s="382" t="n"/>
      <c r="AP15" s="382" t="n"/>
      <c r="AQ15" s="382" t="n"/>
      <c r="AR15" s="382" t="n"/>
      <c r="AS15" s="382" t="n"/>
    </row>
    <row r="16" customFormat="1" s="281">
      <c r="A16" s="33">
        <f>FS_Q!A16</f>
        <v/>
      </c>
      <c r="B16" s="143" t="n"/>
      <c r="C16" s="143" t="n"/>
      <c r="D16" s="143" t="n"/>
      <c r="E16" s="517">
        <f>SUMIF(FS_Q!$1:$1,FS_Y!E$1,FS_Q!16:16)</f>
        <v/>
      </c>
      <c r="F16" s="517">
        <f>SUMIF(FS_Q!$1:$1,FS_Y!F$1,FS_Q!16:16)</f>
        <v/>
      </c>
      <c r="G16" s="517">
        <f>SUMIF(FS_Q!$1:$1,FS_Y!G$1,FS_Q!16:16)</f>
        <v/>
      </c>
      <c r="H16" s="517">
        <f>SUMIF(FS_Q!$1:$1,FS_Y!H$1,FS_Q!16:16)</f>
        <v/>
      </c>
      <c r="I16" s="517">
        <f>SUMIF(FS_Q!$1:$1,FS_Y!I$1,FS_Q!16:16)</f>
        <v/>
      </c>
      <c r="J16" s="517">
        <f>SUMIF(FS_Q!$1:$1,FS_Y!J$1,FS_Q!16:16)</f>
        <v/>
      </c>
      <c r="K16" s="517">
        <f>SUMIF(FS_Q!$1:$1,FS_Y!K$1,FS_Q!16:16)</f>
        <v/>
      </c>
      <c r="L16" s="517">
        <f>SUMIF(FS_Q!$1:$1,FS_Y!L$1,FS_Q!16:16)</f>
        <v/>
      </c>
      <c r="M16" s="517">
        <f>SUMIF(FS_Q!$1:$1,FS_Y!M$1,FS_Q!16:16)</f>
        <v/>
      </c>
      <c r="N16" s="517">
        <f>SUMIF(FS_Q!$1:$1,FS_Y!N$1,FS_Q!16:16)</f>
        <v/>
      </c>
      <c r="O16" s="517">
        <f>SUMIF(FS_Q!$1:$1,FS_Y!O$1,FS_Q!16:16)</f>
        <v/>
      </c>
      <c r="P16" s="517">
        <f>SUMIF(FS_Q!$1:$1,FS_Y!P$1,FS_Q!16:16)</f>
        <v/>
      </c>
      <c r="Q16" s="517">
        <f>SUMIF(FS_Q!$1:$1,FS_Y!Q$1,FS_Q!16:16)</f>
        <v/>
      </c>
      <c r="R16" s="517">
        <f>SUMIF(FS_Q!$1:$1,FS_Y!R$1,FS_Q!16:16)</f>
        <v/>
      </c>
      <c r="S16" s="517">
        <f>SUMIF(FS_Q!$1:$1,FS_Y!S$1,FS_Q!16:16)</f>
        <v/>
      </c>
      <c r="T16" s="517">
        <f>SUMIF(FS_Q!$1:$1,FS_Y!T$1,FS_Q!16:16)</f>
        <v/>
      </c>
      <c r="U16" s="517">
        <f>SUMIF(FS_Q!$1:$1,FS_Y!U$1,FS_Q!16:16)</f>
        <v/>
      </c>
      <c r="V16" s="517">
        <f>SUMIF(FS_Q!$1:$1,FS_Y!V$1,FS_Q!16:16)</f>
        <v/>
      </c>
      <c r="W16" s="517">
        <f>SUMIF(FS_Q!$1:$1,FS_Y!W$1,FS_Q!16:16)</f>
        <v/>
      </c>
      <c r="X16" s="382" t="n"/>
      <c r="Y16" s="382" t="n"/>
      <c r="Z16" s="382" t="n"/>
      <c r="AA16" s="382" t="n"/>
      <c r="AB16" s="382" t="n"/>
      <c r="AC16" s="382" t="n"/>
      <c r="AD16" s="382" t="n"/>
      <c r="AE16" s="382" t="n"/>
      <c r="AF16" s="382" t="n"/>
      <c r="AG16" s="382" t="n"/>
      <c r="AH16" s="382" t="n"/>
      <c r="AI16" s="382" t="n"/>
      <c r="AJ16" s="382" t="n"/>
      <c r="AK16" s="382" t="n"/>
      <c r="AL16" s="382" t="n"/>
      <c r="AM16" s="382" t="n"/>
      <c r="AN16" s="382" t="n"/>
      <c r="AO16" s="382" t="n"/>
      <c r="AP16" s="382" t="n"/>
      <c r="AQ16" s="382" t="n"/>
      <c r="AR16" s="382" t="n"/>
      <c r="AS16" s="382" t="n"/>
    </row>
    <row r="17">
      <c r="A17" s="33">
        <f>FS_Q!A17</f>
        <v/>
      </c>
      <c r="B17" s="143" t="n"/>
      <c r="C17" s="143" t="n"/>
      <c r="D17" s="143" t="n"/>
      <c r="E17" s="517">
        <f>SUMIF(FS_Q!$1:$1,FS_Y!E$1,FS_Q!17:17)</f>
        <v/>
      </c>
      <c r="F17" s="517">
        <f>SUMIF(FS_Q!$1:$1,FS_Y!F$1,FS_Q!17:17)</f>
        <v/>
      </c>
      <c r="G17" s="517">
        <f>SUMIF(FS_Q!$1:$1,FS_Y!G$1,FS_Q!17:17)</f>
        <v/>
      </c>
      <c r="H17" s="517">
        <f>SUMIF(FS_Q!$1:$1,FS_Y!H$1,FS_Q!17:17)</f>
        <v/>
      </c>
      <c r="I17" s="517">
        <f>SUMIF(FS_Q!$1:$1,FS_Y!I$1,FS_Q!17:17)</f>
        <v/>
      </c>
      <c r="J17" s="517">
        <f>SUMIF(FS_Q!$1:$1,FS_Y!J$1,FS_Q!17:17)</f>
        <v/>
      </c>
      <c r="K17" s="517">
        <f>SUMIF(FS_Q!$1:$1,FS_Y!K$1,FS_Q!17:17)</f>
        <v/>
      </c>
      <c r="L17" s="517">
        <f>SUMIF(FS_Q!$1:$1,FS_Y!L$1,FS_Q!17:17)</f>
        <v/>
      </c>
      <c r="M17" s="517">
        <f>SUMIF(FS_Q!$1:$1,FS_Y!M$1,FS_Q!17:17)</f>
        <v/>
      </c>
      <c r="N17" s="517">
        <f>SUMIF(FS_Q!$1:$1,FS_Y!N$1,FS_Q!17:17)</f>
        <v/>
      </c>
      <c r="O17" s="517">
        <f>SUMIF(FS_Q!$1:$1,FS_Y!O$1,FS_Q!17:17)</f>
        <v/>
      </c>
      <c r="P17" s="517">
        <f>SUMIF(FS_Q!$1:$1,FS_Y!P$1,FS_Q!17:17)</f>
        <v/>
      </c>
      <c r="Q17" s="517">
        <f>SUMIF(FS_Q!$1:$1,FS_Y!Q$1,FS_Q!17:17)</f>
        <v/>
      </c>
      <c r="R17" s="517">
        <f>SUMIF(FS_Q!$1:$1,FS_Y!R$1,FS_Q!17:17)</f>
        <v/>
      </c>
      <c r="S17" s="517">
        <f>SUMIF(FS_Q!$1:$1,FS_Y!S$1,FS_Q!17:17)</f>
        <v/>
      </c>
      <c r="T17" s="517">
        <f>SUMIF(FS_Q!$1:$1,FS_Y!T$1,FS_Q!17:17)</f>
        <v/>
      </c>
      <c r="U17" s="517">
        <f>SUMIF(FS_Q!$1:$1,FS_Y!U$1,FS_Q!17:17)</f>
        <v/>
      </c>
      <c r="V17" s="517">
        <f>SUMIF(FS_Q!$1:$1,FS_Y!V$1,FS_Q!17:17)</f>
        <v/>
      </c>
      <c r="W17" s="517">
        <f>SUMIF(FS_Q!$1:$1,FS_Y!W$1,FS_Q!17:17)</f>
        <v/>
      </c>
      <c r="X17" s="148" t="n"/>
      <c r="Y17" s="148" t="n"/>
      <c r="Z17" s="148" t="n"/>
      <c r="AA17" s="148" t="n"/>
      <c r="AB17" s="148" t="n"/>
      <c r="AC17" s="148" t="n"/>
      <c r="AD17" s="148" t="n"/>
      <c r="AE17" s="148" t="n"/>
      <c r="AF17" s="148" t="n"/>
      <c r="AG17" s="148" t="n"/>
      <c r="AH17" s="148" t="n"/>
      <c r="AI17" s="148" t="n"/>
      <c r="AJ17" s="148" t="n"/>
      <c r="AK17" s="148" t="n"/>
      <c r="AL17" s="148" t="n"/>
      <c r="AM17" s="148" t="n"/>
      <c r="AN17" s="148" t="n"/>
      <c r="AO17" s="148" t="n"/>
      <c r="AP17" s="148" t="n"/>
      <c r="AQ17" s="148" t="n"/>
      <c r="AR17" s="148" t="n"/>
      <c r="AS17" s="148" t="n"/>
    </row>
    <row r="18">
      <c r="A18" s="74">
        <f>FS_Q!A18</f>
        <v/>
      </c>
      <c r="B18" s="147" t="n"/>
      <c r="C18" s="147" t="n"/>
      <c r="D18" s="147" t="n"/>
      <c r="E18" s="517">
        <f>SUMIF(FS_Q!$1:$1,FS_Y!E$1,FS_Q!18:18)</f>
        <v/>
      </c>
      <c r="F18" s="517">
        <f>SUMIF(FS_Q!$1:$1,FS_Y!F$1,FS_Q!18:18)</f>
        <v/>
      </c>
      <c r="G18" s="517">
        <f>SUMIF(FS_Q!$1:$1,FS_Y!G$1,FS_Q!18:18)</f>
        <v/>
      </c>
      <c r="H18" s="517">
        <f>SUMIF(FS_Q!$1:$1,FS_Y!H$1,FS_Q!18:18)</f>
        <v/>
      </c>
      <c r="I18" s="517">
        <f>SUMIF(FS_Q!$1:$1,FS_Y!I$1,FS_Q!18:18)</f>
        <v/>
      </c>
      <c r="J18" s="517">
        <f>SUMIF(FS_Q!$1:$1,FS_Y!J$1,FS_Q!18:18)</f>
        <v/>
      </c>
      <c r="K18" s="517">
        <f>SUMIF(FS_Q!$1:$1,FS_Y!K$1,FS_Q!18:18)</f>
        <v/>
      </c>
      <c r="L18" s="517">
        <f>SUMIF(FS_Q!$1:$1,FS_Y!L$1,FS_Q!18:18)</f>
        <v/>
      </c>
      <c r="M18" s="517">
        <f>SUMIF(FS_Q!$1:$1,FS_Y!M$1,FS_Q!18:18)</f>
        <v/>
      </c>
      <c r="N18" s="517">
        <f>SUMIF(FS_Q!$1:$1,FS_Y!N$1,FS_Q!18:18)</f>
        <v/>
      </c>
      <c r="O18" s="517">
        <f>SUMIF(FS_Q!$1:$1,FS_Y!O$1,FS_Q!18:18)</f>
        <v/>
      </c>
      <c r="P18" s="517">
        <f>SUMIF(FS_Q!$1:$1,FS_Y!P$1,FS_Q!18:18)</f>
        <v/>
      </c>
      <c r="Q18" s="517">
        <f>SUMIF(FS_Q!$1:$1,FS_Y!Q$1,FS_Q!18:18)</f>
        <v/>
      </c>
      <c r="R18" s="517">
        <f>SUMIF(FS_Q!$1:$1,FS_Y!R$1,FS_Q!18:18)</f>
        <v/>
      </c>
      <c r="S18" s="517">
        <f>SUMIF(FS_Q!$1:$1,FS_Y!S$1,FS_Q!18:18)</f>
        <v/>
      </c>
      <c r="T18" s="517">
        <f>SUMIF(FS_Q!$1:$1,FS_Y!T$1,FS_Q!18:18)</f>
        <v/>
      </c>
      <c r="U18" s="517">
        <f>SUMIF(FS_Q!$1:$1,FS_Y!U$1,FS_Q!18:18)</f>
        <v/>
      </c>
      <c r="V18" s="517">
        <f>SUMIF(FS_Q!$1:$1,FS_Y!V$1,FS_Q!18:18)</f>
        <v/>
      </c>
      <c r="W18" s="517">
        <f>SUMIF(FS_Q!$1:$1,FS_Y!W$1,FS_Q!18:18)</f>
        <v/>
      </c>
      <c r="X18" s="148" t="n"/>
      <c r="Y18" s="148" t="n"/>
      <c r="Z18" s="148" t="n"/>
      <c r="AA18" s="148" t="n"/>
      <c r="AB18" s="148" t="n"/>
      <c r="AC18" s="148" t="n"/>
      <c r="AD18" s="148" t="n"/>
      <c r="AE18" s="148" t="n"/>
      <c r="AF18" s="148" t="n"/>
      <c r="AG18" s="148" t="n"/>
      <c r="AH18" s="148" t="n"/>
      <c r="AI18" s="148" t="n"/>
      <c r="AJ18" s="148" t="n"/>
      <c r="AK18" s="148" t="n"/>
      <c r="AL18" s="148" t="n"/>
      <c r="AM18" s="148" t="n"/>
      <c r="AN18" s="148" t="n"/>
      <c r="AO18" s="148" t="n"/>
      <c r="AP18" s="148" t="n"/>
      <c r="AQ18" s="148" t="n"/>
      <c r="AR18" s="148" t="n"/>
      <c r="AS18" s="148" t="n"/>
    </row>
    <row r="19" customFormat="1" s="281">
      <c r="A19" s="22">
        <f>FS_Q!A19</f>
        <v/>
      </c>
      <c r="B19" s="382" t="n"/>
      <c r="C19" s="382" t="n"/>
      <c r="D19" s="382" t="n"/>
      <c r="E19" s="519">
        <f>SUMIF(FS_Q!$1:$1,FS_Y!E$1,FS_Q!19:19)</f>
        <v/>
      </c>
      <c r="F19" s="519">
        <f>SUMIF(FS_Q!$1:$1,FS_Y!F$1,FS_Q!19:19)</f>
        <v/>
      </c>
      <c r="G19" s="519">
        <f>SUMIF(FS_Q!$1:$1,FS_Y!G$1,FS_Q!19:19)</f>
        <v/>
      </c>
      <c r="H19" s="519">
        <f>SUMIF(FS_Q!$1:$1,FS_Y!H$1,FS_Q!19:19)</f>
        <v/>
      </c>
      <c r="I19" s="519">
        <f>SUMIF(FS_Q!$1:$1,FS_Y!I$1,FS_Q!19:19)</f>
        <v/>
      </c>
      <c r="J19" s="519">
        <f>SUMIF(FS_Q!$1:$1,FS_Y!J$1,FS_Q!19:19)</f>
        <v/>
      </c>
      <c r="K19" s="519">
        <f>SUMIF(FS_Q!$1:$1,FS_Y!K$1,FS_Q!19:19)</f>
        <v/>
      </c>
      <c r="L19" s="519">
        <f>SUMIF(FS_Q!$1:$1,FS_Y!L$1,FS_Q!19:19)</f>
        <v/>
      </c>
      <c r="M19" s="519">
        <f>SUMIF(FS_Q!$1:$1,FS_Y!M$1,FS_Q!19:19)</f>
        <v/>
      </c>
      <c r="N19" s="519">
        <f>SUMIF(FS_Q!$1:$1,FS_Y!N$1,FS_Q!19:19)</f>
        <v/>
      </c>
      <c r="O19" s="519">
        <f>SUMIF(FS_Q!$1:$1,FS_Y!O$1,FS_Q!19:19)</f>
        <v/>
      </c>
      <c r="P19" s="519">
        <f>SUMIF(FS_Q!$1:$1,FS_Y!P$1,FS_Q!19:19)</f>
        <v/>
      </c>
      <c r="Q19" s="519">
        <f>SUMIF(FS_Q!$1:$1,FS_Y!Q$1,FS_Q!19:19)</f>
        <v/>
      </c>
      <c r="R19" s="519">
        <f>SUMIF(FS_Q!$1:$1,FS_Y!R$1,FS_Q!19:19)</f>
        <v/>
      </c>
      <c r="S19" s="519">
        <f>SUMIF(FS_Q!$1:$1,FS_Y!S$1,FS_Q!19:19)</f>
        <v/>
      </c>
      <c r="T19" s="519">
        <f>SUMIF(FS_Q!$1:$1,FS_Y!T$1,FS_Q!19:19)</f>
        <v/>
      </c>
      <c r="U19" s="519">
        <f>SUMIF(FS_Q!$1:$1,FS_Y!U$1,FS_Q!19:19)</f>
        <v/>
      </c>
      <c r="V19" s="519">
        <f>SUMIF(FS_Q!$1:$1,FS_Y!V$1,FS_Q!19:19)</f>
        <v/>
      </c>
      <c r="W19" s="519">
        <f>SUMIF(FS_Q!$1:$1,FS_Y!W$1,FS_Q!19:19)</f>
        <v/>
      </c>
      <c r="X19" s="382" t="n"/>
      <c r="Y19" s="382" t="n"/>
      <c r="Z19" s="382" t="n"/>
      <c r="AA19" s="382" t="n"/>
      <c r="AB19" s="382" t="n"/>
      <c r="AC19" s="382" t="n"/>
      <c r="AD19" s="382" t="n"/>
      <c r="AE19" s="382" t="n"/>
      <c r="AF19" s="382" t="n"/>
      <c r="AG19" s="382" t="n"/>
      <c r="AH19" s="382" t="n"/>
      <c r="AI19" s="382" t="n"/>
      <c r="AJ19" s="382" t="n"/>
      <c r="AK19" s="382" t="n"/>
      <c r="AL19" s="382" t="n"/>
      <c r="AM19" s="382" t="n"/>
      <c r="AN19" s="382" t="n"/>
      <c r="AO19" s="382" t="n"/>
      <c r="AP19" s="382" t="n"/>
      <c r="AQ19" s="382" t="n"/>
      <c r="AR19" s="382" t="n"/>
      <c r="AS19" s="382" t="n"/>
    </row>
    <row r="20">
      <c r="A20" s="33">
        <f>FS_Q!A20</f>
        <v/>
      </c>
      <c r="B20" s="143" t="n"/>
      <c r="C20" s="143" t="n"/>
      <c r="D20" s="143" t="n"/>
      <c r="E20" s="517">
        <f>SUMIF(FS_Q!$1:$1,FS_Y!E$1,FS_Q!20:20)</f>
        <v/>
      </c>
      <c r="F20" s="517">
        <f>SUMIF(FS_Q!$1:$1,FS_Y!F$1,FS_Q!20:20)</f>
        <v/>
      </c>
      <c r="G20" s="517">
        <f>SUMIF(FS_Q!$1:$1,FS_Y!G$1,FS_Q!20:20)</f>
        <v/>
      </c>
      <c r="H20" s="517">
        <f>SUMIF(FS_Q!$1:$1,FS_Y!H$1,FS_Q!20:20)</f>
        <v/>
      </c>
      <c r="I20" s="517">
        <f>SUMIF(FS_Q!$1:$1,FS_Y!I$1,FS_Q!20:20)</f>
        <v/>
      </c>
      <c r="J20" s="517">
        <f>SUMIF(FS_Q!$1:$1,FS_Y!J$1,FS_Q!20:20)</f>
        <v/>
      </c>
      <c r="K20" s="517">
        <f>SUMIF(FS_Q!$1:$1,FS_Y!K$1,FS_Q!20:20)</f>
        <v/>
      </c>
      <c r="L20" s="517">
        <f>SUMIF(FS_Q!$1:$1,FS_Y!L$1,FS_Q!20:20)</f>
        <v/>
      </c>
      <c r="M20" s="517">
        <f>SUMIF(FS_Q!$1:$1,FS_Y!M$1,FS_Q!20:20)</f>
        <v/>
      </c>
      <c r="N20" s="517">
        <f>SUMIF(FS_Q!$1:$1,FS_Y!N$1,FS_Q!20:20)</f>
        <v/>
      </c>
      <c r="O20" s="517">
        <f>SUMIF(FS_Q!$1:$1,FS_Y!O$1,FS_Q!20:20)</f>
        <v/>
      </c>
      <c r="P20" s="517">
        <f>SUMIF(FS_Q!$1:$1,FS_Y!P$1,FS_Q!20:20)</f>
        <v/>
      </c>
      <c r="Q20" s="517">
        <f>SUMIF(FS_Q!$1:$1,FS_Y!Q$1,FS_Q!20:20)</f>
        <v/>
      </c>
      <c r="R20" s="517">
        <f>SUMIF(FS_Q!$1:$1,FS_Y!R$1,FS_Q!20:20)</f>
        <v/>
      </c>
      <c r="S20" s="517">
        <f>SUMIF(FS_Q!$1:$1,FS_Y!S$1,FS_Q!20:20)</f>
        <v/>
      </c>
      <c r="T20" s="517">
        <f>SUMIF(FS_Q!$1:$1,FS_Y!T$1,FS_Q!20:20)</f>
        <v/>
      </c>
      <c r="U20" s="517">
        <f>SUMIF(FS_Q!$1:$1,FS_Y!U$1,FS_Q!20:20)</f>
        <v/>
      </c>
      <c r="V20" s="517">
        <f>SUMIF(FS_Q!$1:$1,FS_Y!V$1,FS_Q!20:20)</f>
        <v/>
      </c>
      <c r="W20" s="517">
        <f>SUMIF(FS_Q!$1:$1,FS_Y!W$1,FS_Q!20:20)</f>
        <v/>
      </c>
      <c r="X20" s="131" t="n"/>
      <c r="Y20" s="131" t="n"/>
      <c r="Z20" s="131" t="n"/>
      <c r="AA20" s="131" t="n"/>
      <c r="AB20" s="131" t="n"/>
      <c r="AC20" s="131" t="n"/>
      <c r="AD20" s="131" t="n"/>
      <c r="AE20" s="131" t="n"/>
      <c r="AF20" s="131" t="n"/>
      <c r="AG20" s="131" t="n"/>
      <c r="AH20" s="131" t="n"/>
      <c r="AI20" s="131" t="n"/>
      <c r="AJ20" s="131" t="n"/>
      <c r="AK20" s="131" t="n"/>
      <c r="AL20" s="131" t="n"/>
      <c r="AM20" s="131" t="n"/>
      <c r="AN20" s="131" t="n"/>
      <c r="AO20" s="131" t="n"/>
      <c r="AP20" s="131" t="n"/>
      <c r="AQ20" s="131" t="n"/>
      <c r="AR20" s="131" t="n"/>
      <c r="AS20" s="131" t="n"/>
    </row>
    <row r="21">
      <c r="A21" s="33">
        <f>FS_Q!A21</f>
        <v/>
      </c>
      <c r="B21" s="143" t="n"/>
      <c r="C21" s="143" t="n"/>
      <c r="D21" s="143" t="n"/>
      <c r="E21" s="517">
        <f>SUMIF(FS_Q!$1:$1,FS_Y!E$1,FS_Q!21:21)</f>
        <v/>
      </c>
      <c r="F21" s="517">
        <f>SUMIF(FS_Q!$1:$1,FS_Y!F$1,FS_Q!21:21)</f>
        <v/>
      </c>
      <c r="G21" s="517">
        <f>SUMIF(FS_Q!$1:$1,FS_Y!G$1,FS_Q!21:21)</f>
        <v/>
      </c>
      <c r="H21" s="517">
        <f>SUMIF(FS_Q!$1:$1,FS_Y!H$1,FS_Q!21:21)</f>
        <v/>
      </c>
      <c r="I21" s="517">
        <f>SUMIF(FS_Q!$1:$1,FS_Y!I$1,FS_Q!21:21)</f>
        <v/>
      </c>
      <c r="J21" s="517">
        <f>SUMIF(FS_Q!$1:$1,FS_Y!J$1,FS_Q!21:21)</f>
        <v/>
      </c>
      <c r="K21" s="517">
        <f>SUMIF(FS_Q!$1:$1,FS_Y!K$1,FS_Q!21:21)</f>
        <v/>
      </c>
      <c r="L21" s="517">
        <f>SUMIF(FS_Q!$1:$1,FS_Y!L$1,FS_Q!21:21)</f>
        <v/>
      </c>
      <c r="M21" s="517">
        <f>SUMIF(FS_Q!$1:$1,FS_Y!M$1,FS_Q!21:21)</f>
        <v/>
      </c>
      <c r="N21" s="517">
        <f>SUMIF(FS_Q!$1:$1,FS_Y!N$1,FS_Q!21:21)</f>
        <v/>
      </c>
      <c r="O21" s="517">
        <f>SUMIF(FS_Q!$1:$1,FS_Y!O$1,FS_Q!21:21)</f>
        <v/>
      </c>
      <c r="P21" s="517">
        <f>SUMIF(FS_Q!$1:$1,FS_Y!P$1,FS_Q!21:21)</f>
        <v/>
      </c>
      <c r="Q21" s="517">
        <f>SUMIF(FS_Q!$1:$1,FS_Y!Q$1,FS_Q!21:21)</f>
        <v/>
      </c>
      <c r="R21" s="517">
        <f>SUMIF(FS_Q!$1:$1,FS_Y!R$1,FS_Q!21:21)</f>
        <v/>
      </c>
      <c r="S21" s="517">
        <f>SUMIF(FS_Q!$1:$1,FS_Y!S$1,FS_Q!21:21)</f>
        <v/>
      </c>
      <c r="T21" s="517">
        <f>SUMIF(FS_Q!$1:$1,FS_Y!T$1,FS_Q!21:21)</f>
        <v/>
      </c>
      <c r="U21" s="517">
        <f>SUMIF(FS_Q!$1:$1,FS_Y!U$1,FS_Q!21:21)</f>
        <v/>
      </c>
      <c r="V21" s="517">
        <f>SUMIF(FS_Q!$1:$1,FS_Y!V$1,FS_Q!21:21)</f>
        <v/>
      </c>
      <c r="W21" s="517">
        <f>SUMIF(FS_Q!$1:$1,FS_Y!W$1,FS_Q!21:21)</f>
        <v/>
      </c>
      <c r="X21" s="131" t="n"/>
      <c r="Y21" s="131" t="n"/>
      <c r="Z21" s="131" t="n"/>
      <c r="AA21" s="131" t="n"/>
      <c r="AB21" s="131" t="n"/>
      <c r="AC21" s="131" t="n"/>
      <c r="AD21" s="131" t="n"/>
      <c r="AE21" s="131" t="n"/>
      <c r="AF21" s="131" t="n"/>
      <c r="AG21" s="131" t="n"/>
      <c r="AH21" s="131" t="n"/>
      <c r="AI21" s="131" t="n"/>
      <c r="AJ21" s="131" t="n"/>
      <c r="AK21" s="131" t="n"/>
      <c r="AL21" s="131" t="n"/>
      <c r="AM21" s="131" t="n"/>
      <c r="AN21" s="131" t="n"/>
      <c r="AO21" s="131" t="n"/>
      <c r="AP21" s="131" t="n"/>
      <c r="AQ21" s="131" t="n"/>
      <c r="AR21" s="131" t="n"/>
      <c r="AS21" s="131" t="n"/>
    </row>
    <row r="22">
      <c r="A22" s="74">
        <f>FS_Q!A22</f>
        <v/>
      </c>
      <c r="B22" s="143" t="n"/>
      <c r="C22" s="143" t="n"/>
      <c r="D22" s="143" t="n"/>
      <c r="E22" s="517">
        <f>SUMIF(FS_Q!$1:$1,FS_Y!E$1,FS_Q!22:22)</f>
        <v/>
      </c>
      <c r="F22" s="517">
        <f>SUMIF(FS_Q!$1:$1,FS_Y!F$1,FS_Q!22:22)</f>
        <v/>
      </c>
      <c r="G22" s="517">
        <f>SUMIF(FS_Q!$1:$1,FS_Y!G$1,FS_Q!22:22)</f>
        <v/>
      </c>
      <c r="H22" s="517">
        <f>SUMIF(FS_Q!$1:$1,FS_Y!H$1,FS_Q!22:22)</f>
        <v/>
      </c>
      <c r="I22" s="517">
        <f>SUMIF(FS_Q!$1:$1,FS_Y!I$1,FS_Q!22:22)</f>
        <v/>
      </c>
      <c r="J22" s="517">
        <f>SUMIF(FS_Q!$1:$1,FS_Y!J$1,FS_Q!22:22)</f>
        <v/>
      </c>
      <c r="K22" s="517">
        <f>SUMIF(FS_Q!$1:$1,FS_Y!K$1,FS_Q!22:22)</f>
        <v/>
      </c>
      <c r="L22" s="517">
        <f>SUMIF(FS_Q!$1:$1,FS_Y!L$1,FS_Q!22:22)</f>
        <v/>
      </c>
      <c r="M22" s="517">
        <f>SUMIF(FS_Q!$1:$1,FS_Y!M$1,FS_Q!22:22)</f>
        <v/>
      </c>
      <c r="N22" s="517">
        <f>SUMIF(FS_Q!$1:$1,FS_Y!N$1,FS_Q!22:22)</f>
        <v/>
      </c>
      <c r="O22" s="517">
        <f>SUMIF(FS_Q!$1:$1,FS_Y!O$1,FS_Q!22:22)</f>
        <v/>
      </c>
      <c r="P22" s="517">
        <f>SUMIF(FS_Q!$1:$1,FS_Y!P$1,FS_Q!22:22)</f>
        <v/>
      </c>
      <c r="Q22" s="517">
        <f>SUMIF(FS_Q!$1:$1,FS_Y!Q$1,FS_Q!22:22)</f>
        <v/>
      </c>
      <c r="R22" s="517">
        <f>SUMIF(FS_Q!$1:$1,FS_Y!R$1,FS_Q!22:22)</f>
        <v/>
      </c>
      <c r="S22" s="517">
        <f>SUMIF(FS_Q!$1:$1,FS_Y!S$1,FS_Q!22:22)</f>
        <v/>
      </c>
      <c r="T22" s="517">
        <f>SUMIF(FS_Q!$1:$1,FS_Y!T$1,FS_Q!22:22)</f>
        <v/>
      </c>
      <c r="U22" s="517">
        <f>SUMIF(FS_Q!$1:$1,FS_Y!U$1,FS_Q!22:22)</f>
        <v/>
      </c>
      <c r="V22" s="517">
        <f>SUMIF(FS_Q!$1:$1,FS_Y!V$1,FS_Q!22:22)</f>
        <v/>
      </c>
      <c r="W22" s="517">
        <f>SUMIF(FS_Q!$1:$1,FS_Y!W$1,FS_Q!22:22)</f>
        <v/>
      </c>
      <c r="X22" s="131" t="n"/>
      <c r="Y22" s="131" t="n"/>
      <c r="Z22" s="131" t="n"/>
      <c r="AA22" s="131" t="n"/>
      <c r="AB22" s="131" t="n"/>
      <c r="AC22" s="131" t="n"/>
      <c r="AD22" s="131" t="n"/>
      <c r="AE22" s="131" t="n"/>
      <c r="AF22" s="131" t="n"/>
      <c r="AG22" s="131" t="n"/>
      <c r="AH22" s="131" t="n"/>
      <c r="AI22" s="131" t="n"/>
      <c r="AJ22" s="131" t="n"/>
      <c r="AK22" s="131" t="n"/>
      <c r="AL22" s="131" t="n"/>
      <c r="AM22" s="131" t="n"/>
      <c r="AN22" s="131" t="n"/>
      <c r="AO22" s="131" t="n"/>
      <c r="AP22" s="131" t="n"/>
      <c r="AQ22" s="131" t="n"/>
      <c r="AR22" s="131" t="n"/>
      <c r="AS22" s="131" t="n"/>
    </row>
    <row r="23">
      <c r="A23" s="40">
        <f>FS_Q!A23</f>
        <v/>
      </c>
      <c r="B23" s="143" t="n"/>
      <c r="C23" s="143" t="n"/>
      <c r="D23" s="143" t="n"/>
      <c r="E23" s="519">
        <f>SUMIF(FS_Q!$1:$1,FS_Y!E$1,FS_Q!23:23)</f>
        <v/>
      </c>
      <c r="F23" s="519">
        <f>SUMIF(FS_Q!$1:$1,FS_Y!F$1,FS_Q!23:23)</f>
        <v/>
      </c>
      <c r="G23" s="519">
        <f>SUMIF(FS_Q!$1:$1,FS_Y!G$1,FS_Q!23:23)</f>
        <v/>
      </c>
      <c r="H23" s="519">
        <f>SUMIF(FS_Q!$1:$1,FS_Y!H$1,FS_Q!23:23)</f>
        <v/>
      </c>
      <c r="I23" s="519">
        <f>SUMIF(FS_Q!$1:$1,FS_Y!I$1,FS_Q!23:23)</f>
        <v/>
      </c>
      <c r="J23" s="519">
        <f>SUMIF(FS_Q!$1:$1,FS_Y!J$1,FS_Q!23:23)</f>
        <v/>
      </c>
      <c r="K23" s="519">
        <f>SUMIF(FS_Q!$1:$1,FS_Y!K$1,FS_Q!23:23)</f>
        <v/>
      </c>
      <c r="L23" s="519">
        <f>SUMIF(FS_Q!$1:$1,FS_Y!L$1,FS_Q!23:23)</f>
        <v/>
      </c>
      <c r="M23" s="519">
        <f>SUMIF(FS_Q!$1:$1,FS_Y!M$1,FS_Q!23:23)</f>
        <v/>
      </c>
      <c r="N23" s="519">
        <f>SUMIF(FS_Q!$1:$1,FS_Y!N$1,FS_Q!23:23)</f>
        <v/>
      </c>
      <c r="O23" s="519">
        <f>SUMIF(FS_Q!$1:$1,FS_Y!O$1,FS_Q!23:23)</f>
        <v/>
      </c>
      <c r="P23" s="519">
        <f>SUMIF(FS_Q!$1:$1,FS_Y!P$1,FS_Q!23:23)</f>
        <v/>
      </c>
      <c r="Q23" s="519">
        <f>SUMIF(FS_Q!$1:$1,FS_Y!Q$1,FS_Q!23:23)</f>
        <v/>
      </c>
      <c r="R23" s="519">
        <f>SUMIF(FS_Q!$1:$1,FS_Y!R$1,FS_Q!23:23)</f>
        <v/>
      </c>
      <c r="S23" s="519">
        <f>SUMIF(FS_Q!$1:$1,FS_Y!S$1,FS_Q!23:23)</f>
        <v/>
      </c>
      <c r="T23" s="519">
        <f>SUMIF(FS_Q!$1:$1,FS_Y!T$1,FS_Q!23:23)</f>
        <v/>
      </c>
      <c r="U23" s="519">
        <f>SUMIF(FS_Q!$1:$1,FS_Y!U$1,FS_Q!23:23)</f>
        <v/>
      </c>
      <c r="V23" s="519">
        <f>SUMIF(FS_Q!$1:$1,FS_Y!V$1,FS_Q!23:23)</f>
        <v/>
      </c>
      <c r="W23" s="519">
        <f>SUMIF(FS_Q!$1:$1,FS_Y!W$1,FS_Q!23:23)</f>
        <v/>
      </c>
      <c r="X23" s="131" t="n"/>
      <c r="Y23" s="131" t="n"/>
      <c r="Z23" s="131" t="n"/>
      <c r="AA23" s="131" t="n"/>
      <c r="AB23" s="131" t="n"/>
      <c r="AC23" s="131" t="n"/>
      <c r="AD23" s="131" t="n"/>
      <c r="AE23" s="131" t="n"/>
      <c r="AF23" s="131" t="n"/>
      <c r="AG23" s="131" t="n"/>
      <c r="AH23" s="131" t="n"/>
      <c r="AI23" s="131" t="n"/>
      <c r="AJ23" s="131" t="n"/>
      <c r="AK23" s="131" t="n"/>
      <c r="AL23" s="131" t="n"/>
      <c r="AM23" s="131" t="n"/>
      <c r="AN23" s="131" t="n"/>
      <c r="AO23" s="131" t="n"/>
      <c r="AP23" s="131" t="n"/>
      <c r="AQ23" s="131" t="n"/>
      <c r="AR23" s="131" t="n"/>
      <c r="AS23" s="131" t="n"/>
    </row>
    <row r="24">
      <c r="A24" s="74">
        <f>FS_Q!A24</f>
        <v/>
      </c>
      <c r="B24" s="143" t="n"/>
      <c r="C24" s="143" t="n"/>
      <c r="D24" s="898" t="n"/>
      <c r="E24" s="517">
        <f>SUMIF(FS_Q!$1:$1,FS_Y!E$1,FS_Q!24:24)</f>
        <v/>
      </c>
      <c r="F24" s="517">
        <f>SUMIF(FS_Q!$1:$1,FS_Y!F$1,FS_Q!24:24)</f>
        <v/>
      </c>
      <c r="G24" s="517">
        <f>SUMIF(FS_Q!$1:$1,FS_Y!G$1,FS_Q!24:24)</f>
        <v/>
      </c>
      <c r="H24" s="517">
        <f>SUMIF(FS_Q!$1:$1,FS_Y!H$1,FS_Q!24:24)</f>
        <v/>
      </c>
      <c r="I24" s="517">
        <f>SUMIF(FS_Q!$1:$1,FS_Y!I$1,FS_Q!24:24)</f>
        <v/>
      </c>
      <c r="J24" s="517">
        <f>SUMIF(FS_Q!$1:$1,FS_Y!J$1,FS_Q!24:24)</f>
        <v/>
      </c>
      <c r="K24" s="517">
        <f>SUMIF(FS_Q!$1:$1,FS_Y!K$1,FS_Q!24:24)</f>
        <v/>
      </c>
      <c r="L24" s="517">
        <f>SUMIF(FS_Q!$1:$1,FS_Y!L$1,FS_Q!24:24)</f>
        <v/>
      </c>
      <c r="M24" s="517">
        <f>SUMIF(FS_Q!$1:$1,FS_Y!M$1,FS_Q!24:24)</f>
        <v/>
      </c>
      <c r="N24" s="517">
        <f>SUMIF(FS_Q!$1:$1,FS_Y!N$1,FS_Q!24:24)</f>
        <v/>
      </c>
      <c r="O24" s="517">
        <f>SUMIF(FS_Q!$1:$1,FS_Y!O$1,FS_Q!24:24)</f>
        <v/>
      </c>
      <c r="P24" s="517">
        <f>SUMIF(FS_Q!$1:$1,FS_Y!P$1,FS_Q!24:24)</f>
        <v/>
      </c>
      <c r="Q24" s="517">
        <f>SUMIF(FS_Q!$1:$1,FS_Y!Q$1,FS_Q!24:24)</f>
        <v/>
      </c>
      <c r="R24" s="517">
        <f>SUMIF(FS_Q!$1:$1,FS_Y!R$1,FS_Q!24:24)</f>
        <v/>
      </c>
      <c r="S24" s="517">
        <f>SUMIF(FS_Q!$1:$1,FS_Y!S$1,FS_Q!24:24)</f>
        <v/>
      </c>
      <c r="T24" s="517">
        <f>SUMIF(FS_Q!$1:$1,FS_Y!T$1,FS_Q!24:24)</f>
        <v/>
      </c>
      <c r="U24" s="517">
        <f>SUMIF(FS_Q!$1:$1,FS_Y!U$1,FS_Q!24:24)</f>
        <v/>
      </c>
      <c r="V24" s="517">
        <f>SUMIF(FS_Q!$1:$1,FS_Y!V$1,FS_Q!24:24)</f>
        <v/>
      </c>
      <c r="W24" s="517">
        <f>SUMIF(FS_Q!$1:$1,FS_Y!W$1,FS_Q!24:24)</f>
        <v/>
      </c>
      <c r="X24" s="148" t="n"/>
      <c r="Y24" s="148" t="n"/>
      <c r="Z24" s="148" t="n"/>
      <c r="AA24" s="148" t="n"/>
      <c r="AB24" s="148" t="n"/>
      <c r="AC24" s="148" t="n"/>
      <c r="AD24" s="148" t="n"/>
      <c r="AE24" s="148" t="n"/>
      <c r="AF24" s="148" t="n"/>
      <c r="AG24" s="148" t="n"/>
      <c r="AH24" s="148" t="n"/>
      <c r="AI24" s="148" t="n"/>
      <c r="AJ24" s="148" t="n"/>
      <c r="AK24" s="148" t="n"/>
      <c r="AL24" s="148" t="n"/>
      <c r="AM24" s="148" t="n"/>
      <c r="AN24" s="148" t="n"/>
      <c r="AO24" s="148" t="n"/>
      <c r="AP24" s="148" t="n"/>
      <c r="AQ24" s="148" t="n"/>
      <c r="AR24" s="148" t="n"/>
      <c r="AS24" s="148" t="n"/>
    </row>
    <row r="25">
      <c r="A25" s="40">
        <f>FS_Q!A25</f>
        <v/>
      </c>
      <c r="B25" s="143" t="n"/>
      <c r="C25" s="143" t="n"/>
      <c r="D25" s="143" t="n"/>
      <c r="E25" s="519">
        <f>SUMIF(FS_Q!$1:$1,FS_Y!E$1,FS_Q!25:25)</f>
        <v/>
      </c>
      <c r="F25" s="519">
        <f>SUMIF(FS_Q!$1:$1,FS_Y!F$1,FS_Q!25:25)</f>
        <v/>
      </c>
      <c r="G25" s="519">
        <f>SUMIF(FS_Q!$1:$1,FS_Y!G$1,FS_Q!25:25)</f>
        <v/>
      </c>
      <c r="H25" s="519">
        <f>SUMIF(FS_Q!$1:$1,FS_Y!H$1,FS_Q!25:25)</f>
        <v/>
      </c>
      <c r="I25" s="519">
        <f>SUMIF(FS_Q!$1:$1,FS_Y!I$1,FS_Q!25:25)</f>
        <v/>
      </c>
      <c r="J25" s="519">
        <f>SUMIF(FS_Q!$1:$1,FS_Y!J$1,FS_Q!25:25)</f>
        <v/>
      </c>
      <c r="K25" s="519">
        <f>SUMIF(FS_Q!$1:$1,FS_Y!K$1,FS_Q!25:25)</f>
        <v/>
      </c>
      <c r="L25" s="519">
        <f>SUMIF(FS_Q!$1:$1,FS_Y!L$1,FS_Q!25:25)</f>
        <v/>
      </c>
      <c r="M25" s="519">
        <f>SUMIF(FS_Q!$1:$1,FS_Y!M$1,FS_Q!25:25)</f>
        <v/>
      </c>
      <c r="N25" s="519">
        <f>SUMIF(FS_Q!$1:$1,FS_Y!N$1,FS_Q!25:25)</f>
        <v/>
      </c>
      <c r="O25" s="519">
        <f>SUMIF(FS_Q!$1:$1,FS_Y!O$1,FS_Q!25:25)</f>
        <v/>
      </c>
      <c r="P25" s="519">
        <f>SUMIF(FS_Q!$1:$1,FS_Y!P$1,FS_Q!25:25)</f>
        <v/>
      </c>
      <c r="Q25" s="519">
        <f>SUMIF(FS_Q!$1:$1,FS_Y!Q$1,FS_Q!25:25)</f>
        <v/>
      </c>
      <c r="R25" s="519">
        <f>SUMIF(FS_Q!$1:$1,FS_Y!R$1,FS_Q!25:25)</f>
        <v/>
      </c>
      <c r="S25" s="519">
        <f>SUMIF(FS_Q!$1:$1,FS_Y!S$1,FS_Q!25:25)</f>
        <v/>
      </c>
      <c r="T25" s="519">
        <f>SUMIF(FS_Q!$1:$1,FS_Y!T$1,FS_Q!25:25)</f>
        <v/>
      </c>
      <c r="U25" s="519">
        <f>SUMIF(FS_Q!$1:$1,FS_Y!U$1,FS_Q!25:25)</f>
        <v/>
      </c>
      <c r="V25" s="519">
        <f>SUMIF(FS_Q!$1:$1,FS_Y!V$1,FS_Q!25:25)</f>
        <v/>
      </c>
      <c r="W25" s="519">
        <f>SUMIF(FS_Q!$1:$1,FS_Y!W$1,FS_Q!25:25)</f>
        <v/>
      </c>
      <c r="X25" s="148" t="n"/>
      <c r="Y25" s="148" t="n"/>
      <c r="Z25" s="148" t="n"/>
      <c r="AA25" s="148" t="n"/>
      <c r="AB25" s="148" t="n"/>
      <c r="AC25" s="148" t="n"/>
      <c r="AD25" s="148" t="n"/>
      <c r="AE25" s="148" t="n"/>
      <c r="AF25" s="148" t="n"/>
      <c r="AG25" s="148" t="n"/>
      <c r="AH25" s="148" t="n"/>
      <c r="AI25" s="148" t="n"/>
      <c r="AJ25" s="148" t="n"/>
      <c r="AK25" s="148" t="n"/>
      <c r="AL25" s="148" t="n"/>
      <c r="AM25" s="148" t="n"/>
      <c r="AN25" s="148" t="n"/>
      <c r="AO25" s="148" t="n"/>
      <c r="AP25" s="148" t="n"/>
      <c r="AQ25" s="148" t="n"/>
      <c r="AR25" s="148" t="n"/>
      <c r="AS25" s="148" t="n"/>
    </row>
    <row r="26">
      <c r="A26" s="74">
        <f>FS_Q!A26</f>
        <v/>
      </c>
      <c r="B26" s="147" t="n"/>
      <c r="C26" s="147" t="n"/>
      <c r="D26" s="147" t="n"/>
      <c r="E26" s="517">
        <f>SUMIF(FS_Q!$1:$1,FS_Y!E$1,FS_Q!26:26)</f>
        <v/>
      </c>
      <c r="F26" s="517">
        <f>SUMIF(FS_Q!$1:$1,FS_Y!F$1,FS_Q!26:26)</f>
        <v/>
      </c>
      <c r="G26" s="517">
        <f>SUMIF(FS_Q!$1:$1,FS_Y!G$1,FS_Q!26:26)</f>
        <v/>
      </c>
      <c r="H26" s="517">
        <f>SUMIF(FS_Q!$1:$1,FS_Y!H$1,FS_Q!26:26)</f>
        <v/>
      </c>
      <c r="I26" s="517">
        <f>SUMIF(FS_Q!$1:$1,FS_Y!I$1,FS_Q!26:26)</f>
        <v/>
      </c>
      <c r="J26" s="517">
        <f>SUMIF(FS_Q!$1:$1,FS_Y!J$1,FS_Q!26:26)</f>
        <v/>
      </c>
      <c r="K26" s="517">
        <f>SUMIF(FS_Q!$1:$1,FS_Y!K$1,FS_Q!26:26)</f>
        <v/>
      </c>
      <c r="L26" s="517">
        <f>SUMIF(FS_Q!$1:$1,FS_Y!L$1,FS_Q!26:26)</f>
        <v/>
      </c>
      <c r="M26" s="517">
        <f>SUMIF(FS_Q!$1:$1,FS_Y!M$1,FS_Q!26:26)</f>
        <v/>
      </c>
      <c r="N26" s="517">
        <f>SUMIF(FS_Q!$1:$1,FS_Y!N$1,FS_Q!26:26)</f>
        <v/>
      </c>
      <c r="O26" s="517">
        <f>SUMIF(FS_Q!$1:$1,FS_Y!O$1,FS_Q!26:26)</f>
        <v/>
      </c>
      <c r="P26" s="517">
        <f>SUMIF(FS_Q!$1:$1,FS_Y!P$1,FS_Q!26:26)</f>
        <v/>
      </c>
      <c r="Q26" s="517">
        <f>SUMIF(FS_Q!$1:$1,FS_Y!Q$1,FS_Q!26:26)</f>
        <v/>
      </c>
      <c r="R26" s="517">
        <f>SUMIF(FS_Q!$1:$1,FS_Y!R$1,FS_Q!26:26)</f>
        <v/>
      </c>
      <c r="S26" s="517">
        <f>SUMIF(FS_Q!$1:$1,FS_Y!S$1,FS_Q!26:26)</f>
        <v/>
      </c>
      <c r="T26" s="517">
        <f>SUMIF(FS_Q!$1:$1,FS_Y!T$1,FS_Q!26:26)</f>
        <v/>
      </c>
      <c r="U26" s="517">
        <f>SUMIF(FS_Q!$1:$1,FS_Y!U$1,FS_Q!26:26)</f>
        <v/>
      </c>
      <c r="V26" s="517">
        <f>SUMIF(FS_Q!$1:$1,FS_Y!V$1,FS_Q!26:26)</f>
        <v/>
      </c>
      <c r="W26" s="517">
        <f>SUMIF(FS_Q!$1:$1,FS_Y!W$1,FS_Q!26:26)</f>
        <v/>
      </c>
      <c r="X26" s="148" t="n"/>
      <c r="Y26" s="148" t="n"/>
      <c r="Z26" s="148" t="n"/>
      <c r="AA26" s="148" t="n"/>
      <c r="AB26" s="148" t="n"/>
      <c r="AC26" s="148" t="n"/>
      <c r="AD26" s="148" t="n"/>
      <c r="AE26" s="148" t="n"/>
      <c r="AF26" s="148" t="n"/>
      <c r="AG26" s="148" t="n"/>
      <c r="AH26" s="148" t="n"/>
      <c r="AI26" s="148" t="n"/>
      <c r="AJ26" s="148" t="n"/>
      <c r="AK26" s="148" t="n"/>
      <c r="AL26" s="148" t="n"/>
      <c r="AM26" s="148" t="n"/>
      <c r="AN26" s="148" t="n"/>
      <c r="AO26" s="148" t="n"/>
      <c r="AP26" s="148" t="n"/>
      <c r="AQ26" s="148" t="n"/>
      <c r="AR26" s="148" t="n"/>
      <c r="AS26" s="148" t="n"/>
    </row>
    <row r="27" customFormat="1" s="281">
      <c r="A27" s="22">
        <f>FS_Q!A27</f>
        <v/>
      </c>
      <c r="B27" s="382" t="n"/>
      <c r="C27" s="382" t="n"/>
      <c r="D27" s="382" t="n"/>
      <c r="E27" s="519">
        <f>SUMIF(FS_Q!$1:$1,FS_Y!E$1,FS_Q!27:27)</f>
        <v/>
      </c>
      <c r="F27" s="519">
        <f>SUMIF(FS_Q!$1:$1,FS_Y!F$1,FS_Q!27:27)</f>
        <v/>
      </c>
      <c r="G27" s="519">
        <f>SUMIF(FS_Q!$1:$1,FS_Y!G$1,FS_Q!27:27)</f>
        <v/>
      </c>
      <c r="H27" s="519">
        <f>SUMIF(FS_Q!$1:$1,FS_Y!H$1,FS_Q!27:27)</f>
        <v/>
      </c>
      <c r="I27" s="519">
        <f>SUMIF(FS_Q!$1:$1,FS_Y!I$1,FS_Q!27:27)</f>
        <v/>
      </c>
      <c r="J27" s="519">
        <f>SUMIF(FS_Q!$1:$1,FS_Y!J$1,FS_Q!27:27)</f>
        <v/>
      </c>
      <c r="K27" s="519">
        <f>SUMIF(FS_Q!$1:$1,FS_Y!K$1,FS_Q!27:27)</f>
        <v/>
      </c>
      <c r="L27" s="519">
        <f>SUMIF(FS_Q!$1:$1,FS_Y!L$1,FS_Q!27:27)</f>
        <v/>
      </c>
      <c r="M27" s="519">
        <f>SUMIF(FS_Q!$1:$1,FS_Y!M$1,FS_Q!27:27)</f>
        <v/>
      </c>
      <c r="N27" s="519">
        <f>SUMIF(FS_Q!$1:$1,FS_Y!N$1,FS_Q!27:27)</f>
        <v/>
      </c>
      <c r="O27" s="519">
        <f>SUMIF(FS_Q!$1:$1,FS_Y!O$1,FS_Q!27:27)</f>
        <v/>
      </c>
      <c r="P27" s="519">
        <f>SUMIF(FS_Q!$1:$1,FS_Y!P$1,FS_Q!27:27)</f>
        <v/>
      </c>
      <c r="Q27" s="519">
        <f>SUMIF(FS_Q!$1:$1,FS_Y!Q$1,FS_Q!27:27)</f>
        <v/>
      </c>
      <c r="R27" s="519">
        <f>SUMIF(FS_Q!$1:$1,FS_Y!R$1,FS_Q!27:27)</f>
        <v/>
      </c>
      <c r="S27" s="519">
        <f>SUMIF(FS_Q!$1:$1,FS_Y!S$1,FS_Q!27:27)</f>
        <v/>
      </c>
      <c r="T27" s="519">
        <f>SUMIF(FS_Q!$1:$1,FS_Y!T$1,FS_Q!27:27)</f>
        <v/>
      </c>
      <c r="U27" s="519">
        <f>SUMIF(FS_Q!$1:$1,FS_Y!U$1,FS_Q!27:27)</f>
        <v/>
      </c>
      <c r="V27" s="519">
        <f>SUMIF(FS_Q!$1:$1,FS_Y!V$1,FS_Q!27:27)</f>
        <v/>
      </c>
      <c r="W27" s="519">
        <f>SUMIF(FS_Q!$1:$1,FS_Y!W$1,FS_Q!27:27)</f>
        <v/>
      </c>
      <c r="X27" s="382" t="n"/>
      <c r="Y27" s="382" t="n"/>
      <c r="Z27" s="382" t="n"/>
      <c r="AA27" s="382" t="n"/>
      <c r="AB27" s="382" t="n"/>
      <c r="AC27" s="382" t="n"/>
      <c r="AD27" s="382" t="n"/>
      <c r="AE27" s="382" t="n"/>
      <c r="AF27" s="382" t="n"/>
      <c r="AG27" s="382" t="n"/>
      <c r="AH27" s="382" t="n"/>
      <c r="AI27" s="382" t="n"/>
      <c r="AJ27" s="382" t="n"/>
      <c r="AK27" s="382" t="n"/>
      <c r="AL27" s="382" t="n"/>
      <c r="AM27" s="382" t="n"/>
      <c r="AN27" s="382" t="n"/>
      <c r="AO27" s="382" t="n"/>
      <c r="AP27" s="382" t="n"/>
      <c r="AQ27" s="382" t="n"/>
      <c r="AR27" s="382" t="n"/>
      <c r="AS27" s="382" t="n"/>
    </row>
    <row r="28">
      <c r="A28" s="22">
        <f>FS_Q!A28</f>
        <v/>
      </c>
      <c r="B28" s="143" t="n"/>
      <c r="C28" s="143" t="n"/>
      <c r="D28" s="143" t="n"/>
      <c r="X28" s="131" t="n"/>
      <c r="Y28" s="131" t="n"/>
      <c r="Z28" s="131" t="n"/>
      <c r="AA28" s="131" t="n"/>
      <c r="AB28" s="131" t="n"/>
      <c r="AC28" s="131" t="n"/>
      <c r="AD28" s="131" t="n"/>
      <c r="AE28" s="131" t="n"/>
      <c r="AF28" s="131" t="n"/>
      <c r="AG28" s="131" t="n"/>
      <c r="AH28" s="131" t="n"/>
      <c r="AI28" s="131" t="n"/>
      <c r="AJ28" s="131" t="n"/>
      <c r="AK28" s="131" t="n"/>
      <c r="AL28" s="131" t="n"/>
      <c r="AM28" s="131" t="n"/>
      <c r="AN28" s="131" t="n"/>
      <c r="AO28" s="131" t="n"/>
      <c r="AP28" s="131" t="n"/>
      <c r="AQ28" s="131" t="n"/>
      <c r="AR28" s="131" t="n"/>
      <c r="AS28" s="131" t="n"/>
    </row>
    <row r="29">
      <c r="A29" s="74">
        <f>FS_Q!A29</f>
        <v/>
      </c>
      <c r="B29" s="147" t="n"/>
      <c r="C29" s="147" t="n"/>
      <c r="D29" s="147" t="n"/>
      <c r="E29" s="542">
        <f>SUMIF(FS_Q!$1:$1,FS_Y!E$1,FS_Q!29:29)</f>
        <v/>
      </c>
      <c r="F29" s="542">
        <f>SUMIF(FS_Q!$1:$1,FS_Y!F$1,FS_Q!29:29)</f>
        <v/>
      </c>
      <c r="G29" s="542">
        <f>SUMIF(FS_Q!$1:$1,FS_Y!G$1,FS_Q!29:29)</f>
        <v/>
      </c>
      <c r="H29" s="542">
        <f>SUMIF(FS_Q!$1:$1,FS_Y!H$1,FS_Q!29:29)</f>
        <v/>
      </c>
      <c r="I29" s="542">
        <f>SUMIF(FS_Q!$1:$1,FS_Y!I$1,FS_Q!29:29)</f>
        <v/>
      </c>
      <c r="J29" s="542">
        <f>SUMIF(FS_Q!$1:$1,FS_Y!J$1,FS_Q!29:29)</f>
        <v/>
      </c>
      <c r="K29" s="542">
        <f>SUMIF(FS_Q!$1:$1,FS_Y!K$1,FS_Q!29:29)</f>
        <v/>
      </c>
      <c r="L29" s="542">
        <f>SUMIF(FS_Q!$1:$1,FS_Y!L$1,FS_Q!29:29)</f>
        <v/>
      </c>
      <c r="M29" s="542">
        <f>SUMIF(FS_Q!$1:$1,FS_Y!M$1,FS_Q!29:29)</f>
        <v/>
      </c>
      <c r="N29" s="542">
        <f>SUMIF(FS_Q!$1:$1,FS_Y!N$1,FS_Q!29:29)</f>
        <v/>
      </c>
      <c r="O29" s="542">
        <f>SUMIF(FS_Q!$1:$1,FS_Y!O$1,FS_Q!29:29)</f>
        <v/>
      </c>
      <c r="P29" s="542">
        <f>SUMIF(FS_Q!$1:$1,FS_Y!P$1,FS_Q!29:29)</f>
        <v/>
      </c>
      <c r="Q29" s="542">
        <f>SUMIF(FS_Q!$1:$1,FS_Y!Q$1,FS_Q!29:29)</f>
        <v/>
      </c>
      <c r="R29" s="542">
        <f>SUMIF(FS_Q!$1:$1,FS_Y!R$1,FS_Q!29:29)</f>
        <v/>
      </c>
      <c r="S29" s="542">
        <f>SUMIF(FS_Q!$1:$1,FS_Y!S$1,FS_Q!29:29)</f>
        <v/>
      </c>
      <c r="T29" s="542">
        <f>SUMIF(FS_Q!$1:$1,FS_Y!T$1,FS_Q!29:29)</f>
        <v/>
      </c>
      <c r="U29" s="542">
        <f>SUMIF(FS_Q!$1:$1,FS_Y!U$1,FS_Q!29:29)</f>
        <v/>
      </c>
      <c r="V29" s="542">
        <f>SUMIF(FS_Q!$1:$1,FS_Y!V$1,FS_Q!29:29)</f>
        <v/>
      </c>
      <c r="W29" s="542">
        <f>SUMIF(FS_Q!$1:$1,FS_Y!W$1,FS_Q!29:29)</f>
        <v/>
      </c>
      <c r="X29" s="148" t="n"/>
      <c r="Y29" s="148" t="n"/>
      <c r="Z29" s="148" t="n"/>
      <c r="AA29" s="148" t="n"/>
      <c r="AB29" s="148" t="n"/>
      <c r="AC29" s="148" t="n"/>
      <c r="AD29" s="148" t="n"/>
      <c r="AE29" s="148" t="n"/>
      <c r="AF29" s="148" t="n"/>
      <c r="AG29" s="148" t="n"/>
      <c r="AH29" s="148" t="n"/>
      <c r="AI29" s="148" t="n"/>
      <c r="AJ29" s="148" t="n"/>
      <c r="AK29" s="148" t="n"/>
      <c r="AL29" s="148" t="n"/>
      <c r="AM29" s="148" t="n"/>
      <c r="AN29" s="148" t="n"/>
      <c r="AO29" s="148" t="n"/>
      <c r="AP29" s="148" t="n"/>
      <c r="AQ29" s="148" t="n"/>
      <c r="AR29" s="148" t="n"/>
      <c r="AS29" s="148" t="n"/>
    </row>
    <row r="30" customFormat="1" s="281">
      <c r="A30" s="74">
        <f>FS_Q!A30</f>
        <v/>
      </c>
      <c r="B30" s="382" t="n"/>
      <c r="C30" s="382" t="n"/>
      <c r="D30" s="382" t="n"/>
      <c r="E30" s="542">
        <f>SUMIF(FS_Q!$1:$1,FS_Y!E$1,FS_Q!30:30)</f>
        <v/>
      </c>
      <c r="F30" s="542">
        <f>SUMIF(FS_Q!$1:$1,FS_Y!F$1,FS_Q!30:30)</f>
        <v/>
      </c>
      <c r="G30" s="542">
        <f>SUMIF(FS_Q!$1:$1,FS_Y!G$1,FS_Q!30:30)</f>
        <v/>
      </c>
      <c r="H30" s="542">
        <f>SUMIF(FS_Q!$1:$1,FS_Y!H$1,FS_Q!30:30)</f>
        <v/>
      </c>
      <c r="I30" s="542">
        <f>SUMIF(FS_Q!$1:$1,FS_Y!I$1,FS_Q!30:30)</f>
        <v/>
      </c>
      <c r="J30" s="542">
        <f>SUMIF(FS_Q!$1:$1,FS_Y!J$1,FS_Q!30:30)</f>
        <v/>
      </c>
      <c r="K30" s="542">
        <f>SUMIF(FS_Q!$1:$1,FS_Y!K$1,FS_Q!30:30)</f>
        <v/>
      </c>
      <c r="L30" s="542">
        <f>SUMIF(FS_Q!$1:$1,FS_Y!L$1,FS_Q!30:30)</f>
        <v/>
      </c>
      <c r="M30" s="542">
        <f>SUMIF(FS_Q!$1:$1,FS_Y!M$1,FS_Q!30:30)</f>
        <v/>
      </c>
      <c r="N30" s="542">
        <f>SUMIF(FS_Q!$1:$1,FS_Y!N$1,FS_Q!30:30)</f>
        <v/>
      </c>
      <c r="O30" s="542">
        <f>SUMIF(FS_Q!$1:$1,FS_Y!O$1,FS_Q!30:30)</f>
        <v/>
      </c>
      <c r="P30" s="542">
        <f>SUMIF(FS_Q!$1:$1,FS_Y!P$1,FS_Q!30:30)</f>
        <v/>
      </c>
      <c r="Q30" s="542">
        <f>SUMIF(FS_Q!$1:$1,FS_Y!Q$1,FS_Q!30:30)</f>
        <v/>
      </c>
      <c r="R30" s="542">
        <f>SUMIF(FS_Q!$1:$1,FS_Y!R$1,FS_Q!30:30)</f>
        <v/>
      </c>
      <c r="S30" s="542">
        <f>SUMIF(FS_Q!$1:$1,FS_Y!S$1,FS_Q!30:30)</f>
        <v/>
      </c>
      <c r="T30" s="542">
        <f>SUMIF(FS_Q!$1:$1,FS_Y!T$1,FS_Q!30:30)</f>
        <v/>
      </c>
      <c r="U30" s="542">
        <f>SUMIF(FS_Q!$1:$1,FS_Y!U$1,FS_Q!30:30)</f>
        <v/>
      </c>
      <c r="V30" s="542">
        <f>SUMIF(FS_Q!$1:$1,FS_Y!V$1,FS_Q!30:30)</f>
        <v/>
      </c>
      <c r="W30" s="542">
        <f>SUMIF(FS_Q!$1:$1,FS_Y!W$1,FS_Q!30:30)</f>
        <v/>
      </c>
      <c r="X30" s="382" t="n"/>
      <c r="Y30" s="382" t="n"/>
      <c r="Z30" s="382" t="n"/>
      <c r="AA30" s="382" t="n"/>
      <c r="AB30" s="382" t="n"/>
      <c r="AC30" s="382" t="n"/>
      <c r="AD30" s="382" t="n"/>
      <c r="AE30" s="382" t="n"/>
      <c r="AF30" s="382" t="n"/>
      <c r="AG30" s="382" t="n"/>
      <c r="AH30" s="382" t="n"/>
      <c r="AI30" s="382" t="n"/>
      <c r="AJ30" s="382" t="n"/>
      <c r="AK30" s="382" t="n"/>
      <c r="AL30" s="382" t="n"/>
      <c r="AM30" s="382" t="n"/>
      <c r="AN30" s="382" t="n"/>
      <c r="AO30" s="382" t="n"/>
      <c r="AP30" s="382" t="n"/>
      <c r="AQ30" s="382" t="n"/>
      <c r="AR30" s="382" t="n"/>
      <c r="AS30" s="382" t="n"/>
    </row>
    <row r="31">
      <c r="A31" s="22">
        <f>FS_Q!A31</f>
        <v/>
      </c>
      <c r="B31" s="143" t="n"/>
      <c r="C31" s="143" t="n"/>
      <c r="D31" s="143" t="n"/>
      <c r="X31" s="131" t="n"/>
      <c r="Y31" s="131" t="n"/>
      <c r="Z31" s="131" t="n"/>
      <c r="AA31" s="131" t="n"/>
      <c r="AB31" s="131" t="n"/>
      <c r="AC31" s="131" t="n"/>
      <c r="AD31" s="131" t="n"/>
      <c r="AE31" s="131" t="n"/>
      <c r="AF31" s="131" t="n"/>
      <c r="AG31" s="131" t="n"/>
      <c r="AH31" s="131" t="n"/>
      <c r="AI31" s="131" t="n"/>
      <c r="AJ31" s="131" t="n"/>
      <c r="AK31" s="131" t="n"/>
      <c r="AL31" s="131" t="n"/>
      <c r="AM31" s="131" t="n"/>
      <c r="AN31" s="131" t="n"/>
      <c r="AO31" s="131" t="n"/>
      <c r="AP31" s="131" t="n"/>
      <c r="AQ31" s="131" t="n"/>
      <c r="AR31" s="131" t="n"/>
      <c r="AS31" s="131" t="n"/>
    </row>
    <row r="32">
      <c r="A32" s="74">
        <f>FS_Q!A32</f>
        <v/>
      </c>
      <c r="B32" s="147" t="n"/>
      <c r="C32" s="147" t="n"/>
      <c r="D32" s="147" t="n"/>
      <c r="E32" s="517">
        <f>INDEX(FS_Q!32:32,MATCH("4Q"&amp;RIGHT(FS_Y!E$5,2),FS_Q!$5:$5,0))</f>
        <v/>
      </c>
      <c r="F32" s="517">
        <f>INDEX(FS_Q!32:32,MATCH("4Q"&amp;RIGHT(FS_Y!F$5,2),FS_Q!$5:$5,0))</f>
        <v/>
      </c>
      <c r="G32" s="517">
        <f>INDEX(FS_Q!32:32,MATCH("4Q"&amp;RIGHT(FS_Y!G$5,2),FS_Q!$5:$5,0))</f>
        <v/>
      </c>
      <c r="H32" s="517">
        <f>INDEX(FS_Q!32:32,MATCH("4Q"&amp;RIGHT(FS_Y!H$5,2),FS_Q!$5:$5,0))</f>
        <v/>
      </c>
      <c r="I32" s="517">
        <f>INDEX(FS_Q!32:32,MATCH("4Q"&amp;RIGHT(FS_Y!I$5,2),FS_Q!$5:$5,0))</f>
        <v/>
      </c>
      <c r="J32" s="517">
        <f>INDEX(FS_Q!32:32,MATCH("4Q"&amp;RIGHT(FS_Y!J$5,2),FS_Q!$5:$5,0))</f>
        <v/>
      </c>
      <c r="K32" s="517">
        <f>INDEX(FS_Q!32:32,MATCH("4Q"&amp;RIGHT(FS_Y!K$5,2),FS_Q!$5:$5,0))</f>
        <v/>
      </c>
      <c r="L32" s="517">
        <f>INDEX(FS_Q!32:32,MATCH("4Q"&amp;RIGHT(FS_Y!L$5,2),FS_Q!$5:$5,0))</f>
        <v/>
      </c>
      <c r="M32" s="517">
        <f>INDEX(FS_Q!32:32,MATCH("4Q"&amp;RIGHT(FS_Y!M$5,2),FS_Q!$5:$5,0))</f>
        <v/>
      </c>
      <c r="N32" s="517">
        <f>INDEX(FS_Q!32:32,MATCH("4Q"&amp;RIGHT(FS_Y!N$5,2),FS_Q!$5:$5,0))</f>
        <v/>
      </c>
      <c r="O32" s="517">
        <f>INDEX(FS_Q!32:32,MATCH("4Q"&amp;RIGHT(FS_Y!O$5,2),FS_Q!$5:$5,0))</f>
        <v/>
      </c>
      <c r="P32" s="517">
        <f>INDEX(FS_Q!32:32,MATCH("4Q"&amp;RIGHT(FS_Y!P$5,2),FS_Q!$5:$5,0))</f>
        <v/>
      </c>
      <c r="Q32" s="517">
        <f>INDEX(FS_Q!32:32,MATCH("4Q"&amp;RIGHT(FS_Y!Q$5,2),FS_Q!$5:$5,0))</f>
        <v/>
      </c>
      <c r="R32" s="517">
        <f>INDEX(FS_Q!32:32,MATCH("4Q"&amp;RIGHT(FS_Y!R$5,2),FS_Q!$5:$5,0))</f>
        <v/>
      </c>
      <c r="S32" s="517">
        <f>INDEX(FS_Q!32:32,MATCH("4Q"&amp;RIGHT(FS_Y!S$5,2),FS_Q!$5:$5,0))</f>
        <v/>
      </c>
      <c r="T32" s="517">
        <f>INDEX(FS_Q!32:32,MATCH("4Q"&amp;RIGHT(FS_Y!T$5,2),FS_Q!$5:$5,0))</f>
        <v/>
      </c>
      <c r="U32" s="517">
        <f>INDEX(FS_Q!32:32,MATCH("4Q"&amp;RIGHT(FS_Y!U$5,2),FS_Q!$5:$5,0))</f>
        <v/>
      </c>
      <c r="V32" s="517">
        <f>INDEX(FS_Q!32:32,MATCH("4Q"&amp;RIGHT(FS_Y!V$5,2),FS_Q!$5:$5,0))</f>
        <v/>
      </c>
      <c r="W32" s="517">
        <f>INDEX(FS_Q!32:32,MATCH("4Q"&amp;RIGHT(FS_Y!W$5,2),FS_Q!$5:$5,0))</f>
        <v/>
      </c>
      <c r="X32" s="148" t="n"/>
      <c r="Y32" s="148" t="n"/>
      <c r="Z32" s="148" t="n"/>
      <c r="AA32" s="148" t="n"/>
      <c r="AB32" s="148" t="n"/>
      <c r="AC32" s="148" t="n"/>
      <c r="AD32" s="148" t="n"/>
      <c r="AE32" s="148" t="n"/>
      <c r="AF32" s="148" t="n"/>
      <c r="AG32" s="148" t="n"/>
      <c r="AH32" s="148" t="n"/>
      <c r="AI32" s="148" t="n"/>
      <c r="AJ32" s="148" t="n"/>
      <c r="AK32" s="148" t="n"/>
      <c r="AL32" s="148" t="n"/>
      <c r="AM32" s="148" t="n"/>
      <c r="AN32" s="148" t="n"/>
      <c r="AO32" s="148" t="n"/>
      <c r="AP32" s="148" t="n"/>
      <c r="AQ32" s="148" t="n"/>
      <c r="AR32" s="148" t="n"/>
      <c r="AS32" s="148" t="n"/>
    </row>
    <row r="33" customFormat="1" s="281">
      <c r="A33" s="74">
        <f>FS_Q!A33</f>
        <v/>
      </c>
      <c r="B33" s="382" t="n"/>
      <c r="C33" s="382" t="n"/>
      <c r="D33" s="382" t="n"/>
      <c r="E33" s="517">
        <f>INDEX(FS_Q!33:33,MATCH("4Q"&amp;RIGHT(FS_Y!E$5,2),FS_Q!$5:$5,0))</f>
        <v/>
      </c>
      <c r="F33" s="517">
        <f>INDEX(FS_Q!33:33,MATCH("4Q"&amp;RIGHT(FS_Y!F$5,2),FS_Q!$5:$5,0))</f>
        <v/>
      </c>
      <c r="G33" s="517">
        <f>INDEX(FS_Q!33:33,MATCH("4Q"&amp;RIGHT(FS_Y!G$5,2),FS_Q!$5:$5,0))</f>
        <v/>
      </c>
      <c r="H33" s="517">
        <f>INDEX(FS_Q!33:33,MATCH("4Q"&amp;RIGHT(FS_Y!H$5,2),FS_Q!$5:$5,0))</f>
        <v/>
      </c>
      <c r="I33" s="517">
        <f>INDEX(FS_Q!33:33,MATCH("4Q"&amp;RIGHT(FS_Y!I$5,2),FS_Q!$5:$5,0))</f>
        <v/>
      </c>
      <c r="J33" s="517">
        <f>INDEX(FS_Q!33:33,MATCH("4Q"&amp;RIGHT(FS_Y!J$5,2),FS_Q!$5:$5,0))</f>
        <v/>
      </c>
      <c r="K33" s="517">
        <f>INDEX(FS_Q!33:33,MATCH("4Q"&amp;RIGHT(FS_Y!K$5,2),FS_Q!$5:$5,0))</f>
        <v/>
      </c>
      <c r="L33" s="517">
        <f>INDEX(FS_Q!33:33,MATCH("4Q"&amp;RIGHT(FS_Y!L$5,2),FS_Q!$5:$5,0))</f>
        <v/>
      </c>
      <c r="M33" s="517">
        <f>INDEX(FS_Q!33:33,MATCH("4Q"&amp;RIGHT(FS_Y!M$5,2),FS_Q!$5:$5,0))</f>
        <v/>
      </c>
      <c r="N33" s="517">
        <f>INDEX(FS_Q!33:33,MATCH("4Q"&amp;RIGHT(FS_Y!N$5,2),FS_Q!$5:$5,0))</f>
        <v/>
      </c>
      <c r="O33" s="517">
        <f>INDEX(FS_Q!33:33,MATCH("4Q"&amp;RIGHT(FS_Y!O$5,2),FS_Q!$5:$5,0))</f>
        <v/>
      </c>
      <c r="P33" s="517">
        <f>INDEX(FS_Q!33:33,MATCH("4Q"&amp;RIGHT(FS_Y!P$5,2),FS_Q!$5:$5,0))</f>
        <v/>
      </c>
      <c r="Q33" s="517">
        <f>INDEX(FS_Q!33:33,MATCH("4Q"&amp;RIGHT(FS_Y!Q$5,2),FS_Q!$5:$5,0))</f>
        <v/>
      </c>
      <c r="R33" s="517">
        <f>INDEX(FS_Q!33:33,MATCH("4Q"&amp;RIGHT(FS_Y!R$5,2),FS_Q!$5:$5,0))</f>
        <v/>
      </c>
      <c r="S33" s="517">
        <f>INDEX(FS_Q!33:33,MATCH("4Q"&amp;RIGHT(FS_Y!S$5,2),FS_Q!$5:$5,0))</f>
        <v/>
      </c>
      <c r="T33" s="517">
        <f>INDEX(FS_Q!33:33,MATCH("4Q"&amp;RIGHT(FS_Y!T$5,2),FS_Q!$5:$5,0))</f>
        <v/>
      </c>
      <c r="U33" s="517">
        <f>INDEX(FS_Q!33:33,MATCH("4Q"&amp;RIGHT(FS_Y!U$5,2),FS_Q!$5:$5,0))</f>
        <v/>
      </c>
      <c r="V33" s="517">
        <f>INDEX(FS_Q!33:33,MATCH("4Q"&amp;RIGHT(FS_Y!V$5,2),FS_Q!$5:$5,0))</f>
        <v/>
      </c>
      <c r="W33" s="517">
        <f>INDEX(FS_Q!33:33,MATCH("4Q"&amp;RIGHT(FS_Y!W$5,2),FS_Q!$5:$5,0))</f>
        <v/>
      </c>
      <c r="X33" s="382" t="n"/>
      <c r="Y33" s="382" t="n"/>
      <c r="Z33" s="382" t="n"/>
      <c r="AA33" s="382" t="n"/>
      <c r="AB33" s="382" t="n"/>
      <c r="AC33" s="382" t="n"/>
      <c r="AD33" s="382" t="n"/>
      <c r="AE33" s="382" t="n"/>
      <c r="AF33" s="382" t="n"/>
      <c r="AG33" s="382" t="n"/>
      <c r="AH33" s="382" t="n"/>
      <c r="AI33" s="382" t="n"/>
      <c r="AJ33" s="382" t="n"/>
      <c r="AK33" s="382" t="n"/>
      <c r="AL33" s="382" t="n"/>
      <c r="AM33" s="382" t="n"/>
      <c r="AN33" s="382" t="n"/>
      <c r="AO33" s="382" t="n"/>
      <c r="AP33" s="382" t="n"/>
      <c r="AQ33" s="382" t="n"/>
      <c r="AR33" s="382" t="n"/>
      <c r="AS33" s="382" t="n"/>
    </row>
    <row r="34" customFormat="1" s="281">
      <c r="A34" s="40" t="n"/>
      <c r="B34" s="382" t="n"/>
      <c r="C34" s="382" t="n"/>
      <c r="D34" s="382" t="n"/>
      <c r="E34" s="382" t="n"/>
      <c r="F34" s="382" t="n"/>
      <c r="G34" s="190" t="n"/>
      <c r="H34" s="190" t="n"/>
      <c r="I34" s="190" t="n"/>
      <c r="J34" s="190" t="n"/>
      <c r="K34" s="190" t="n"/>
      <c r="L34" s="190" t="n"/>
      <c r="M34" s="190" t="n"/>
      <c r="N34" s="143" t="n"/>
      <c r="O34" s="143" t="n"/>
      <c r="P34" s="143" t="n"/>
      <c r="Q34" s="143" t="n"/>
      <c r="R34" s="143" t="n"/>
      <c r="S34" s="143" t="n"/>
      <c r="T34" s="143" t="n"/>
      <c r="U34" s="143" t="n"/>
      <c r="V34" s="143" t="n"/>
      <c r="W34" s="143" t="n"/>
      <c r="X34" s="382" t="n"/>
      <c r="Y34" s="382" t="n"/>
      <c r="Z34" s="382" t="n"/>
      <c r="AA34" s="382" t="n"/>
      <c r="AB34" s="382" t="n"/>
      <c r="AC34" s="382" t="n"/>
      <c r="AD34" s="382" t="n"/>
      <c r="AE34" s="382" t="n"/>
      <c r="AF34" s="382" t="n"/>
      <c r="AG34" s="382" t="n"/>
      <c r="AH34" s="382" t="n"/>
      <c r="AI34" s="382" t="n"/>
      <c r="AJ34" s="382" t="n"/>
      <c r="AK34" s="382" t="n"/>
      <c r="AL34" s="382" t="n"/>
      <c r="AM34" s="382" t="n"/>
      <c r="AN34" s="382" t="n"/>
      <c r="AO34" s="382" t="n"/>
      <c r="AP34" s="382" t="n"/>
      <c r="AQ34" s="382" t="n"/>
      <c r="AR34" s="382" t="n"/>
      <c r="AS34" s="382" t="n"/>
    </row>
    <row r="35" customFormat="1" s="281">
      <c r="A35" s="455">
        <f>FS_Q!A35</f>
        <v/>
      </c>
      <c r="B35" s="382" t="n"/>
      <c r="C35" s="143" t="n"/>
      <c r="D35" s="143" t="n"/>
      <c r="E35" s="400">
        <f>E11-E12-SUM(E14:E17)-E19</f>
        <v/>
      </c>
      <c r="F35" s="400">
        <f>F11-F12-SUM(F14:F17)-F19</f>
        <v/>
      </c>
      <c r="G35" s="400">
        <f>G11-G12-SUM(G14:G17)-G19</f>
        <v/>
      </c>
      <c r="H35" s="400">
        <f>H11-H12-SUM(H14:H17)-H19</f>
        <v/>
      </c>
      <c r="I35" s="400">
        <f>I11-I12-SUM(I14:I17)-I19</f>
        <v/>
      </c>
      <c r="J35" s="400">
        <f>J11-J12-SUM(J14:J17)-J19</f>
        <v/>
      </c>
      <c r="K35" s="400">
        <f>K11-K12-SUM(K14:K17)-K19</f>
        <v/>
      </c>
      <c r="L35" s="400">
        <f>L11-L12-SUM(L14:L17)-L19</f>
        <v/>
      </c>
      <c r="M35" s="400">
        <f>M11-M12-SUM(M14:M17)-M19</f>
        <v/>
      </c>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382" t="n"/>
      <c r="Y35" s="382" t="n"/>
      <c r="Z35" s="382" t="n"/>
      <c r="AA35" s="382" t="n"/>
      <c r="AB35" s="382" t="n"/>
      <c r="AC35" s="382" t="n"/>
      <c r="AD35" s="382" t="n"/>
      <c r="AE35" s="382" t="n"/>
      <c r="AF35" s="382" t="n"/>
      <c r="AG35" s="382" t="n"/>
      <c r="AH35" s="382" t="n"/>
      <c r="AI35" s="382" t="n"/>
      <c r="AJ35" s="382" t="n"/>
      <c r="AK35" s="382" t="n"/>
      <c r="AL35" s="382" t="n"/>
      <c r="AM35" s="382" t="n"/>
      <c r="AN35" s="382" t="n"/>
      <c r="AO35" s="382" t="n"/>
      <c r="AP35" s="382" t="n"/>
      <c r="AQ35" s="382" t="n"/>
      <c r="AR35" s="382" t="n"/>
      <c r="AS35" s="382" t="n"/>
    </row>
    <row r="36">
      <c r="A36" s="455">
        <f>FS_Q!A36</f>
        <v/>
      </c>
      <c r="B36" s="148" t="n"/>
      <c r="C36" s="143" t="n"/>
      <c r="D36" s="143" t="n"/>
      <c r="E36" s="400">
        <f>E19+SUM(E20:E21)+E24-E26-E27</f>
        <v/>
      </c>
      <c r="F36" s="400">
        <f>F19+SUM(F20:F21)+F24-F26-F27</f>
        <v/>
      </c>
      <c r="G36" s="400">
        <f>G19+SUM(G20:G21)+G24-G26-G27</f>
        <v/>
      </c>
      <c r="H36" s="400">
        <f>H19+SUM(H20:H21)+H24-H26-H27</f>
        <v/>
      </c>
      <c r="I36" s="400">
        <f>I19+SUM(I20:I21)+I24-I26-I27</f>
        <v/>
      </c>
      <c r="J36" s="400">
        <f>J19+SUM(J20:J21)+J24-J26-J27</f>
        <v/>
      </c>
      <c r="K36" s="400">
        <f>K19+SUM(K20:K21)+K24-K26-K27</f>
        <v/>
      </c>
      <c r="L36" s="400">
        <f>L19+SUM(L20:L21)+L24-L26-L27</f>
        <v/>
      </c>
      <c r="M36" s="400">
        <f>M19+SUM(M20:M21)+M24-M26-M27</f>
        <v/>
      </c>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148" t="n"/>
      <c r="Y36" s="148" t="n"/>
      <c r="Z36" s="148" t="n"/>
      <c r="AA36" s="148" t="n"/>
      <c r="AB36" s="148" t="n"/>
      <c r="AC36" s="148" t="n"/>
      <c r="AD36" s="148" t="n"/>
      <c r="AE36" s="148" t="n"/>
      <c r="AF36" s="148" t="n"/>
      <c r="AG36" s="148" t="n"/>
      <c r="AH36" s="148" t="n"/>
      <c r="AI36" s="148" t="n"/>
      <c r="AJ36" s="148" t="n"/>
      <c r="AK36" s="148" t="n"/>
      <c r="AL36" s="148" t="n"/>
      <c r="AM36" s="148" t="n"/>
      <c r="AN36" s="148" t="n"/>
      <c r="AO36" s="148" t="n"/>
      <c r="AP36" s="148" t="n"/>
      <c r="AQ36" s="148" t="n"/>
      <c r="AR36" s="148" t="n"/>
      <c r="AS36" s="148" t="n"/>
    </row>
    <row r="37">
      <c r="A37" s="455">
        <f>FS_Q!A37</f>
        <v/>
      </c>
      <c r="B37" s="148" t="n"/>
      <c r="C37" s="899" t="n"/>
      <c r="D37" s="899" t="n"/>
      <c r="E37" s="400">
        <f>ROUND(E27/E32-E29,2)</f>
        <v/>
      </c>
      <c r="F37" s="400">
        <f>ROUND(F27/F32-F29,2)</f>
        <v/>
      </c>
      <c r="G37" s="400">
        <f>ROUND(G27/G32-G29,2)</f>
        <v/>
      </c>
      <c r="H37" s="400">
        <f>ROUND(H27/H32-H29,2)</f>
        <v/>
      </c>
      <c r="I37" s="400">
        <f>ROUND(I27/I32-I29,2)</f>
        <v/>
      </c>
      <c r="J37" s="400">
        <f>ROUND(J27/J32-J29,2)</f>
        <v/>
      </c>
      <c r="K37" s="400">
        <f>ROUND(K27/K32-K29,2)</f>
        <v/>
      </c>
      <c r="L37" s="400">
        <f>ROUND(L27/L32-L29,2)</f>
        <v/>
      </c>
      <c r="M37" s="400">
        <f>ROUND(M27/M32-M29,2)</f>
        <v/>
      </c>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148" t="n"/>
      <c r="Y37" s="148" t="n"/>
      <c r="Z37" s="148" t="n"/>
      <c r="AA37" s="148" t="n"/>
      <c r="AB37" s="148" t="n"/>
      <c r="AC37" s="148" t="n"/>
      <c r="AD37" s="148" t="n"/>
      <c r="AE37" s="148" t="n"/>
      <c r="AF37" s="148" t="n"/>
      <c r="AG37" s="148" t="n"/>
      <c r="AH37" s="148" t="n"/>
      <c r="AI37" s="148" t="n"/>
      <c r="AJ37" s="148" t="n"/>
      <c r="AK37" s="148" t="n"/>
      <c r="AL37" s="148" t="n"/>
      <c r="AM37" s="148" t="n"/>
      <c r="AN37" s="148" t="n"/>
      <c r="AO37" s="148" t="n"/>
      <c r="AP37" s="148" t="n"/>
      <c r="AQ37" s="148" t="n"/>
      <c r="AR37" s="148" t="n"/>
      <c r="AS37" s="148" t="n"/>
    </row>
    <row r="38">
      <c r="A38" s="455" t="n"/>
      <c r="B38" s="148" t="n"/>
      <c r="C38" s="148" t="n"/>
      <c r="D38" s="148" t="n"/>
      <c r="E38" s="148" t="n"/>
      <c r="F38" s="148" t="n"/>
      <c r="G38" s="148" t="n"/>
      <c r="H38" s="148" t="n"/>
      <c r="I38" s="148" t="n"/>
      <c r="J38" s="148" t="n"/>
      <c r="K38" s="148" t="n"/>
      <c r="L38" s="148" t="n"/>
      <c r="M38" s="148" t="n"/>
      <c r="N38" s="148" t="n"/>
      <c r="O38" s="148" t="n"/>
      <c r="P38" s="148" t="n"/>
      <c r="Q38" s="148" t="n"/>
      <c r="R38" s="148" t="n"/>
      <c r="S38" s="148" t="n"/>
      <c r="T38" s="148" t="n"/>
      <c r="U38" s="148" t="n"/>
      <c r="V38" s="148" t="n"/>
      <c r="W38" s="148" t="n"/>
      <c r="X38" s="148" t="n"/>
      <c r="Y38" s="148" t="n"/>
      <c r="Z38" s="148" t="n"/>
      <c r="AA38" s="148" t="n"/>
      <c r="AB38" s="148" t="n"/>
      <c r="AC38" s="148" t="n"/>
      <c r="AD38" s="148" t="n"/>
      <c r="AE38" s="148" t="n"/>
      <c r="AF38" s="148" t="n"/>
      <c r="AG38" s="148" t="n"/>
      <c r="AH38" s="148" t="n"/>
      <c r="AI38" s="148" t="n"/>
      <c r="AJ38" s="148" t="n"/>
      <c r="AK38" s="148" t="n"/>
      <c r="AL38" s="148" t="n"/>
      <c r="AM38" s="148" t="n"/>
      <c r="AN38" s="148" t="n"/>
      <c r="AO38" s="148" t="n"/>
      <c r="AP38" s="148" t="n"/>
      <c r="AQ38" s="148" t="n"/>
      <c r="AR38" s="148" t="n"/>
      <c r="AS38" s="148" t="n"/>
    </row>
    <row r="39">
      <c r="A39" s="455" t="n"/>
      <c r="B39" s="148" t="n"/>
      <c r="C39" s="148" t="n"/>
      <c r="D39" s="148" t="n"/>
      <c r="E39" s="148" t="n"/>
      <c r="F39" s="148" t="n"/>
      <c r="G39" s="148" t="n"/>
      <c r="H39" s="148" t="n"/>
      <c r="I39" s="148" t="n"/>
      <c r="J39" s="148" t="n"/>
      <c r="K39" s="148" t="n"/>
      <c r="L39" s="148" t="n"/>
      <c r="M39" s="148" t="n"/>
      <c r="N39" s="148" t="n"/>
      <c r="O39" s="148" t="n"/>
      <c r="P39" s="148" t="n"/>
      <c r="Q39" s="148" t="n"/>
      <c r="R39" s="148" t="n"/>
      <c r="S39" s="148" t="n"/>
      <c r="T39" s="148" t="n"/>
      <c r="U39" s="148" t="n"/>
      <c r="V39" s="148" t="n"/>
      <c r="W39" s="148" t="n"/>
      <c r="X39" s="148" t="n"/>
      <c r="Y39" s="148" t="n"/>
      <c r="Z39" s="148" t="n"/>
      <c r="AA39" s="148" t="n"/>
      <c r="AB39" s="148" t="n"/>
      <c r="AC39" s="148" t="n"/>
      <c r="AD39" s="148" t="n"/>
      <c r="AE39" s="148" t="n"/>
      <c r="AF39" s="148" t="n"/>
      <c r="AG39" s="148" t="n"/>
      <c r="AH39" s="148" t="n"/>
      <c r="AI39" s="148" t="n"/>
      <c r="AJ39" s="148" t="n"/>
      <c r="AK39" s="148" t="n"/>
      <c r="AL39" s="148" t="n"/>
      <c r="AM39" s="148" t="n"/>
      <c r="AN39" s="148" t="n"/>
      <c r="AO39" s="148" t="n"/>
      <c r="AP39" s="148" t="n"/>
      <c r="AQ39" s="148" t="n"/>
      <c r="AR39" s="148" t="n"/>
      <c r="AS39" s="148" t="n"/>
    </row>
    <row r="40">
      <c r="A40" s="455" t="n"/>
      <c r="B40" s="148" t="n"/>
      <c r="C40" s="148" t="n"/>
      <c r="D40" s="148" t="n"/>
      <c r="E40" s="148" t="n"/>
      <c r="F40" s="148" t="n"/>
      <c r="G40" s="148" t="n"/>
      <c r="H40" s="148" t="n"/>
      <c r="I40" s="148" t="n"/>
      <c r="J40" s="148" t="n"/>
      <c r="K40" s="148" t="n"/>
      <c r="L40" s="148" t="n"/>
      <c r="M40" s="148" t="n"/>
      <c r="N40" s="148" t="n"/>
      <c r="O40" s="148" t="n"/>
      <c r="P40" s="148" t="n"/>
      <c r="Q40" s="148" t="n"/>
      <c r="R40" s="148" t="n"/>
      <c r="S40" s="148" t="n"/>
      <c r="T40" s="148" t="n"/>
      <c r="U40" s="148" t="n"/>
      <c r="V40" s="148" t="n"/>
      <c r="W40" s="148" t="n"/>
      <c r="X40" s="148" t="n"/>
      <c r="Y40" s="148" t="n"/>
      <c r="Z40" s="148" t="n"/>
      <c r="AA40" s="148" t="n"/>
      <c r="AB40" s="148" t="n"/>
      <c r="AC40" s="148" t="n"/>
      <c r="AD40" s="148" t="n"/>
      <c r="AE40" s="148" t="n"/>
      <c r="AF40" s="148" t="n"/>
      <c r="AG40" s="148" t="n"/>
      <c r="AH40" s="148" t="n"/>
      <c r="AI40" s="148" t="n"/>
      <c r="AJ40" s="148" t="n"/>
      <c r="AK40" s="148" t="n"/>
      <c r="AL40" s="148" t="n"/>
      <c r="AM40" s="148" t="n"/>
      <c r="AN40" s="148" t="n"/>
      <c r="AO40" s="148" t="n"/>
      <c r="AP40" s="148" t="n"/>
      <c r="AQ40" s="148" t="n"/>
      <c r="AR40" s="148" t="n"/>
      <c r="AS40" s="148" t="n"/>
    </row>
    <row r="41">
      <c r="B41" s="148" t="n"/>
      <c r="C41" s="148" t="n"/>
      <c r="D41" s="148" t="n"/>
      <c r="E41" s="148" t="n"/>
      <c r="F41" s="148" t="n"/>
      <c r="G41" s="148" t="n"/>
      <c r="H41" s="148" t="n"/>
      <c r="I41" s="148" t="n"/>
      <c r="J41" s="148" t="n"/>
      <c r="K41" s="148" t="n"/>
      <c r="L41" s="148" t="n"/>
      <c r="M41" s="148" t="n"/>
      <c r="N41" s="148" t="n"/>
      <c r="O41" s="148" t="n"/>
      <c r="P41" s="148" t="n"/>
      <c r="Q41" s="148" t="n"/>
      <c r="R41" s="148" t="n"/>
      <c r="S41" s="148" t="n"/>
      <c r="T41" s="148" t="n"/>
      <c r="U41" s="148" t="n"/>
      <c r="V41" s="148" t="n"/>
      <c r="W41" s="148" t="n"/>
      <c r="X41" s="148" t="n"/>
      <c r="Y41" s="148" t="n"/>
      <c r="Z41" s="148" t="n"/>
      <c r="AA41" s="148" t="n"/>
      <c r="AB41" s="148" t="n"/>
      <c r="AC41" s="148" t="n"/>
      <c r="AD41" s="148" t="n"/>
      <c r="AE41" s="148" t="n"/>
      <c r="AF41" s="148" t="n"/>
      <c r="AG41" s="148" t="n"/>
      <c r="AH41" s="148" t="n"/>
      <c r="AI41" s="148" t="n"/>
      <c r="AJ41" s="148" t="n"/>
      <c r="AK41" s="148" t="n"/>
      <c r="AL41" s="148" t="n"/>
      <c r="AM41" s="148" t="n"/>
      <c r="AN41" s="148" t="n"/>
      <c r="AO41" s="148" t="n"/>
      <c r="AP41" s="148" t="n"/>
      <c r="AQ41" s="148" t="n"/>
      <c r="AR41" s="148" t="n"/>
      <c r="AS41" s="148" t="n"/>
    </row>
    <row r="42">
      <c r="A42" s="81">
        <f>FS_Q!A42</f>
        <v/>
      </c>
      <c r="B42" s="143" t="n"/>
      <c r="E42" s="142" t="n"/>
      <c r="F42" s="142" t="n"/>
      <c r="G42" s="142" t="n"/>
      <c r="H42" s="142" t="n"/>
      <c r="I42" s="142" t="n"/>
      <c r="J42" s="142" t="n"/>
      <c r="K42" s="142" t="n"/>
      <c r="L42" s="142" t="n"/>
      <c r="M42" s="142" t="n"/>
      <c r="N42" s="142" t="n"/>
      <c r="O42" s="142" t="n"/>
      <c r="P42" s="142" t="n"/>
      <c r="Q42" s="142" t="n"/>
      <c r="R42" s="142" t="n"/>
      <c r="S42" s="142" t="n"/>
      <c r="T42" s="142" t="n"/>
      <c r="U42" s="142" t="n"/>
      <c r="V42" s="142" t="n"/>
      <c r="W42" s="142" t="n"/>
      <c r="X42" s="148" t="n"/>
      <c r="Y42" s="148" t="n"/>
      <c r="Z42" s="148" t="n"/>
      <c r="AA42" s="148" t="n"/>
      <c r="AB42" s="148" t="n"/>
      <c r="AC42" s="148" t="n"/>
      <c r="AD42" s="148" t="n"/>
      <c r="AE42" s="148" t="n"/>
      <c r="AF42" s="148" t="n"/>
      <c r="AG42" s="148" t="n"/>
      <c r="AH42" s="148" t="n"/>
      <c r="AI42" s="148" t="n"/>
      <c r="AJ42" s="148" t="n"/>
      <c r="AK42" s="148" t="n"/>
      <c r="AL42" s="148" t="n"/>
      <c r="AM42" s="148" t="n"/>
      <c r="AN42" s="148" t="n"/>
      <c r="AO42" s="148" t="n"/>
      <c r="AP42" s="148" t="n"/>
      <c r="AQ42" s="148" t="n"/>
      <c r="AR42" s="148" t="n"/>
      <c r="AS42" s="148" t="n"/>
    </row>
    <row r="43">
      <c r="B43" s="143" t="n"/>
      <c r="C43" s="143" t="n"/>
      <c r="D43" s="143" t="n"/>
      <c r="E43" s="143" t="n"/>
      <c r="F43" s="143" t="n"/>
      <c r="G43" s="143" t="n"/>
      <c r="H43" s="143" t="n"/>
      <c r="I43" s="143" t="n"/>
      <c r="J43" s="143" t="n"/>
      <c r="K43" s="143" t="n"/>
      <c r="L43" s="143" t="n"/>
      <c r="M43" s="143" t="n"/>
      <c r="N43" s="143" t="n"/>
      <c r="O43" s="143" t="n"/>
      <c r="P43" s="143" t="n"/>
      <c r="Q43" s="143" t="n"/>
      <c r="R43" s="143" t="n"/>
      <c r="S43" s="143" t="n"/>
      <c r="T43" s="143" t="n"/>
      <c r="U43" s="143" t="n"/>
      <c r="V43" s="143" t="n"/>
      <c r="W43" s="143" t="n"/>
      <c r="X43" s="148" t="n"/>
      <c r="Y43" s="148" t="n"/>
      <c r="Z43" s="148" t="n"/>
      <c r="AA43" s="148" t="n"/>
      <c r="AB43" s="148" t="n"/>
      <c r="AC43" s="148" t="n"/>
      <c r="AD43" s="148" t="n"/>
      <c r="AE43" s="148" t="n"/>
      <c r="AF43" s="148" t="n"/>
      <c r="AG43" s="148" t="n"/>
      <c r="AH43" s="148" t="n"/>
      <c r="AI43" s="148" t="n"/>
      <c r="AJ43" s="148" t="n"/>
      <c r="AK43" s="148" t="n"/>
      <c r="AL43" s="148" t="n"/>
      <c r="AM43" s="148" t="n"/>
      <c r="AN43" s="148" t="n"/>
      <c r="AO43" s="148" t="n"/>
      <c r="AP43" s="148" t="n"/>
      <c r="AQ43" s="148" t="n"/>
      <c r="AR43" s="148" t="n"/>
      <c r="AS43" s="148" t="n"/>
    </row>
    <row r="44">
      <c r="A44" s="74">
        <f>FS_Q!A44</f>
        <v/>
      </c>
      <c r="B44" s="143" t="n"/>
      <c r="C44" s="143" t="n"/>
      <c r="D44" s="143" t="n"/>
      <c r="E44" s="108">
        <f>INDEX(FS_Q!44:44,MATCH("4Q"&amp;RIGHT(FS_Y!E$5,2),FS_Q!$5:$5,0))</f>
        <v/>
      </c>
      <c r="F44" s="108">
        <f>INDEX(FS_Q!44:44,MATCH("4Q"&amp;RIGHT(FS_Y!F$5,2),FS_Q!$5:$5,0))</f>
        <v/>
      </c>
      <c r="G44" s="108">
        <f>INDEX(FS_Q!44:44,MATCH("4Q"&amp;RIGHT(FS_Y!G$5,2),FS_Q!$5:$5,0))</f>
        <v/>
      </c>
      <c r="H44" s="108">
        <f>INDEX(FS_Q!44:44,MATCH("4Q"&amp;RIGHT(FS_Y!H$5,2),FS_Q!$5:$5,0))</f>
        <v/>
      </c>
      <c r="I44" s="108">
        <f>INDEX(FS_Q!44:44,MATCH("4Q"&amp;RIGHT(FS_Y!I$5,2),FS_Q!$5:$5,0))</f>
        <v/>
      </c>
      <c r="J44" s="108">
        <f>INDEX(FS_Q!44:44,MATCH("4Q"&amp;RIGHT(FS_Y!J$5,2),FS_Q!$5:$5,0))</f>
        <v/>
      </c>
      <c r="K44" s="108">
        <f>INDEX(FS_Q!44:44,MATCH("4Q"&amp;RIGHT(FS_Y!K$5,2),FS_Q!$5:$5,0))</f>
        <v/>
      </c>
      <c r="L44" s="108">
        <f>INDEX(FS_Q!44:44,MATCH("4Q"&amp;RIGHT(FS_Y!L$5,2),FS_Q!$5:$5,0))</f>
        <v/>
      </c>
      <c r="M44" s="108">
        <f>INDEX(FS_Q!44:44,MATCH("4Q"&amp;RIGHT(FS_Y!M$5,2),FS_Q!$5:$5,0))</f>
        <v/>
      </c>
      <c r="N44" s="108">
        <f>INDEX(FS_Q!44:44,MATCH("4Q"&amp;RIGHT(FS_Y!N$5,2),FS_Q!$5:$5,0))</f>
        <v/>
      </c>
      <c r="O44" s="108">
        <f>INDEX(FS_Q!44:44,MATCH("4Q"&amp;RIGHT(FS_Y!O$5,2),FS_Q!$5:$5,0))</f>
        <v/>
      </c>
      <c r="P44" s="108">
        <f>INDEX(FS_Q!44:44,MATCH("4Q"&amp;RIGHT(FS_Y!P$5,2),FS_Q!$5:$5,0))</f>
        <v/>
      </c>
      <c r="Q44" s="108">
        <f>INDEX(FS_Q!44:44,MATCH("4Q"&amp;RIGHT(FS_Y!Q$5,2),FS_Q!$5:$5,0))</f>
        <v/>
      </c>
      <c r="R44" s="108">
        <f>INDEX(FS_Q!44:44,MATCH("4Q"&amp;RIGHT(FS_Y!R$5,2),FS_Q!$5:$5,0))</f>
        <v/>
      </c>
      <c r="S44" s="108">
        <f>INDEX(FS_Q!44:44,MATCH("4Q"&amp;RIGHT(FS_Y!S$5,2),FS_Q!$5:$5,0))</f>
        <v/>
      </c>
      <c r="T44" s="108">
        <f>INDEX(FS_Q!44:44,MATCH("4Q"&amp;RIGHT(FS_Y!T$5,2),FS_Q!$5:$5,0))</f>
        <v/>
      </c>
      <c r="U44" s="108">
        <f>INDEX(FS_Q!44:44,MATCH("4Q"&amp;RIGHT(FS_Y!U$5,2),FS_Q!$5:$5,0))</f>
        <v/>
      </c>
      <c r="V44" s="108">
        <f>INDEX(FS_Q!44:44,MATCH("4Q"&amp;RIGHT(FS_Y!V$5,2),FS_Q!$5:$5,0))</f>
        <v/>
      </c>
      <c r="W44" s="108">
        <f>INDEX(FS_Q!44:44,MATCH("4Q"&amp;RIGHT(FS_Y!W$5,2),FS_Q!$5:$5,0))</f>
        <v/>
      </c>
      <c r="X44" s="148" t="n"/>
      <c r="Y44" s="148" t="n"/>
      <c r="Z44" s="148" t="n"/>
      <c r="AA44" s="148" t="n"/>
      <c r="AB44" s="148" t="n"/>
      <c r="AC44" s="148" t="n"/>
      <c r="AD44" s="148" t="n"/>
      <c r="AE44" s="148" t="n"/>
      <c r="AF44" s="148" t="n"/>
      <c r="AG44" s="148" t="n"/>
      <c r="AH44" s="148" t="n"/>
      <c r="AI44" s="148" t="n"/>
      <c r="AJ44" s="148" t="n"/>
      <c r="AK44" s="148" t="n"/>
      <c r="AL44" s="148" t="n"/>
      <c r="AM44" s="148" t="n"/>
      <c r="AN44" s="148" t="n"/>
      <c r="AO44" s="148" t="n"/>
      <c r="AP44" s="148" t="n"/>
      <c r="AQ44" s="148" t="n"/>
      <c r="AR44" s="148" t="n"/>
      <c r="AS44" s="148" t="n"/>
    </row>
    <row r="45">
      <c r="A45" s="74">
        <f>FS_Q!A45</f>
        <v/>
      </c>
      <c r="B45" s="143" t="n"/>
      <c r="C45" s="143" t="n"/>
      <c r="D45" s="143" t="n"/>
      <c r="E45" s="517">
        <f>INDEX(FS_Q!45:45,MATCH("4Q"&amp;RIGHT(FS_Y!E$5,2),FS_Q!$5:$5,0))</f>
        <v/>
      </c>
      <c r="F45" s="517">
        <f>INDEX(FS_Q!45:45,MATCH("4Q"&amp;RIGHT(FS_Y!F$5,2),FS_Q!$5:$5,0))</f>
        <v/>
      </c>
      <c r="G45" s="517">
        <f>INDEX(FS_Q!45:45,MATCH("4Q"&amp;RIGHT(FS_Y!G$5,2),FS_Q!$5:$5,0))</f>
        <v/>
      </c>
      <c r="H45" s="517">
        <f>INDEX(FS_Q!45:45,MATCH("4Q"&amp;RIGHT(FS_Y!H$5,2),FS_Q!$5:$5,0))</f>
        <v/>
      </c>
      <c r="I45" s="517">
        <f>INDEX(FS_Q!45:45,MATCH("4Q"&amp;RIGHT(FS_Y!I$5,2),FS_Q!$5:$5,0))</f>
        <v/>
      </c>
      <c r="J45" s="517">
        <f>INDEX(FS_Q!45:45,MATCH("4Q"&amp;RIGHT(FS_Y!J$5,2),FS_Q!$5:$5,0))</f>
        <v/>
      </c>
      <c r="K45" s="517">
        <f>INDEX(FS_Q!45:45,MATCH("4Q"&amp;RIGHT(FS_Y!K$5,2),FS_Q!$5:$5,0))</f>
        <v/>
      </c>
      <c r="L45" s="517">
        <f>INDEX(FS_Q!45:45,MATCH("4Q"&amp;RIGHT(FS_Y!L$5,2),FS_Q!$5:$5,0))</f>
        <v/>
      </c>
      <c r="M45" s="517">
        <f>INDEX(FS_Q!45:45,MATCH("4Q"&amp;RIGHT(FS_Y!M$5,2),FS_Q!$5:$5,0))</f>
        <v/>
      </c>
      <c r="N45" s="517">
        <f>INDEX(FS_Q!45:45,MATCH("4Q"&amp;RIGHT(FS_Y!N$5,2),FS_Q!$5:$5,0))</f>
        <v/>
      </c>
      <c r="O45" s="517">
        <f>INDEX(FS_Q!45:45,MATCH("4Q"&amp;RIGHT(FS_Y!O$5,2),FS_Q!$5:$5,0))</f>
        <v/>
      </c>
      <c r="P45" s="517">
        <f>INDEX(FS_Q!45:45,MATCH("4Q"&amp;RIGHT(FS_Y!P$5,2),FS_Q!$5:$5,0))</f>
        <v/>
      </c>
      <c r="Q45" s="517">
        <f>INDEX(FS_Q!45:45,MATCH("4Q"&amp;RIGHT(FS_Y!Q$5,2),FS_Q!$5:$5,0))</f>
        <v/>
      </c>
      <c r="R45" s="517">
        <f>INDEX(FS_Q!45:45,MATCH("4Q"&amp;RIGHT(FS_Y!R$5,2),FS_Q!$5:$5,0))</f>
        <v/>
      </c>
      <c r="S45" s="517">
        <f>INDEX(FS_Q!45:45,MATCH("4Q"&amp;RIGHT(FS_Y!S$5,2),FS_Q!$5:$5,0))</f>
        <v/>
      </c>
      <c r="T45" s="517">
        <f>INDEX(FS_Q!45:45,MATCH("4Q"&amp;RIGHT(FS_Y!T$5,2),FS_Q!$5:$5,0))</f>
        <v/>
      </c>
      <c r="U45" s="517">
        <f>INDEX(FS_Q!45:45,MATCH("4Q"&amp;RIGHT(FS_Y!U$5,2),FS_Q!$5:$5,0))</f>
        <v/>
      </c>
      <c r="V45" s="517">
        <f>INDEX(FS_Q!45:45,MATCH("4Q"&amp;RIGHT(FS_Y!V$5,2),FS_Q!$5:$5,0))</f>
        <v/>
      </c>
      <c r="W45" s="517">
        <f>INDEX(FS_Q!45:45,MATCH("4Q"&amp;RIGHT(FS_Y!W$5,2),FS_Q!$5:$5,0))</f>
        <v/>
      </c>
      <c r="X45" s="148" t="n"/>
      <c r="Y45" s="148" t="n"/>
      <c r="Z45" s="148" t="n"/>
      <c r="AA45" s="148" t="n"/>
      <c r="AB45" s="148" t="n"/>
      <c r="AC45" s="148" t="n"/>
      <c r="AD45" s="148" t="n"/>
      <c r="AE45" s="148" t="n"/>
      <c r="AF45" s="148" t="n"/>
      <c r="AG45" s="148" t="n"/>
      <c r="AH45" s="148" t="n"/>
      <c r="AI45" s="148" t="n"/>
      <c r="AJ45" s="148" t="n"/>
      <c r="AK45" s="148" t="n"/>
      <c r="AL45" s="148" t="n"/>
      <c r="AM45" s="148" t="n"/>
      <c r="AN45" s="148" t="n"/>
      <c r="AO45" s="148" t="n"/>
      <c r="AP45" s="148" t="n"/>
      <c r="AQ45" s="148" t="n"/>
      <c r="AR45" s="148" t="n"/>
      <c r="AS45" s="148" t="n"/>
    </row>
    <row r="46">
      <c r="A46" s="74">
        <f>FS_Q!A46</f>
        <v/>
      </c>
      <c r="B46" s="143" t="n"/>
      <c r="C46" s="143" t="n"/>
      <c r="D46" s="143" t="n"/>
      <c r="E46" s="517">
        <f>INDEX(FS_Q!46:46,MATCH("4Q"&amp;RIGHT(FS_Y!E$5,2),FS_Q!$5:$5,0))</f>
        <v/>
      </c>
      <c r="F46" s="517">
        <f>INDEX(FS_Q!46:46,MATCH("4Q"&amp;RIGHT(FS_Y!F$5,2),FS_Q!$5:$5,0))</f>
        <v/>
      </c>
      <c r="G46" s="517">
        <f>INDEX(FS_Q!46:46,MATCH("4Q"&amp;RIGHT(FS_Y!G$5,2),FS_Q!$5:$5,0))</f>
        <v/>
      </c>
      <c r="H46" s="517">
        <f>INDEX(FS_Q!46:46,MATCH("4Q"&amp;RIGHT(FS_Y!H$5,2),FS_Q!$5:$5,0))</f>
        <v/>
      </c>
      <c r="I46" s="517">
        <f>INDEX(FS_Q!46:46,MATCH("4Q"&amp;RIGHT(FS_Y!I$5,2),FS_Q!$5:$5,0))</f>
        <v/>
      </c>
      <c r="J46" s="517">
        <f>INDEX(FS_Q!46:46,MATCH("4Q"&amp;RIGHT(FS_Y!J$5,2),FS_Q!$5:$5,0))</f>
        <v/>
      </c>
      <c r="K46" s="517">
        <f>INDEX(FS_Q!46:46,MATCH("4Q"&amp;RIGHT(FS_Y!K$5,2),FS_Q!$5:$5,0))</f>
        <v/>
      </c>
      <c r="L46" s="517">
        <f>INDEX(FS_Q!46:46,MATCH("4Q"&amp;RIGHT(FS_Y!L$5,2),FS_Q!$5:$5,0))</f>
        <v/>
      </c>
      <c r="M46" s="517">
        <f>INDEX(FS_Q!46:46,MATCH("4Q"&amp;RIGHT(FS_Y!M$5,2),FS_Q!$5:$5,0))</f>
        <v/>
      </c>
      <c r="N46" s="517">
        <f>INDEX(FS_Q!46:46,MATCH("4Q"&amp;RIGHT(FS_Y!N$5,2),FS_Q!$5:$5,0))</f>
        <v/>
      </c>
      <c r="O46" s="517">
        <f>INDEX(FS_Q!46:46,MATCH("4Q"&amp;RIGHT(FS_Y!O$5,2),FS_Q!$5:$5,0))</f>
        <v/>
      </c>
      <c r="P46" s="517">
        <f>INDEX(FS_Q!46:46,MATCH("4Q"&amp;RIGHT(FS_Y!P$5,2),FS_Q!$5:$5,0))</f>
        <v/>
      </c>
      <c r="Q46" s="517">
        <f>INDEX(FS_Q!46:46,MATCH("4Q"&amp;RIGHT(FS_Y!Q$5,2),FS_Q!$5:$5,0))</f>
        <v/>
      </c>
      <c r="R46" s="517">
        <f>INDEX(FS_Q!46:46,MATCH("4Q"&amp;RIGHT(FS_Y!R$5,2),FS_Q!$5:$5,0))</f>
        <v/>
      </c>
      <c r="S46" s="517">
        <f>INDEX(FS_Q!46:46,MATCH("4Q"&amp;RIGHT(FS_Y!S$5,2),FS_Q!$5:$5,0))</f>
        <v/>
      </c>
      <c r="T46" s="517">
        <f>INDEX(FS_Q!46:46,MATCH("4Q"&amp;RIGHT(FS_Y!T$5,2),FS_Q!$5:$5,0))</f>
        <v/>
      </c>
      <c r="U46" s="517">
        <f>INDEX(FS_Q!46:46,MATCH("4Q"&amp;RIGHT(FS_Y!U$5,2),FS_Q!$5:$5,0))</f>
        <v/>
      </c>
      <c r="V46" s="517">
        <f>INDEX(FS_Q!46:46,MATCH("4Q"&amp;RIGHT(FS_Y!V$5,2),FS_Q!$5:$5,0))</f>
        <v/>
      </c>
      <c r="W46" s="517">
        <f>INDEX(FS_Q!46:46,MATCH("4Q"&amp;RIGHT(FS_Y!W$5,2),FS_Q!$5:$5,0))</f>
        <v/>
      </c>
      <c r="X46" s="148" t="n"/>
      <c r="Y46" s="148" t="n"/>
      <c r="Z46" s="148" t="n"/>
      <c r="AA46" s="148" t="n"/>
      <c r="AB46" s="148" t="n"/>
      <c r="AC46" s="148" t="n"/>
      <c r="AD46" s="148" t="n"/>
      <c r="AE46" s="148" t="n"/>
      <c r="AF46" s="148" t="n"/>
      <c r="AG46" s="148" t="n"/>
      <c r="AH46" s="148" t="n"/>
      <c r="AI46" s="148" t="n"/>
      <c r="AJ46" s="148" t="n"/>
      <c r="AK46" s="148" t="n"/>
      <c r="AL46" s="148" t="n"/>
      <c r="AM46" s="148" t="n"/>
      <c r="AN46" s="148" t="n"/>
      <c r="AO46" s="148" t="n"/>
      <c r="AP46" s="148" t="n"/>
      <c r="AQ46" s="148" t="n"/>
      <c r="AR46" s="148" t="n"/>
      <c r="AS46" s="148" t="n"/>
    </row>
    <row r="47">
      <c r="A47" s="74">
        <f>FS_Q!A47</f>
        <v/>
      </c>
      <c r="B47" s="143" t="n"/>
      <c r="C47" s="143" t="n"/>
      <c r="D47" s="143" t="n"/>
      <c r="E47" s="517">
        <f>INDEX(FS_Q!47:47,MATCH("4Q"&amp;RIGHT(FS_Y!E$5,2),FS_Q!$5:$5,0))</f>
        <v/>
      </c>
      <c r="F47" s="517">
        <f>INDEX(FS_Q!47:47,MATCH("4Q"&amp;RIGHT(FS_Y!F$5,2),FS_Q!$5:$5,0))</f>
        <v/>
      </c>
      <c r="G47" s="517">
        <f>INDEX(FS_Q!47:47,MATCH("4Q"&amp;RIGHT(FS_Y!G$5,2),FS_Q!$5:$5,0))</f>
        <v/>
      </c>
      <c r="H47" s="517">
        <f>INDEX(FS_Q!47:47,MATCH("4Q"&amp;RIGHT(FS_Y!H$5,2),FS_Q!$5:$5,0))</f>
        <v/>
      </c>
      <c r="I47" s="517">
        <f>INDEX(FS_Q!47:47,MATCH("4Q"&amp;RIGHT(FS_Y!I$5,2),FS_Q!$5:$5,0))</f>
        <v/>
      </c>
      <c r="J47" s="517">
        <f>INDEX(FS_Q!47:47,MATCH("4Q"&amp;RIGHT(FS_Y!J$5,2),FS_Q!$5:$5,0))</f>
        <v/>
      </c>
      <c r="K47" s="517">
        <f>INDEX(FS_Q!47:47,MATCH("4Q"&amp;RIGHT(FS_Y!K$5,2),FS_Q!$5:$5,0))</f>
        <v/>
      </c>
      <c r="L47" s="517">
        <f>INDEX(FS_Q!47:47,MATCH("4Q"&amp;RIGHT(FS_Y!L$5,2),FS_Q!$5:$5,0))</f>
        <v/>
      </c>
      <c r="M47" s="517">
        <f>INDEX(FS_Q!47:47,MATCH("4Q"&amp;RIGHT(FS_Y!M$5,2),FS_Q!$5:$5,0))</f>
        <v/>
      </c>
      <c r="N47" s="517">
        <f>INDEX(FS_Q!47:47,MATCH("4Q"&amp;RIGHT(FS_Y!N$5,2),FS_Q!$5:$5,0))</f>
        <v/>
      </c>
      <c r="O47" s="517">
        <f>INDEX(FS_Q!47:47,MATCH("4Q"&amp;RIGHT(FS_Y!O$5,2),FS_Q!$5:$5,0))</f>
        <v/>
      </c>
      <c r="P47" s="517">
        <f>INDEX(FS_Q!47:47,MATCH("4Q"&amp;RIGHT(FS_Y!P$5,2),FS_Q!$5:$5,0))</f>
        <v/>
      </c>
      <c r="Q47" s="517">
        <f>INDEX(FS_Q!47:47,MATCH("4Q"&amp;RIGHT(FS_Y!Q$5,2),FS_Q!$5:$5,0))</f>
        <v/>
      </c>
      <c r="R47" s="517">
        <f>INDEX(FS_Q!47:47,MATCH("4Q"&amp;RIGHT(FS_Y!R$5,2),FS_Q!$5:$5,0))</f>
        <v/>
      </c>
      <c r="S47" s="517">
        <f>INDEX(FS_Q!47:47,MATCH("4Q"&amp;RIGHT(FS_Y!S$5,2),FS_Q!$5:$5,0))</f>
        <v/>
      </c>
      <c r="T47" s="517">
        <f>INDEX(FS_Q!47:47,MATCH("4Q"&amp;RIGHT(FS_Y!T$5,2),FS_Q!$5:$5,0))</f>
        <v/>
      </c>
      <c r="U47" s="517">
        <f>INDEX(FS_Q!47:47,MATCH("4Q"&amp;RIGHT(FS_Y!U$5,2),FS_Q!$5:$5,0))</f>
        <v/>
      </c>
      <c r="V47" s="517">
        <f>INDEX(FS_Q!47:47,MATCH("4Q"&amp;RIGHT(FS_Y!V$5,2),FS_Q!$5:$5,0))</f>
        <v/>
      </c>
      <c r="W47" s="517">
        <f>INDEX(FS_Q!47:47,MATCH("4Q"&amp;RIGHT(FS_Y!W$5,2),FS_Q!$5:$5,0))</f>
        <v/>
      </c>
      <c r="X47" s="148" t="n"/>
      <c r="Y47" s="148" t="n"/>
      <c r="Z47" s="148" t="n"/>
      <c r="AA47" s="148" t="n"/>
      <c r="AB47" s="148" t="n"/>
      <c r="AC47" s="148" t="n"/>
      <c r="AD47" s="148" t="n"/>
      <c r="AE47" s="148" t="n"/>
      <c r="AF47" s="148" t="n"/>
      <c r="AG47" s="148" t="n"/>
      <c r="AH47" s="148" t="n"/>
      <c r="AI47" s="148" t="n"/>
      <c r="AJ47" s="148" t="n"/>
      <c r="AK47" s="148" t="n"/>
      <c r="AL47" s="148" t="n"/>
      <c r="AM47" s="148" t="n"/>
      <c r="AN47" s="148" t="n"/>
      <c r="AO47" s="148" t="n"/>
      <c r="AP47" s="148" t="n"/>
      <c r="AQ47" s="148" t="n"/>
      <c r="AR47" s="148" t="n"/>
      <c r="AS47" s="148" t="n"/>
    </row>
    <row r="48">
      <c r="A48" s="74">
        <f>FS_Q!A48</f>
        <v/>
      </c>
      <c r="B48" s="143" t="n"/>
      <c r="C48" s="143" t="n"/>
      <c r="D48" s="143" t="n"/>
      <c r="E48" s="517">
        <f>INDEX(FS_Q!48:48,MATCH("4Q"&amp;RIGHT(FS_Y!E$5,2),FS_Q!$5:$5,0))</f>
        <v/>
      </c>
      <c r="F48" s="517">
        <f>INDEX(FS_Q!48:48,MATCH("4Q"&amp;RIGHT(FS_Y!F$5,2),FS_Q!$5:$5,0))</f>
        <v/>
      </c>
      <c r="G48" s="517">
        <f>INDEX(FS_Q!48:48,MATCH("4Q"&amp;RIGHT(FS_Y!G$5,2),FS_Q!$5:$5,0))</f>
        <v/>
      </c>
      <c r="H48" s="517">
        <f>INDEX(FS_Q!48:48,MATCH("4Q"&amp;RIGHT(FS_Y!H$5,2),FS_Q!$5:$5,0))</f>
        <v/>
      </c>
      <c r="I48" s="517">
        <f>INDEX(FS_Q!48:48,MATCH("4Q"&amp;RIGHT(FS_Y!I$5,2),FS_Q!$5:$5,0))</f>
        <v/>
      </c>
      <c r="J48" s="517">
        <f>INDEX(FS_Q!48:48,MATCH("4Q"&amp;RIGHT(FS_Y!J$5,2),FS_Q!$5:$5,0))</f>
        <v/>
      </c>
      <c r="K48" s="517">
        <f>INDEX(FS_Q!48:48,MATCH("4Q"&amp;RIGHT(FS_Y!K$5,2),FS_Q!$5:$5,0))</f>
        <v/>
      </c>
      <c r="L48" s="517">
        <f>INDEX(FS_Q!48:48,MATCH("4Q"&amp;RIGHT(FS_Y!L$5,2),FS_Q!$5:$5,0))</f>
        <v/>
      </c>
      <c r="M48" s="517">
        <f>INDEX(FS_Q!48:48,MATCH("4Q"&amp;RIGHT(FS_Y!M$5,2),FS_Q!$5:$5,0))</f>
        <v/>
      </c>
      <c r="N48" s="517">
        <f>INDEX(FS_Q!48:48,MATCH("4Q"&amp;RIGHT(FS_Y!N$5,2),FS_Q!$5:$5,0))</f>
        <v/>
      </c>
      <c r="O48" s="517">
        <f>INDEX(FS_Q!48:48,MATCH("4Q"&amp;RIGHT(FS_Y!O$5,2),FS_Q!$5:$5,0))</f>
        <v/>
      </c>
      <c r="P48" s="517">
        <f>INDEX(FS_Q!48:48,MATCH("4Q"&amp;RIGHT(FS_Y!P$5,2),FS_Q!$5:$5,0))</f>
        <v/>
      </c>
      <c r="Q48" s="517">
        <f>INDEX(FS_Q!48:48,MATCH("4Q"&amp;RIGHT(FS_Y!Q$5,2),FS_Q!$5:$5,0))</f>
        <v/>
      </c>
      <c r="R48" s="517">
        <f>INDEX(FS_Q!48:48,MATCH("4Q"&amp;RIGHT(FS_Y!R$5,2),FS_Q!$5:$5,0))</f>
        <v/>
      </c>
      <c r="S48" s="517">
        <f>INDEX(FS_Q!48:48,MATCH("4Q"&amp;RIGHT(FS_Y!S$5,2),FS_Q!$5:$5,0))</f>
        <v/>
      </c>
      <c r="T48" s="517">
        <f>INDEX(FS_Q!48:48,MATCH("4Q"&amp;RIGHT(FS_Y!T$5,2),FS_Q!$5:$5,0))</f>
        <v/>
      </c>
      <c r="U48" s="517">
        <f>INDEX(FS_Q!48:48,MATCH("4Q"&amp;RIGHT(FS_Y!U$5,2),FS_Q!$5:$5,0))</f>
        <v/>
      </c>
      <c r="V48" s="517">
        <f>INDEX(FS_Q!48:48,MATCH("4Q"&amp;RIGHT(FS_Y!V$5,2),FS_Q!$5:$5,0))</f>
        <v/>
      </c>
      <c r="W48" s="517">
        <f>INDEX(FS_Q!48:48,MATCH("4Q"&amp;RIGHT(FS_Y!W$5,2),FS_Q!$5:$5,0))</f>
        <v/>
      </c>
      <c r="X48" s="148" t="n"/>
      <c r="Y48" s="148" t="n"/>
      <c r="Z48" s="148" t="n"/>
      <c r="AA48" s="148" t="n"/>
      <c r="AB48" s="148" t="n"/>
      <c r="AC48" s="148" t="n"/>
      <c r="AD48" s="148" t="n"/>
      <c r="AE48" s="148" t="n"/>
      <c r="AF48" s="148" t="n"/>
      <c r="AG48" s="148" t="n"/>
      <c r="AH48" s="148" t="n"/>
      <c r="AI48" s="148" t="n"/>
      <c r="AJ48" s="148" t="n"/>
      <c r="AK48" s="148" t="n"/>
      <c r="AL48" s="148" t="n"/>
      <c r="AM48" s="148" t="n"/>
      <c r="AN48" s="148" t="n"/>
      <c r="AO48" s="148" t="n"/>
      <c r="AP48" s="148" t="n"/>
      <c r="AQ48" s="148" t="n"/>
      <c r="AR48" s="148" t="n"/>
      <c r="AS48" s="148" t="n"/>
    </row>
    <row r="49">
      <c r="A49" s="74">
        <f>FS_Q!A49</f>
        <v/>
      </c>
      <c r="B49" s="143" t="n"/>
      <c r="C49" s="143" t="n"/>
      <c r="D49" s="143" t="n"/>
      <c r="E49" s="517">
        <f>INDEX(FS_Q!49:49,MATCH("4Q"&amp;RIGHT(FS_Y!E$5,2),FS_Q!$5:$5,0))</f>
        <v/>
      </c>
      <c r="F49" s="517">
        <f>INDEX(FS_Q!49:49,MATCH("4Q"&amp;RIGHT(FS_Y!F$5,2),FS_Q!$5:$5,0))</f>
        <v/>
      </c>
      <c r="G49" s="517">
        <f>INDEX(FS_Q!49:49,MATCH("4Q"&amp;RIGHT(FS_Y!G$5,2),FS_Q!$5:$5,0))</f>
        <v/>
      </c>
      <c r="H49" s="517">
        <f>INDEX(FS_Q!49:49,MATCH("4Q"&amp;RIGHT(FS_Y!H$5,2),FS_Q!$5:$5,0))</f>
        <v/>
      </c>
      <c r="I49" s="517">
        <f>INDEX(FS_Q!49:49,MATCH("4Q"&amp;RIGHT(FS_Y!I$5,2),FS_Q!$5:$5,0))</f>
        <v/>
      </c>
      <c r="J49" s="517">
        <f>INDEX(FS_Q!49:49,MATCH("4Q"&amp;RIGHT(FS_Y!J$5,2),FS_Q!$5:$5,0))</f>
        <v/>
      </c>
      <c r="K49" s="517">
        <f>INDEX(FS_Q!49:49,MATCH("4Q"&amp;RIGHT(FS_Y!K$5,2),FS_Q!$5:$5,0))</f>
        <v/>
      </c>
      <c r="L49" s="517">
        <f>INDEX(FS_Q!49:49,MATCH("4Q"&amp;RIGHT(FS_Y!L$5,2),FS_Q!$5:$5,0))</f>
        <v/>
      </c>
      <c r="M49" s="517">
        <f>INDEX(FS_Q!49:49,MATCH("4Q"&amp;RIGHT(FS_Y!M$5,2),FS_Q!$5:$5,0))</f>
        <v/>
      </c>
      <c r="N49" s="517">
        <f>INDEX(FS_Q!49:49,MATCH("4Q"&amp;RIGHT(FS_Y!N$5,2),FS_Q!$5:$5,0))</f>
        <v/>
      </c>
      <c r="O49" s="517">
        <f>INDEX(FS_Q!49:49,MATCH("4Q"&amp;RIGHT(FS_Y!O$5,2),FS_Q!$5:$5,0))</f>
        <v/>
      </c>
      <c r="P49" s="517">
        <f>INDEX(FS_Q!49:49,MATCH("4Q"&amp;RIGHT(FS_Y!P$5,2),FS_Q!$5:$5,0))</f>
        <v/>
      </c>
      <c r="Q49" s="517">
        <f>INDEX(FS_Q!49:49,MATCH("4Q"&amp;RIGHT(FS_Y!Q$5,2),FS_Q!$5:$5,0))</f>
        <v/>
      </c>
      <c r="R49" s="517">
        <f>INDEX(FS_Q!49:49,MATCH("4Q"&amp;RIGHT(FS_Y!R$5,2),FS_Q!$5:$5,0))</f>
        <v/>
      </c>
      <c r="S49" s="517">
        <f>INDEX(FS_Q!49:49,MATCH("4Q"&amp;RIGHT(FS_Y!S$5,2),FS_Q!$5:$5,0))</f>
        <v/>
      </c>
      <c r="T49" s="517">
        <f>INDEX(FS_Q!49:49,MATCH("4Q"&amp;RIGHT(FS_Y!T$5,2),FS_Q!$5:$5,0))</f>
        <v/>
      </c>
      <c r="U49" s="517">
        <f>INDEX(FS_Q!49:49,MATCH("4Q"&amp;RIGHT(FS_Y!U$5,2),FS_Q!$5:$5,0))</f>
        <v/>
      </c>
      <c r="V49" s="517">
        <f>INDEX(FS_Q!49:49,MATCH("4Q"&amp;RIGHT(FS_Y!V$5,2),FS_Q!$5:$5,0))</f>
        <v/>
      </c>
      <c r="W49" s="517">
        <f>INDEX(FS_Q!49:49,MATCH("4Q"&amp;RIGHT(FS_Y!W$5,2),FS_Q!$5:$5,0))</f>
        <v/>
      </c>
      <c r="X49" s="148" t="n"/>
      <c r="Y49" s="148" t="n"/>
      <c r="Z49" s="148" t="n"/>
      <c r="AA49" s="148" t="n"/>
      <c r="AB49" s="148" t="n"/>
      <c r="AC49" s="148" t="n"/>
      <c r="AD49" s="148" t="n"/>
      <c r="AE49" s="148" t="n"/>
      <c r="AF49" s="148" t="n"/>
      <c r="AG49" s="148" t="n"/>
      <c r="AH49" s="148" t="n"/>
      <c r="AI49" s="148" t="n"/>
      <c r="AJ49" s="148" t="n"/>
      <c r="AK49" s="148" t="n"/>
      <c r="AL49" s="148" t="n"/>
      <c r="AM49" s="148" t="n"/>
      <c r="AN49" s="148" t="n"/>
      <c r="AO49" s="148" t="n"/>
      <c r="AP49" s="148" t="n"/>
      <c r="AQ49" s="148" t="n"/>
      <c r="AR49" s="148" t="n"/>
      <c r="AS49" s="148" t="n"/>
    </row>
    <row r="50">
      <c r="A50" s="74">
        <f>FS_Q!A50</f>
        <v/>
      </c>
      <c r="B50" s="143" t="n"/>
      <c r="C50" s="143" t="n"/>
      <c r="D50" s="143" t="n"/>
      <c r="E50" s="517">
        <f>INDEX(FS_Q!50:50,MATCH("4Q"&amp;RIGHT(FS_Y!E$5,2),FS_Q!$5:$5,0))</f>
        <v/>
      </c>
      <c r="F50" s="517">
        <f>INDEX(FS_Q!50:50,MATCH("4Q"&amp;RIGHT(FS_Y!F$5,2),FS_Q!$5:$5,0))</f>
        <v/>
      </c>
      <c r="G50" s="517">
        <f>INDEX(FS_Q!50:50,MATCH("4Q"&amp;RIGHT(FS_Y!G$5,2),FS_Q!$5:$5,0))</f>
        <v/>
      </c>
      <c r="H50" s="517">
        <f>INDEX(FS_Q!50:50,MATCH("4Q"&amp;RIGHT(FS_Y!H$5,2),FS_Q!$5:$5,0))</f>
        <v/>
      </c>
      <c r="I50" s="517">
        <f>INDEX(FS_Q!50:50,MATCH("4Q"&amp;RIGHT(FS_Y!I$5,2),FS_Q!$5:$5,0))</f>
        <v/>
      </c>
      <c r="J50" s="517">
        <f>INDEX(FS_Q!50:50,MATCH("4Q"&amp;RIGHT(FS_Y!J$5,2),FS_Q!$5:$5,0))</f>
        <v/>
      </c>
      <c r="K50" s="517">
        <f>INDEX(FS_Q!50:50,MATCH("4Q"&amp;RIGHT(FS_Y!K$5,2),FS_Q!$5:$5,0))</f>
        <v/>
      </c>
      <c r="L50" s="517">
        <f>INDEX(FS_Q!50:50,MATCH("4Q"&amp;RIGHT(FS_Y!L$5,2),FS_Q!$5:$5,0))</f>
        <v/>
      </c>
      <c r="M50" s="517">
        <f>INDEX(FS_Q!50:50,MATCH("4Q"&amp;RIGHT(FS_Y!M$5,2),FS_Q!$5:$5,0))</f>
        <v/>
      </c>
      <c r="N50" s="517">
        <f>INDEX(FS_Q!50:50,MATCH("4Q"&amp;RIGHT(FS_Y!N$5,2),FS_Q!$5:$5,0))</f>
        <v/>
      </c>
      <c r="O50" s="517">
        <f>INDEX(FS_Q!50:50,MATCH("4Q"&amp;RIGHT(FS_Y!O$5,2),FS_Q!$5:$5,0))</f>
        <v/>
      </c>
      <c r="P50" s="517">
        <f>INDEX(FS_Q!50:50,MATCH("4Q"&amp;RIGHT(FS_Y!P$5,2),FS_Q!$5:$5,0))</f>
        <v/>
      </c>
      <c r="Q50" s="517">
        <f>INDEX(FS_Q!50:50,MATCH("4Q"&amp;RIGHT(FS_Y!Q$5,2),FS_Q!$5:$5,0))</f>
        <v/>
      </c>
      <c r="R50" s="517">
        <f>INDEX(FS_Q!50:50,MATCH("4Q"&amp;RIGHT(FS_Y!R$5,2),FS_Q!$5:$5,0))</f>
        <v/>
      </c>
      <c r="S50" s="517">
        <f>INDEX(FS_Q!50:50,MATCH("4Q"&amp;RIGHT(FS_Y!S$5,2),FS_Q!$5:$5,0))</f>
        <v/>
      </c>
      <c r="T50" s="517">
        <f>INDEX(FS_Q!50:50,MATCH("4Q"&amp;RIGHT(FS_Y!T$5,2),FS_Q!$5:$5,0))</f>
        <v/>
      </c>
      <c r="U50" s="517">
        <f>INDEX(FS_Q!50:50,MATCH("4Q"&amp;RIGHT(FS_Y!U$5,2),FS_Q!$5:$5,0))</f>
        <v/>
      </c>
      <c r="V50" s="517">
        <f>INDEX(FS_Q!50:50,MATCH("4Q"&amp;RIGHT(FS_Y!V$5,2),FS_Q!$5:$5,0))</f>
        <v/>
      </c>
      <c r="W50" s="517">
        <f>INDEX(FS_Q!50:50,MATCH("4Q"&amp;RIGHT(FS_Y!W$5,2),FS_Q!$5:$5,0))</f>
        <v/>
      </c>
      <c r="X50" s="148" t="n"/>
      <c r="Y50" s="148" t="n"/>
      <c r="Z50" s="148" t="n"/>
      <c r="AA50" s="148" t="n"/>
      <c r="AB50" s="148" t="n"/>
      <c r="AC50" s="148" t="n"/>
      <c r="AD50" s="148" t="n"/>
      <c r="AE50" s="148" t="n"/>
      <c r="AF50" s="148" t="n"/>
      <c r="AG50" s="148" t="n"/>
      <c r="AH50" s="148" t="n"/>
      <c r="AI50" s="148" t="n"/>
      <c r="AJ50" s="148" t="n"/>
      <c r="AK50" s="148" t="n"/>
      <c r="AL50" s="148" t="n"/>
      <c r="AM50" s="148" t="n"/>
      <c r="AN50" s="148" t="n"/>
      <c r="AO50" s="148" t="n"/>
      <c r="AP50" s="148" t="n"/>
      <c r="AQ50" s="148" t="n"/>
      <c r="AR50" s="148" t="n"/>
      <c r="AS50" s="148" t="n"/>
    </row>
    <row r="51">
      <c r="A51" s="40">
        <f>FS_Q!A51</f>
        <v/>
      </c>
      <c r="B51" s="147" t="n"/>
      <c r="C51" s="147" t="n"/>
      <c r="D51" s="147" t="n"/>
      <c r="E51" s="519">
        <f>INDEX(FS_Q!51:51,MATCH("4Q"&amp;RIGHT(FS_Y!E$5,2),FS_Q!$5:$5,0))</f>
        <v/>
      </c>
      <c r="F51" s="519">
        <f>INDEX(FS_Q!51:51,MATCH("4Q"&amp;RIGHT(FS_Y!F$5,2),FS_Q!$5:$5,0))</f>
        <v/>
      </c>
      <c r="G51" s="519">
        <f>INDEX(FS_Q!51:51,MATCH("4Q"&amp;RIGHT(FS_Y!G$5,2),FS_Q!$5:$5,0))</f>
        <v/>
      </c>
      <c r="H51" s="519">
        <f>INDEX(FS_Q!51:51,MATCH("4Q"&amp;RIGHT(FS_Y!H$5,2),FS_Q!$5:$5,0))</f>
        <v/>
      </c>
      <c r="I51" s="519">
        <f>INDEX(FS_Q!51:51,MATCH("4Q"&amp;RIGHT(FS_Y!I$5,2),FS_Q!$5:$5,0))</f>
        <v/>
      </c>
      <c r="J51" s="519">
        <f>INDEX(FS_Q!51:51,MATCH("4Q"&amp;RIGHT(FS_Y!J$5,2),FS_Q!$5:$5,0))</f>
        <v/>
      </c>
      <c r="K51" s="519">
        <f>INDEX(FS_Q!51:51,MATCH("4Q"&amp;RIGHT(FS_Y!K$5,2),FS_Q!$5:$5,0))</f>
        <v/>
      </c>
      <c r="L51" s="519">
        <f>INDEX(FS_Q!51:51,MATCH("4Q"&amp;RIGHT(FS_Y!L$5,2),FS_Q!$5:$5,0))</f>
        <v/>
      </c>
      <c r="M51" s="519">
        <f>INDEX(FS_Q!51:51,MATCH("4Q"&amp;RIGHT(FS_Y!M$5,2),FS_Q!$5:$5,0))</f>
        <v/>
      </c>
      <c r="N51" s="519">
        <f>INDEX(FS_Q!51:51,MATCH("4Q"&amp;RIGHT(FS_Y!N$5,2),FS_Q!$5:$5,0))</f>
        <v/>
      </c>
      <c r="O51" s="519">
        <f>INDEX(FS_Q!51:51,MATCH("4Q"&amp;RIGHT(FS_Y!O$5,2),FS_Q!$5:$5,0))</f>
        <v/>
      </c>
      <c r="P51" s="519">
        <f>INDEX(FS_Q!51:51,MATCH("4Q"&amp;RIGHT(FS_Y!P$5,2),FS_Q!$5:$5,0))</f>
        <v/>
      </c>
      <c r="Q51" s="519">
        <f>INDEX(FS_Q!51:51,MATCH("4Q"&amp;RIGHT(FS_Y!Q$5,2),FS_Q!$5:$5,0))</f>
        <v/>
      </c>
      <c r="R51" s="519">
        <f>INDEX(FS_Q!51:51,MATCH("4Q"&amp;RIGHT(FS_Y!R$5,2),FS_Q!$5:$5,0))</f>
        <v/>
      </c>
      <c r="S51" s="519">
        <f>INDEX(FS_Q!51:51,MATCH("4Q"&amp;RIGHT(FS_Y!S$5,2),FS_Q!$5:$5,0))</f>
        <v/>
      </c>
      <c r="T51" s="519">
        <f>INDEX(FS_Q!51:51,MATCH("4Q"&amp;RIGHT(FS_Y!T$5,2),FS_Q!$5:$5,0))</f>
        <v/>
      </c>
      <c r="U51" s="519">
        <f>INDEX(FS_Q!51:51,MATCH("4Q"&amp;RIGHT(FS_Y!U$5,2),FS_Q!$5:$5,0))</f>
        <v/>
      </c>
      <c r="V51" s="519">
        <f>INDEX(FS_Q!51:51,MATCH("4Q"&amp;RIGHT(FS_Y!V$5,2),FS_Q!$5:$5,0))</f>
        <v/>
      </c>
      <c r="W51" s="519">
        <f>INDEX(FS_Q!51:51,MATCH("4Q"&amp;RIGHT(FS_Y!W$5,2),FS_Q!$5:$5,0))</f>
        <v/>
      </c>
      <c r="X51" s="131" t="n"/>
      <c r="Y51" s="131" t="n"/>
      <c r="Z51" s="131" t="n"/>
      <c r="AA51" s="131" t="n"/>
      <c r="AB51" s="131" t="n"/>
      <c r="AC51" s="131" t="n"/>
      <c r="AD51" s="131" t="n"/>
      <c r="AE51" s="131" t="n"/>
      <c r="AF51" s="131" t="n"/>
      <c r="AG51" s="131" t="n"/>
      <c r="AH51" s="131" t="n"/>
      <c r="AI51" s="131" t="n"/>
      <c r="AJ51" s="131" t="n"/>
      <c r="AK51" s="131" t="n"/>
      <c r="AL51" s="131" t="n"/>
      <c r="AM51" s="131" t="n"/>
      <c r="AN51" s="131" t="n"/>
      <c r="AO51" s="131" t="n"/>
      <c r="AP51" s="131" t="n"/>
      <c r="AQ51" s="131" t="n"/>
      <c r="AR51" s="131" t="n"/>
      <c r="AS51" s="131" t="n"/>
    </row>
    <row r="52" customFormat="1" s="283">
      <c r="A52" s="74">
        <f>FS_Q!A52</f>
        <v/>
      </c>
      <c r="B52" s="382" t="n"/>
      <c r="C52" s="382" t="n"/>
      <c r="D52" s="382" t="n"/>
      <c r="E52" s="517">
        <f>INDEX(FS_Q!52:52,MATCH("4Q"&amp;RIGHT(FS_Y!E$5,2),FS_Q!$5:$5,0))</f>
        <v/>
      </c>
      <c r="F52" s="517">
        <f>INDEX(FS_Q!52:52,MATCH("4Q"&amp;RIGHT(FS_Y!F$5,2),FS_Q!$5:$5,0))</f>
        <v/>
      </c>
      <c r="G52" s="517">
        <f>INDEX(FS_Q!52:52,MATCH("4Q"&amp;RIGHT(FS_Y!G$5,2),FS_Q!$5:$5,0))</f>
        <v/>
      </c>
      <c r="H52" s="517">
        <f>INDEX(FS_Q!52:52,MATCH("4Q"&amp;RIGHT(FS_Y!H$5,2),FS_Q!$5:$5,0))</f>
        <v/>
      </c>
      <c r="I52" s="517">
        <f>INDEX(FS_Q!52:52,MATCH("4Q"&amp;RIGHT(FS_Y!I$5,2),FS_Q!$5:$5,0))</f>
        <v/>
      </c>
      <c r="J52" s="517">
        <f>INDEX(FS_Q!52:52,MATCH("4Q"&amp;RIGHT(FS_Y!J$5,2),FS_Q!$5:$5,0))</f>
        <v/>
      </c>
      <c r="K52" s="517">
        <f>INDEX(FS_Q!52:52,MATCH("4Q"&amp;RIGHT(FS_Y!K$5,2),FS_Q!$5:$5,0))</f>
        <v/>
      </c>
      <c r="L52" s="517">
        <f>INDEX(FS_Q!52:52,MATCH("4Q"&amp;RIGHT(FS_Y!L$5,2),FS_Q!$5:$5,0))</f>
        <v/>
      </c>
      <c r="M52" s="517">
        <f>INDEX(FS_Q!52:52,MATCH("4Q"&amp;RIGHT(FS_Y!M$5,2),FS_Q!$5:$5,0))</f>
        <v/>
      </c>
      <c r="N52" s="517">
        <f>INDEX(FS_Q!52:52,MATCH("4Q"&amp;RIGHT(FS_Y!N$5,2),FS_Q!$5:$5,0))</f>
        <v/>
      </c>
      <c r="O52" s="517">
        <f>INDEX(FS_Q!52:52,MATCH("4Q"&amp;RIGHT(FS_Y!O$5,2),FS_Q!$5:$5,0))</f>
        <v/>
      </c>
      <c r="P52" s="517">
        <f>INDEX(FS_Q!52:52,MATCH("4Q"&amp;RIGHT(FS_Y!P$5,2),FS_Q!$5:$5,0))</f>
        <v/>
      </c>
      <c r="Q52" s="517">
        <f>INDEX(FS_Q!52:52,MATCH("4Q"&amp;RIGHT(FS_Y!Q$5,2),FS_Q!$5:$5,0))</f>
        <v/>
      </c>
      <c r="R52" s="517">
        <f>INDEX(FS_Q!52:52,MATCH("4Q"&amp;RIGHT(FS_Y!R$5,2),FS_Q!$5:$5,0))</f>
        <v/>
      </c>
      <c r="S52" s="517">
        <f>INDEX(FS_Q!52:52,MATCH("4Q"&amp;RIGHT(FS_Y!S$5,2),FS_Q!$5:$5,0))</f>
        <v/>
      </c>
      <c r="T52" s="517">
        <f>INDEX(FS_Q!52:52,MATCH("4Q"&amp;RIGHT(FS_Y!T$5,2),FS_Q!$5:$5,0))</f>
        <v/>
      </c>
      <c r="U52" s="517">
        <f>INDEX(FS_Q!52:52,MATCH("4Q"&amp;RIGHT(FS_Y!U$5,2),FS_Q!$5:$5,0))</f>
        <v/>
      </c>
      <c r="V52" s="517">
        <f>INDEX(FS_Q!52:52,MATCH("4Q"&amp;RIGHT(FS_Y!V$5,2),FS_Q!$5:$5,0))</f>
        <v/>
      </c>
      <c r="W52" s="517">
        <f>INDEX(FS_Q!52:52,MATCH("4Q"&amp;RIGHT(FS_Y!W$5,2),FS_Q!$5:$5,0))</f>
        <v/>
      </c>
      <c r="X52" s="382" t="n"/>
      <c r="Y52" s="382" t="n"/>
      <c r="Z52" s="382" t="n"/>
      <c r="AA52" s="382" t="n"/>
      <c r="AB52" s="382" t="n"/>
      <c r="AC52" s="382" t="n"/>
      <c r="AD52" s="382" t="n"/>
      <c r="AE52" s="382" t="n"/>
      <c r="AF52" s="382" t="n"/>
      <c r="AG52" s="382" t="n"/>
      <c r="AH52" s="382" t="n"/>
      <c r="AI52" s="382" t="n"/>
      <c r="AJ52" s="382" t="n"/>
      <c r="AK52" s="382" t="n"/>
      <c r="AL52" s="382" t="n"/>
      <c r="AM52" s="382" t="n"/>
      <c r="AN52" s="382" t="n"/>
      <c r="AO52" s="382" t="n"/>
      <c r="AP52" s="382" t="n"/>
      <c r="AQ52" s="382" t="n"/>
      <c r="AR52" s="382" t="n"/>
      <c r="AS52" s="382" t="n"/>
    </row>
    <row r="53">
      <c r="A53" s="74">
        <f>FS_Q!A53</f>
        <v/>
      </c>
      <c r="B53" s="148" t="n"/>
      <c r="C53" s="148" t="n"/>
      <c r="D53" s="148" t="n"/>
      <c r="E53" s="517">
        <f>INDEX(FS_Q!53:53,MATCH("4Q"&amp;RIGHT(FS_Y!E$5,2),FS_Q!$5:$5,0))</f>
        <v/>
      </c>
      <c r="F53" s="517">
        <f>INDEX(FS_Q!53:53,MATCH("4Q"&amp;RIGHT(FS_Y!F$5,2),FS_Q!$5:$5,0))</f>
        <v/>
      </c>
      <c r="G53" s="517">
        <f>INDEX(FS_Q!53:53,MATCH("4Q"&amp;RIGHT(FS_Y!G$5,2),FS_Q!$5:$5,0))</f>
        <v/>
      </c>
      <c r="H53" s="517">
        <f>INDEX(FS_Q!53:53,MATCH("4Q"&amp;RIGHT(FS_Y!H$5,2),FS_Q!$5:$5,0))</f>
        <v/>
      </c>
      <c r="I53" s="517">
        <f>INDEX(FS_Q!53:53,MATCH("4Q"&amp;RIGHT(FS_Y!I$5,2),FS_Q!$5:$5,0))</f>
        <v/>
      </c>
      <c r="J53" s="517">
        <f>INDEX(FS_Q!53:53,MATCH("4Q"&amp;RIGHT(FS_Y!J$5,2),FS_Q!$5:$5,0))</f>
        <v/>
      </c>
      <c r="K53" s="517">
        <f>INDEX(FS_Q!53:53,MATCH("4Q"&amp;RIGHT(FS_Y!K$5,2),FS_Q!$5:$5,0))</f>
        <v/>
      </c>
      <c r="L53" s="517">
        <f>INDEX(FS_Q!53:53,MATCH("4Q"&amp;RIGHT(FS_Y!L$5,2),FS_Q!$5:$5,0))</f>
        <v/>
      </c>
      <c r="M53" s="517">
        <f>INDEX(FS_Q!53:53,MATCH("4Q"&amp;RIGHT(FS_Y!M$5,2),FS_Q!$5:$5,0))</f>
        <v/>
      </c>
      <c r="N53" s="517">
        <f>INDEX(FS_Q!53:53,MATCH("4Q"&amp;RIGHT(FS_Y!N$5,2),FS_Q!$5:$5,0))</f>
        <v/>
      </c>
      <c r="O53" s="517">
        <f>INDEX(FS_Q!53:53,MATCH("4Q"&amp;RIGHT(FS_Y!O$5,2),FS_Q!$5:$5,0))</f>
        <v/>
      </c>
      <c r="P53" s="517">
        <f>INDEX(FS_Q!53:53,MATCH("4Q"&amp;RIGHT(FS_Y!P$5,2),FS_Q!$5:$5,0))</f>
        <v/>
      </c>
      <c r="Q53" s="517">
        <f>INDEX(FS_Q!53:53,MATCH("4Q"&amp;RIGHT(FS_Y!Q$5,2),FS_Q!$5:$5,0))</f>
        <v/>
      </c>
      <c r="R53" s="517">
        <f>INDEX(FS_Q!53:53,MATCH("4Q"&amp;RIGHT(FS_Y!R$5,2),FS_Q!$5:$5,0))</f>
        <v/>
      </c>
      <c r="S53" s="517">
        <f>INDEX(FS_Q!53:53,MATCH("4Q"&amp;RIGHT(FS_Y!S$5,2),FS_Q!$5:$5,0))</f>
        <v/>
      </c>
      <c r="T53" s="517">
        <f>INDEX(FS_Q!53:53,MATCH("4Q"&amp;RIGHT(FS_Y!T$5,2),FS_Q!$5:$5,0))</f>
        <v/>
      </c>
      <c r="U53" s="517">
        <f>INDEX(FS_Q!53:53,MATCH("4Q"&amp;RIGHT(FS_Y!U$5,2),FS_Q!$5:$5,0))</f>
        <v/>
      </c>
      <c r="V53" s="517">
        <f>INDEX(FS_Q!53:53,MATCH("4Q"&amp;RIGHT(FS_Y!V$5,2),FS_Q!$5:$5,0))</f>
        <v/>
      </c>
      <c r="W53" s="517">
        <f>INDEX(FS_Q!53:53,MATCH("4Q"&amp;RIGHT(FS_Y!W$5,2),FS_Q!$5:$5,0))</f>
        <v/>
      </c>
      <c r="X53" s="148" t="n"/>
      <c r="Y53" s="148" t="n"/>
      <c r="Z53" s="148" t="n"/>
      <c r="AA53" s="148" t="n"/>
      <c r="AB53" s="148" t="n"/>
      <c r="AC53" s="148" t="n"/>
      <c r="AD53" s="148" t="n"/>
      <c r="AE53" s="148" t="n"/>
      <c r="AF53" s="148" t="n"/>
      <c r="AG53" s="148" t="n"/>
      <c r="AH53" s="148" t="n"/>
      <c r="AI53" s="148" t="n"/>
      <c r="AJ53" s="148" t="n"/>
      <c r="AK53" s="148" t="n"/>
      <c r="AL53" s="148" t="n"/>
      <c r="AM53" s="148" t="n"/>
      <c r="AN53" s="148" t="n"/>
      <c r="AO53" s="148" t="n"/>
      <c r="AP53" s="148" t="n"/>
      <c r="AQ53" s="148" t="n"/>
      <c r="AR53" s="148" t="n"/>
      <c r="AS53" s="148" t="n"/>
    </row>
    <row r="54">
      <c r="A54" s="74">
        <f>FS_Q!A54</f>
        <v/>
      </c>
      <c r="B54" s="143" t="n"/>
      <c r="C54" s="143" t="n"/>
      <c r="D54" s="143" t="n"/>
      <c r="E54" s="517">
        <f>INDEX(FS_Q!54:54,MATCH("4Q"&amp;RIGHT(FS_Y!E$5,2),FS_Q!$5:$5,0))</f>
        <v/>
      </c>
      <c r="F54" s="517">
        <f>INDEX(FS_Q!54:54,MATCH("4Q"&amp;RIGHT(FS_Y!F$5,2),FS_Q!$5:$5,0))</f>
        <v/>
      </c>
      <c r="G54" s="517">
        <f>INDEX(FS_Q!54:54,MATCH("4Q"&amp;RIGHT(FS_Y!G$5,2),FS_Q!$5:$5,0))</f>
        <v/>
      </c>
      <c r="H54" s="517">
        <f>INDEX(FS_Q!54:54,MATCH("4Q"&amp;RIGHT(FS_Y!H$5,2),FS_Q!$5:$5,0))</f>
        <v/>
      </c>
      <c r="I54" s="517">
        <f>INDEX(FS_Q!54:54,MATCH("4Q"&amp;RIGHT(FS_Y!I$5,2),FS_Q!$5:$5,0))</f>
        <v/>
      </c>
      <c r="J54" s="517">
        <f>INDEX(FS_Q!54:54,MATCH("4Q"&amp;RIGHT(FS_Y!J$5,2),FS_Q!$5:$5,0))</f>
        <v/>
      </c>
      <c r="K54" s="517">
        <f>INDEX(FS_Q!54:54,MATCH("4Q"&amp;RIGHT(FS_Y!K$5,2),FS_Q!$5:$5,0))</f>
        <v/>
      </c>
      <c r="L54" s="517">
        <f>INDEX(FS_Q!54:54,MATCH("4Q"&amp;RIGHT(FS_Y!L$5,2),FS_Q!$5:$5,0))</f>
        <v/>
      </c>
      <c r="M54" s="517">
        <f>INDEX(FS_Q!54:54,MATCH("4Q"&amp;RIGHT(FS_Y!M$5,2),FS_Q!$5:$5,0))</f>
        <v/>
      </c>
      <c r="N54" s="517">
        <f>INDEX(FS_Q!54:54,MATCH("4Q"&amp;RIGHT(FS_Y!N$5,2),FS_Q!$5:$5,0))</f>
        <v/>
      </c>
      <c r="O54" s="517">
        <f>INDEX(FS_Q!54:54,MATCH("4Q"&amp;RIGHT(FS_Y!O$5,2),FS_Q!$5:$5,0))</f>
        <v/>
      </c>
      <c r="P54" s="517">
        <f>INDEX(FS_Q!54:54,MATCH("4Q"&amp;RIGHT(FS_Y!P$5,2),FS_Q!$5:$5,0))</f>
        <v/>
      </c>
      <c r="Q54" s="517">
        <f>INDEX(FS_Q!54:54,MATCH("4Q"&amp;RIGHT(FS_Y!Q$5,2),FS_Q!$5:$5,0))</f>
        <v/>
      </c>
      <c r="R54" s="517">
        <f>INDEX(FS_Q!54:54,MATCH("4Q"&amp;RIGHT(FS_Y!R$5,2),FS_Q!$5:$5,0))</f>
        <v/>
      </c>
      <c r="S54" s="517">
        <f>INDEX(FS_Q!54:54,MATCH("4Q"&amp;RIGHT(FS_Y!S$5,2),FS_Q!$5:$5,0))</f>
        <v/>
      </c>
      <c r="T54" s="517">
        <f>INDEX(FS_Q!54:54,MATCH("4Q"&amp;RIGHT(FS_Y!T$5,2),FS_Q!$5:$5,0))</f>
        <v/>
      </c>
      <c r="U54" s="517">
        <f>INDEX(FS_Q!54:54,MATCH("4Q"&amp;RIGHT(FS_Y!U$5,2),FS_Q!$5:$5,0))</f>
        <v/>
      </c>
      <c r="V54" s="517">
        <f>INDEX(FS_Q!54:54,MATCH("4Q"&amp;RIGHT(FS_Y!V$5,2),FS_Q!$5:$5,0))</f>
        <v/>
      </c>
      <c r="W54" s="517">
        <f>INDEX(FS_Q!54:54,MATCH("4Q"&amp;RIGHT(FS_Y!W$5,2),FS_Q!$5:$5,0))</f>
        <v/>
      </c>
      <c r="X54" s="131" t="n"/>
      <c r="Y54" s="131" t="n"/>
      <c r="Z54" s="131" t="n"/>
      <c r="AA54" s="131" t="n"/>
      <c r="AB54" s="131" t="n"/>
      <c r="AC54" s="131" t="n"/>
      <c r="AD54" s="131" t="n"/>
      <c r="AE54" s="131" t="n"/>
      <c r="AF54" s="131" t="n"/>
      <c r="AG54" s="131" t="n"/>
      <c r="AH54" s="131" t="n"/>
      <c r="AI54" s="131" t="n"/>
      <c r="AJ54" s="131" t="n"/>
      <c r="AK54" s="131" t="n"/>
      <c r="AL54" s="131" t="n"/>
      <c r="AM54" s="131" t="n"/>
      <c r="AN54" s="131" t="n"/>
      <c r="AO54" s="131" t="n"/>
      <c r="AP54" s="131" t="n"/>
      <c r="AQ54" s="131" t="n"/>
      <c r="AR54" s="131" t="n"/>
      <c r="AS54" s="131" t="n"/>
    </row>
    <row r="55">
      <c r="A55" s="74">
        <f>FS_Q!A55</f>
        <v/>
      </c>
      <c r="B55" s="143" t="n"/>
      <c r="C55" s="143" t="n"/>
      <c r="D55" s="143" t="n"/>
      <c r="E55" s="517">
        <f>INDEX(FS_Q!55:55,MATCH("4Q"&amp;RIGHT(FS_Y!E$5,2),FS_Q!$5:$5,0))</f>
        <v/>
      </c>
      <c r="F55" s="517">
        <f>INDEX(FS_Q!55:55,MATCH("4Q"&amp;RIGHT(FS_Y!F$5,2),FS_Q!$5:$5,0))</f>
        <v/>
      </c>
      <c r="G55" s="517">
        <f>INDEX(FS_Q!55:55,MATCH("4Q"&amp;RIGHT(FS_Y!G$5,2),FS_Q!$5:$5,0))</f>
        <v/>
      </c>
      <c r="H55" s="517">
        <f>INDEX(FS_Q!55:55,MATCH("4Q"&amp;RIGHT(FS_Y!H$5,2),FS_Q!$5:$5,0))</f>
        <v/>
      </c>
      <c r="I55" s="517">
        <f>INDEX(FS_Q!55:55,MATCH("4Q"&amp;RIGHT(FS_Y!I$5,2),FS_Q!$5:$5,0))</f>
        <v/>
      </c>
      <c r="J55" s="517">
        <f>INDEX(FS_Q!55:55,MATCH("4Q"&amp;RIGHT(FS_Y!J$5,2),FS_Q!$5:$5,0))</f>
        <v/>
      </c>
      <c r="K55" s="517">
        <f>INDEX(FS_Q!55:55,MATCH("4Q"&amp;RIGHT(FS_Y!K$5,2),FS_Q!$5:$5,0))</f>
        <v/>
      </c>
      <c r="L55" s="517">
        <f>INDEX(FS_Q!55:55,MATCH("4Q"&amp;RIGHT(FS_Y!L$5,2),FS_Q!$5:$5,0))</f>
        <v/>
      </c>
      <c r="M55" s="517">
        <f>INDEX(FS_Q!55:55,MATCH("4Q"&amp;RIGHT(FS_Y!M$5,2),FS_Q!$5:$5,0))</f>
        <v/>
      </c>
      <c r="N55" s="517">
        <f>INDEX(FS_Q!55:55,MATCH("4Q"&amp;RIGHT(FS_Y!N$5,2),FS_Q!$5:$5,0))</f>
        <v/>
      </c>
      <c r="O55" s="517">
        <f>INDEX(FS_Q!55:55,MATCH("4Q"&amp;RIGHT(FS_Y!O$5,2),FS_Q!$5:$5,0))</f>
        <v/>
      </c>
      <c r="P55" s="517">
        <f>INDEX(FS_Q!55:55,MATCH("4Q"&amp;RIGHT(FS_Y!P$5,2),FS_Q!$5:$5,0))</f>
        <v/>
      </c>
      <c r="Q55" s="517">
        <f>INDEX(FS_Q!55:55,MATCH("4Q"&amp;RIGHT(FS_Y!Q$5,2),FS_Q!$5:$5,0))</f>
        <v/>
      </c>
      <c r="R55" s="517">
        <f>INDEX(FS_Q!55:55,MATCH("4Q"&amp;RIGHT(FS_Y!R$5,2),FS_Q!$5:$5,0))</f>
        <v/>
      </c>
      <c r="S55" s="517">
        <f>INDEX(FS_Q!55:55,MATCH("4Q"&amp;RIGHT(FS_Y!S$5,2),FS_Q!$5:$5,0))</f>
        <v/>
      </c>
      <c r="T55" s="517">
        <f>INDEX(FS_Q!55:55,MATCH("4Q"&amp;RIGHT(FS_Y!T$5,2),FS_Q!$5:$5,0))</f>
        <v/>
      </c>
      <c r="U55" s="517">
        <f>INDEX(FS_Q!55:55,MATCH("4Q"&amp;RIGHT(FS_Y!U$5,2),FS_Q!$5:$5,0))</f>
        <v/>
      </c>
      <c r="V55" s="517">
        <f>INDEX(FS_Q!55:55,MATCH("4Q"&amp;RIGHT(FS_Y!V$5,2),FS_Q!$5:$5,0))</f>
        <v/>
      </c>
      <c r="W55" s="517">
        <f>INDEX(FS_Q!55:55,MATCH("4Q"&amp;RIGHT(FS_Y!W$5,2),FS_Q!$5:$5,0))</f>
        <v/>
      </c>
      <c r="X55" s="190" t="n"/>
      <c r="Y55" s="190" t="n"/>
      <c r="Z55" s="190" t="n"/>
      <c r="AA55" s="190" t="n"/>
      <c r="AB55" s="190" t="n"/>
      <c r="AC55" s="190" t="n"/>
      <c r="AD55" s="190" t="n"/>
      <c r="AE55" s="190" t="n"/>
      <c r="AF55" s="190" t="n"/>
      <c r="AG55" s="190" t="n"/>
    </row>
    <row r="56">
      <c r="A56" s="22">
        <f>FS_Q!A56</f>
        <v/>
      </c>
      <c r="B56" s="143" t="n"/>
      <c r="C56" s="143" t="n"/>
      <c r="D56" s="143" t="n"/>
      <c r="E56" s="519">
        <f>INDEX(FS_Q!56:56,MATCH("4Q"&amp;RIGHT(FS_Y!E$5,2),FS_Q!$5:$5,0))</f>
        <v/>
      </c>
      <c r="F56" s="519">
        <f>INDEX(FS_Q!56:56,MATCH("4Q"&amp;RIGHT(FS_Y!F$5,2),FS_Q!$5:$5,0))</f>
        <v/>
      </c>
      <c r="G56" s="519">
        <f>INDEX(FS_Q!56:56,MATCH("4Q"&amp;RIGHT(FS_Y!G$5,2),FS_Q!$5:$5,0))</f>
        <v/>
      </c>
      <c r="H56" s="519">
        <f>INDEX(FS_Q!56:56,MATCH("4Q"&amp;RIGHT(FS_Y!H$5,2),FS_Q!$5:$5,0))</f>
        <v/>
      </c>
      <c r="I56" s="519">
        <f>INDEX(FS_Q!56:56,MATCH("4Q"&amp;RIGHT(FS_Y!I$5,2),FS_Q!$5:$5,0))</f>
        <v/>
      </c>
      <c r="J56" s="519">
        <f>INDEX(FS_Q!56:56,MATCH("4Q"&amp;RIGHT(FS_Y!J$5,2),FS_Q!$5:$5,0))</f>
        <v/>
      </c>
      <c r="K56" s="519">
        <f>INDEX(FS_Q!56:56,MATCH("4Q"&amp;RIGHT(FS_Y!K$5,2),FS_Q!$5:$5,0))</f>
        <v/>
      </c>
      <c r="L56" s="519">
        <f>INDEX(FS_Q!56:56,MATCH("4Q"&amp;RIGHT(FS_Y!L$5,2),FS_Q!$5:$5,0))</f>
        <v/>
      </c>
      <c r="M56" s="519">
        <f>INDEX(FS_Q!56:56,MATCH("4Q"&amp;RIGHT(FS_Y!M$5,2),FS_Q!$5:$5,0))</f>
        <v/>
      </c>
      <c r="N56" s="519">
        <f>INDEX(FS_Q!56:56,MATCH("4Q"&amp;RIGHT(FS_Y!N$5,2),FS_Q!$5:$5,0))</f>
        <v/>
      </c>
      <c r="O56" s="519">
        <f>INDEX(FS_Q!56:56,MATCH("4Q"&amp;RIGHT(FS_Y!O$5,2),FS_Q!$5:$5,0))</f>
        <v/>
      </c>
      <c r="P56" s="519">
        <f>INDEX(FS_Q!56:56,MATCH("4Q"&amp;RIGHT(FS_Y!P$5,2),FS_Q!$5:$5,0))</f>
        <v/>
      </c>
      <c r="Q56" s="519">
        <f>INDEX(FS_Q!56:56,MATCH("4Q"&amp;RIGHT(FS_Y!Q$5,2),FS_Q!$5:$5,0))</f>
        <v/>
      </c>
      <c r="R56" s="519">
        <f>INDEX(FS_Q!56:56,MATCH("4Q"&amp;RIGHT(FS_Y!R$5,2),FS_Q!$5:$5,0))</f>
        <v/>
      </c>
      <c r="S56" s="519">
        <f>INDEX(FS_Q!56:56,MATCH("4Q"&amp;RIGHT(FS_Y!S$5,2),FS_Q!$5:$5,0))</f>
        <v/>
      </c>
      <c r="T56" s="519">
        <f>INDEX(FS_Q!56:56,MATCH("4Q"&amp;RIGHT(FS_Y!T$5,2),FS_Q!$5:$5,0))</f>
        <v/>
      </c>
      <c r="U56" s="519">
        <f>INDEX(FS_Q!56:56,MATCH("4Q"&amp;RIGHT(FS_Y!U$5,2),FS_Q!$5:$5,0))</f>
        <v/>
      </c>
      <c r="V56" s="519">
        <f>INDEX(FS_Q!56:56,MATCH("4Q"&amp;RIGHT(FS_Y!V$5,2),FS_Q!$5:$5,0))</f>
        <v/>
      </c>
      <c r="W56" s="519">
        <f>INDEX(FS_Q!56:56,MATCH("4Q"&amp;RIGHT(FS_Y!W$5,2),FS_Q!$5:$5,0))</f>
        <v/>
      </c>
      <c r="X56" s="190" t="n"/>
      <c r="Y56" s="190" t="n"/>
      <c r="Z56" s="190" t="n"/>
      <c r="AA56" s="190" t="n"/>
      <c r="AB56" s="190" t="n"/>
      <c r="AC56" s="190" t="n"/>
      <c r="AD56" s="190" t="n"/>
      <c r="AE56" s="190" t="n"/>
      <c r="AF56" s="190" t="n"/>
      <c r="AG56" s="190" t="n"/>
    </row>
    <row r="57">
      <c r="A57" s="455" t="n"/>
      <c r="B57" s="143" t="n"/>
      <c r="C57" s="143" t="n"/>
      <c r="D57" s="143" t="n"/>
      <c r="X57" s="356" t="n"/>
      <c r="Y57" s="356" t="n"/>
      <c r="Z57" s="356" t="n"/>
      <c r="AA57" s="356" t="n"/>
      <c r="AB57" s="356" t="n"/>
      <c r="AC57" s="356" t="n"/>
      <c r="AD57" s="356" t="n"/>
      <c r="AE57" s="356" t="n"/>
      <c r="AF57" s="356" t="n"/>
      <c r="AG57" s="356" t="n"/>
    </row>
    <row r="58">
      <c r="A58" s="74">
        <f>FS_Q!A58</f>
        <v/>
      </c>
      <c r="B58" s="147" t="n"/>
      <c r="C58" s="147" t="n"/>
      <c r="D58" s="147" t="n"/>
      <c r="E58" s="517">
        <f>INDEX(FS_Q!58:58,MATCH("4Q"&amp;RIGHT(FS_Y!E$5,2),FS_Q!$5:$5,0))</f>
        <v/>
      </c>
      <c r="F58" s="517">
        <f>INDEX(FS_Q!58:58,MATCH("4Q"&amp;RIGHT(FS_Y!F$5,2),FS_Q!$5:$5,0))</f>
        <v/>
      </c>
      <c r="G58" s="517">
        <f>INDEX(FS_Q!58:58,MATCH("4Q"&amp;RIGHT(FS_Y!G$5,2),FS_Q!$5:$5,0))</f>
        <v/>
      </c>
      <c r="H58" s="517">
        <f>INDEX(FS_Q!58:58,MATCH("4Q"&amp;RIGHT(FS_Y!H$5,2),FS_Q!$5:$5,0))</f>
        <v/>
      </c>
      <c r="I58" s="517">
        <f>INDEX(FS_Q!58:58,MATCH("4Q"&amp;RIGHT(FS_Y!I$5,2),FS_Q!$5:$5,0))</f>
        <v/>
      </c>
      <c r="J58" s="517">
        <f>INDEX(FS_Q!58:58,MATCH("4Q"&amp;RIGHT(FS_Y!J$5,2),FS_Q!$5:$5,0))</f>
        <v/>
      </c>
      <c r="K58" s="517">
        <f>INDEX(FS_Q!58:58,MATCH("4Q"&amp;RIGHT(FS_Y!K$5,2),FS_Q!$5:$5,0))</f>
        <v/>
      </c>
      <c r="L58" s="517">
        <f>INDEX(FS_Q!58:58,MATCH("4Q"&amp;RIGHT(FS_Y!L$5,2),FS_Q!$5:$5,0))</f>
        <v/>
      </c>
      <c r="M58" s="517">
        <f>INDEX(FS_Q!58:58,MATCH("4Q"&amp;RIGHT(FS_Y!M$5,2),FS_Q!$5:$5,0))</f>
        <v/>
      </c>
      <c r="N58" s="517">
        <f>INDEX(FS_Q!58:58,MATCH("4Q"&amp;RIGHT(FS_Y!N$5,2),FS_Q!$5:$5,0))</f>
        <v/>
      </c>
      <c r="O58" s="517">
        <f>INDEX(FS_Q!58:58,MATCH("4Q"&amp;RIGHT(FS_Y!O$5,2),FS_Q!$5:$5,0))</f>
        <v/>
      </c>
      <c r="P58" s="517">
        <f>INDEX(FS_Q!58:58,MATCH("4Q"&amp;RIGHT(FS_Y!P$5,2),FS_Q!$5:$5,0))</f>
        <v/>
      </c>
      <c r="Q58" s="517">
        <f>INDEX(FS_Q!58:58,MATCH("4Q"&amp;RIGHT(FS_Y!Q$5,2),FS_Q!$5:$5,0))</f>
        <v/>
      </c>
      <c r="R58" s="517">
        <f>INDEX(FS_Q!58:58,MATCH("4Q"&amp;RIGHT(FS_Y!R$5,2),FS_Q!$5:$5,0))</f>
        <v/>
      </c>
      <c r="S58" s="517">
        <f>INDEX(FS_Q!58:58,MATCH("4Q"&amp;RIGHT(FS_Y!S$5,2),FS_Q!$5:$5,0))</f>
        <v/>
      </c>
      <c r="T58" s="517">
        <f>INDEX(FS_Q!58:58,MATCH("4Q"&amp;RIGHT(FS_Y!T$5,2),FS_Q!$5:$5,0))</f>
        <v/>
      </c>
      <c r="U58" s="517">
        <f>INDEX(FS_Q!58:58,MATCH("4Q"&amp;RIGHT(FS_Y!U$5,2),FS_Q!$5:$5,0))</f>
        <v/>
      </c>
      <c r="V58" s="517">
        <f>INDEX(FS_Q!58:58,MATCH("4Q"&amp;RIGHT(FS_Y!V$5,2),FS_Q!$5:$5,0))</f>
        <v/>
      </c>
      <c r="W58" s="517">
        <f>INDEX(FS_Q!58:58,MATCH("4Q"&amp;RIGHT(FS_Y!W$5,2),FS_Q!$5:$5,0))</f>
        <v/>
      </c>
      <c r="X58" s="356" t="n"/>
      <c r="Y58" s="356" t="n"/>
      <c r="Z58" s="356" t="n"/>
      <c r="AA58" s="356" t="n"/>
      <c r="AB58" s="356" t="n"/>
      <c r="AC58" s="356" t="n"/>
      <c r="AD58" s="356" t="n"/>
      <c r="AE58" s="356" t="n"/>
      <c r="AF58" s="356" t="n"/>
      <c r="AG58" s="356" t="n"/>
    </row>
    <row r="59" customFormat="1" s="281">
      <c r="A59" s="74">
        <f>FS_Q!A59</f>
        <v/>
      </c>
      <c r="B59" s="382" t="n"/>
      <c r="C59" s="382" t="n"/>
      <c r="D59" s="382" t="n"/>
      <c r="E59" s="517">
        <f>INDEX(FS_Q!59:59,MATCH("4Q"&amp;RIGHT(FS_Y!E$5,2),FS_Q!$5:$5,0))</f>
        <v/>
      </c>
      <c r="F59" s="517">
        <f>INDEX(FS_Q!59:59,MATCH("4Q"&amp;RIGHT(FS_Y!F$5,2),FS_Q!$5:$5,0))</f>
        <v/>
      </c>
      <c r="G59" s="517">
        <f>INDEX(FS_Q!59:59,MATCH("4Q"&amp;RIGHT(FS_Y!G$5,2),FS_Q!$5:$5,0))</f>
        <v/>
      </c>
      <c r="H59" s="517">
        <f>INDEX(FS_Q!59:59,MATCH("4Q"&amp;RIGHT(FS_Y!H$5,2),FS_Q!$5:$5,0))</f>
        <v/>
      </c>
      <c r="I59" s="517">
        <f>INDEX(FS_Q!59:59,MATCH("4Q"&amp;RIGHT(FS_Y!I$5,2),FS_Q!$5:$5,0))</f>
        <v/>
      </c>
      <c r="J59" s="517">
        <f>INDEX(FS_Q!59:59,MATCH("4Q"&amp;RIGHT(FS_Y!J$5,2),FS_Q!$5:$5,0))</f>
        <v/>
      </c>
      <c r="K59" s="517">
        <f>INDEX(FS_Q!59:59,MATCH("4Q"&amp;RIGHT(FS_Y!K$5,2),FS_Q!$5:$5,0))</f>
        <v/>
      </c>
      <c r="L59" s="517">
        <f>INDEX(FS_Q!59:59,MATCH("4Q"&amp;RIGHT(FS_Y!L$5,2),FS_Q!$5:$5,0))</f>
        <v/>
      </c>
      <c r="M59" s="517">
        <f>INDEX(FS_Q!59:59,MATCH("4Q"&amp;RIGHT(FS_Y!M$5,2),FS_Q!$5:$5,0))</f>
        <v/>
      </c>
      <c r="N59" s="517">
        <f>INDEX(FS_Q!59:59,MATCH("4Q"&amp;RIGHT(FS_Y!N$5,2),FS_Q!$5:$5,0))</f>
        <v/>
      </c>
      <c r="O59" s="517">
        <f>INDEX(FS_Q!59:59,MATCH("4Q"&amp;RIGHT(FS_Y!O$5,2),FS_Q!$5:$5,0))</f>
        <v/>
      </c>
      <c r="P59" s="517">
        <f>INDEX(FS_Q!59:59,MATCH("4Q"&amp;RIGHT(FS_Y!P$5,2),FS_Q!$5:$5,0))</f>
        <v/>
      </c>
      <c r="Q59" s="517">
        <f>INDEX(FS_Q!59:59,MATCH("4Q"&amp;RIGHT(FS_Y!Q$5,2),FS_Q!$5:$5,0))</f>
        <v/>
      </c>
      <c r="R59" s="517">
        <f>INDEX(FS_Q!59:59,MATCH("4Q"&amp;RIGHT(FS_Y!R$5,2),FS_Q!$5:$5,0))</f>
        <v/>
      </c>
      <c r="S59" s="517">
        <f>INDEX(FS_Q!59:59,MATCH("4Q"&amp;RIGHT(FS_Y!S$5,2),FS_Q!$5:$5,0))</f>
        <v/>
      </c>
      <c r="T59" s="517">
        <f>INDEX(FS_Q!59:59,MATCH("4Q"&amp;RIGHT(FS_Y!T$5,2),FS_Q!$5:$5,0))</f>
        <v/>
      </c>
      <c r="U59" s="517">
        <f>INDEX(FS_Q!59:59,MATCH("4Q"&amp;RIGHT(FS_Y!U$5,2),FS_Q!$5:$5,0))</f>
        <v/>
      </c>
      <c r="V59" s="517">
        <f>INDEX(FS_Q!59:59,MATCH("4Q"&amp;RIGHT(FS_Y!V$5,2),FS_Q!$5:$5,0))</f>
        <v/>
      </c>
      <c r="W59" s="517">
        <f>INDEX(FS_Q!59:59,MATCH("4Q"&amp;RIGHT(FS_Y!W$5,2),FS_Q!$5:$5,0))</f>
        <v/>
      </c>
      <c r="X59" s="398" t="n"/>
      <c r="Y59" s="398" t="n"/>
      <c r="Z59" s="398" t="n"/>
      <c r="AA59" s="398" t="n"/>
      <c r="AB59" s="398" t="n"/>
      <c r="AC59" s="398" t="n"/>
      <c r="AD59" s="398" t="n"/>
      <c r="AE59" s="398" t="n"/>
      <c r="AF59" s="398" t="n"/>
      <c r="AG59" s="398" t="n"/>
    </row>
    <row r="60">
      <c r="A60" s="74">
        <f>FS_Q!A60</f>
        <v/>
      </c>
      <c r="B60" s="147" t="n"/>
      <c r="C60" s="147" t="n"/>
      <c r="D60" s="147" t="n"/>
      <c r="E60" s="517">
        <f>INDEX(FS_Q!60:60,MATCH("4Q"&amp;RIGHT(FS_Y!E$5,2),FS_Q!$5:$5,0))</f>
        <v/>
      </c>
      <c r="F60" s="517">
        <f>INDEX(FS_Q!60:60,MATCH("4Q"&amp;RIGHT(FS_Y!F$5,2),FS_Q!$5:$5,0))</f>
        <v/>
      </c>
      <c r="G60" s="517">
        <f>INDEX(FS_Q!60:60,MATCH("4Q"&amp;RIGHT(FS_Y!G$5,2),FS_Q!$5:$5,0))</f>
        <v/>
      </c>
      <c r="H60" s="517">
        <f>INDEX(FS_Q!60:60,MATCH("4Q"&amp;RIGHT(FS_Y!H$5,2),FS_Q!$5:$5,0))</f>
        <v/>
      </c>
      <c r="I60" s="517">
        <f>INDEX(FS_Q!60:60,MATCH("4Q"&amp;RIGHT(FS_Y!I$5,2),FS_Q!$5:$5,0))</f>
        <v/>
      </c>
      <c r="J60" s="517">
        <f>INDEX(FS_Q!60:60,MATCH("4Q"&amp;RIGHT(FS_Y!J$5,2),FS_Q!$5:$5,0))</f>
        <v/>
      </c>
      <c r="K60" s="517">
        <f>INDEX(FS_Q!60:60,MATCH("4Q"&amp;RIGHT(FS_Y!K$5,2),FS_Q!$5:$5,0))</f>
        <v/>
      </c>
      <c r="L60" s="517">
        <f>INDEX(FS_Q!60:60,MATCH("4Q"&amp;RIGHT(FS_Y!L$5,2),FS_Q!$5:$5,0))</f>
        <v/>
      </c>
      <c r="M60" s="517">
        <f>INDEX(FS_Q!60:60,MATCH("4Q"&amp;RIGHT(FS_Y!M$5,2),FS_Q!$5:$5,0))</f>
        <v/>
      </c>
      <c r="N60" s="517">
        <f>INDEX(FS_Q!60:60,MATCH("4Q"&amp;RIGHT(FS_Y!N$5,2),FS_Q!$5:$5,0))</f>
        <v/>
      </c>
      <c r="O60" s="517">
        <f>INDEX(FS_Q!60:60,MATCH("4Q"&amp;RIGHT(FS_Y!O$5,2),FS_Q!$5:$5,0))</f>
        <v/>
      </c>
      <c r="P60" s="517">
        <f>INDEX(FS_Q!60:60,MATCH("4Q"&amp;RIGHT(FS_Y!P$5,2),FS_Q!$5:$5,0))</f>
        <v/>
      </c>
      <c r="Q60" s="517">
        <f>INDEX(FS_Q!60:60,MATCH("4Q"&amp;RIGHT(FS_Y!Q$5,2),FS_Q!$5:$5,0))</f>
        <v/>
      </c>
      <c r="R60" s="517">
        <f>INDEX(FS_Q!60:60,MATCH("4Q"&amp;RIGHT(FS_Y!R$5,2),FS_Q!$5:$5,0))</f>
        <v/>
      </c>
      <c r="S60" s="517">
        <f>INDEX(FS_Q!60:60,MATCH("4Q"&amp;RIGHT(FS_Y!S$5,2),FS_Q!$5:$5,0))</f>
        <v/>
      </c>
      <c r="T60" s="517">
        <f>INDEX(FS_Q!60:60,MATCH("4Q"&amp;RIGHT(FS_Y!T$5,2),FS_Q!$5:$5,0))</f>
        <v/>
      </c>
      <c r="U60" s="517">
        <f>INDEX(FS_Q!60:60,MATCH("4Q"&amp;RIGHT(FS_Y!U$5,2),FS_Q!$5:$5,0))</f>
        <v/>
      </c>
      <c r="V60" s="517">
        <f>INDEX(FS_Q!60:60,MATCH("4Q"&amp;RIGHT(FS_Y!V$5,2),FS_Q!$5:$5,0))</f>
        <v/>
      </c>
      <c r="W60" s="517">
        <f>INDEX(FS_Q!60:60,MATCH("4Q"&amp;RIGHT(FS_Y!W$5,2),FS_Q!$5:$5,0))</f>
        <v/>
      </c>
      <c r="X60" s="148" t="n"/>
      <c r="Y60" s="148" t="n"/>
      <c r="Z60" s="148" t="n"/>
      <c r="AA60" s="148" t="n"/>
      <c r="AB60" s="148" t="n"/>
      <c r="AC60" s="148" t="n"/>
      <c r="AD60" s="148" t="n"/>
      <c r="AE60" s="148" t="n"/>
      <c r="AF60" s="148" t="n"/>
      <c r="AG60" s="148" t="n"/>
      <c r="AH60" s="148" t="n"/>
      <c r="AI60" s="148" t="n"/>
      <c r="AJ60" s="148" t="n"/>
      <c r="AK60" s="148" t="n"/>
      <c r="AL60" s="148" t="n"/>
      <c r="AM60" s="148" t="n"/>
      <c r="AN60" s="148" t="n"/>
      <c r="AO60" s="148" t="n"/>
      <c r="AP60" s="148" t="n"/>
      <c r="AQ60" s="148" t="n"/>
      <c r="AR60" s="148" t="n"/>
      <c r="AS60" s="148" t="n"/>
    </row>
    <row r="61" customFormat="1" s="281">
      <c r="A61" s="74">
        <f>FS_Q!A61</f>
        <v/>
      </c>
      <c r="B61" s="382" t="n"/>
      <c r="C61" s="382" t="n"/>
      <c r="D61" s="382" t="n"/>
      <c r="E61" s="517">
        <f>INDEX(FS_Q!61:61,MATCH("4Q"&amp;RIGHT(FS_Y!E$5,2),FS_Q!$5:$5,0))</f>
        <v/>
      </c>
      <c r="F61" s="517">
        <f>INDEX(FS_Q!61:61,MATCH("4Q"&amp;RIGHT(FS_Y!F$5,2),FS_Q!$5:$5,0))</f>
        <v/>
      </c>
      <c r="G61" s="517">
        <f>INDEX(FS_Q!61:61,MATCH("4Q"&amp;RIGHT(FS_Y!G$5,2),FS_Q!$5:$5,0))</f>
        <v/>
      </c>
      <c r="H61" s="517">
        <f>INDEX(FS_Q!61:61,MATCH("4Q"&amp;RIGHT(FS_Y!H$5,2),FS_Q!$5:$5,0))</f>
        <v/>
      </c>
      <c r="I61" s="517">
        <f>INDEX(FS_Q!61:61,MATCH("4Q"&amp;RIGHT(FS_Y!I$5,2),FS_Q!$5:$5,0))</f>
        <v/>
      </c>
      <c r="J61" s="517">
        <f>INDEX(FS_Q!61:61,MATCH("4Q"&amp;RIGHT(FS_Y!J$5,2),FS_Q!$5:$5,0))</f>
        <v/>
      </c>
      <c r="K61" s="517">
        <f>INDEX(FS_Q!61:61,MATCH("4Q"&amp;RIGHT(FS_Y!K$5,2),FS_Q!$5:$5,0))</f>
        <v/>
      </c>
      <c r="L61" s="517">
        <f>INDEX(FS_Q!61:61,MATCH("4Q"&amp;RIGHT(FS_Y!L$5,2),FS_Q!$5:$5,0))</f>
        <v/>
      </c>
      <c r="M61" s="517">
        <f>INDEX(FS_Q!61:61,MATCH("4Q"&amp;RIGHT(FS_Y!M$5,2),FS_Q!$5:$5,0))</f>
        <v/>
      </c>
      <c r="N61" s="517">
        <f>INDEX(FS_Q!61:61,MATCH("4Q"&amp;RIGHT(FS_Y!N$5,2),FS_Q!$5:$5,0))</f>
        <v/>
      </c>
      <c r="O61" s="517">
        <f>INDEX(FS_Q!61:61,MATCH("4Q"&amp;RIGHT(FS_Y!O$5,2),FS_Q!$5:$5,0))</f>
        <v/>
      </c>
      <c r="P61" s="517">
        <f>INDEX(FS_Q!61:61,MATCH("4Q"&amp;RIGHT(FS_Y!P$5,2),FS_Q!$5:$5,0))</f>
        <v/>
      </c>
      <c r="Q61" s="517">
        <f>INDEX(FS_Q!61:61,MATCH("4Q"&amp;RIGHT(FS_Y!Q$5,2),FS_Q!$5:$5,0))</f>
        <v/>
      </c>
      <c r="R61" s="517">
        <f>INDEX(FS_Q!61:61,MATCH("4Q"&amp;RIGHT(FS_Y!R$5,2),FS_Q!$5:$5,0))</f>
        <v/>
      </c>
      <c r="S61" s="517">
        <f>INDEX(FS_Q!61:61,MATCH("4Q"&amp;RIGHT(FS_Y!S$5,2),FS_Q!$5:$5,0))</f>
        <v/>
      </c>
      <c r="T61" s="517">
        <f>INDEX(FS_Q!61:61,MATCH("4Q"&amp;RIGHT(FS_Y!T$5,2),FS_Q!$5:$5,0))</f>
        <v/>
      </c>
      <c r="U61" s="517">
        <f>INDEX(FS_Q!61:61,MATCH("4Q"&amp;RIGHT(FS_Y!U$5,2),FS_Q!$5:$5,0))</f>
        <v/>
      </c>
      <c r="V61" s="517">
        <f>INDEX(FS_Q!61:61,MATCH("4Q"&amp;RIGHT(FS_Y!V$5,2),FS_Q!$5:$5,0))</f>
        <v/>
      </c>
      <c r="W61" s="517">
        <f>INDEX(FS_Q!61:61,MATCH("4Q"&amp;RIGHT(FS_Y!W$5,2),FS_Q!$5:$5,0))</f>
        <v/>
      </c>
      <c r="X61" s="382" t="n"/>
      <c r="Y61" s="382" t="n"/>
      <c r="Z61" s="382" t="n"/>
      <c r="AA61" s="382" t="n"/>
      <c r="AB61" s="382" t="n"/>
      <c r="AC61" s="382" t="n"/>
      <c r="AD61" s="382" t="n"/>
      <c r="AE61" s="382" t="n"/>
      <c r="AF61" s="382" t="n"/>
      <c r="AG61" s="382" t="n"/>
      <c r="AH61" s="382" t="n"/>
      <c r="AI61" s="382" t="n"/>
      <c r="AJ61" s="382" t="n"/>
      <c r="AK61" s="382" t="n"/>
      <c r="AL61" s="382" t="n"/>
      <c r="AM61" s="382" t="n"/>
      <c r="AN61" s="382" t="n"/>
      <c r="AO61" s="382" t="n"/>
      <c r="AP61" s="382" t="n"/>
      <c r="AQ61" s="382" t="n"/>
      <c r="AR61" s="382" t="n"/>
      <c r="AS61" s="382" t="n"/>
    </row>
    <row r="62">
      <c r="A62" s="74">
        <f>FS_Q!A62</f>
        <v/>
      </c>
      <c r="B62" s="148" t="n"/>
      <c r="C62" s="148" t="n"/>
      <c r="D62" s="148" t="n"/>
      <c r="E62" s="517">
        <f>INDEX(FS_Q!62:62,MATCH("4Q"&amp;RIGHT(FS_Y!E$5,2),FS_Q!$5:$5,0))</f>
        <v/>
      </c>
      <c r="F62" s="517">
        <f>INDEX(FS_Q!62:62,MATCH("4Q"&amp;RIGHT(FS_Y!F$5,2),FS_Q!$5:$5,0))</f>
        <v/>
      </c>
      <c r="G62" s="517">
        <f>INDEX(FS_Q!62:62,MATCH("4Q"&amp;RIGHT(FS_Y!G$5,2),FS_Q!$5:$5,0))</f>
        <v/>
      </c>
      <c r="H62" s="517">
        <f>INDEX(FS_Q!62:62,MATCH("4Q"&amp;RIGHT(FS_Y!H$5,2),FS_Q!$5:$5,0))</f>
        <v/>
      </c>
      <c r="I62" s="517">
        <f>INDEX(FS_Q!62:62,MATCH("4Q"&amp;RIGHT(FS_Y!I$5,2),FS_Q!$5:$5,0))</f>
        <v/>
      </c>
      <c r="J62" s="517">
        <f>INDEX(FS_Q!62:62,MATCH("4Q"&amp;RIGHT(FS_Y!J$5,2),FS_Q!$5:$5,0))</f>
        <v/>
      </c>
      <c r="K62" s="517">
        <f>INDEX(FS_Q!62:62,MATCH("4Q"&amp;RIGHT(FS_Y!K$5,2),FS_Q!$5:$5,0))</f>
        <v/>
      </c>
      <c r="L62" s="517">
        <f>INDEX(FS_Q!62:62,MATCH("4Q"&amp;RIGHT(FS_Y!L$5,2),FS_Q!$5:$5,0))</f>
        <v/>
      </c>
      <c r="M62" s="517">
        <f>INDEX(FS_Q!62:62,MATCH("4Q"&amp;RIGHT(FS_Y!M$5,2),FS_Q!$5:$5,0))</f>
        <v/>
      </c>
      <c r="N62" s="517">
        <f>INDEX(FS_Q!62:62,MATCH("4Q"&amp;RIGHT(FS_Y!N$5,2),FS_Q!$5:$5,0))</f>
        <v/>
      </c>
      <c r="O62" s="517">
        <f>INDEX(FS_Q!62:62,MATCH("4Q"&amp;RIGHT(FS_Y!O$5,2),FS_Q!$5:$5,0))</f>
        <v/>
      </c>
      <c r="P62" s="517">
        <f>INDEX(FS_Q!62:62,MATCH("4Q"&amp;RIGHT(FS_Y!P$5,2),FS_Q!$5:$5,0))</f>
        <v/>
      </c>
      <c r="Q62" s="517">
        <f>INDEX(FS_Q!62:62,MATCH("4Q"&amp;RIGHT(FS_Y!Q$5,2),FS_Q!$5:$5,0))</f>
        <v/>
      </c>
      <c r="R62" s="517">
        <f>INDEX(FS_Q!62:62,MATCH("4Q"&amp;RIGHT(FS_Y!R$5,2),FS_Q!$5:$5,0))</f>
        <v/>
      </c>
      <c r="S62" s="517">
        <f>INDEX(FS_Q!62:62,MATCH("4Q"&amp;RIGHT(FS_Y!S$5,2),FS_Q!$5:$5,0))</f>
        <v/>
      </c>
      <c r="T62" s="517">
        <f>INDEX(FS_Q!62:62,MATCH("4Q"&amp;RIGHT(FS_Y!T$5,2),FS_Q!$5:$5,0))</f>
        <v/>
      </c>
      <c r="U62" s="517">
        <f>INDEX(FS_Q!62:62,MATCH("4Q"&amp;RIGHT(FS_Y!U$5,2),FS_Q!$5:$5,0))</f>
        <v/>
      </c>
      <c r="V62" s="517">
        <f>INDEX(FS_Q!62:62,MATCH("4Q"&amp;RIGHT(FS_Y!V$5,2),FS_Q!$5:$5,0))</f>
        <v/>
      </c>
      <c r="W62" s="517">
        <f>INDEX(FS_Q!62:62,MATCH("4Q"&amp;RIGHT(FS_Y!W$5,2),FS_Q!$5:$5,0))</f>
        <v/>
      </c>
      <c r="X62" s="148" t="n"/>
      <c r="Y62" s="148" t="n"/>
      <c r="Z62" s="148" t="n"/>
      <c r="AA62" s="148" t="n"/>
      <c r="AB62" s="148" t="n"/>
      <c r="AC62" s="148" t="n"/>
      <c r="AD62" s="148" t="n"/>
      <c r="AE62" s="148" t="n"/>
      <c r="AF62" s="148" t="n"/>
      <c r="AG62" s="148" t="n"/>
      <c r="AH62" s="148" t="n"/>
      <c r="AI62" s="148" t="n"/>
      <c r="AJ62" s="148" t="n"/>
      <c r="AK62" s="148" t="n"/>
      <c r="AL62" s="148" t="n"/>
      <c r="AM62" s="148" t="n"/>
      <c r="AN62" s="148" t="n"/>
      <c r="AO62" s="148" t="n"/>
      <c r="AP62" s="148" t="n"/>
      <c r="AQ62" s="148" t="n"/>
      <c r="AR62" s="148" t="n"/>
      <c r="AS62" s="148" t="n"/>
    </row>
    <row r="63">
      <c r="A63" s="22">
        <f>FS_Q!A63</f>
        <v/>
      </c>
      <c r="B63" s="143" t="n"/>
      <c r="C63" s="143" t="n"/>
      <c r="D63" s="143" t="n"/>
      <c r="E63" s="519">
        <f>INDEX(FS_Q!63:63,MATCH("4Q"&amp;RIGHT(FS_Y!E$5,2),FS_Q!$5:$5,0))</f>
        <v/>
      </c>
      <c r="F63" s="519">
        <f>INDEX(FS_Q!63:63,MATCH("4Q"&amp;RIGHT(FS_Y!F$5,2),FS_Q!$5:$5,0))</f>
        <v/>
      </c>
      <c r="G63" s="519">
        <f>INDEX(FS_Q!63:63,MATCH("4Q"&amp;RIGHT(FS_Y!G$5,2),FS_Q!$5:$5,0))</f>
        <v/>
      </c>
      <c r="H63" s="519">
        <f>INDEX(FS_Q!63:63,MATCH("4Q"&amp;RIGHT(FS_Y!H$5,2),FS_Q!$5:$5,0))</f>
        <v/>
      </c>
      <c r="I63" s="519">
        <f>INDEX(FS_Q!63:63,MATCH("4Q"&amp;RIGHT(FS_Y!I$5,2),FS_Q!$5:$5,0))</f>
        <v/>
      </c>
      <c r="J63" s="519">
        <f>INDEX(FS_Q!63:63,MATCH("4Q"&amp;RIGHT(FS_Y!J$5,2),FS_Q!$5:$5,0))</f>
        <v/>
      </c>
      <c r="K63" s="519">
        <f>INDEX(FS_Q!63:63,MATCH("4Q"&amp;RIGHT(FS_Y!K$5,2),FS_Q!$5:$5,0))</f>
        <v/>
      </c>
      <c r="L63" s="519">
        <f>INDEX(FS_Q!63:63,MATCH("4Q"&amp;RIGHT(FS_Y!L$5,2),FS_Q!$5:$5,0))</f>
        <v/>
      </c>
      <c r="M63" s="519">
        <f>INDEX(FS_Q!63:63,MATCH("4Q"&amp;RIGHT(FS_Y!M$5,2),FS_Q!$5:$5,0))</f>
        <v/>
      </c>
      <c r="N63" s="519">
        <f>INDEX(FS_Q!63:63,MATCH("4Q"&amp;RIGHT(FS_Y!N$5,2),FS_Q!$5:$5,0))</f>
        <v/>
      </c>
      <c r="O63" s="519">
        <f>INDEX(FS_Q!63:63,MATCH("4Q"&amp;RIGHT(FS_Y!O$5,2),FS_Q!$5:$5,0))</f>
        <v/>
      </c>
      <c r="P63" s="519">
        <f>INDEX(FS_Q!63:63,MATCH("4Q"&amp;RIGHT(FS_Y!P$5,2),FS_Q!$5:$5,0))</f>
        <v/>
      </c>
      <c r="Q63" s="519">
        <f>INDEX(FS_Q!63:63,MATCH("4Q"&amp;RIGHT(FS_Y!Q$5,2),FS_Q!$5:$5,0))</f>
        <v/>
      </c>
      <c r="R63" s="519">
        <f>INDEX(FS_Q!63:63,MATCH("4Q"&amp;RIGHT(FS_Y!R$5,2),FS_Q!$5:$5,0))</f>
        <v/>
      </c>
      <c r="S63" s="519">
        <f>INDEX(FS_Q!63:63,MATCH("4Q"&amp;RIGHT(FS_Y!S$5,2),FS_Q!$5:$5,0))</f>
        <v/>
      </c>
      <c r="T63" s="519">
        <f>INDEX(FS_Q!63:63,MATCH("4Q"&amp;RIGHT(FS_Y!T$5,2),FS_Q!$5:$5,0))</f>
        <v/>
      </c>
      <c r="U63" s="519">
        <f>INDEX(FS_Q!63:63,MATCH("4Q"&amp;RIGHT(FS_Y!U$5,2),FS_Q!$5:$5,0))</f>
        <v/>
      </c>
      <c r="V63" s="519">
        <f>INDEX(FS_Q!63:63,MATCH("4Q"&amp;RIGHT(FS_Y!V$5,2),FS_Q!$5:$5,0))</f>
        <v/>
      </c>
      <c r="W63" s="519">
        <f>INDEX(FS_Q!63:63,MATCH("4Q"&amp;RIGHT(FS_Y!W$5,2),FS_Q!$5:$5,0))</f>
        <v/>
      </c>
      <c r="X63" s="148" t="n"/>
      <c r="Y63" s="148" t="n"/>
      <c r="Z63" s="148" t="n"/>
      <c r="AA63" s="148" t="n"/>
      <c r="AB63" s="148" t="n"/>
      <c r="AC63" s="148" t="n"/>
      <c r="AD63" s="148" t="n"/>
      <c r="AE63" s="148" t="n"/>
      <c r="AF63" s="148" t="n"/>
      <c r="AG63" s="148" t="n"/>
      <c r="AH63" s="148" t="n"/>
      <c r="AI63" s="148" t="n"/>
      <c r="AJ63" s="148" t="n"/>
      <c r="AK63" s="148" t="n"/>
      <c r="AL63" s="148" t="n"/>
      <c r="AM63" s="148" t="n"/>
      <c r="AN63" s="148" t="n"/>
      <c r="AO63" s="148" t="n"/>
      <c r="AP63" s="148" t="n"/>
      <c r="AQ63" s="148" t="n"/>
      <c r="AR63" s="148" t="n"/>
      <c r="AS63" s="148" t="n"/>
    </row>
    <row r="64">
      <c r="A64" s="74">
        <f>FS_Q!A64</f>
        <v/>
      </c>
      <c r="B64" s="143" t="n"/>
      <c r="C64" s="143" t="n"/>
      <c r="D64" s="143" t="n"/>
      <c r="E64" s="517">
        <f>INDEX(FS_Q!64:64,MATCH("4Q"&amp;RIGHT(FS_Y!E$5,2),FS_Q!$5:$5,0))</f>
        <v/>
      </c>
      <c r="F64" s="517">
        <f>INDEX(FS_Q!64:64,MATCH("4Q"&amp;RIGHT(FS_Y!F$5,2),FS_Q!$5:$5,0))</f>
        <v/>
      </c>
      <c r="G64" s="517">
        <f>INDEX(FS_Q!64:64,MATCH("4Q"&amp;RIGHT(FS_Y!G$5,2),FS_Q!$5:$5,0))</f>
        <v/>
      </c>
      <c r="H64" s="517">
        <f>INDEX(FS_Q!64:64,MATCH("4Q"&amp;RIGHT(FS_Y!H$5,2),FS_Q!$5:$5,0))</f>
        <v/>
      </c>
      <c r="I64" s="517">
        <f>INDEX(FS_Q!64:64,MATCH("4Q"&amp;RIGHT(FS_Y!I$5,2),FS_Q!$5:$5,0))</f>
        <v/>
      </c>
      <c r="J64" s="517">
        <f>INDEX(FS_Q!64:64,MATCH("4Q"&amp;RIGHT(FS_Y!J$5,2),FS_Q!$5:$5,0))</f>
        <v/>
      </c>
      <c r="K64" s="517">
        <f>INDEX(FS_Q!64:64,MATCH("4Q"&amp;RIGHT(FS_Y!K$5,2),FS_Q!$5:$5,0))</f>
        <v/>
      </c>
      <c r="L64" s="517">
        <f>INDEX(FS_Q!64:64,MATCH("4Q"&amp;RIGHT(FS_Y!L$5,2),FS_Q!$5:$5,0))</f>
        <v/>
      </c>
      <c r="M64" s="517">
        <f>INDEX(FS_Q!64:64,MATCH("4Q"&amp;RIGHT(FS_Y!M$5,2),FS_Q!$5:$5,0))</f>
        <v/>
      </c>
      <c r="N64" s="517">
        <f>INDEX(FS_Q!64:64,MATCH("4Q"&amp;RIGHT(FS_Y!N$5,2),FS_Q!$5:$5,0))</f>
        <v/>
      </c>
      <c r="O64" s="517">
        <f>INDEX(FS_Q!64:64,MATCH("4Q"&amp;RIGHT(FS_Y!O$5,2),FS_Q!$5:$5,0))</f>
        <v/>
      </c>
      <c r="P64" s="517">
        <f>INDEX(FS_Q!64:64,MATCH("4Q"&amp;RIGHT(FS_Y!P$5,2),FS_Q!$5:$5,0))</f>
        <v/>
      </c>
      <c r="Q64" s="517">
        <f>INDEX(FS_Q!64:64,MATCH("4Q"&amp;RIGHT(FS_Y!Q$5,2),FS_Q!$5:$5,0))</f>
        <v/>
      </c>
      <c r="R64" s="517">
        <f>INDEX(FS_Q!64:64,MATCH("4Q"&amp;RIGHT(FS_Y!R$5,2),FS_Q!$5:$5,0))</f>
        <v/>
      </c>
      <c r="S64" s="517">
        <f>INDEX(FS_Q!64:64,MATCH("4Q"&amp;RIGHT(FS_Y!S$5,2),FS_Q!$5:$5,0))</f>
        <v/>
      </c>
      <c r="T64" s="517">
        <f>INDEX(FS_Q!64:64,MATCH("4Q"&amp;RIGHT(FS_Y!T$5,2),FS_Q!$5:$5,0))</f>
        <v/>
      </c>
      <c r="U64" s="517">
        <f>INDEX(FS_Q!64:64,MATCH("4Q"&amp;RIGHT(FS_Y!U$5,2),FS_Q!$5:$5,0))</f>
        <v/>
      </c>
      <c r="V64" s="517">
        <f>INDEX(FS_Q!64:64,MATCH("4Q"&amp;RIGHT(FS_Y!V$5,2),FS_Q!$5:$5,0))</f>
        <v/>
      </c>
      <c r="W64" s="517">
        <f>INDEX(FS_Q!64:64,MATCH("4Q"&amp;RIGHT(FS_Y!W$5,2),FS_Q!$5:$5,0))</f>
        <v/>
      </c>
      <c r="X64" s="148" t="n"/>
      <c r="Y64" s="148" t="n"/>
      <c r="Z64" s="148" t="n"/>
      <c r="AA64" s="148" t="n"/>
      <c r="AB64" s="148" t="n"/>
      <c r="AC64" s="148" t="n"/>
      <c r="AD64" s="148" t="n"/>
      <c r="AE64" s="148" t="n"/>
      <c r="AF64" s="148" t="n"/>
      <c r="AG64" s="148" t="n"/>
      <c r="AH64" s="148" t="n"/>
      <c r="AI64" s="148" t="n"/>
      <c r="AJ64" s="148" t="n"/>
      <c r="AK64" s="148" t="n"/>
      <c r="AL64" s="148" t="n"/>
      <c r="AM64" s="148" t="n"/>
      <c r="AN64" s="148" t="n"/>
      <c r="AO64" s="148" t="n"/>
      <c r="AP64" s="148" t="n"/>
      <c r="AQ64" s="148" t="n"/>
      <c r="AR64" s="148" t="n"/>
      <c r="AS64" s="148" t="n"/>
    </row>
    <row r="65">
      <c r="A65" s="74">
        <f>FS_Q!A65</f>
        <v/>
      </c>
      <c r="B65" s="143" t="n"/>
      <c r="C65" s="143" t="n"/>
      <c r="D65" s="143" t="n"/>
      <c r="E65" s="517">
        <f>INDEX(FS_Q!65:65,MATCH("4Q"&amp;RIGHT(FS_Y!E$5,2),FS_Q!$5:$5,0))</f>
        <v/>
      </c>
      <c r="F65" s="517">
        <f>INDEX(FS_Q!65:65,MATCH("4Q"&amp;RIGHT(FS_Y!F$5,2),FS_Q!$5:$5,0))</f>
        <v/>
      </c>
      <c r="G65" s="517">
        <f>INDEX(FS_Q!65:65,MATCH("4Q"&amp;RIGHT(FS_Y!G$5,2),FS_Q!$5:$5,0))</f>
        <v/>
      </c>
      <c r="H65" s="517">
        <f>INDEX(FS_Q!65:65,MATCH("4Q"&amp;RIGHT(FS_Y!H$5,2),FS_Q!$5:$5,0))</f>
        <v/>
      </c>
      <c r="I65" s="517">
        <f>INDEX(FS_Q!65:65,MATCH("4Q"&amp;RIGHT(FS_Y!I$5,2),FS_Q!$5:$5,0))</f>
        <v/>
      </c>
      <c r="J65" s="517">
        <f>INDEX(FS_Q!65:65,MATCH("4Q"&amp;RIGHT(FS_Y!J$5,2),FS_Q!$5:$5,0))</f>
        <v/>
      </c>
      <c r="K65" s="517">
        <f>INDEX(FS_Q!65:65,MATCH("4Q"&amp;RIGHT(FS_Y!K$5,2),FS_Q!$5:$5,0))</f>
        <v/>
      </c>
      <c r="L65" s="517">
        <f>INDEX(FS_Q!65:65,MATCH("4Q"&amp;RIGHT(FS_Y!L$5,2),FS_Q!$5:$5,0))</f>
        <v/>
      </c>
      <c r="M65" s="517">
        <f>INDEX(FS_Q!65:65,MATCH("4Q"&amp;RIGHT(FS_Y!M$5,2),FS_Q!$5:$5,0))</f>
        <v/>
      </c>
      <c r="N65" s="517">
        <f>INDEX(FS_Q!65:65,MATCH("4Q"&amp;RIGHT(FS_Y!N$5,2),FS_Q!$5:$5,0))</f>
        <v/>
      </c>
      <c r="O65" s="517">
        <f>INDEX(FS_Q!65:65,MATCH("4Q"&amp;RIGHT(FS_Y!O$5,2),FS_Q!$5:$5,0))</f>
        <v/>
      </c>
      <c r="P65" s="517">
        <f>INDEX(FS_Q!65:65,MATCH("4Q"&amp;RIGHT(FS_Y!P$5,2),FS_Q!$5:$5,0))</f>
        <v/>
      </c>
      <c r="Q65" s="517">
        <f>INDEX(FS_Q!65:65,MATCH("4Q"&amp;RIGHT(FS_Y!Q$5,2),FS_Q!$5:$5,0))</f>
        <v/>
      </c>
      <c r="R65" s="517">
        <f>INDEX(FS_Q!65:65,MATCH("4Q"&amp;RIGHT(FS_Y!R$5,2),FS_Q!$5:$5,0))</f>
        <v/>
      </c>
      <c r="S65" s="517">
        <f>INDEX(FS_Q!65:65,MATCH("4Q"&amp;RIGHT(FS_Y!S$5,2),FS_Q!$5:$5,0))</f>
        <v/>
      </c>
      <c r="T65" s="517">
        <f>INDEX(FS_Q!65:65,MATCH("4Q"&amp;RIGHT(FS_Y!T$5,2),FS_Q!$5:$5,0))</f>
        <v/>
      </c>
      <c r="U65" s="517">
        <f>INDEX(FS_Q!65:65,MATCH("4Q"&amp;RIGHT(FS_Y!U$5,2),FS_Q!$5:$5,0))</f>
        <v/>
      </c>
      <c r="V65" s="517">
        <f>INDEX(FS_Q!65:65,MATCH("4Q"&amp;RIGHT(FS_Y!V$5,2),FS_Q!$5:$5,0))</f>
        <v/>
      </c>
      <c r="W65" s="517">
        <f>INDEX(FS_Q!65:65,MATCH("4Q"&amp;RIGHT(FS_Y!W$5,2),FS_Q!$5:$5,0))</f>
        <v/>
      </c>
      <c r="X65" s="148" t="n"/>
      <c r="Y65" s="148" t="n"/>
      <c r="Z65" s="148" t="n"/>
      <c r="AA65" s="148" t="n"/>
      <c r="AB65" s="148" t="n"/>
      <c r="AC65" s="148" t="n"/>
      <c r="AD65" s="148" t="n"/>
      <c r="AE65" s="148" t="n"/>
      <c r="AF65" s="148" t="n"/>
      <c r="AG65" s="148" t="n"/>
      <c r="AH65" s="148" t="n"/>
      <c r="AI65" s="148" t="n"/>
      <c r="AJ65" s="148" t="n"/>
      <c r="AK65" s="148" t="n"/>
      <c r="AL65" s="148" t="n"/>
      <c r="AM65" s="148" t="n"/>
      <c r="AN65" s="148" t="n"/>
      <c r="AO65" s="148" t="n"/>
      <c r="AP65" s="148" t="n"/>
      <c r="AQ65" s="148" t="n"/>
      <c r="AR65" s="148" t="n"/>
      <c r="AS65" s="148" t="n"/>
    </row>
    <row r="66">
      <c r="A66" s="22">
        <f>FS_Q!A66</f>
        <v/>
      </c>
      <c r="B66" s="143" t="n"/>
      <c r="C66" s="143" t="n"/>
      <c r="D66" s="143" t="n"/>
      <c r="E66" s="517">
        <f>INDEX(FS_Q!66:66,MATCH("4Q"&amp;RIGHT(FS_Y!E$5,2),FS_Q!$5:$5,0))</f>
        <v/>
      </c>
      <c r="F66" s="517">
        <f>INDEX(FS_Q!66:66,MATCH("4Q"&amp;RIGHT(FS_Y!F$5,2),FS_Q!$5:$5,0))</f>
        <v/>
      </c>
      <c r="G66" s="517">
        <f>INDEX(FS_Q!66:66,MATCH("4Q"&amp;RIGHT(FS_Y!G$5,2),FS_Q!$5:$5,0))</f>
        <v/>
      </c>
      <c r="H66" s="517">
        <f>INDEX(FS_Q!66:66,MATCH("4Q"&amp;RIGHT(FS_Y!H$5,2),FS_Q!$5:$5,0))</f>
        <v/>
      </c>
      <c r="I66" s="517">
        <f>INDEX(FS_Q!66:66,MATCH("4Q"&amp;RIGHT(FS_Y!I$5,2),FS_Q!$5:$5,0))</f>
        <v/>
      </c>
      <c r="J66" s="517">
        <f>INDEX(FS_Q!66:66,MATCH("4Q"&amp;RIGHT(FS_Y!J$5,2),FS_Q!$5:$5,0))</f>
        <v/>
      </c>
      <c r="K66" s="517">
        <f>INDEX(FS_Q!66:66,MATCH("4Q"&amp;RIGHT(FS_Y!K$5,2),FS_Q!$5:$5,0))</f>
        <v/>
      </c>
      <c r="L66" s="517">
        <f>INDEX(FS_Q!66:66,MATCH("4Q"&amp;RIGHT(FS_Y!L$5,2),FS_Q!$5:$5,0))</f>
        <v/>
      </c>
      <c r="M66" s="517">
        <f>INDEX(FS_Q!66:66,MATCH("4Q"&amp;RIGHT(FS_Y!M$5,2),FS_Q!$5:$5,0))</f>
        <v/>
      </c>
      <c r="N66" s="517">
        <f>INDEX(FS_Q!66:66,MATCH("4Q"&amp;RIGHT(FS_Y!N$5,2),FS_Q!$5:$5,0))</f>
        <v/>
      </c>
      <c r="O66" s="517">
        <f>INDEX(FS_Q!66:66,MATCH("4Q"&amp;RIGHT(FS_Y!O$5,2),FS_Q!$5:$5,0))</f>
        <v/>
      </c>
      <c r="P66" s="517">
        <f>INDEX(FS_Q!66:66,MATCH("4Q"&amp;RIGHT(FS_Y!P$5,2),FS_Q!$5:$5,0))</f>
        <v/>
      </c>
      <c r="Q66" s="517">
        <f>INDEX(FS_Q!66:66,MATCH("4Q"&amp;RIGHT(FS_Y!Q$5,2),FS_Q!$5:$5,0))</f>
        <v/>
      </c>
      <c r="R66" s="517">
        <f>INDEX(FS_Q!66:66,MATCH("4Q"&amp;RIGHT(FS_Y!R$5,2),FS_Q!$5:$5,0))</f>
        <v/>
      </c>
      <c r="S66" s="517">
        <f>INDEX(FS_Q!66:66,MATCH("4Q"&amp;RIGHT(FS_Y!S$5,2),FS_Q!$5:$5,0))</f>
        <v/>
      </c>
      <c r="T66" s="517">
        <f>INDEX(FS_Q!66:66,MATCH("4Q"&amp;RIGHT(FS_Y!T$5,2),FS_Q!$5:$5,0))</f>
        <v/>
      </c>
      <c r="U66" s="517">
        <f>INDEX(FS_Q!66:66,MATCH("4Q"&amp;RIGHT(FS_Y!U$5,2),FS_Q!$5:$5,0))</f>
        <v/>
      </c>
      <c r="V66" s="517">
        <f>INDEX(FS_Q!66:66,MATCH("4Q"&amp;RIGHT(FS_Y!V$5,2),FS_Q!$5:$5,0))</f>
        <v/>
      </c>
      <c r="W66" s="517">
        <f>INDEX(FS_Q!66:66,MATCH("4Q"&amp;RIGHT(FS_Y!W$5,2),FS_Q!$5:$5,0))</f>
        <v/>
      </c>
      <c r="X66" s="148" t="n"/>
      <c r="Y66" s="148" t="n"/>
      <c r="Z66" s="148" t="n"/>
      <c r="AA66" s="148" t="n"/>
      <c r="AB66" s="148" t="n"/>
      <c r="AC66" s="148" t="n"/>
      <c r="AD66" s="148" t="n"/>
      <c r="AE66" s="148" t="n"/>
      <c r="AF66" s="148" t="n"/>
      <c r="AG66" s="148" t="n"/>
      <c r="AH66" s="148" t="n"/>
      <c r="AI66" s="148" t="n"/>
      <c r="AJ66" s="148" t="n"/>
      <c r="AK66" s="148" t="n"/>
      <c r="AL66" s="148" t="n"/>
      <c r="AM66" s="148" t="n"/>
      <c r="AN66" s="148" t="n"/>
      <c r="AO66" s="148" t="n"/>
      <c r="AP66" s="148" t="n"/>
      <c r="AQ66" s="148" t="n"/>
      <c r="AR66" s="148" t="n"/>
      <c r="AS66" s="148" t="n"/>
    </row>
    <row r="67">
      <c r="A67" s="22" t="n"/>
      <c r="B67" s="147" t="n"/>
      <c r="C67" s="147" t="n"/>
      <c r="D67" s="147" t="n"/>
      <c r="X67" s="148" t="n"/>
      <c r="Y67" s="148" t="n"/>
      <c r="Z67" s="148" t="n"/>
      <c r="AA67" s="148" t="n"/>
      <c r="AB67" s="148" t="n"/>
      <c r="AC67" s="148" t="n"/>
      <c r="AD67" s="148" t="n"/>
      <c r="AE67" s="148" t="n"/>
      <c r="AF67" s="148" t="n"/>
      <c r="AG67" s="148" t="n"/>
      <c r="AH67" s="148" t="n"/>
      <c r="AI67" s="148" t="n"/>
      <c r="AJ67" s="148" t="n"/>
      <c r="AK67" s="148" t="n"/>
      <c r="AL67" s="148" t="n"/>
      <c r="AM67" s="148" t="n"/>
      <c r="AN67" s="148" t="n"/>
      <c r="AO67" s="148" t="n"/>
      <c r="AP67" s="148" t="n"/>
      <c r="AQ67" s="148" t="n"/>
      <c r="AR67" s="148" t="n"/>
      <c r="AS67" s="148" t="n"/>
      <c r="AT67" s="227" t="n"/>
      <c r="AU67" s="227" t="n"/>
      <c r="AV67" s="227" t="n"/>
      <c r="AW67" s="227" t="n"/>
      <c r="AX67" s="227" t="n"/>
    </row>
    <row r="68" customFormat="1" s="283">
      <c r="A68" s="33">
        <f>FS_Q!A68</f>
        <v/>
      </c>
      <c r="B68" s="382" t="n"/>
      <c r="C68" s="382" t="n"/>
      <c r="D68" s="382" t="n"/>
      <c r="E68" s="517">
        <f>INDEX(FS_Q!68:68,MATCH("4Q"&amp;RIGHT(FS_Y!E$5,2),FS_Q!$5:$5,0))</f>
        <v/>
      </c>
      <c r="F68" s="517">
        <f>INDEX(FS_Q!68:68,MATCH("4Q"&amp;RIGHT(FS_Y!F$5,2),FS_Q!$5:$5,0))</f>
        <v/>
      </c>
      <c r="G68" s="517">
        <f>INDEX(FS_Q!68:68,MATCH("4Q"&amp;RIGHT(FS_Y!G$5,2),FS_Q!$5:$5,0))</f>
        <v/>
      </c>
      <c r="H68" s="517">
        <f>INDEX(FS_Q!68:68,MATCH("4Q"&amp;RIGHT(FS_Y!H$5,2),FS_Q!$5:$5,0))</f>
        <v/>
      </c>
      <c r="I68" s="517">
        <f>INDEX(FS_Q!68:68,MATCH("4Q"&amp;RIGHT(FS_Y!I$5,2),FS_Q!$5:$5,0))</f>
        <v/>
      </c>
      <c r="J68" s="517">
        <f>INDEX(FS_Q!68:68,MATCH("4Q"&amp;RIGHT(FS_Y!J$5,2),FS_Q!$5:$5,0))</f>
        <v/>
      </c>
      <c r="K68" s="517">
        <f>INDEX(FS_Q!68:68,MATCH("4Q"&amp;RIGHT(FS_Y!K$5,2),FS_Q!$5:$5,0))</f>
        <v/>
      </c>
      <c r="L68" s="517">
        <f>INDEX(FS_Q!68:68,MATCH("4Q"&amp;RIGHT(FS_Y!L$5,2),FS_Q!$5:$5,0))</f>
        <v/>
      </c>
      <c r="M68" s="517">
        <f>INDEX(FS_Q!68:68,MATCH("4Q"&amp;RIGHT(FS_Y!M$5,2),FS_Q!$5:$5,0))</f>
        <v/>
      </c>
      <c r="N68" s="517">
        <f>INDEX(FS_Q!68:68,MATCH("4Q"&amp;RIGHT(FS_Y!N$5,2),FS_Q!$5:$5,0))</f>
        <v/>
      </c>
      <c r="O68" s="517">
        <f>INDEX(FS_Q!68:68,MATCH("4Q"&amp;RIGHT(FS_Y!O$5,2),FS_Q!$5:$5,0))</f>
        <v/>
      </c>
      <c r="P68" s="517">
        <f>INDEX(FS_Q!68:68,MATCH("4Q"&amp;RIGHT(FS_Y!P$5,2),FS_Q!$5:$5,0))</f>
        <v/>
      </c>
      <c r="Q68" s="517">
        <f>INDEX(FS_Q!68:68,MATCH("4Q"&amp;RIGHT(FS_Y!Q$5,2),FS_Q!$5:$5,0))</f>
        <v/>
      </c>
      <c r="R68" s="517">
        <f>INDEX(FS_Q!68:68,MATCH("4Q"&amp;RIGHT(FS_Y!R$5,2),FS_Q!$5:$5,0))</f>
        <v/>
      </c>
      <c r="S68" s="517">
        <f>INDEX(FS_Q!68:68,MATCH("4Q"&amp;RIGHT(FS_Y!S$5,2),FS_Q!$5:$5,0))</f>
        <v/>
      </c>
      <c r="T68" s="517">
        <f>INDEX(FS_Q!68:68,MATCH("4Q"&amp;RIGHT(FS_Y!T$5,2),FS_Q!$5:$5,0))</f>
        <v/>
      </c>
      <c r="U68" s="517">
        <f>INDEX(FS_Q!68:68,MATCH("4Q"&amp;RIGHT(FS_Y!U$5,2),FS_Q!$5:$5,0))</f>
        <v/>
      </c>
      <c r="V68" s="517">
        <f>INDEX(FS_Q!68:68,MATCH("4Q"&amp;RIGHT(FS_Y!V$5,2),FS_Q!$5:$5,0))</f>
        <v/>
      </c>
      <c r="W68" s="517">
        <f>INDEX(FS_Q!68:68,MATCH("4Q"&amp;RIGHT(FS_Y!W$5,2),FS_Q!$5:$5,0))</f>
        <v/>
      </c>
      <c r="X68" s="382" t="n"/>
      <c r="Y68" s="382" t="n"/>
      <c r="Z68" s="382" t="n"/>
      <c r="AA68" s="382" t="n"/>
      <c r="AB68" s="382" t="n"/>
      <c r="AC68" s="382" t="n"/>
      <c r="AD68" s="382" t="n"/>
      <c r="AE68" s="382" t="n"/>
      <c r="AF68" s="382" t="n"/>
      <c r="AG68" s="382" t="n"/>
      <c r="AH68" s="382" t="n"/>
      <c r="AI68" s="382" t="n"/>
      <c r="AJ68" s="382" t="n"/>
      <c r="AK68" s="382" t="n"/>
      <c r="AL68" s="382" t="n"/>
      <c r="AM68" s="382" t="n"/>
      <c r="AN68" s="382" t="n"/>
      <c r="AO68" s="382" t="n"/>
      <c r="AP68" s="382" t="n"/>
      <c r="AQ68" s="382" t="n"/>
      <c r="AR68" s="382" t="n"/>
      <c r="AS68" s="382" t="n"/>
    </row>
    <row r="69">
      <c r="A69" s="33">
        <f>FS_Q!A69</f>
        <v/>
      </c>
      <c r="B69" s="148" t="n"/>
      <c r="C69" s="148" t="n"/>
      <c r="D69" s="148" t="n"/>
      <c r="E69" s="517">
        <f>INDEX(FS_Q!69:69,MATCH("4Q"&amp;RIGHT(FS_Y!E$5,2),FS_Q!$5:$5,0))</f>
        <v/>
      </c>
      <c r="F69" s="517">
        <f>INDEX(FS_Q!69:69,MATCH("4Q"&amp;RIGHT(FS_Y!F$5,2),FS_Q!$5:$5,0))</f>
        <v/>
      </c>
      <c r="G69" s="517">
        <f>INDEX(FS_Q!69:69,MATCH("4Q"&amp;RIGHT(FS_Y!G$5,2),FS_Q!$5:$5,0))</f>
        <v/>
      </c>
      <c r="H69" s="517">
        <f>INDEX(FS_Q!69:69,MATCH("4Q"&amp;RIGHT(FS_Y!H$5,2),FS_Q!$5:$5,0))</f>
        <v/>
      </c>
      <c r="I69" s="517">
        <f>INDEX(FS_Q!69:69,MATCH("4Q"&amp;RIGHT(FS_Y!I$5,2),FS_Q!$5:$5,0))</f>
        <v/>
      </c>
      <c r="J69" s="517">
        <f>INDEX(FS_Q!69:69,MATCH("4Q"&amp;RIGHT(FS_Y!J$5,2),FS_Q!$5:$5,0))</f>
        <v/>
      </c>
      <c r="K69" s="517">
        <f>INDEX(FS_Q!69:69,MATCH("4Q"&amp;RIGHT(FS_Y!K$5,2),FS_Q!$5:$5,0))</f>
        <v/>
      </c>
      <c r="L69" s="517">
        <f>INDEX(FS_Q!69:69,MATCH("4Q"&amp;RIGHT(FS_Y!L$5,2),FS_Q!$5:$5,0))</f>
        <v/>
      </c>
      <c r="M69" s="517">
        <f>INDEX(FS_Q!69:69,MATCH("4Q"&amp;RIGHT(FS_Y!M$5,2),FS_Q!$5:$5,0))</f>
        <v/>
      </c>
      <c r="N69" s="517">
        <f>INDEX(FS_Q!69:69,MATCH("4Q"&amp;RIGHT(FS_Y!N$5,2),FS_Q!$5:$5,0))</f>
        <v/>
      </c>
      <c r="O69" s="517">
        <f>INDEX(FS_Q!69:69,MATCH("4Q"&amp;RIGHT(FS_Y!O$5,2),FS_Q!$5:$5,0))</f>
        <v/>
      </c>
      <c r="P69" s="517">
        <f>INDEX(FS_Q!69:69,MATCH("4Q"&amp;RIGHT(FS_Y!P$5,2),FS_Q!$5:$5,0))</f>
        <v/>
      </c>
      <c r="Q69" s="517">
        <f>INDEX(FS_Q!69:69,MATCH("4Q"&amp;RIGHT(FS_Y!Q$5,2),FS_Q!$5:$5,0))</f>
        <v/>
      </c>
      <c r="R69" s="517">
        <f>INDEX(FS_Q!69:69,MATCH("4Q"&amp;RIGHT(FS_Y!R$5,2),FS_Q!$5:$5,0))</f>
        <v/>
      </c>
      <c r="S69" s="517">
        <f>INDEX(FS_Q!69:69,MATCH("4Q"&amp;RIGHT(FS_Y!S$5,2),FS_Q!$5:$5,0))</f>
        <v/>
      </c>
      <c r="T69" s="517">
        <f>INDEX(FS_Q!69:69,MATCH("4Q"&amp;RIGHT(FS_Y!T$5,2),FS_Q!$5:$5,0))</f>
        <v/>
      </c>
      <c r="U69" s="517">
        <f>INDEX(FS_Q!69:69,MATCH("4Q"&amp;RIGHT(FS_Y!U$5,2),FS_Q!$5:$5,0))</f>
        <v/>
      </c>
      <c r="V69" s="517">
        <f>INDEX(FS_Q!69:69,MATCH("4Q"&amp;RIGHT(FS_Y!V$5,2),FS_Q!$5:$5,0))</f>
        <v/>
      </c>
      <c r="W69" s="517">
        <f>INDEX(FS_Q!69:69,MATCH("4Q"&amp;RIGHT(FS_Y!W$5,2),FS_Q!$5:$5,0))</f>
        <v/>
      </c>
      <c r="X69" s="148" t="n"/>
      <c r="Y69" s="148" t="n"/>
      <c r="Z69" s="148" t="n"/>
      <c r="AA69" s="148" t="n"/>
      <c r="AB69" s="148" t="n"/>
      <c r="AC69" s="148" t="n"/>
      <c r="AD69" s="148" t="n"/>
      <c r="AE69" s="148" t="n"/>
      <c r="AF69" s="148" t="n"/>
      <c r="AG69" s="148" t="n"/>
      <c r="AH69" s="148" t="n"/>
      <c r="AI69" s="148" t="n"/>
      <c r="AJ69" s="148" t="n"/>
      <c r="AK69" s="148" t="n"/>
      <c r="AL69" s="148" t="n"/>
      <c r="AM69" s="148" t="n"/>
      <c r="AN69" s="148" t="n"/>
      <c r="AO69" s="148" t="n"/>
      <c r="AP69" s="148" t="n"/>
      <c r="AQ69" s="148" t="n"/>
      <c r="AR69" s="148" t="n"/>
      <c r="AS69" s="148" t="n"/>
    </row>
    <row r="70">
      <c r="A70" s="33">
        <f>FS_Q!A70</f>
        <v/>
      </c>
      <c r="B70" s="405" t="n"/>
      <c r="C70" s="405" t="n"/>
      <c r="D70" s="405" t="n"/>
      <c r="E70" s="517">
        <f>INDEX(FS_Q!70:70,MATCH("4Q"&amp;RIGHT(FS_Y!E$5,2),FS_Q!$5:$5,0))</f>
        <v/>
      </c>
      <c r="F70" s="517">
        <f>INDEX(FS_Q!70:70,MATCH("4Q"&amp;RIGHT(FS_Y!F$5,2),FS_Q!$5:$5,0))</f>
        <v/>
      </c>
      <c r="G70" s="517">
        <f>INDEX(FS_Q!70:70,MATCH("4Q"&amp;RIGHT(FS_Y!G$5,2),FS_Q!$5:$5,0))</f>
        <v/>
      </c>
      <c r="H70" s="517">
        <f>INDEX(FS_Q!70:70,MATCH("4Q"&amp;RIGHT(FS_Y!H$5,2),FS_Q!$5:$5,0))</f>
        <v/>
      </c>
      <c r="I70" s="517">
        <f>INDEX(FS_Q!70:70,MATCH("4Q"&amp;RIGHT(FS_Y!I$5,2),FS_Q!$5:$5,0))</f>
        <v/>
      </c>
      <c r="J70" s="517">
        <f>INDEX(FS_Q!70:70,MATCH("4Q"&amp;RIGHT(FS_Y!J$5,2),FS_Q!$5:$5,0))</f>
        <v/>
      </c>
      <c r="K70" s="517">
        <f>INDEX(FS_Q!70:70,MATCH("4Q"&amp;RIGHT(FS_Y!K$5,2),FS_Q!$5:$5,0))</f>
        <v/>
      </c>
      <c r="L70" s="517">
        <f>INDEX(FS_Q!70:70,MATCH("4Q"&amp;RIGHT(FS_Y!L$5,2),FS_Q!$5:$5,0))</f>
        <v/>
      </c>
      <c r="M70" s="517">
        <f>INDEX(FS_Q!70:70,MATCH("4Q"&amp;RIGHT(FS_Y!M$5,2),FS_Q!$5:$5,0))</f>
        <v/>
      </c>
      <c r="N70" s="517">
        <f>INDEX(FS_Q!70:70,MATCH("4Q"&amp;RIGHT(FS_Y!N$5,2),FS_Q!$5:$5,0))</f>
        <v/>
      </c>
      <c r="O70" s="517">
        <f>INDEX(FS_Q!70:70,MATCH("4Q"&amp;RIGHT(FS_Y!O$5,2),FS_Q!$5:$5,0))</f>
        <v/>
      </c>
      <c r="P70" s="517">
        <f>INDEX(FS_Q!70:70,MATCH("4Q"&amp;RIGHT(FS_Y!P$5,2),FS_Q!$5:$5,0))</f>
        <v/>
      </c>
      <c r="Q70" s="517">
        <f>INDEX(FS_Q!70:70,MATCH("4Q"&amp;RIGHT(FS_Y!Q$5,2),FS_Q!$5:$5,0))</f>
        <v/>
      </c>
      <c r="R70" s="517">
        <f>INDEX(FS_Q!70:70,MATCH("4Q"&amp;RIGHT(FS_Y!R$5,2),FS_Q!$5:$5,0))</f>
        <v/>
      </c>
      <c r="S70" s="517">
        <f>INDEX(FS_Q!70:70,MATCH("4Q"&amp;RIGHT(FS_Y!S$5,2),FS_Q!$5:$5,0))</f>
        <v/>
      </c>
      <c r="T70" s="517">
        <f>INDEX(FS_Q!70:70,MATCH("4Q"&amp;RIGHT(FS_Y!T$5,2),FS_Q!$5:$5,0))</f>
        <v/>
      </c>
      <c r="U70" s="517">
        <f>INDEX(FS_Q!70:70,MATCH("4Q"&amp;RIGHT(FS_Y!U$5,2),FS_Q!$5:$5,0))</f>
        <v/>
      </c>
      <c r="V70" s="517">
        <f>INDEX(FS_Q!70:70,MATCH("4Q"&amp;RIGHT(FS_Y!V$5,2),FS_Q!$5:$5,0))</f>
        <v/>
      </c>
      <c r="W70" s="517">
        <f>INDEX(FS_Q!70:70,MATCH("4Q"&amp;RIGHT(FS_Y!W$5,2),FS_Q!$5:$5,0))</f>
        <v/>
      </c>
      <c r="X70" s="148" t="n"/>
      <c r="Y70" s="148" t="n"/>
      <c r="Z70" s="148" t="n"/>
      <c r="AA70" s="148" t="n"/>
      <c r="AB70" s="148" t="n"/>
      <c r="AC70" s="148" t="n"/>
      <c r="AD70" s="148" t="n"/>
      <c r="AE70" s="148" t="n"/>
      <c r="AF70" s="148" t="n"/>
      <c r="AG70" s="148" t="n"/>
      <c r="AH70" s="148" t="n"/>
      <c r="AI70" s="148" t="n"/>
      <c r="AJ70" s="148" t="n"/>
      <c r="AK70" s="148" t="n"/>
      <c r="AL70" s="148" t="n"/>
      <c r="AM70" s="148" t="n"/>
      <c r="AN70" s="148" t="n"/>
      <c r="AO70" s="148" t="n"/>
      <c r="AP70" s="148" t="n"/>
      <c r="AQ70" s="148" t="n"/>
      <c r="AR70" s="148" t="n"/>
      <c r="AS70" s="148" t="n"/>
    </row>
    <row r="71" customFormat="1" s="396">
      <c r="A71" s="33">
        <f>FS_Q!A71</f>
        <v/>
      </c>
      <c r="E71" s="517">
        <f>INDEX(FS_Q!71:71,MATCH("4Q"&amp;RIGHT(FS_Y!E$5,2),FS_Q!$5:$5,0))</f>
        <v/>
      </c>
      <c r="F71" s="517">
        <f>INDEX(FS_Q!71:71,MATCH("4Q"&amp;RIGHT(FS_Y!F$5,2),FS_Q!$5:$5,0))</f>
        <v/>
      </c>
      <c r="G71" s="517">
        <f>INDEX(FS_Q!71:71,MATCH("4Q"&amp;RIGHT(FS_Y!G$5,2),FS_Q!$5:$5,0))</f>
        <v/>
      </c>
      <c r="H71" s="517">
        <f>INDEX(FS_Q!71:71,MATCH("4Q"&amp;RIGHT(FS_Y!H$5,2),FS_Q!$5:$5,0))</f>
        <v/>
      </c>
      <c r="I71" s="517">
        <f>INDEX(FS_Q!71:71,MATCH("4Q"&amp;RIGHT(FS_Y!I$5,2),FS_Q!$5:$5,0))</f>
        <v/>
      </c>
      <c r="J71" s="517">
        <f>INDEX(FS_Q!71:71,MATCH("4Q"&amp;RIGHT(FS_Y!J$5,2),FS_Q!$5:$5,0))</f>
        <v/>
      </c>
      <c r="K71" s="517">
        <f>INDEX(FS_Q!71:71,MATCH("4Q"&amp;RIGHT(FS_Y!K$5,2),FS_Q!$5:$5,0))</f>
        <v/>
      </c>
      <c r="L71" s="517">
        <f>INDEX(FS_Q!71:71,MATCH("4Q"&amp;RIGHT(FS_Y!L$5,2),FS_Q!$5:$5,0))</f>
        <v/>
      </c>
      <c r="M71" s="517">
        <f>INDEX(FS_Q!71:71,MATCH("4Q"&amp;RIGHT(FS_Y!M$5,2),FS_Q!$5:$5,0))</f>
        <v/>
      </c>
      <c r="N71" s="517">
        <f>INDEX(FS_Q!71:71,MATCH("4Q"&amp;RIGHT(FS_Y!N$5,2),FS_Q!$5:$5,0))</f>
        <v/>
      </c>
      <c r="O71" s="517">
        <f>INDEX(FS_Q!71:71,MATCH("4Q"&amp;RIGHT(FS_Y!O$5,2),FS_Q!$5:$5,0))</f>
        <v/>
      </c>
      <c r="P71" s="517">
        <f>INDEX(FS_Q!71:71,MATCH("4Q"&amp;RIGHT(FS_Y!P$5,2),FS_Q!$5:$5,0))</f>
        <v/>
      </c>
      <c r="Q71" s="517">
        <f>INDEX(FS_Q!71:71,MATCH("4Q"&amp;RIGHT(FS_Y!Q$5,2),FS_Q!$5:$5,0))</f>
        <v/>
      </c>
      <c r="R71" s="517">
        <f>INDEX(FS_Q!71:71,MATCH("4Q"&amp;RIGHT(FS_Y!R$5,2),FS_Q!$5:$5,0))</f>
        <v/>
      </c>
      <c r="S71" s="517">
        <f>INDEX(FS_Q!71:71,MATCH("4Q"&amp;RIGHT(FS_Y!S$5,2),FS_Q!$5:$5,0))</f>
        <v/>
      </c>
      <c r="T71" s="517">
        <f>INDEX(FS_Q!71:71,MATCH("4Q"&amp;RIGHT(FS_Y!T$5,2),FS_Q!$5:$5,0))</f>
        <v/>
      </c>
      <c r="U71" s="517">
        <f>INDEX(FS_Q!71:71,MATCH("4Q"&amp;RIGHT(FS_Y!U$5,2),FS_Q!$5:$5,0))</f>
        <v/>
      </c>
      <c r="V71" s="517">
        <f>INDEX(FS_Q!71:71,MATCH("4Q"&amp;RIGHT(FS_Y!V$5,2),FS_Q!$5:$5,0))</f>
        <v/>
      </c>
      <c r="W71" s="517">
        <f>INDEX(FS_Q!71:71,MATCH("4Q"&amp;RIGHT(FS_Y!W$5,2),FS_Q!$5:$5,0))</f>
        <v/>
      </c>
    </row>
    <row r="72">
      <c r="A72" s="33">
        <f>FS_Q!A72</f>
        <v/>
      </c>
      <c r="B72" s="147" t="n"/>
      <c r="C72" s="147" t="n"/>
      <c r="D72" s="147" t="n"/>
      <c r="E72" s="517">
        <f>INDEX(FS_Q!72:72,MATCH("4Q"&amp;RIGHT(FS_Y!E$5,2),FS_Q!$5:$5,0))</f>
        <v/>
      </c>
      <c r="F72" s="517">
        <f>INDEX(FS_Q!72:72,MATCH("4Q"&amp;RIGHT(FS_Y!F$5,2),FS_Q!$5:$5,0))</f>
        <v/>
      </c>
      <c r="G72" s="517">
        <f>INDEX(FS_Q!72:72,MATCH("4Q"&amp;RIGHT(FS_Y!G$5,2),FS_Q!$5:$5,0))</f>
        <v/>
      </c>
      <c r="H72" s="517">
        <f>INDEX(FS_Q!72:72,MATCH("4Q"&amp;RIGHT(FS_Y!H$5,2),FS_Q!$5:$5,0))</f>
        <v/>
      </c>
      <c r="I72" s="517">
        <f>INDEX(FS_Q!72:72,MATCH("4Q"&amp;RIGHT(FS_Y!I$5,2),FS_Q!$5:$5,0))</f>
        <v/>
      </c>
      <c r="J72" s="517">
        <f>INDEX(FS_Q!72:72,MATCH("4Q"&amp;RIGHT(FS_Y!J$5,2),FS_Q!$5:$5,0))</f>
        <v/>
      </c>
      <c r="K72" s="517">
        <f>INDEX(FS_Q!72:72,MATCH("4Q"&amp;RIGHT(FS_Y!K$5,2),FS_Q!$5:$5,0))</f>
        <v/>
      </c>
      <c r="L72" s="517">
        <f>INDEX(FS_Q!72:72,MATCH("4Q"&amp;RIGHT(FS_Y!L$5,2),FS_Q!$5:$5,0))</f>
        <v/>
      </c>
      <c r="M72" s="517">
        <f>INDEX(FS_Q!72:72,MATCH("4Q"&amp;RIGHT(FS_Y!M$5,2),FS_Q!$5:$5,0))</f>
        <v/>
      </c>
      <c r="N72" s="517">
        <f>INDEX(FS_Q!72:72,MATCH("4Q"&amp;RIGHT(FS_Y!N$5,2),FS_Q!$5:$5,0))</f>
        <v/>
      </c>
      <c r="O72" s="517">
        <f>INDEX(FS_Q!72:72,MATCH("4Q"&amp;RIGHT(FS_Y!O$5,2),FS_Q!$5:$5,0))</f>
        <v/>
      </c>
      <c r="P72" s="517">
        <f>INDEX(FS_Q!72:72,MATCH("4Q"&amp;RIGHT(FS_Y!P$5,2),FS_Q!$5:$5,0))</f>
        <v/>
      </c>
      <c r="Q72" s="517">
        <f>INDEX(FS_Q!72:72,MATCH("4Q"&amp;RIGHT(FS_Y!Q$5,2),FS_Q!$5:$5,0))</f>
        <v/>
      </c>
      <c r="R72" s="517">
        <f>INDEX(FS_Q!72:72,MATCH("4Q"&amp;RIGHT(FS_Y!R$5,2),FS_Q!$5:$5,0))</f>
        <v/>
      </c>
      <c r="S72" s="517">
        <f>INDEX(FS_Q!72:72,MATCH("4Q"&amp;RIGHT(FS_Y!S$5,2),FS_Q!$5:$5,0))</f>
        <v/>
      </c>
      <c r="T72" s="517">
        <f>INDEX(FS_Q!72:72,MATCH("4Q"&amp;RIGHT(FS_Y!T$5,2),FS_Q!$5:$5,0))</f>
        <v/>
      </c>
      <c r="U72" s="517">
        <f>INDEX(FS_Q!72:72,MATCH("4Q"&amp;RIGHT(FS_Y!U$5,2),FS_Q!$5:$5,0))</f>
        <v/>
      </c>
      <c r="V72" s="517">
        <f>INDEX(FS_Q!72:72,MATCH("4Q"&amp;RIGHT(FS_Y!V$5,2),FS_Q!$5:$5,0))</f>
        <v/>
      </c>
      <c r="W72" s="517">
        <f>INDEX(FS_Q!72:72,MATCH("4Q"&amp;RIGHT(FS_Y!W$5,2),FS_Q!$5:$5,0))</f>
        <v/>
      </c>
      <c r="X72" s="148" t="n"/>
      <c r="Y72" s="148" t="n"/>
      <c r="Z72" s="148" t="n"/>
      <c r="AA72" s="148" t="n"/>
      <c r="AB72" s="148" t="n"/>
      <c r="AC72" s="148" t="n"/>
      <c r="AD72" s="148" t="n"/>
      <c r="AE72" s="148" t="n"/>
      <c r="AF72" s="148" t="n"/>
      <c r="AG72" s="148" t="n"/>
      <c r="AH72" s="148" t="n"/>
      <c r="AI72" s="148" t="n"/>
      <c r="AJ72" s="148" t="n"/>
      <c r="AK72" s="148" t="n"/>
      <c r="AL72" s="148" t="n"/>
      <c r="AM72" s="148" t="n"/>
      <c r="AN72" s="148" t="n"/>
      <c r="AO72" s="148" t="n"/>
      <c r="AP72" s="148" t="n"/>
      <c r="AQ72" s="148" t="n"/>
      <c r="AR72" s="148" t="n"/>
      <c r="AS72" s="148" t="n"/>
    </row>
    <row r="73">
      <c r="A73" s="74">
        <f>FS_Q!A73</f>
        <v/>
      </c>
      <c r="B73" s="382" t="n"/>
      <c r="C73" s="382" t="n"/>
      <c r="D73" s="382" t="n"/>
      <c r="E73" s="517">
        <f>INDEX(FS_Q!73:73,MATCH("4Q"&amp;RIGHT(FS_Y!E$5,2),FS_Q!$5:$5,0))</f>
        <v/>
      </c>
      <c r="F73" s="517">
        <f>INDEX(FS_Q!73:73,MATCH("4Q"&amp;RIGHT(FS_Y!F$5,2),FS_Q!$5:$5,0))</f>
        <v/>
      </c>
      <c r="G73" s="517">
        <f>INDEX(FS_Q!73:73,MATCH("4Q"&amp;RIGHT(FS_Y!G$5,2),FS_Q!$5:$5,0))</f>
        <v/>
      </c>
      <c r="H73" s="517">
        <f>INDEX(FS_Q!73:73,MATCH("4Q"&amp;RIGHT(FS_Y!H$5,2),FS_Q!$5:$5,0))</f>
        <v/>
      </c>
      <c r="I73" s="517">
        <f>INDEX(FS_Q!73:73,MATCH("4Q"&amp;RIGHT(FS_Y!I$5,2),FS_Q!$5:$5,0))</f>
        <v/>
      </c>
      <c r="J73" s="517">
        <f>INDEX(FS_Q!73:73,MATCH("4Q"&amp;RIGHT(FS_Y!J$5,2),FS_Q!$5:$5,0))</f>
        <v/>
      </c>
      <c r="K73" s="517">
        <f>INDEX(FS_Q!73:73,MATCH("4Q"&amp;RIGHT(FS_Y!K$5,2),FS_Q!$5:$5,0))</f>
        <v/>
      </c>
      <c r="L73" s="517">
        <f>INDEX(FS_Q!73:73,MATCH("4Q"&amp;RIGHT(FS_Y!L$5,2),FS_Q!$5:$5,0))</f>
        <v/>
      </c>
      <c r="M73" s="517">
        <f>INDEX(FS_Q!73:73,MATCH("4Q"&amp;RIGHT(FS_Y!M$5,2),FS_Q!$5:$5,0))</f>
        <v/>
      </c>
      <c r="N73" s="517">
        <f>INDEX(FS_Q!73:73,MATCH("4Q"&amp;RIGHT(FS_Y!N$5,2),FS_Q!$5:$5,0))</f>
        <v/>
      </c>
      <c r="O73" s="517">
        <f>INDEX(FS_Q!73:73,MATCH("4Q"&amp;RIGHT(FS_Y!O$5,2),FS_Q!$5:$5,0))</f>
        <v/>
      </c>
      <c r="P73" s="517">
        <f>INDEX(FS_Q!73:73,MATCH("4Q"&amp;RIGHT(FS_Y!P$5,2),FS_Q!$5:$5,0))</f>
        <v/>
      </c>
      <c r="Q73" s="517">
        <f>INDEX(FS_Q!73:73,MATCH("4Q"&amp;RIGHT(FS_Y!Q$5,2),FS_Q!$5:$5,0))</f>
        <v/>
      </c>
      <c r="R73" s="517">
        <f>INDEX(FS_Q!73:73,MATCH("4Q"&amp;RIGHT(FS_Y!R$5,2),FS_Q!$5:$5,0))</f>
        <v/>
      </c>
      <c r="S73" s="517">
        <f>INDEX(FS_Q!73:73,MATCH("4Q"&amp;RIGHT(FS_Y!S$5,2),FS_Q!$5:$5,0))</f>
        <v/>
      </c>
      <c r="T73" s="517">
        <f>INDEX(FS_Q!73:73,MATCH("4Q"&amp;RIGHT(FS_Y!T$5,2),FS_Q!$5:$5,0))</f>
        <v/>
      </c>
      <c r="U73" s="517">
        <f>INDEX(FS_Q!73:73,MATCH("4Q"&amp;RIGHT(FS_Y!U$5,2),FS_Q!$5:$5,0))</f>
        <v/>
      </c>
      <c r="V73" s="517">
        <f>INDEX(FS_Q!73:73,MATCH("4Q"&amp;RIGHT(FS_Y!V$5,2),FS_Q!$5:$5,0))</f>
        <v/>
      </c>
      <c r="W73" s="517">
        <f>INDEX(FS_Q!73:73,MATCH("4Q"&amp;RIGHT(FS_Y!W$5,2),FS_Q!$5:$5,0))</f>
        <v/>
      </c>
      <c r="X73" s="148" t="n"/>
      <c r="Y73" s="148" t="n"/>
      <c r="Z73" s="148" t="n"/>
      <c r="AA73" s="148" t="n"/>
      <c r="AB73" s="148" t="n"/>
      <c r="AC73" s="148" t="n"/>
      <c r="AD73" s="148" t="n"/>
      <c r="AE73" s="148" t="n"/>
      <c r="AF73" s="148" t="n"/>
      <c r="AG73" s="148" t="n"/>
      <c r="AH73" s="148" t="n"/>
      <c r="AI73" s="148" t="n"/>
      <c r="AJ73" s="148" t="n"/>
      <c r="AK73" s="148" t="n"/>
      <c r="AL73" s="148" t="n"/>
      <c r="AM73" s="148" t="n"/>
      <c r="AN73" s="148" t="n"/>
      <c r="AO73" s="148" t="n"/>
      <c r="AP73" s="148" t="n"/>
      <c r="AQ73" s="148" t="n"/>
      <c r="AR73" s="148" t="n"/>
      <c r="AS73" s="148" t="n"/>
    </row>
    <row r="74">
      <c r="A74" s="74">
        <f>FS_Q!A74</f>
        <v/>
      </c>
      <c r="B74" s="147" t="n"/>
      <c r="C74" s="147" t="n"/>
      <c r="D74" s="147" t="n"/>
      <c r="E74" s="517">
        <f>INDEX(FS_Q!74:74,MATCH("4Q"&amp;RIGHT(FS_Y!E$5,2),FS_Q!$5:$5,0))</f>
        <v/>
      </c>
      <c r="F74" s="517">
        <f>INDEX(FS_Q!74:74,MATCH("4Q"&amp;RIGHT(FS_Y!F$5,2),FS_Q!$5:$5,0))</f>
        <v/>
      </c>
      <c r="G74" s="517">
        <f>INDEX(FS_Q!74:74,MATCH("4Q"&amp;RIGHT(FS_Y!G$5,2),FS_Q!$5:$5,0))</f>
        <v/>
      </c>
      <c r="H74" s="517">
        <f>INDEX(FS_Q!74:74,MATCH("4Q"&amp;RIGHT(FS_Y!H$5,2),FS_Q!$5:$5,0))</f>
        <v/>
      </c>
      <c r="I74" s="517">
        <f>INDEX(FS_Q!74:74,MATCH("4Q"&amp;RIGHT(FS_Y!I$5,2),FS_Q!$5:$5,0))</f>
        <v/>
      </c>
      <c r="J74" s="517">
        <f>INDEX(FS_Q!74:74,MATCH("4Q"&amp;RIGHT(FS_Y!J$5,2),FS_Q!$5:$5,0))</f>
        <v/>
      </c>
      <c r="K74" s="517">
        <f>INDEX(FS_Q!74:74,MATCH("4Q"&amp;RIGHT(FS_Y!K$5,2),FS_Q!$5:$5,0))</f>
        <v/>
      </c>
      <c r="L74" s="517">
        <f>INDEX(FS_Q!74:74,MATCH("4Q"&amp;RIGHT(FS_Y!L$5,2),FS_Q!$5:$5,0))</f>
        <v/>
      </c>
      <c r="M74" s="517">
        <f>INDEX(FS_Q!74:74,MATCH("4Q"&amp;RIGHT(FS_Y!M$5,2),FS_Q!$5:$5,0))</f>
        <v/>
      </c>
      <c r="N74" s="517">
        <f>INDEX(FS_Q!74:74,MATCH("4Q"&amp;RIGHT(FS_Y!N$5,2),FS_Q!$5:$5,0))</f>
        <v/>
      </c>
      <c r="O74" s="517">
        <f>INDEX(FS_Q!74:74,MATCH("4Q"&amp;RIGHT(FS_Y!O$5,2),FS_Q!$5:$5,0))</f>
        <v/>
      </c>
      <c r="P74" s="517">
        <f>INDEX(FS_Q!74:74,MATCH("4Q"&amp;RIGHT(FS_Y!P$5,2),FS_Q!$5:$5,0))</f>
        <v/>
      </c>
      <c r="Q74" s="517">
        <f>INDEX(FS_Q!74:74,MATCH("4Q"&amp;RIGHT(FS_Y!Q$5,2),FS_Q!$5:$5,0))</f>
        <v/>
      </c>
      <c r="R74" s="517">
        <f>INDEX(FS_Q!74:74,MATCH("4Q"&amp;RIGHT(FS_Y!R$5,2),FS_Q!$5:$5,0))</f>
        <v/>
      </c>
      <c r="S74" s="517">
        <f>INDEX(FS_Q!74:74,MATCH("4Q"&amp;RIGHT(FS_Y!S$5,2),FS_Q!$5:$5,0))</f>
        <v/>
      </c>
      <c r="T74" s="517">
        <f>INDEX(FS_Q!74:74,MATCH("4Q"&amp;RIGHT(FS_Y!T$5,2),FS_Q!$5:$5,0))</f>
        <v/>
      </c>
      <c r="U74" s="517">
        <f>INDEX(FS_Q!74:74,MATCH("4Q"&amp;RIGHT(FS_Y!U$5,2),FS_Q!$5:$5,0))</f>
        <v/>
      </c>
      <c r="V74" s="517">
        <f>INDEX(FS_Q!74:74,MATCH("4Q"&amp;RIGHT(FS_Y!V$5,2),FS_Q!$5:$5,0))</f>
        <v/>
      </c>
      <c r="W74" s="517">
        <f>INDEX(FS_Q!74:74,MATCH("4Q"&amp;RIGHT(FS_Y!W$5,2),FS_Q!$5:$5,0))</f>
        <v/>
      </c>
      <c r="X74" s="148" t="n"/>
      <c r="Y74" s="148" t="n"/>
      <c r="Z74" s="148" t="n"/>
      <c r="AA74" s="148" t="n"/>
      <c r="AB74" s="148" t="n"/>
      <c r="AC74" s="148" t="n"/>
      <c r="AD74" s="148" t="n"/>
      <c r="AE74" s="148" t="n"/>
      <c r="AF74" s="148" t="n"/>
      <c r="AG74" s="148" t="n"/>
      <c r="AH74" s="148" t="n"/>
      <c r="AI74" s="148" t="n"/>
      <c r="AJ74" s="148" t="n"/>
      <c r="AK74" s="148" t="n"/>
      <c r="AL74" s="148" t="n"/>
      <c r="AM74" s="148" t="n"/>
      <c r="AN74" s="148" t="n"/>
      <c r="AO74" s="148" t="n"/>
      <c r="AP74" s="148" t="n"/>
      <c r="AQ74" s="148" t="n"/>
      <c r="AR74" s="148" t="n"/>
      <c r="AS74" s="148" t="n"/>
    </row>
    <row r="75" customFormat="1" s="281">
      <c r="A75" s="22">
        <f>FS_Q!A75</f>
        <v/>
      </c>
      <c r="B75" s="382" t="n"/>
      <c r="C75" s="382" t="n"/>
      <c r="D75" s="382" t="n"/>
      <c r="E75" s="519">
        <f>INDEX(FS_Q!75:75,MATCH("4Q"&amp;RIGHT(FS_Y!E$5,2),FS_Q!$5:$5,0))</f>
        <v/>
      </c>
      <c r="F75" s="519">
        <f>INDEX(FS_Q!75:75,MATCH("4Q"&amp;RIGHT(FS_Y!F$5,2),FS_Q!$5:$5,0))</f>
        <v/>
      </c>
      <c r="G75" s="519">
        <f>INDEX(FS_Q!75:75,MATCH("4Q"&amp;RIGHT(FS_Y!G$5,2),FS_Q!$5:$5,0))</f>
        <v/>
      </c>
      <c r="H75" s="519">
        <f>INDEX(FS_Q!75:75,MATCH("4Q"&amp;RIGHT(FS_Y!H$5,2),FS_Q!$5:$5,0))</f>
        <v/>
      </c>
      <c r="I75" s="519">
        <f>INDEX(FS_Q!75:75,MATCH("4Q"&amp;RIGHT(FS_Y!I$5,2),FS_Q!$5:$5,0))</f>
        <v/>
      </c>
      <c r="J75" s="519">
        <f>INDEX(FS_Q!75:75,MATCH("4Q"&amp;RIGHT(FS_Y!J$5,2),FS_Q!$5:$5,0))</f>
        <v/>
      </c>
      <c r="K75" s="519">
        <f>INDEX(FS_Q!75:75,MATCH("4Q"&amp;RIGHT(FS_Y!K$5,2),FS_Q!$5:$5,0))</f>
        <v/>
      </c>
      <c r="L75" s="519">
        <f>INDEX(FS_Q!75:75,MATCH("4Q"&amp;RIGHT(FS_Y!L$5,2),FS_Q!$5:$5,0))</f>
        <v/>
      </c>
      <c r="M75" s="519">
        <f>INDEX(FS_Q!75:75,MATCH("4Q"&amp;RIGHT(FS_Y!M$5,2),FS_Q!$5:$5,0))</f>
        <v/>
      </c>
      <c r="N75" s="519">
        <f>INDEX(FS_Q!75:75,MATCH("4Q"&amp;RIGHT(FS_Y!N$5,2),FS_Q!$5:$5,0))</f>
        <v/>
      </c>
      <c r="O75" s="519">
        <f>INDEX(FS_Q!75:75,MATCH("4Q"&amp;RIGHT(FS_Y!O$5,2),FS_Q!$5:$5,0))</f>
        <v/>
      </c>
      <c r="P75" s="519">
        <f>INDEX(FS_Q!75:75,MATCH("4Q"&amp;RIGHT(FS_Y!P$5,2),FS_Q!$5:$5,0))</f>
        <v/>
      </c>
      <c r="Q75" s="519">
        <f>INDEX(FS_Q!75:75,MATCH("4Q"&amp;RIGHT(FS_Y!Q$5,2),FS_Q!$5:$5,0))</f>
        <v/>
      </c>
      <c r="R75" s="519">
        <f>INDEX(FS_Q!75:75,MATCH("4Q"&amp;RIGHT(FS_Y!R$5,2),FS_Q!$5:$5,0))</f>
        <v/>
      </c>
      <c r="S75" s="519">
        <f>INDEX(FS_Q!75:75,MATCH("4Q"&amp;RIGHT(FS_Y!S$5,2),FS_Q!$5:$5,0))</f>
        <v/>
      </c>
      <c r="T75" s="519">
        <f>INDEX(FS_Q!75:75,MATCH("4Q"&amp;RIGHT(FS_Y!T$5,2),FS_Q!$5:$5,0))</f>
        <v/>
      </c>
      <c r="U75" s="519">
        <f>INDEX(FS_Q!75:75,MATCH("4Q"&amp;RIGHT(FS_Y!U$5,2),FS_Q!$5:$5,0))</f>
        <v/>
      </c>
      <c r="V75" s="519">
        <f>INDEX(FS_Q!75:75,MATCH("4Q"&amp;RIGHT(FS_Y!V$5,2),FS_Q!$5:$5,0))</f>
        <v/>
      </c>
      <c r="W75" s="519">
        <f>INDEX(FS_Q!75:75,MATCH("4Q"&amp;RIGHT(FS_Y!W$5,2),FS_Q!$5:$5,0))</f>
        <v/>
      </c>
      <c r="X75" s="382" t="n"/>
      <c r="Y75" s="382" t="n"/>
      <c r="Z75" s="382" t="n"/>
      <c r="AA75" s="382" t="n"/>
      <c r="AB75" s="382" t="n"/>
      <c r="AC75" s="382" t="n"/>
      <c r="AD75" s="382" t="n"/>
      <c r="AE75" s="382" t="n"/>
      <c r="AF75" s="382" t="n"/>
      <c r="AG75" s="382" t="n"/>
      <c r="AH75" s="382" t="n"/>
      <c r="AI75" s="382" t="n"/>
      <c r="AJ75" s="382" t="n"/>
      <c r="AK75" s="382" t="n"/>
      <c r="AL75" s="382" t="n"/>
      <c r="AM75" s="382" t="n"/>
      <c r="AN75" s="382" t="n"/>
      <c r="AO75" s="382" t="n"/>
      <c r="AP75" s="382" t="n"/>
      <c r="AQ75" s="382" t="n"/>
      <c r="AR75" s="382" t="n"/>
      <c r="AS75" s="382" t="n"/>
    </row>
    <row r="76">
      <c r="A76" s="22">
        <f>FS_Q!A76</f>
        <v/>
      </c>
      <c r="B76" s="148" t="n"/>
      <c r="C76" s="148" t="n"/>
      <c r="D76" s="148" t="n"/>
      <c r="E76" s="519">
        <f>INDEX(FS_Q!76:76,MATCH("4Q"&amp;RIGHT(FS_Y!E$5,2),FS_Q!$5:$5,0))</f>
        <v/>
      </c>
      <c r="F76" s="519">
        <f>INDEX(FS_Q!76:76,MATCH("4Q"&amp;RIGHT(FS_Y!F$5,2),FS_Q!$5:$5,0))</f>
        <v/>
      </c>
      <c r="G76" s="519">
        <f>INDEX(FS_Q!76:76,MATCH("4Q"&amp;RIGHT(FS_Y!G$5,2),FS_Q!$5:$5,0))</f>
        <v/>
      </c>
      <c r="H76" s="519">
        <f>INDEX(FS_Q!76:76,MATCH("4Q"&amp;RIGHT(FS_Y!H$5,2),FS_Q!$5:$5,0))</f>
        <v/>
      </c>
      <c r="I76" s="519">
        <f>INDEX(FS_Q!76:76,MATCH("4Q"&amp;RIGHT(FS_Y!I$5,2),FS_Q!$5:$5,0))</f>
        <v/>
      </c>
      <c r="J76" s="519">
        <f>INDEX(FS_Q!76:76,MATCH("4Q"&amp;RIGHT(FS_Y!J$5,2),FS_Q!$5:$5,0))</f>
        <v/>
      </c>
      <c r="K76" s="519">
        <f>INDEX(FS_Q!76:76,MATCH("4Q"&amp;RIGHT(FS_Y!K$5,2),FS_Q!$5:$5,0))</f>
        <v/>
      </c>
      <c r="L76" s="519">
        <f>INDEX(FS_Q!76:76,MATCH("4Q"&amp;RIGHT(FS_Y!L$5,2),FS_Q!$5:$5,0))</f>
        <v/>
      </c>
      <c r="M76" s="519">
        <f>INDEX(FS_Q!76:76,MATCH("4Q"&amp;RIGHT(FS_Y!M$5,2),FS_Q!$5:$5,0))</f>
        <v/>
      </c>
      <c r="N76" s="519">
        <f>INDEX(FS_Q!76:76,MATCH("4Q"&amp;RIGHT(FS_Y!N$5,2),FS_Q!$5:$5,0))</f>
        <v/>
      </c>
      <c r="O76" s="519">
        <f>INDEX(FS_Q!76:76,MATCH("4Q"&amp;RIGHT(FS_Y!O$5,2),FS_Q!$5:$5,0))</f>
        <v/>
      </c>
      <c r="P76" s="519">
        <f>INDEX(FS_Q!76:76,MATCH("4Q"&amp;RIGHT(FS_Y!P$5,2),FS_Q!$5:$5,0))</f>
        <v/>
      </c>
      <c r="Q76" s="519">
        <f>INDEX(FS_Q!76:76,MATCH("4Q"&amp;RIGHT(FS_Y!Q$5,2),FS_Q!$5:$5,0))</f>
        <v/>
      </c>
      <c r="R76" s="519">
        <f>INDEX(FS_Q!76:76,MATCH("4Q"&amp;RIGHT(FS_Y!R$5,2),FS_Q!$5:$5,0))</f>
        <v/>
      </c>
      <c r="S76" s="519">
        <f>INDEX(FS_Q!76:76,MATCH("4Q"&amp;RIGHT(FS_Y!S$5,2),FS_Q!$5:$5,0))</f>
        <v/>
      </c>
      <c r="T76" s="519">
        <f>INDEX(FS_Q!76:76,MATCH("4Q"&amp;RIGHT(FS_Y!T$5,2),FS_Q!$5:$5,0))</f>
        <v/>
      </c>
      <c r="U76" s="519">
        <f>INDEX(FS_Q!76:76,MATCH("4Q"&amp;RIGHT(FS_Y!U$5,2),FS_Q!$5:$5,0))</f>
        <v/>
      </c>
      <c r="V76" s="519">
        <f>INDEX(FS_Q!76:76,MATCH("4Q"&amp;RIGHT(FS_Y!V$5,2),FS_Q!$5:$5,0))</f>
        <v/>
      </c>
      <c r="W76" s="519">
        <f>INDEX(FS_Q!76:76,MATCH("4Q"&amp;RIGHT(FS_Y!W$5,2),FS_Q!$5:$5,0))</f>
        <v/>
      </c>
      <c r="X76" s="148" t="n"/>
      <c r="Y76" s="148" t="n"/>
      <c r="Z76" s="148" t="n"/>
      <c r="AA76" s="148" t="n"/>
      <c r="AB76" s="148" t="n"/>
      <c r="AC76" s="148" t="n"/>
      <c r="AD76" s="148" t="n"/>
      <c r="AE76" s="148" t="n"/>
      <c r="AF76" s="148" t="n"/>
      <c r="AG76" s="148" t="n"/>
      <c r="AH76" s="148" t="n"/>
      <c r="AI76" s="148" t="n"/>
      <c r="AJ76" s="148" t="n"/>
      <c r="AK76" s="148" t="n"/>
      <c r="AL76" s="148" t="n"/>
      <c r="AM76" s="148" t="n"/>
      <c r="AN76" s="148" t="n"/>
      <c r="AO76" s="148" t="n"/>
      <c r="AP76" s="148" t="n"/>
      <c r="AQ76" s="148" t="n"/>
      <c r="AR76" s="148" t="n"/>
      <c r="AS76" s="148" t="n"/>
    </row>
    <row r="77">
      <c r="A77" s="22" t="n"/>
      <c r="B77" s="143" t="n"/>
      <c r="C77" s="444" t="n"/>
      <c r="D77" s="444" t="n"/>
      <c r="E77" s="444" t="n"/>
      <c r="F77" s="444" t="n"/>
      <c r="G77" s="444" t="n"/>
      <c r="H77" s="444" t="n"/>
      <c r="I77" s="444" t="n"/>
      <c r="J77" s="444" t="n"/>
      <c r="K77" s="444" t="n"/>
      <c r="L77" s="444" t="n"/>
      <c r="M77" s="444" t="n"/>
      <c r="N77" s="444" t="n"/>
      <c r="O77" s="444" t="n"/>
      <c r="P77" s="444" t="n"/>
      <c r="Q77" s="444" t="n"/>
      <c r="R77" s="444" t="n"/>
      <c r="S77" s="444" t="n"/>
      <c r="T77" s="444" t="n"/>
      <c r="U77" s="444" t="n"/>
      <c r="V77" s="444" t="n"/>
      <c r="W77" s="444" t="n"/>
      <c r="X77" s="148" t="n"/>
      <c r="Y77" s="148" t="n"/>
      <c r="Z77" s="148" t="n"/>
      <c r="AA77" s="148" t="n"/>
      <c r="AB77" s="148" t="n"/>
      <c r="AC77" s="148" t="n"/>
      <c r="AD77" s="148" t="n"/>
      <c r="AE77" s="148" t="n"/>
      <c r="AF77" s="148" t="n"/>
      <c r="AG77" s="148" t="n"/>
      <c r="AH77" s="148" t="n"/>
      <c r="AI77" s="148" t="n"/>
      <c r="AJ77" s="148" t="n"/>
      <c r="AK77" s="148" t="n"/>
      <c r="AL77" s="148" t="n"/>
      <c r="AM77" s="148" t="n"/>
      <c r="AN77" s="148" t="n"/>
      <c r="AO77" s="148" t="n"/>
      <c r="AP77" s="148" t="n"/>
      <c r="AQ77" s="148" t="n"/>
      <c r="AR77" s="148" t="n"/>
      <c r="AS77" s="148" t="n"/>
    </row>
    <row r="78">
      <c r="A78" s="455">
        <f>FS_Q!A78</f>
        <v/>
      </c>
      <c r="B78" s="143" t="n"/>
      <c r="C78" s="143" t="n"/>
      <c r="D78" s="143" t="n"/>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148" t="n"/>
      <c r="Y78" s="148" t="n"/>
      <c r="Z78" s="148" t="n"/>
      <c r="AA78" s="148" t="n"/>
      <c r="AB78" s="148" t="n"/>
      <c r="AC78" s="148" t="n"/>
      <c r="AD78" s="148" t="n"/>
      <c r="AE78" s="148" t="n"/>
      <c r="AF78" s="148" t="n"/>
      <c r="AG78" s="148" t="n"/>
      <c r="AH78" s="148" t="n"/>
      <c r="AI78" s="148" t="n"/>
      <c r="AJ78" s="148" t="n"/>
      <c r="AK78" s="148" t="n"/>
      <c r="AL78" s="148" t="n"/>
      <c r="AM78" s="148" t="n"/>
      <c r="AN78" s="148" t="n"/>
      <c r="AO78" s="148" t="n"/>
      <c r="AP78" s="148" t="n"/>
      <c r="AQ78" s="148" t="n"/>
      <c r="AR78" s="148" t="n"/>
      <c r="AS78" s="148" t="n"/>
    </row>
    <row r="79">
      <c r="A79" s="455">
        <f>FS_Q!A79</f>
        <v/>
      </c>
      <c r="B79" s="143" t="n"/>
      <c r="C79" s="143" t="n"/>
      <c r="D79" s="143" t="n"/>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148" t="n"/>
      <c r="Y79" s="148" t="n"/>
      <c r="Z79" s="148" t="n"/>
      <c r="AA79" s="148" t="n"/>
      <c r="AB79" s="148" t="n"/>
      <c r="AC79" s="148" t="n"/>
      <c r="AD79" s="148" t="n"/>
      <c r="AE79" s="148" t="n"/>
      <c r="AF79" s="148" t="n"/>
      <c r="AG79" s="148" t="n"/>
      <c r="AH79" s="148" t="n"/>
      <c r="AI79" s="148" t="n"/>
      <c r="AJ79" s="148" t="n"/>
      <c r="AK79" s="148" t="n"/>
      <c r="AL79" s="148" t="n"/>
      <c r="AM79" s="148" t="n"/>
      <c r="AN79" s="148" t="n"/>
      <c r="AO79" s="148" t="n"/>
      <c r="AP79" s="148" t="n"/>
      <c r="AQ79" s="148" t="n"/>
      <c r="AR79" s="148" t="n"/>
      <c r="AS79" s="148" t="n"/>
    </row>
    <row r="80">
      <c r="A80" s="455">
        <f>FS_Q!A80</f>
        <v/>
      </c>
      <c r="B80" s="143" t="n"/>
      <c r="C80" s="143" t="n"/>
      <c r="D80" s="143" t="n"/>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148" t="n"/>
      <c r="Y80" s="148" t="n"/>
      <c r="Z80" s="148" t="n"/>
      <c r="AA80" s="148" t="n"/>
      <c r="AB80" s="148" t="n"/>
      <c r="AC80" s="148" t="n"/>
      <c r="AD80" s="148" t="n"/>
      <c r="AE80" s="148" t="n"/>
      <c r="AF80" s="148" t="n"/>
      <c r="AG80" s="148" t="n"/>
      <c r="AH80" s="148" t="n"/>
      <c r="AI80" s="148" t="n"/>
      <c r="AJ80" s="148" t="n"/>
      <c r="AK80" s="148" t="n"/>
      <c r="AL80" s="148" t="n"/>
      <c r="AM80" s="148" t="n"/>
      <c r="AN80" s="148" t="n"/>
      <c r="AO80" s="148" t="n"/>
      <c r="AP80" s="148" t="n"/>
      <c r="AQ80" s="148" t="n"/>
      <c r="AR80" s="148" t="n"/>
      <c r="AS80" s="148" t="n"/>
    </row>
    <row r="81">
      <c r="A81" s="455">
        <f>FS_Q!A81</f>
        <v/>
      </c>
      <c r="B81" s="143" t="n"/>
      <c r="C81" s="143" t="n"/>
      <c r="D81" s="143" t="n"/>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148" t="n"/>
      <c r="Y81" s="148" t="n"/>
      <c r="Z81" s="148" t="n"/>
      <c r="AA81" s="148" t="n"/>
      <c r="AB81" s="148" t="n"/>
      <c r="AC81" s="148" t="n"/>
      <c r="AD81" s="148" t="n"/>
      <c r="AE81" s="148" t="n"/>
      <c r="AF81" s="148" t="n"/>
      <c r="AG81" s="148" t="n"/>
      <c r="AH81" s="148" t="n"/>
      <c r="AI81" s="148" t="n"/>
      <c r="AJ81" s="148" t="n"/>
      <c r="AK81" s="148" t="n"/>
      <c r="AL81" s="148" t="n"/>
      <c r="AM81" s="148" t="n"/>
      <c r="AN81" s="148" t="n"/>
      <c r="AO81" s="148" t="n"/>
      <c r="AP81" s="148" t="n"/>
      <c r="AQ81" s="148" t="n"/>
      <c r="AR81" s="148" t="n"/>
      <c r="AS81" s="148" t="n"/>
    </row>
    <row r="82">
      <c r="A82" s="455">
        <f>FS_Q!A82</f>
        <v/>
      </c>
      <c r="B82" s="147" t="n"/>
      <c r="C82" s="147" t="n"/>
      <c r="D82" s="147" t="n"/>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148" t="n"/>
      <c r="Y82" s="148" t="n"/>
      <c r="Z82" s="148" t="n"/>
      <c r="AA82" s="148" t="n"/>
      <c r="AB82" s="148" t="n"/>
      <c r="AC82" s="148" t="n"/>
      <c r="AD82" s="148" t="n"/>
      <c r="AE82" s="148" t="n"/>
      <c r="AF82" s="148" t="n"/>
      <c r="AG82" s="148" t="n"/>
      <c r="AH82" s="148" t="n"/>
      <c r="AI82" s="148" t="n"/>
      <c r="AJ82" s="148" t="n"/>
      <c r="AK82" s="148" t="n"/>
      <c r="AL82" s="148" t="n"/>
      <c r="AM82" s="148" t="n"/>
      <c r="AN82" s="148" t="n"/>
      <c r="AO82" s="148" t="n"/>
      <c r="AP82" s="148" t="n"/>
      <c r="AQ82" s="148" t="n"/>
      <c r="AR82" s="148" t="n"/>
      <c r="AS82" s="148" t="n"/>
    </row>
    <row r="83" customFormat="1" s="281">
      <c r="A83" s="455">
        <f>FS_Q!A83</f>
        <v/>
      </c>
      <c r="B83" s="382" t="n"/>
      <c r="C83" s="382" t="n"/>
      <c r="D83" s="382" t="n"/>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382" t="n"/>
      <c r="Y83" s="382" t="n"/>
      <c r="Z83" s="382" t="n"/>
      <c r="AA83" s="382" t="n"/>
      <c r="AB83" s="382" t="n"/>
      <c r="AC83" s="382" t="n"/>
      <c r="AD83" s="382" t="n"/>
      <c r="AE83" s="382" t="n"/>
      <c r="AF83" s="382" t="n"/>
      <c r="AG83" s="382" t="n"/>
      <c r="AH83" s="382" t="n"/>
      <c r="AI83" s="382" t="n"/>
      <c r="AJ83" s="382" t="n"/>
      <c r="AK83" s="382" t="n"/>
      <c r="AL83" s="382" t="n"/>
      <c r="AM83" s="382" t="n"/>
      <c r="AN83" s="382" t="n"/>
      <c r="AO83" s="382" t="n"/>
      <c r="AP83" s="382" t="n"/>
      <c r="AQ83" s="382" t="n"/>
      <c r="AR83" s="382" t="n"/>
      <c r="AS83" s="382" t="n"/>
    </row>
    <row r="84">
      <c r="A84" s="455" t="n"/>
      <c r="B84" s="143" t="n"/>
      <c r="C84" s="143" t="n"/>
      <c r="D84" s="143" t="n"/>
      <c r="E84" s="143" t="n"/>
      <c r="F84" s="143" t="n"/>
      <c r="G84" s="143" t="n"/>
      <c r="H84" s="143" t="n"/>
      <c r="I84" s="143" t="n"/>
      <c r="J84" s="143" t="n"/>
      <c r="K84" s="143" t="n"/>
      <c r="L84" s="143" t="n"/>
      <c r="M84" s="143" t="n"/>
      <c r="N84" s="143" t="n"/>
      <c r="O84" s="143" t="n"/>
      <c r="P84" s="143" t="n"/>
      <c r="Q84" s="143" t="n"/>
      <c r="R84" s="143" t="n"/>
      <c r="S84" s="143" t="n"/>
      <c r="T84" s="143" t="n"/>
      <c r="U84" s="143" t="n"/>
      <c r="V84" s="143" t="n"/>
      <c r="W84" s="143" t="n"/>
      <c r="X84" s="148" t="n"/>
      <c r="Y84" s="148" t="n"/>
      <c r="Z84" s="148" t="n"/>
      <c r="AA84" s="148" t="n"/>
      <c r="AB84" s="148" t="n"/>
      <c r="AC84" s="148" t="n"/>
      <c r="AD84" s="148" t="n"/>
      <c r="AE84" s="148" t="n"/>
      <c r="AF84" s="148" t="n"/>
      <c r="AG84" s="148" t="n"/>
      <c r="AH84" s="148" t="n"/>
      <c r="AI84" s="148" t="n"/>
      <c r="AJ84" s="148" t="n"/>
      <c r="AK84" s="148" t="n"/>
      <c r="AL84" s="148" t="n"/>
      <c r="AM84" s="148" t="n"/>
      <c r="AN84" s="148" t="n"/>
      <c r="AO84" s="148" t="n"/>
      <c r="AP84" s="148" t="n"/>
      <c r="AQ84" s="148" t="n"/>
      <c r="AR84" s="148" t="n"/>
      <c r="AS84" s="148" t="n"/>
    </row>
    <row r="85">
      <c r="A85" s="455" t="n"/>
      <c r="B85" s="143" t="n"/>
      <c r="C85" s="143" t="n"/>
      <c r="D85" s="143" t="n"/>
      <c r="E85" s="143" t="n"/>
      <c r="F85" s="143" t="n"/>
      <c r="G85" s="143" t="n"/>
      <c r="H85" s="143" t="n"/>
      <c r="I85" s="143" t="n"/>
      <c r="J85" s="143" t="n"/>
      <c r="K85" s="143" t="n"/>
      <c r="L85" s="143" t="n"/>
      <c r="M85" s="143" t="n"/>
      <c r="N85" s="143" t="n"/>
      <c r="O85" s="143" t="n"/>
      <c r="P85" s="143" t="n"/>
      <c r="Q85" s="143" t="n"/>
      <c r="R85" s="143" t="n"/>
      <c r="S85" s="143" t="n"/>
      <c r="T85" s="143" t="n"/>
      <c r="U85" s="143" t="n"/>
      <c r="V85" s="143" t="n"/>
      <c r="W85" s="143" t="n"/>
      <c r="X85" s="148" t="n"/>
      <c r="Y85" s="148" t="n"/>
      <c r="Z85" s="148" t="n"/>
      <c r="AA85" s="148" t="n"/>
      <c r="AB85" s="148" t="n"/>
      <c r="AC85" s="148" t="n"/>
      <c r="AD85" s="148" t="n"/>
      <c r="AE85" s="148" t="n"/>
      <c r="AF85" s="148" t="n"/>
      <c r="AG85" s="148" t="n"/>
      <c r="AH85" s="148" t="n"/>
      <c r="AI85" s="148" t="n"/>
      <c r="AJ85" s="148" t="n"/>
      <c r="AK85" s="148" t="n"/>
      <c r="AL85" s="148" t="n"/>
      <c r="AM85" s="148" t="n"/>
      <c r="AN85" s="148" t="n"/>
      <c r="AO85" s="148" t="n"/>
      <c r="AP85" s="148" t="n"/>
      <c r="AQ85" s="148" t="n"/>
      <c r="AR85" s="148" t="n"/>
      <c r="AS85" s="148" t="n"/>
    </row>
    <row r="86">
      <c r="A86" s="455" t="n"/>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8" t="n"/>
      <c r="Y86" s="148" t="n"/>
      <c r="Z86" s="148" t="n"/>
      <c r="AA86" s="148" t="n"/>
      <c r="AB86" s="148" t="n"/>
      <c r="AC86" s="148" t="n"/>
      <c r="AD86" s="148" t="n"/>
      <c r="AE86" s="148" t="n"/>
      <c r="AF86" s="148" t="n"/>
      <c r="AG86" s="148" t="n"/>
      <c r="AH86" s="148" t="n"/>
      <c r="AI86" s="148" t="n"/>
      <c r="AJ86" s="148" t="n"/>
      <c r="AK86" s="148" t="n"/>
      <c r="AL86" s="148" t="n"/>
      <c r="AM86" s="148" t="n"/>
      <c r="AN86" s="148" t="n"/>
      <c r="AO86" s="148" t="n"/>
      <c r="AP86" s="148" t="n"/>
      <c r="AQ86" s="148" t="n"/>
      <c r="AR86" s="148" t="n"/>
      <c r="AS86" s="148" t="n"/>
    </row>
    <row r="87" customFormat="1" s="281">
      <c r="B87" s="382" t="n"/>
      <c r="C87" s="382" t="n"/>
      <c r="D87" s="382" t="n"/>
      <c r="E87" s="382" t="n"/>
      <c r="F87" s="382" t="n"/>
      <c r="G87" s="382" t="n"/>
      <c r="H87" s="382" t="n"/>
      <c r="I87" s="382" t="n"/>
      <c r="J87" s="382" t="n"/>
      <c r="K87" s="382" t="n"/>
      <c r="L87" s="382" t="n"/>
      <c r="M87" s="382" t="n"/>
      <c r="N87" s="382" t="n"/>
      <c r="O87" s="382" t="n"/>
      <c r="P87" s="382" t="n"/>
      <c r="Q87" s="382" t="n"/>
      <c r="R87" s="382" t="n"/>
      <c r="S87" s="382" t="n"/>
      <c r="T87" s="382" t="n"/>
      <c r="U87" s="382" t="n"/>
      <c r="V87" s="382" t="n"/>
      <c r="W87" s="382" t="n"/>
      <c r="X87" s="382" t="n"/>
      <c r="Y87" s="382" t="n"/>
      <c r="Z87" s="382" t="n"/>
      <c r="AA87" s="382" t="n"/>
      <c r="AB87" s="382" t="n"/>
      <c r="AC87" s="382" t="n"/>
      <c r="AD87" s="382" t="n"/>
      <c r="AE87" s="382" t="n"/>
      <c r="AF87" s="382" t="n"/>
      <c r="AG87" s="382" t="n"/>
      <c r="AH87" s="382" t="n"/>
      <c r="AI87" s="382" t="n"/>
      <c r="AJ87" s="382" t="n"/>
      <c r="AK87" s="382" t="n"/>
      <c r="AL87" s="382" t="n"/>
      <c r="AM87" s="382" t="n"/>
      <c r="AN87" s="382" t="n"/>
      <c r="AO87" s="382" t="n"/>
      <c r="AP87" s="382" t="n"/>
      <c r="AQ87" s="382" t="n"/>
      <c r="AR87" s="382" t="n"/>
      <c r="AS87" s="382" t="n"/>
    </row>
    <row r="88">
      <c r="A88" s="81">
        <f>FS_Q!A88</f>
        <v/>
      </c>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8" t="n"/>
      <c r="Y88" s="148" t="n"/>
      <c r="Z88" s="148" t="n"/>
      <c r="AA88" s="148" t="n"/>
      <c r="AB88" s="148" t="n"/>
      <c r="AC88" s="148" t="n"/>
      <c r="AD88" s="148" t="n"/>
      <c r="AE88" s="148" t="n"/>
      <c r="AF88" s="148" t="n"/>
      <c r="AG88" s="148" t="n"/>
      <c r="AH88" s="148" t="n"/>
      <c r="AI88" s="148" t="n"/>
      <c r="AJ88" s="148" t="n"/>
      <c r="AK88" s="148" t="n"/>
      <c r="AL88" s="148" t="n"/>
      <c r="AM88" s="148" t="n"/>
      <c r="AN88" s="148" t="n"/>
      <c r="AO88" s="148" t="n"/>
      <c r="AP88" s="148" t="n"/>
      <c r="AQ88" s="148" t="n"/>
      <c r="AR88" s="148" t="n"/>
      <c r="AS88" s="148" t="n"/>
    </row>
    <row r="89" customFormat="1" s="281">
      <c r="B89" s="382" t="n"/>
      <c r="C89" s="382" t="n"/>
      <c r="D89" s="382" t="n"/>
      <c r="E89" s="382" t="n"/>
      <c r="F89" s="382" t="n"/>
      <c r="G89" s="382" t="n"/>
      <c r="H89" s="382" t="n"/>
      <c r="I89" s="382" t="n"/>
      <c r="J89" s="382" t="n"/>
      <c r="K89" s="382" t="n"/>
      <c r="L89" s="382" t="n"/>
      <c r="M89" s="382" t="n"/>
      <c r="N89" s="382" t="n"/>
      <c r="O89" s="382" t="n"/>
      <c r="P89" s="382" t="n"/>
      <c r="Q89" s="382" t="n"/>
      <c r="R89" s="382" t="n"/>
      <c r="S89" s="382" t="n"/>
      <c r="T89" s="382" t="n"/>
      <c r="U89" s="382" t="n"/>
      <c r="V89" s="382" t="n"/>
      <c r="W89" s="382" t="n"/>
      <c r="X89" s="382" t="n"/>
      <c r="Y89" s="382" t="n"/>
      <c r="Z89" s="382" t="n"/>
      <c r="AA89" s="382" t="n"/>
      <c r="AB89" s="382" t="n"/>
      <c r="AC89" s="382" t="n"/>
      <c r="AD89" s="382" t="n"/>
      <c r="AE89" s="382" t="n"/>
      <c r="AF89" s="382" t="n"/>
      <c r="AG89" s="382" t="n"/>
      <c r="AH89" s="382" t="n"/>
      <c r="AI89" s="382" t="n"/>
      <c r="AJ89" s="382" t="n"/>
      <c r="AK89" s="382" t="n"/>
      <c r="AL89" s="382" t="n"/>
      <c r="AM89" s="382" t="n"/>
      <c r="AN89" s="382" t="n"/>
      <c r="AO89" s="382" t="n"/>
      <c r="AP89" s="382" t="n"/>
      <c r="AQ89" s="382" t="n"/>
      <c r="AR89" s="382" t="n"/>
      <c r="AS89" s="382" t="n"/>
    </row>
    <row r="90">
      <c r="A90" s="22">
        <f>FS_Q!A90</f>
        <v/>
      </c>
      <c r="B90" s="131" t="n"/>
      <c r="C90" s="148" t="n"/>
      <c r="D90" s="148" t="n"/>
      <c r="E90" s="148" t="n"/>
      <c r="F90" s="148" t="n"/>
      <c r="G90" s="148" t="n"/>
      <c r="H90" s="148" t="n"/>
      <c r="I90" s="148" t="n"/>
      <c r="J90" s="148" t="n"/>
      <c r="K90" s="148" t="n"/>
      <c r="L90" s="148" t="n"/>
      <c r="M90" s="148" t="n"/>
      <c r="N90" s="148" t="n"/>
      <c r="O90" s="148" t="n"/>
      <c r="P90" s="148" t="n"/>
      <c r="Q90" s="148" t="n"/>
      <c r="R90" s="148" t="n"/>
      <c r="S90" s="148" t="n"/>
      <c r="T90" s="148" t="n"/>
      <c r="U90" s="148" t="n"/>
      <c r="V90" s="131" t="n"/>
      <c r="W90" s="131" t="n"/>
      <c r="X90" s="131" t="n"/>
      <c r="Y90" s="131" t="n"/>
      <c r="Z90" s="131" t="n"/>
      <c r="AA90" s="131" t="n"/>
      <c r="AB90" s="131" t="n"/>
      <c r="AC90" s="131" t="n"/>
      <c r="AD90" s="131" t="n"/>
      <c r="AE90" s="131" t="n"/>
      <c r="AF90" s="131" t="n"/>
      <c r="AG90" s="131" t="n"/>
      <c r="AH90" s="131" t="n"/>
      <c r="AI90" s="131" t="n"/>
      <c r="AJ90" s="131" t="n"/>
      <c r="AK90" s="131" t="n"/>
      <c r="AL90" s="131" t="n"/>
      <c r="AM90" s="131" t="n"/>
      <c r="AN90" s="131" t="n"/>
      <c r="AO90" s="131" t="n"/>
      <c r="AP90" s="131" t="n"/>
      <c r="AQ90" s="131" t="n"/>
      <c r="AR90" s="131" t="n"/>
      <c r="AS90" s="131" t="n"/>
    </row>
    <row r="91">
      <c r="A91" s="74">
        <f>FS_Q!A91</f>
        <v/>
      </c>
      <c r="B91" s="148" t="n"/>
      <c r="C91" s="148" t="n"/>
      <c r="D91" s="148" t="n"/>
      <c r="E91" s="517">
        <f>SUMIF(FS_Q!$1:$1,FS_Y!E$1,FS_Q!91:91)</f>
        <v/>
      </c>
      <c r="F91" s="517">
        <f>SUMIF(FS_Q!$1:$1,FS_Y!F$1,FS_Q!91:91)</f>
        <v/>
      </c>
      <c r="G91" s="517">
        <f>SUMIF(FS_Q!$1:$1,FS_Y!G$1,FS_Q!91:91)</f>
        <v/>
      </c>
      <c r="H91" s="517">
        <f>SUMIF(FS_Q!$1:$1,FS_Y!H$1,FS_Q!91:91)</f>
        <v/>
      </c>
      <c r="I91" s="517">
        <f>SUMIF(FS_Q!$1:$1,FS_Y!I$1,FS_Q!91:91)</f>
        <v/>
      </c>
      <c r="J91" s="517">
        <f>SUMIF(FS_Q!$1:$1,FS_Y!J$1,FS_Q!91:91)</f>
        <v/>
      </c>
      <c r="K91" s="517">
        <f>SUMIF(FS_Q!$1:$1,FS_Y!K$1,FS_Q!91:91)</f>
        <v/>
      </c>
      <c r="L91" s="517">
        <f>SUMIF(FS_Q!$1:$1,FS_Y!L$1,FS_Q!91:91)</f>
        <v/>
      </c>
      <c r="M91" s="517">
        <f>SUMIF(FS_Q!$1:$1,FS_Y!M$1,FS_Q!91:91)</f>
        <v/>
      </c>
      <c r="N91" s="517">
        <f>SUMIF(FS_Q!$1:$1,FS_Y!N$1,FS_Q!91:91)</f>
        <v/>
      </c>
      <c r="O91" s="517">
        <f>SUMIF(FS_Q!$1:$1,FS_Y!O$1,FS_Q!91:91)</f>
        <v/>
      </c>
      <c r="P91" s="517">
        <f>SUMIF(FS_Q!$1:$1,FS_Y!P$1,FS_Q!91:91)</f>
        <v/>
      </c>
      <c r="Q91" s="517">
        <f>SUMIF(FS_Q!$1:$1,FS_Y!Q$1,FS_Q!91:91)</f>
        <v/>
      </c>
      <c r="R91" s="517">
        <f>SUMIF(FS_Q!$1:$1,FS_Y!R$1,FS_Q!91:91)</f>
        <v/>
      </c>
      <c r="S91" s="517">
        <f>SUMIF(FS_Q!$1:$1,FS_Y!S$1,FS_Q!91:91)</f>
        <v/>
      </c>
      <c r="T91" s="517">
        <f>SUMIF(FS_Q!$1:$1,FS_Y!T$1,FS_Q!91:91)</f>
        <v/>
      </c>
      <c r="U91" s="517">
        <f>SUMIF(FS_Q!$1:$1,FS_Y!U$1,FS_Q!91:91)</f>
        <v/>
      </c>
      <c r="V91" s="517">
        <f>SUMIF(FS_Q!$1:$1,FS_Y!V$1,FS_Q!91:91)</f>
        <v/>
      </c>
      <c r="W91" s="517">
        <f>SUMIF(FS_Q!$1:$1,FS_Y!W$1,FS_Q!91:91)</f>
        <v/>
      </c>
      <c r="X91" s="148" t="n"/>
      <c r="Y91" s="148" t="n"/>
      <c r="Z91" s="148" t="n"/>
      <c r="AA91" s="148" t="n"/>
      <c r="AB91" s="148" t="n"/>
      <c r="AC91" s="148" t="n"/>
      <c r="AD91" s="148" t="n"/>
      <c r="AE91" s="148" t="n"/>
      <c r="AF91" s="148" t="n"/>
      <c r="AG91" s="148" t="n"/>
      <c r="AH91" s="148" t="n"/>
      <c r="AI91" s="148" t="n"/>
      <c r="AJ91" s="148" t="n"/>
      <c r="AK91" s="148" t="n"/>
      <c r="AL91" s="148" t="n"/>
      <c r="AM91" s="148" t="n"/>
      <c r="AN91" s="148" t="n"/>
      <c r="AO91" s="148" t="n"/>
      <c r="AP91" s="148" t="n"/>
      <c r="AQ91" s="148" t="n"/>
      <c r="AR91" s="148" t="n"/>
      <c r="AS91" s="148" t="n"/>
    </row>
    <row r="92">
      <c r="A92" s="74">
        <f>FS_Q!A92</f>
        <v/>
      </c>
      <c r="B92" s="148" t="n"/>
      <c r="C92" s="147" t="n"/>
      <c r="D92" s="147" t="n"/>
      <c r="X92" s="148" t="n"/>
      <c r="Y92" s="148" t="n"/>
      <c r="Z92" s="148" t="n"/>
      <c r="AA92" s="148" t="n"/>
      <c r="AB92" s="148" t="n"/>
      <c r="AC92" s="148" t="n"/>
      <c r="AD92" s="148" t="n"/>
      <c r="AE92" s="148" t="n"/>
      <c r="AF92" s="148" t="n"/>
      <c r="AG92" s="148" t="n"/>
      <c r="AH92" s="148" t="n"/>
      <c r="AI92" s="148" t="n"/>
      <c r="AJ92" s="148" t="n"/>
      <c r="AK92" s="148" t="n"/>
      <c r="AL92" s="148" t="n"/>
      <c r="AM92" s="148" t="n"/>
      <c r="AN92" s="148" t="n"/>
      <c r="AO92" s="148" t="n"/>
      <c r="AP92" s="148" t="n"/>
      <c r="AQ92" s="148" t="n"/>
      <c r="AR92" s="148" t="n"/>
      <c r="AS92" s="148" t="n"/>
    </row>
    <row r="93" customFormat="1" s="281">
      <c r="A93" s="33">
        <f>FS_Q!A93</f>
        <v/>
      </c>
      <c r="B93" s="382" t="n"/>
      <c r="C93" s="147" t="n"/>
      <c r="D93" s="147" t="n"/>
      <c r="E93" s="517">
        <f>SUMIF(FS_Q!$1:$1,FS_Y!E$1,FS_Q!93:93)</f>
        <v/>
      </c>
      <c r="F93" s="517">
        <f>SUMIF(FS_Q!$1:$1,FS_Y!F$1,FS_Q!93:93)</f>
        <v/>
      </c>
      <c r="G93" s="517">
        <f>SUMIF(FS_Q!$1:$1,FS_Y!G$1,FS_Q!93:93)</f>
        <v/>
      </c>
      <c r="H93" s="517">
        <f>SUMIF(FS_Q!$1:$1,FS_Y!H$1,FS_Q!93:93)</f>
        <v/>
      </c>
      <c r="I93" s="517">
        <f>SUMIF(FS_Q!$1:$1,FS_Y!I$1,FS_Q!93:93)</f>
        <v/>
      </c>
      <c r="J93" s="517">
        <f>SUMIF(FS_Q!$1:$1,FS_Y!J$1,FS_Q!93:93)</f>
        <v/>
      </c>
      <c r="K93" s="517">
        <f>SUMIF(FS_Q!$1:$1,FS_Y!K$1,FS_Q!93:93)</f>
        <v/>
      </c>
      <c r="L93" s="517">
        <f>SUMIF(FS_Q!$1:$1,FS_Y!L$1,FS_Q!93:93)</f>
        <v/>
      </c>
      <c r="M93" s="517">
        <f>SUMIF(FS_Q!$1:$1,FS_Y!M$1,FS_Q!93:93)</f>
        <v/>
      </c>
      <c r="N93" s="517">
        <f>SUMIF(FS_Q!$1:$1,FS_Y!N$1,FS_Q!93:93)</f>
        <v/>
      </c>
      <c r="O93" s="517">
        <f>SUMIF(FS_Q!$1:$1,FS_Y!O$1,FS_Q!93:93)</f>
        <v/>
      </c>
      <c r="P93" s="517">
        <f>SUMIF(FS_Q!$1:$1,FS_Y!P$1,FS_Q!93:93)</f>
        <v/>
      </c>
      <c r="Q93" s="517">
        <f>SUMIF(FS_Q!$1:$1,FS_Y!Q$1,FS_Q!93:93)</f>
        <v/>
      </c>
      <c r="R93" s="517">
        <f>SUMIF(FS_Q!$1:$1,FS_Y!R$1,FS_Q!93:93)</f>
        <v/>
      </c>
      <c r="S93" s="517">
        <f>SUMIF(FS_Q!$1:$1,FS_Y!S$1,FS_Q!93:93)</f>
        <v/>
      </c>
      <c r="T93" s="517">
        <f>SUMIF(FS_Q!$1:$1,FS_Y!T$1,FS_Q!93:93)</f>
        <v/>
      </c>
      <c r="U93" s="517">
        <f>SUMIF(FS_Q!$1:$1,FS_Y!U$1,FS_Q!93:93)</f>
        <v/>
      </c>
      <c r="V93" s="517">
        <f>SUMIF(FS_Q!$1:$1,FS_Y!V$1,FS_Q!93:93)</f>
        <v/>
      </c>
      <c r="W93" s="517">
        <f>SUMIF(FS_Q!$1:$1,FS_Y!W$1,FS_Q!93:93)</f>
        <v/>
      </c>
      <c r="X93" s="382" t="n"/>
      <c r="Y93" s="382" t="n"/>
      <c r="Z93" s="382" t="n"/>
      <c r="AA93" s="382" t="n"/>
      <c r="AB93" s="382" t="n"/>
      <c r="AC93" s="382" t="n"/>
      <c r="AD93" s="382" t="n"/>
      <c r="AE93" s="382" t="n"/>
      <c r="AF93" s="382" t="n"/>
      <c r="AG93" s="382" t="n"/>
      <c r="AH93" s="382" t="n"/>
      <c r="AI93" s="382" t="n"/>
      <c r="AJ93" s="382" t="n"/>
      <c r="AK93" s="382" t="n"/>
      <c r="AL93" s="382" t="n"/>
      <c r="AM93" s="382" t="n"/>
      <c r="AN93" s="382" t="n"/>
      <c r="AO93" s="382" t="n"/>
      <c r="AP93" s="382" t="n"/>
      <c r="AQ93" s="382" t="n"/>
      <c r="AR93" s="382" t="n"/>
      <c r="AS93" s="382" t="n"/>
    </row>
    <row r="94">
      <c r="A94" s="33">
        <f>FS_Q!A94</f>
        <v/>
      </c>
      <c r="B94" s="148" t="n"/>
      <c r="C94" s="148" t="n"/>
      <c r="D94" s="148" t="n"/>
      <c r="E94" s="517">
        <f>SUMIF(FS_Q!$1:$1,FS_Y!E$1,FS_Q!94:94)</f>
        <v/>
      </c>
      <c r="F94" s="517">
        <f>SUMIF(FS_Q!$1:$1,FS_Y!F$1,FS_Q!94:94)</f>
        <v/>
      </c>
      <c r="G94" s="517">
        <f>SUMIF(FS_Q!$1:$1,FS_Y!G$1,FS_Q!94:94)</f>
        <v/>
      </c>
      <c r="H94" s="517">
        <f>SUMIF(FS_Q!$1:$1,FS_Y!H$1,FS_Q!94:94)</f>
        <v/>
      </c>
      <c r="I94" s="517">
        <f>SUMIF(FS_Q!$1:$1,FS_Y!I$1,FS_Q!94:94)</f>
        <v/>
      </c>
      <c r="J94" s="517">
        <f>SUMIF(FS_Q!$1:$1,FS_Y!J$1,FS_Q!94:94)</f>
        <v/>
      </c>
      <c r="K94" s="517">
        <f>SUMIF(FS_Q!$1:$1,FS_Y!K$1,FS_Q!94:94)</f>
        <v/>
      </c>
      <c r="L94" s="517">
        <f>SUMIF(FS_Q!$1:$1,FS_Y!L$1,FS_Q!94:94)</f>
        <v/>
      </c>
      <c r="M94" s="517">
        <f>SUMIF(FS_Q!$1:$1,FS_Y!M$1,FS_Q!94:94)</f>
        <v/>
      </c>
      <c r="N94" s="517">
        <f>SUMIF(FS_Q!$1:$1,FS_Y!N$1,FS_Q!94:94)</f>
        <v/>
      </c>
      <c r="O94" s="517">
        <f>SUMIF(FS_Q!$1:$1,FS_Y!O$1,FS_Q!94:94)</f>
        <v/>
      </c>
      <c r="P94" s="517">
        <f>SUMIF(FS_Q!$1:$1,FS_Y!P$1,FS_Q!94:94)</f>
        <v/>
      </c>
      <c r="Q94" s="517">
        <f>SUMIF(FS_Q!$1:$1,FS_Y!Q$1,FS_Q!94:94)</f>
        <v/>
      </c>
      <c r="R94" s="517">
        <f>SUMIF(FS_Q!$1:$1,FS_Y!R$1,FS_Q!94:94)</f>
        <v/>
      </c>
      <c r="S94" s="517">
        <f>SUMIF(FS_Q!$1:$1,FS_Y!S$1,FS_Q!94:94)</f>
        <v/>
      </c>
      <c r="T94" s="517">
        <f>SUMIF(FS_Q!$1:$1,FS_Y!T$1,FS_Q!94:94)</f>
        <v/>
      </c>
      <c r="U94" s="517">
        <f>SUMIF(FS_Q!$1:$1,FS_Y!U$1,FS_Q!94:94)</f>
        <v/>
      </c>
      <c r="V94" s="517">
        <f>SUMIF(FS_Q!$1:$1,FS_Y!V$1,FS_Q!94:94)</f>
        <v/>
      </c>
      <c r="W94" s="517">
        <f>SUMIF(FS_Q!$1:$1,FS_Y!W$1,FS_Q!94:94)</f>
        <v/>
      </c>
      <c r="X94" s="148" t="n"/>
      <c r="Y94" s="148" t="n"/>
      <c r="Z94" s="148" t="n"/>
      <c r="AA94" s="148" t="n"/>
      <c r="AB94" s="148" t="n"/>
      <c r="AC94" s="148" t="n"/>
      <c r="AD94" s="148" t="n"/>
      <c r="AE94" s="148" t="n"/>
      <c r="AF94" s="148" t="n"/>
      <c r="AG94" s="148" t="n"/>
      <c r="AH94" s="148" t="n"/>
      <c r="AI94" s="148" t="n"/>
      <c r="AJ94" s="148" t="n"/>
      <c r="AK94" s="148" t="n"/>
      <c r="AL94" s="148" t="n"/>
      <c r="AM94" s="148" t="n"/>
      <c r="AN94" s="148" t="n"/>
      <c r="AO94" s="148" t="n"/>
      <c r="AP94" s="148" t="n"/>
      <c r="AQ94" s="148" t="n"/>
      <c r="AR94" s="148" t="n"/>
      <c r="AS94" s="148" t="n"/>
    </row>
    <row r="95">
      <c r="A95" s="33">
        <f>FS_Q!A95</f>
        <v/>
      </c>
      <c r="B95" s="148" t="n"/>
      <c r="C95" s="148" t="n"/>
      <c r="D95" s="148" t="n"/>
      <c r="E95" s="517">
        <f>SUMIF(FS_Q!$1:$1,FS_Y!E$1,FS_Q!95:95)</f>
        <v/>
      </c>
      <c r="F95" s="517">
        <f>SUMIF(FS_Q!$1:$1,FS_Y!F$1,FS_Q!95:95)</f>
        <v/>
      </c>
      <c r="G95" s="517">
        <f>SUMIF(FS_Q!$1:$1,FS_Y!G$1,FS_Q!95:95)</f>
        <v/>
      </c>
      <c r="H95" s="517">
        <f>SUMIF(FS_Q!$1:$1,FS_Y!H$1,FS_Q!95:95)</f>
        <v/>
      </c>
      <c r="I95" s="517">
        <f>SUMIF(FS_Q!$1:$1,FS_Y!I$1,FS_Q!95:95)</f>
        <v/>
      </c>
      <c r="J95" s="517">
        <f>SUMIF(FS_Q!$1:$1,FS_Y!J$1,FS_Q!95:95)</f>
        <v/>
      </c>
      <c r="K95" s="517">
        <f>SUMIF(FS_Q!$1:$1,FS_Y!K$1,FS_Q!95:95)</f>
        <v/>
      </c>
      <c r="L95" s="517">
        <f>SUMIF(FS_Q!$1:$1,FS_Y!L$1,FS_Q!95:95)</f>
        <v/>
      </c>
      <c r="M95" s="517">
        <f>SUMIF(FS_Q!$1:$1,FS_Y!M$1,FS_Q!95:95)</f>
        <v/>
      </c>
      <c r="N95" s="517">
        <f>SUMIF(FS_Q!$1:$1,FS_Y!N$1,FS_Q!95:95)</f>
        <v/>
      </c>
      <c r="O95" s="517">
        <f>SUMIF(FS_Q!$1:$1,FS_Y!O$1,FS_Q!95:95)</f>
        <v/>
      </c>
      <c r="P95" s="517">
        <f>SUMIF(FS_Q!$1:$1,FS_Y!P$1,FS_Q!95:95)</f>
        <v/>
      </c>
      <c r="Q95" s="517">
        <f>SUMIF(FS_Q!$1:$1,FS_Y!Q$1,FS_Q!95:95)</f>
        <v/>
      </c>
      <c r="R95" s="517">
        <f>SUMIF(FS_Q!$1:$1,FS_Y!R$1,FS_Q!95:95)</f>
        <v/>
      </c>
      <c r="S95" s="517">
        <f>SUMIF(FS_Q!$1:$1,FS_Y!S$1,FS_Q!95:95)</f>
        <v/>
      </c>
      <c r="T95" s="517">
        <f>SUMIF(FS_Q!$1:$1,FS_Y!T$1,FS_Q!95:95)</f>
        <v/>
      </c>
      <c r="U95" s="517">
        <f>SUMIF(FS_Q!$1:$1,FS_Y!U$1,FS_Q!95:95)</f>
        <v/>
      </c>
      <c r="V95" s="517">
        <f>SUMIF(FS_Q!$1:$1,FS_Y!V$1,FS_Q!95:95)</f>
        <v/>
      </c>
      <c r="W95" s="517">
        <f>SUMIF(FS_Q!$1:$1,FS_Y!W$1,FS_Q!95:95)</f>
        <v/>
      </c>
      <c r="X95" s="148" t="n"/>
      <c r="Y95" s="148" t="n"/>
      <c r="Z95" s="148" t="n"/>
      <c r="AA95" s="148" t="n"/>
      <c r="AB95" s="148" t="n"/>
      <c r="AC95" s="148" t="n"/>
      <c r="AD95" s="148" t="n"/>
      <c r="AE95" s="148" t="n"/>
      <c r="AF95" s="148" t="n"/>
      <c r="AG95" s="148" t="n"/>
      <c r="AH95" s="148" t="n"/>
      <c r="AI95" s="148" t="n"/>
      <c r="AJ95" s="148" t="n"/>
      <c r="AK95" s="148" t="n"/>
      <c r="AL95" s="148" t="n"/>
      <c r="AM95" s="148" t="n"/>
      <c r="AN95" s="148" t="n"/>
      <c r="AO95" s="148" t="n"/>
      <c r="AP95" s="148" t="n"/>
      <c r="AQ95" s="148" t="n"/>
      <c r="AR95" s="148" t="n"/>
      <c r="AS95" s="148" t="n"/>
    </row>
    <row r="96" customFormat="1" s="21">
      <c r="A96" s="74">
        <f>FS_Q!A96</f>
        <v/>
      </c>
      <c r="B96" s="148" t="n"/>
      <c r="C96" s="26" t="n"/>
      <c r="D96" s="26" t="n"/>
      <c r="X96" s="148" t="n"/>
      <c r="Y96" s="148" t="n"/>
      <c r="Z96" s="148" t="n"/>
      <c r="AA96" s="148" t="n"/>
      <c r="AB96" s="148" t="n"/>
      <c r="AC96" s="148" t="n"/>
      <c r="AD96" s="148" t="n"/>
      <c r="AE96" s="148" t="n"/>
      <c r="AF96" s="148" t="n"/>
      <c r="AG96" s="148" t="n"/>
      <c r="AH96" s="148" t="n"/>
      <c r="AI96" s="148" t="n"/>
      <c r="AJ96" s="148" t="n"/>
      <c r="AK96" s="148" t="n"/>
      <c r="AL96" s="148" t="n"/>
      <c r="AM96" s="148" t="n"/>
      <c r="AN96" s="148" t="n"/>
      <c r="AO96" s="148" t="n"/>
      <c r="AP96" s="148" t="n"/>
      <c r="AQ96" s="148" t="n"/>
      <c r="AR96" s="148" t="n"/>
      <c r="AS96" s="148" t="n"/>
    </row>
    <row r="97">
      <c r="A97" s="33">
        <f>FS_Q!A97</f>
        <v/>
      </c>
      <c r="B97" s="148" t="n"/>
      <c r="C97" s="148" t="n"/>
      <c r="D97" s="148" t="n"/>
      <c r="E97" s="108">
        <f>SUMIF(FS_Q!$1:$1,FS_Y!E$1,FS_Q!97:97)</f>
        <v/>
      </c>
      <c r="F97" s="108">
        <f>SUMIF(FS_Q!$1:$1,FS_Y!F$1,FS_Q!97:97)</f>
        <v/>
      </c>
      <c r="G97" s="108">
        <f>SUMIF(FS_Q!$1:$1,FS_Y!G$1,FS_Q!97:97)</f>
        <v/>
      </c>
      <c r="H97" s="108">
        <f>SUMIF(FS_Q!$1:$1,FS_Y!H$1,FS_Q!97:97)</f>
        <v/>
      </c>
      <c r="I97" s="108">
        <f>SUMIF(FS_Q!$1:$1,FS_Y!I$1,FS_Q!97:97)</f>
        <v/>
      </c>
      <c r="J97" s="108">
        <f>SUMIF(FS_Q!$1:$1,FS_Y!J$1,FS_Q!97:97)</f>
        <v/>
      </c>
      <c r="K97" s="108">
        <f>SUMIF(FS_Q!$1:$1,FS_Y!K$1,FS_Q!97:97)</f>
        <v/>
      </c>
      <c r="L97" s="108">
        <f>SUMIF(FS_Q!$1:$1,FS_Y!L$1,FS_Q!97:97)</f>
        <v/>
      </c>
      <c r="M97" s="108">
        <f>SUMIF(FS_Q!$1:$1,FS_Y!M$1,FS_Q!97:97)</f>
        <v/>
      </c>
      <c r="N97" s="108">
        <f>SUMIF(FS_Q!$1:$1,FS_Y!N$1,FS_Q!97:97)</f>
        <v/>
      </c>
      <c r="O97" s="108">
        <f>SUMIF(FS_Q!$1:$1,FS_Y!O$1,FS_Q!97:97)</f>
        <v/>
      </c>
      <c r="P97" s="108">
        <f>SUMIF(FS_Q!$1:$1,FS_Y!P$1,FS_Q!97:97)</f>
        <v/>
      </c>
      <c r="Q97" s="108">
        <f>SUMIF(FS_Q!$1:$1,FS_Y!Q$1,FS_Q!97:97)</f>
        <v/>
      </c>
      <c r="R97" s="108">
        <f>SUMIF(FS_Q!$1:$1,FS_Y!R$1,FS_Q!97:97)</f>
        <v/>
      </c>
      <c r="S97" s="108">
        <f>SUMIF(FS_Q!$1:$1,FS_Y!S$1,FS_Q!97:97)</f>
        <v/>
      </c>
      <c r="T97" s="108">
        <f>SUMIF(FS_Q!$1:$1,FS_Y!T$1,FS_Q!97:97)</f>
        <v/>
      </c>
      <c r="U97" s="108">
        <f>SUMIF(FS_Q!$1:$1,FS_Y!U$1,FS_Q!97:97)</f>
        <v/>
      </c>
      <c r="V97" s="108">
        <f>SUMIF(FS_Q!$1:$1,FS_Y!V$1,FS_Q!97:97)</f>
        <v/>
      </c>
      <c r="W97" s="108">
        <f>SUMIF(FS_Q!$1:$1,FS_Y!W$1,FS_Q!97:97)</f>
        <v/>
      </c>
      <c r="X97" s="148" t="n"/>
      <c r="Y97" s="148" t="n"/>
      <c r="Z97" s="148" t="n"/>
      <c r="AA97" s="148" t="n"/>
      <c r="AB97" s="148" t="n"/>
      <c r="AC97" s="148" t="n"/>
      <c r="AD97" s="148" t="n"/>
      <c r="AE97" s="148" t="n"/>
      <c r="AF97" s="148" t="n"/>
      <c r="AG97" s="148" t="n"/>
      <c r="AH97" s="148" t="n"/>
      <c r="AI97" s="148" t="n"/>
      <c r="AJ97" s="148" t="n"/>
      <c r="AK97" s="148" t="n"/>
      <c r="AL97" s="148" t="n"/>
      <c r="AM97" s="148" t="n"/>
      <c r="AN97" s="148" t="n"/>
      <c r="AO97" s="148" t="n"/>
      <c r="AP97" s="148" t="n"/>
      <c r="AQ97" s="148" t="n"/>
      <c r="AR97" s="148" t="n"/>
      <c r="AS97" s="148" t="n"/>
    </row>
    <row r="98">
      <c r="A98" s="33">
        <f>FS_Q!A98</f>
        <v/>
      </c>
      <c r="B98" s="148" t="n"/>
      <c r="C98" s="148" t="n"/>
      <c r="D98" s="143" t="n"/>
      <c r="E98" s="108">
        <f>SUMIF(FS_Q!$1:$1,FS_Y!E$1,FS_Q!98:98)</f>
        <v/>
      </c>
      <c r="F98" s="108">
        <f>SUMIF(FS_Q!$1:$1,FS_Y!F$1,FS_Q!98:98)</f>
        <v/>
      </c>
      <c r="G98" s="108">
        <f>SUMIF(FS_Q!$1:$1,FS_Y!G$1,FS_Q!98:98)</f>
        <v/>
      </c>
      <c r="H98" s="108">
        <f>SUMIF(FS_Q!$1:$1,FS_Y!H$1,FS_Q!98:98)</f>
        <v/>
      </c>
      <c r="I98" s="108">
        <f>SUMIF(FS_Q!$1:$1,FS_Y!I$1,FS_Q!98:98)</f>
        <v/>
      </c>
      <c r="J98" s="108">
        <f>SUMIF(FS_Q!$1:$1,FS_Y!J$1,FS_Q!98:98)</f>
        <v/>
      </c>
      <c r="K98" s="108">
        <f>SUMIF(FS_Q!$1:$1,FS_Y!K$1,FS_Q!98:98)</f>
        <v/>
      </c>
      <c r="L98" s="108">
        <f>SUMIF(FS_Q!$1:$1,FS_Y!L$1,FS_Q!98:98)</f>
        <v/>
      </c>
      <c r="M98" s="108">
        <f>SUMIF(FS_Q!$1:$1,FS_Y!M$1,FS_Q!98:98)</f>
        <v/>
      </c>
      <c r="N98" s="108">
        <f>SUMIF(FS_Q!$1:$1,FS_Y!N$1,FS_Q!98:98)</f>
        <v/>
      </c>
      <c r="O98" s="108">
        <f>SUMIF(FS_Q!$1:$1,FS_Y!O$1,FS_Q!98:98)</f>
        <v/>
      </c>
      <c r="P98" s="108">
        <f>SUMIF(FS_Q!$1:$1,FS_Y!P$1,FS_Q!98:98)</f>
        <v/>
      </c>
      <c r="Q98" s="108">
        <f>SUMIF(FS_Q!$1:$1,FS_Y!Q$1,FS_Q!98:98)</f>
        <v/>
      </c>
      <c r="R98" s="108">
        <f>SUMIF(FS_Q!$1:$1,FS_Y!R$1,FS_Q!98:98)</f>
        <v/>
      </c>
      <c r="S98" s="108">
        <f>SUMIF(FS_Q!$1:$1,FS_Y!S$1,FS_Q!98:98)</f>
        <v/>
      </c>
      <c r="T98" s="108">
        <f>SUMIF(FS_Q!$1:$1,FS_Y!T$1,FS_Q!98:98)</f>
        <v/>
      </c>
      <c r="U98" s="108">
        <f>SUMIF(FS_Q!$1:$1,FS_Y!U$1,FS_Q!98:98)</f>
        <v/>
      </c>
      <c r="V98" s="108">
        <f>SUMIF(FS_Q!$1:$1,FS_Y!V$1,FS_Q!98:98)</f>
        <v/>
      </c>
      <c r="W98" s="108">
        <f>SUMIF(FS_Q!$1:$1,FS_Y!W$1,FS_Q!98:98)</f>
        <v/>
      </c>
      <c r="X98" s="148" t="n"/>
      <c r="Y98" s="148" t="n"/>
      <c r="Z98" s="148" t="n"/>
      <c r="AA98" s="148" t="n"/>
      <c r="AB98" s="148" t="n"/>
      <c r="AC98" s="148" t="n"/>
      <c r="AD98" s="148" t="n"/>
      <c r="AE98" s="148" t="n"/>
      <c r="AF98" s="148" t="n"/>
      <c r="AG98" s="148" t="n"/>
      <c r="AH98" s="148" t="n"/>
      <c r="AI98" s="148" t="n"/>
      <c r="AJ98" s="148" t="n"/>
      <c r="AK98" s="148" t="n"/>
      <c r="AL98" s="148" t="n"/>
      <c r="AM98" s="148" t="n"/>
      <c r="AN98" s="148" t="n"/>
      <c r="AO98" s="148" t="n"/>
      <c r="AP98" s="148" t="n"/>
      <c r="AQ98" s="148" t="n"/>
      <c r="AR98" s="148" t="n"/>
      <c r="AS98" s="148" t="n"/>
    </row>
    <row r="99">
      <c r="A99" s="33">
        <f>FS_Q!A99</f>
        <v/>
      </c>
      <c r="B99" s="148" t="n"/>
      <c r="C99" s="148" t="n"/>
      <c r="D99" s="143" t="n"/>
      <c r="E99" s="108">
        <f>SUMIF(FS_Q!$1:$1,FS_Y!E$1,FS_Q!99:99)</f>
        <v/>
      </c>
      <c r="F99" s="108">
        <f>SUMIF(FS_Q!$1:$1,FS_Y!F$1,FS_Q!99:99)</f>
        <v/>
      </c>
      <c r="G99" s="108">
        <f>SUMIF(FS_Q!$1:$1,FS_Y!G$1,FS_Q!99:99)</f>
        <v/>
      </c>
      <c r="H99" s="108">
        <f>SUMIF(FS_Q!$1:$1,FS_Y!H$1,FS_Q!99:99)</f>
        <v/>
      </c>
      <c r="I99" s="108">
        <f>SUMIF(FS_Q!$1:$1,FS_Y!I$1,FS_Q!99:99)</f>
        <v/>
      </c>
      <c r="J99" s="108">
        <f>SUMIF(FS_Q!$1:$1,FS_Y!J$1,FS_Q!99:99)</f>
        <v/>
      </c>
      <c r="K99" s="108">
        <f>SUMIF(FS_Q!$1:$1,FS_Y!K$1,FS_Q!99:99)</f>
        <v/>
      </c>
      <c r="L99" s="108">
        <f>SUMIF(FS_Q!$1:$1,FS_Y!L$1,FS_Q!99:99)</f>
        <v/>
      </c>
      <c r="M99" s="108">
        <f>SUMIF(FS_Q!$1:$1,FS_Y!M$1,FS_Q!99:99)</f>
        <v/>
      </c>
      <c r="N99" s="108">
        <f>SUMIF(FS_Q!$1:$1,FS_Y!N$1,FS_Q!99:99)</f>
        <v/>
      </c>
      <c r="O99" s="108">
        <f>SUMIF(FS_Q!$1:$1,FS_Y!O$1,FS_Q!99:99)</f>
        <v/>
      </c>
      <c r="P99" s="108">
        <f>SUMIF(FS_Q!$1:$1,FS_Y!P$1,FS_Q!99:99)</f>
        <v/>
      </c>
      <c r="Q99" s="108">
        <f>SUMIF(FS_Q!$1:$1,FS_Y!Q$1,FS_Q!99:99)</f>
        <v/>
      </c>
      <c r="R99" s="108">
        <f>SUMIF(FS_Q!$1:$1,FS_Y!R$1,FS_Q!99:99)</f>
        <v/>
      </c>
      <c r="S99" s="108">
        <f>SUMIF(FS_Q!$1:$1,FS_Y!S$1,FS_Q!99:99)</f>
        <v/>
      </c>
      <c r="T99" s="108">
        <f>SUMIF(FS_Q!$1:$1,FS_Y!T$1,FS_Q!99:99)</f>
        <v/>
      </c>
      <c r="U99" s="108">
        <f>SUMIF(FS_Q!$1:$1,FS_Y!U$1,FS_Q!99:99)</f>
        <v/>
      </c>
      <c r="V99" s="108">
        <f>SUMIF(FS_Q!$1:$1,FS_Y!V$1,FS_Q!99:99)</f>
        <v/>
      </c>
      <c r="W99" s="108">
        <f>SUMIF(FS_Q!$1:$1,FS_Y!W$1,FS_Q!99:99)</f>
        <v/>
      </c>
      <c r="X99" s="148" t="n"/>
      <c r="Y99" s="148" t="n"/>
      <c r="Z99" s="148" t="n"/>
      <c r="AA99" s="148" t="n"/>
      <c r="AB99" s="148" t="n"/>
      <c r="AC99" s="148" t="n"/>
      <c r="AD99" s="148" t="n"/>
      <c r="AE99" s="148" t="n"/>
      <c r="AF99" s="148" t="n"/>
      <c r="AG99" s="148" t="n"/>
      <c r="AH99" s="148" t="n"/>
      <c r="AI99" s="148" t="n"/>
      <c r="AJ99" s="148" t="n"/>
      <c r="AK99" s="148" t="n"/>
      <c r="AL99" s="148" t="n"/>
      <c r="AM99" s="148" t="n"/>
      <c r="AN99" s="148" t="n"/>
      <c r="AO99" s="148" t="n"/>
      <c r="AP99" s="148" t="n"/>
      <c r="AQ99" s="148" t="n"/>
      <c r="AR99" s="148" t="n"/>
      <c r="AS99" s="148" t="n"/>
    </row>
    <row r="100">
      <c r="A100" s="33">
        <f>FS_Q!A100</f>
        <v/>
      </c>
      <c r="B100" s="148" t="n"/>
      <c r="C100" s="148" t="n"/>
      <c r="D100" s="143" t="n"/>
      <c r="E100" s="517">
        <f>SUMIF(FS_Q!$1:$1,FS_Y!E$1,FS_Q!100:100)</f>
        <v/>
      </c>
      <c r="F100" s="517">
        <f>SUMIF(FS_Q!$1:$1,FS_Y!F$1,FS_Q!100:100)</f>
        <v/>
      </c>
      <c r="G100" s="517">
        <f>SUMIF(FS_Q!$1:$1,FS_Y!G$1,FS_Q!100:100)</f>
        <v/>
      </c>
      <c r="H100" s="517">
        <f>SUMIF(FS_Q!$1:$1,FS_Y!H$1,FS_Q!100:100)</f>
        <v/>
      </c>
      <c r="I100" s="517">
        <f>SUMIF(FS_Q!$1:$1,FS_Y!I$1,FS_Q!100:100)</f>
        <v/>
      </c>
      <c r="J100" s="517">
        <f>SUMIF(FS_Q!$1:$1,FS_Y!J$1,FS_Q!100:100)</f>
        <v/>
      </c>
      <c r="K100" s="517">
        <f>SUMIF(FS_Q!$1:$1,FS_Y!K$1,FS_Q!100:100)</f>
        <v/>
      </c>
      <c r="L100" s="517">
        <f>SUMIF(FS_Q!$1:$1,FS_Y!L$1,FS_Q!100:100)</f>
        <v/>
      </c>
      <c r="M100" s="517">
        <f>SUMIF(FS_Q!$1:$1,FS_Y!M$1,FS_Q!100:100)</f>
        <v/>
      </c>
      <c r="N100" s="517">
        <f>SUMIF(FS_Q!$1:$1,FS_Y!N$1,FS_Q!100:100)</f>
        <v/>
      </c>
      <c r="O100" s="517">
        <f>SUMIF(FS_Q!$1:$1,FS_Y!O$1,FS_Q!100:100)</f>
        <v/>
      </c>
      <c r="P100" s="517">
        <f>SUMIF(FS_Q!$1:$1,FS_Y!P$1,FS_Q!100:100)</f>
        <v/>
      </c>
      <c r="Q100" s="517">
        <f>SUMIF(FS_Q!$1:$1,FS_Y!Q$1,FS_Q!100:100)</f>
        <v/>
      </c>
      <c r="R100" s="517">
        <f>SUMIF(FS_Q!$1:$1,FS_Y!R$1,FS_Q!100:100)</f>
        <v/>
      </c>
      <c r="S100" s="517">
        <f>SUMIF(FS_Q!$1:$1,FS_Y!S$1,FS_Q!100:100)</f>
        <v/>
      </c>
      <c r="T100" s="517">
        <f>SUMIF(FS_Q!$1:$1,FS_Y!T$1,FS_Q!100:100)</f>
        <v/>
      </c>
      <c r="U100" s="517">
        <f>SUMIF(FS_Q!$1:$1,FS_Y!U$1,FS_Q!100:100)</f>
        <v/>
      </c>
      <c r="V100" s="517">
        <f>SUMIF(FS_Q!$1:$1,FS_Y!V$1,FS_Q!100:100)</f>
        <v/>
      </c>
      <c r="W100" s="517">
        <f>SUMIF(FS_Q!$1:$1,FS_Y!W$1,FS_Q!100:100)</f>
        <v/>
      </c>
      <c r="X100" s="148" t="n"/>
      <c r="Y100" s="148" t="n"/>
      <c r="Z100" s="148" t="n"/>
      <c r="AA100" s="148" t="n"/>
      <c r="AB100" s="148" t="n"/>
      <c r="AC100" s="148" t="n"/>
      <c r="AD100" s="148" t="n"/>
      <c r="AE100" s="148" t="n"/>
      <c r="AF100" s="148" t="n"/>
      <c r="AG100" s="148" t="n"/>
      <c r="AH100" s="148" t="n"/>
      <c r="AI100" s="148" t="n"/>
      <c r="AJ100" s="148" t="n"/>
      <c r="AK100" s="148" t="n"/>
      <c r="AL100" s="148" t="n"/>
      <c r="AM100" s="148" t="n"/>
      <c r="AN100" s="148" t="n"/>
      <c r="AO100" s="148" t="n"/>
      <c r="AP100" s="148" t="n"/>
      <c r="AQ100" s="148" t="n"/>
      <c r="AR100" s="148" t="n"/>
      <c r="AS100" s="148" t="n"/>
    </row>
    <row r="101">
      <c r="A101" s="33">
        <f>FS_Q!A101</f>
        <v/>
      </c>
      <c r="B101" s="148" t="n"/>
      <c r="C101" s="148" t="n"/>
      <c r="D101" s="143" t="n"/>
      <c r="E101" s="517">
        <f>SUMIF(FS_Q!$1:$1,FS_Y!E$1,FS_Q!101:101)</f>
        <v/>
      </c>
      <c r="F101" s="517">
        <f>SUMIF(FS_Q!$1:$1,FS_Y!F$1,FS_Q!101:101)</f>
        <v/>
      </c>
      <c r="G101" s="517">
        <f>SUMIF(FS_Q!$1:$1,FS_Y!G$1,FS_Q!101:101)</f>
        <v/>
      </c>
      <c r="H101" s="517">
        <f>SUMIF(FS_Q!$1:$1,FS_Y!H$1,FS_Q!101:101)</f>
        <v/>
      </c>
      <c r="I101" s="517">
        <f>SUMIF(FS_Q!$1:$1,FS_Y!I$1,FS_Q!101:101)</f>
        <v/>
      </c>
      <c r="J101" s="517">
        <f>SUMIF(FS_Q!$1:$1,FS_Y!J$1,FS_Q!101:101)</f>
        <v/>
      </c>
      <c r="K101" s="517">
        <f>SUMIF(FS_Q!$1:$1,FS_Y!K$1,FS_Q!101:101)</f>
        <v/>
      </c>
      <c r="L101" s="517">
        <f>SUMIF(FS_Q!$1:$1,FS_Y!L$1,FS_Q!101:101)</f>
        <v/>
      </c>
      <c r="M101" s="517">
        <f>SUMIF(FS_Q!$1:$1,FS_Y!M$1,FS_Q!101:101)</f>
        <v/>
      </c>
      <c r="N101" s="517">
        <f>SUMIF(FS_Q!$1:$1,FS_Y!N$1,FS_Q!101:101)</f>
        <v/>
      </c>
      <c r="O101" s="517">
        <f>SUMIF(FS_Q!$1:$1,FS_Y!O$1,FS_Q!101:101)</f>
        <v/>
      </c>
      <c r="P101" s="517">
        <f>SUMIF(FS_Q!$1:$1,FS_Y!P$1,FS_Q!101:101)</f>
        <v/>
      </c>
      <c r="Q101" s="517">
        <f>SUMIF(FS_Q!$1:$1,FS_Y!Q$1,FS_Q!101:101)</f>
        <v/>
      </c>
      <c r="R101" s="517">
        <f>SUMIF(FS_Q!$1:$1,FS_Y!R$1,FS_Q!101:101)</f>
        <v/>
      </c>
      <c r="S101" s="517">
        <f>SUMIF(FS_Q!$1:$1,FS_Y!S$1,FS_Q!101:101)</f>
        <v/>
      </c>
      <c r="T101" s="517">
        <f>SUMIF(FS_Q!$1:$1,FS_Y!T$1,FS_Q!101:101)</f>
        <v/>
      </c>
      <c r="U101" s="517">
        <f>SUMIF(FS_Q!$1:$1,FS_Y!U$1,FS_Q!101:101)</f>
        <v/>
      </c>
      <c r="V101" s="517">
        <f>SUMIF(FS_Q!$1:$1,FS_Y!V$1,FS_Q!101:101)</f>
        <v/>
      </c>
      <c r="W101" s="517">
        <f>SUMIF(FS_Q!$1:$1,FS_Y!W$1,FS_Q!101:101)</f>
        <v/>
      </c>
      <c r="X101" s="148" t="n"/>
      <c r="Y101" s="148" t="n"/>
      <c r="Z101" s="148" t="n"/>
      <c r="AA101" s="148" t="n"/>
      <c r="AB101" s="148" t="n"/>
      <c r="AC101" s="148" t="n"/>
      <c r="AD101" s="148" t="n"/>
      <c r="AE101" s="148" t="n"/>
      <c r="AF101" s="148" t="n"/>
      <c r="AG101" s="148" t="n"/>
      <c r="AH101" s="148" t="n"/>
      <c r="AI101" s="148" t="n"/>
      <c r="AJ101" s="148" t="n"/>
      <c r="AK101" s="148" t="n"/>
      <c r="AL101" s="148" t="n"/>
      <c r="AM101" s="148" t="n"/>
      <c r="AN101" s="148" t="n"/>
      <c r="AO101" s="148" t="n"/>
      <c r="AP101" s="148" t="n"/>
      <c r="AQ101" s="148" t="n"/>
      <c r="AR101" s="148" t="n"/>
      <c r="AS101" s="148" t="n"/>
    </row>
    <row r="102">
      <c r="A102" s="22">
        <f>FS_Q!A102</f>
        <v/>
      </c>
      <c r="B102" s="148" t="n"/>
      <c r="C102" s="148" t="n"/>
      <c r="D102" s="143" t="n"/>
      <c r="E102" s="519">
        <f>SUMIF(FS_Q!$1:$1,FS_Y!E$1,FS_Q!102:102)</f>
        <v/>
      </c>
      <c r="F102" s="519">
        <f>SUMIF(FS_Q!$1:$1,FS_Y!F$1,FS_Q!102:102)</f>
        <v/>
      </c>
      <c r="G102" s="519">
        <f>SUMIF(FS_Q!$1:$1,FS_Y!G$1,FS_Q!102:102)</f>
        <v/>
      </c>
      <c r="H102" s="519">
        <f>SUMIF(FS_Q!$1:$1,FS_Y!H$1,FS_Q!102:102)</f>
        <v/>
      </c>
      <c r="I102" s="519">
        <f>SUMIF(FS_Q!$1:$1,FS_Y!I$1,FS_Q!102:102)</f>
        <v/>
      </c>
      <c r="J102" s="519">
        <f>SUMIF(FS_Q!$1:$1,FS_Y!J$1,FS_Q!102:102)</f>
        <v/>
      </c>
      <c r="K102" s="519">
        <f>SUMIF(FS_Q!$1:$1,FS_Y!K$1,FS_Q!102:102)</f>
        <v/>
      </c>
      <c r="L102" s="519">
        <f>SUMIF(FS_Q!$1:$1,FS_Y!L$1,FS_Q!102:102)</f>
        <v/>
      </c>
      <c r="M102" s="519">
        <f>SUMIF(FS_Q!$1:$1,FS_Y!M$1,FS_Q!102:102)</f>
        <v/>
      </c>
      <c r="N102" s="519">
        <f>SUMIF(FS_Q!$1:$1,FS_Y!N$1,FS_Q!102:102)</f>
        <v/>
      </c>
      <c r="O102" s="519">
        <f>SUMIF(FS_Q!$1:$1,FS_Y!O$1,FS_Q!102:102)</f>
        <v/>
      </c>
      <c r="P102" s="519">
        <f>SUMIF(FS_Q!$1:$1,FS_Y!P$1,FS_Q!102:102)</f>
        <v/>
      </c>
      <c r="Q102" s="519">
        <f>SUMIF(FS_Q!$1:$1,FS_Y!Q$1,FS_Q!102:102)</f>
        <v/>
      </c>
      <c r="R102" s="519">
        <f>SUMIF(FS_Q!$1:$1,FS_Y!R$1,FS_Q!102:102)</f>
        <v/>
      </c>
      <c r="S102" s="519">
        <f>SUMIF(FS_Q!$1:$1,FS_Y!S$1,FS_Q!102:102)</f>
        <v/>
      </c>
      <c r="T102" s="519">
        <f>SUMIF(FS_Q!$1:$1,FS_Y!T$1,FS_Q!102:102)</f>
        <v/>
      </c>
      <c r="U102" s="519">
        <f>SUMIF(FS_Q!$1:$1,FS_Y!U$1,FS_Q!102:102)</f>
        <v/>
      </c>
      <c r="V102" s="519">
        <f>SUMIF(FS_Q!$1:$1,FS_Y!V$1,FS_Q!102:102)</f>
        <v/>
      </c>
      <c r="W102" s="519">
        <f>SUMIF(FS_Q!$1:$1,FS_Y!W$1,FS_Q!102:102)</f>
        <v/>
      </c>
      <c r="X102" s="148" t="n"/>
      <c r="Y102" s="148" t="n"/>
      <c r="Z102" s="148" t="n"/>
      <c r="AA102" s="148" t="n"/>
      <c r="AB102" s="148" t="n"/>
      <c r="AC102" s="148" t="n"/>
      <c r="AD102" s="148" t="n"/>
      <c r="AE102" s="148" t="n"/>
      <c r="AF102" s="148" t="n"/>
      <c r="AG102" s="148" t="n"/>
      <c r="AH102" s="148" t="n"/>
      <c r="AI102" s="148" t="n"/>
      <c r="AJ102" s="148" t="n"/>
      <c r="AK102" s="148" t="n"/>
      <c r="AL102" s="148" t="n"/>
      <c r="AM102" s="148" t="n"/>
      <c r="AN102" s="148" t="n"/>
      <c r="AO102" s="148" t="n"/>
      <c r="AP102" s="148" t="n"/>
      <c r="AQ102" s="148" t="n"/>
      <c r="AR102" s="148" t="n"/>
      <c r="AS102" s="148" t="n"/>
    </row>
    <row r="103">
      <c r="B103" s="148" t="n"/>
      <c r="C103" s="148" t="n"/>
      <c r="D103" s="143" t="n"/>
      <c r="X103" s="148" t="n"/>
      <c r="Y103" s="148" t="n"/>
      <c r="Z103" s="148" t="n"/>
      <c r="AA103" s="148" t="n"/>
      <c r="AB103" s="148" t="n"/>
      <c r="AC103" s="148" t="n"/>
      <c r="AD103" s="148" t="n"/>
      <c r="AE103" s="148" t="n"/>
      <c r="AF103" s="148" t="n"/>
      <c r="AG103" s="148" t="n"/>
      <c r="AH103" s="148" t="n"/>
      <c r="AI103" s="148" t="n"/>
      <c r="AJ103" s="148" t="n"/>
      <c r="AK103" s="148" t="n"/>
      <c r="AL103" s="148" t="n"/>
      <c r="AM103" s="148" t="n"/>
      <c r="AN103" s="148" t="n"/>
      <c r="AO103" s="148" t="n"/>
      <c r="AP103" s="148" t="n"/>
      <c r="AQ103" s="148" t="n"/>
      <c r="AR103" s="148" t="n"/>
      <c r="AS103" s="148" t="n"/>
    </row>
    <row r="104">
      <c r="A104" s="22">
        <f>FS_Q!A104</f>
        <v/>
      </c>
      <c r="B104" s="148" t="n"/>
      <c r="C104" s="148" t="n"/>
      <c r="D104" s="143" t="n"/>
      <c r="X104" s="148" t="n"/>
      <c r="Y104" s="148" t="n"/>
      <c r="Z104" s="148" t="n"/>
      <c r="AA104" s="148" t="n"/>
      <c r="AB104" s="148" t="n"/>
      <c r="AC104" s="148" t="n"/>
      <c r="AD104" s="148" t="n"/>
      <c r="AE104" s="148" t="n"/>
      <c r="AF104" s="148" t="n"/>
      <c r="AG104" s="148" t="n"/>
      <c r="AH104" s="148" t="n"/>
      <c r="AI104" s="148" t="n"/>
      <c r="AJ104" s="148" t="n"/>
      <c r="AK104" s="148" t="n"/>
      <c r="AL104" s="148" t="n"/>
      <c r="AM104" s="148" t="n"/>
      <c r="AN104" s="148" t="n"/>
      <c r="AO104" s="148" t="n"/>
      <c r="AP104" s="148" t="n"/>
      <c r="AQ104" s="148" t="n"/>
      <c r="AR104" s="148" t="n"/>
      <c r="AS104" s="148" t="n"/>
    </row>
    <row r="105">
      <c r="A105" s="74">
        <f>FS_Q!A105</f>
        <v/>
      </c>
      <c r="B105" s="148" t="n"/>
      <c r="C105" s="148" t="n"/>
      <c r="D105" s="143" t="n"/>
      <c r="E105" s="517">
        <f>SUMIF(FS_Q!$1:$1,FS_Y!E$1,FS_Q!105:105)</f>
        <v/>
      </c>
      <c r="F105" s="517">
        <f>SUMIF(FS_Q!$1:$1,FS_Y!F$1,FS_Q!105:105)</f>
        <v/>
      </c>
      <c r="G105" s="517">
        <f>SUMIF(FS_Q!$1:$1,FS_Y!G$1,FS_Q!105:105)</f>
        <v/>
      </c>
      <c r="H105" s="517">
        <f>SUMIF(FS_Q!$1:$1,FS_Y!H$1,FS_Q!105:105)</f>
        <v/>
      </c>
      <c r="I105" s="517">
        <f>SUMIF(FS_Q!$1:$1,FS_Y!I$1,FS_Q!105:105)</f>
        <v/>
      </c>
      <c r="J105" s="517">
        <f>SUMIF(FS_Q!$1:$1,FS_Y!J$1,FS_Q!105:105)</f>
        <v/>
      </c>
      <c r="K105" s="517">
        <f>SUMIF(FS_Q!$1:$1,FS_Y!K$1,FS_Q!105:105)</f>
        <v/>
      </c>
      <c r="L105" s="517">
        <f>SUMIF(FS_Q!$1:$1,FS_Y!L$1,FS_Q!105:105)</f>
        <v/>
      </c>
      <c r="M105" s="517">
        <f>SUMIF(FS_Q!$1:$1,FS_Y!M$1,FS_Q!105:105)</f>
        <v/>
      </c>
      <c r="N105" s="517">
        <f>SUMIF(FS_Q!$1:$1,FS_Y!N$1,FS_Q!105:105)</f>
        <v/>
      </c>
      <c r="O105" s="517">
        <f>SUMIF(FS_Q!$1:$1,FS_Y!O$1,FS_Q!105:105)</f>
        <v/>
      </c>
      <c r="P105" s="517">
        <f>SUMIF(FS_Q!$1:$1,FS_Y!P$1,FS_Q!105:105)</f>
        <v/>
      </c>
      <c r="Q105" s="517">
        <f>SUMIF(FS_Q!$1:$1,FS_Y!Q$1,FS_Q!105:105)</f>
        <v/>
      </c>
      <c r="R105" s="517">
        <f>SUMIF(FS_Q!$1:$1,FS_Y!R$1,FS_Q!105:105)</f>
        <v/>
      </c>
      <c r="S105" s="517">
        <f>SUMIF(FS_Q!$1:$1,FS_Y!S$1,FS_Q!105:105)</f>
        <v/>
      </c>
      <c r="T105" s="517">
        <f>SUMIF(FS_Q!$1:$1,FS_Y!T$1,FS_Q!105:105)</f>
        <v/>
      </c>
      <c r="U105" s="517">
        <f>SUMIF(FS_Q!$1:$1,FS_Y!U$1,FS_Q!105:105)</f>
        <v/>
      </c>
      <c r="V105" s="517">
        <f>SUMIF(FS_Q!$1:$1,FS_Y!V$1,FS_Q!105:105)</f>
        <v/>
      </c>
      <c r="W105" s="517">
        <f>SUMIF(FS_Q!$1:$1,FS_Y!W$1,FS_Q!105:105)</f>
        <v/>
      </c>
      <c r="X105" s="148" t="n"/>
      <c r="Y105" s="148" t="n"/>
      <c r="Z105" s="148" t="n"/>
      <c r="AA105" s="148" t="n"/>
      <c r="AB105" s="148" t="n"/>
      <c r="AC105" s="148" t="n"/>
      <c r="AD105" s="148" t="n"/>
      <c r="AE105" s="148" t="n"/>
      <c r="AF105" s="148" t="n"/>
      <c r="AG105" s="148" t="n"/>
      <c r="AH105" s="148" t="n"/>
      <c r="AI105" s="148" t="n"/>
      <c r="AJ105" s="148" t="n"/>
      <c r="AK105" s="148" t="n"/>
      <c r="AL105" s="148" t="n"/>
      <c r="AM105" s="148" t="n"/>
      <c r="AN105" s="148" t="n"/>
      <c r="AO105" s="148" t="n"/>
      <c r="AP105" s="148" t="n"/>
      <c r="AQ105" s="148" t="n"/>
      <c r="AR105" s="148" t="n"/>
      <c r="AS105" s="148" t="n"/>
    </row>
    <row r="106">
      <c r="A106" s="74">
        <f>FS_Q!A106</f>
        <v/>
      </c>
      <c r="B106" s="148" t="n"/>
      <c r="C106" s="148" t="n"/>
      <c r="D106" s="143" t="n"/>
      <c r="E106" s="517">
        <f>SUMIF(FS_Q!$1:$1,FS_Y!E$1,FS_Q!106:106)</f>
        <v/>
      </c>
      <c r="F106" s="517">
        <f>SUMIF(FS_Q!$1:$1,FS_Y!F$1,FS_Q!106:106)</f>
        <v/>
      </c>
      <c r="G106" s="517">
        <f>SUMIF(FS_Q!$1:$1,FS_Y!G$1,FS_Q!106:106)</f>
        <v/>
      </c>
      <c r="H106" s="517">
        <f>SUMIF(FS_Q!$1:$1,FS_Y!H$1,FS_Q!106:106)</f>
        <v/>
      </c>
      <c r="I106" s="517">
        <f>SUMIF(FS_Q!$1:$1,FS_Y!I$1,FS_Q!106:106)</f>
        <v/>
      </c>
      <c r="J106" s="517">
        <f>SUMIF(FS_Q!$1:$1,FS_Y!J$1,FS_Q!106:106)</f>
        <v/>
      </c>
      <c r="K106" s="517">
        <f>SUMIF(FS_Q!$1:$1,FS_Y!K$1,FS_Q!106:106)</f>
        <v/>
      </c>
      <c r="L106" s="517">
        <f>SUMIF(FS_Q!$1:$1,FS_Y!L$1,FS_Q!106:106)</f>
        <v/>
      </c>
      <c r="M106" s="517">
        <f>SUMIF(FS_Q!$1:$1,FS_Y!M$1,FS_Q!106:106)</f>
        <v/>
      </c>
      <c r="N106" s="517">
        <f>SUMIF(FS_Q!$1:$1,FS_Y!N$1,FS_Q!106:106)</f>
        <v/>
      </c>
      <c r="O106" s="517">
        <f>SUMIF(FS_Q!$1:$1,FS_Y!O$1,FS_Q!106:106)</f>
        <v/>
      </c>
      <c r="P106" s="517">
        <f>SUMIF(FS_Q!$1:$1,FS_Y!P$1,FS_Q!106:106)</f>
        <v/>
      </c>
      <c r="Q106" s="517">
        <f>SUMIF(FS_Q!$1:$1,FS_Y!Q$1,FS_Q!106:106)</f>
        <v/>
      </c>
      <c r="R106" s="517">
        <f>SUMIF(FS_Q!$1:$1,FS_Y!R$1,FS_Q!106:106)</f>
        <v/>
      </c>
      <c r="S106" s="517">
        <f>SUMIF(FS_Q!$1:$1,FS_Y!S$1,FS_Q!106:106)</f>
        <v/>
      </c>
      <c r="T106" s="517">
        <f>SUMIF(FS_Q!$1:$1,FS_Y!T$1,FS_Q!106:106)</f>
        <v/>
      </c>
      <c r="U106" s="517">
        <f>SUMIF(FS_Q!$1:$1,FS_Y!U$1,FS_Q!106:106)</f>
        <v/>
      </c>
      <c r="V106" s="517">
        <f>SUMIF(FS_Q!$1:$1,FS_Y!V$1,FS_Q!106:106)</f>
        <v/>
      </c>
      <c r="W106" s="517">
        <f>SUMIF(FS_Q!$1:$1,FS_Y!W$1,FS_Q!106:106)</f>
        <v/>
      </c>
      <c r="X106" s="148" t="n"/>
      <c r="Y106" s="148" t="n"/>
      <c r="Z106" s="148" t="n"/>
      <c r="AA106" s="148" t="n"/>
      <c r="AB106" s="148" t="n"/>
      <c r="AC106" s="148" t="n"/>
      <c r="AD106" s="148" t="n"/>
      <c r="AE106" s="148" t="n"/>
      <c r="AF106" s="148" t="n"/>
      <c r="AG106" s="148" t="n"/>
      <c r="AH106" s="148" t="n"/>
      <c r="AI106" s="148" t="n"/>
      <c r="AJ106" s="148" t="n"/>
      <c r="AK106" s="148" t="n"/>
      <c r="AL106" s="148" t="n"/>
      <c r="AM106" s="148" t="n"/>
      <c r="AN106" s="148" t="n"/>
      <c r="AO106" s="148" t="n"/>
      <c r="AP106" s="148" t="n"/>
      <c r="AQ106" s="148" t="n"/>
      <c r="AR106" s="148" t="n"/>
      <c r="AS106" s="148" t="n"/>
    </row>
    <row r="107">
      <c r="A107" s="22">
        <f>FS_Q!A107</f>
        <v/>
      </c>
      <c r="B107" s="148" t="n"/>
      <c r="C107" s="148" t="n"/>
      <c r="D107" s="143" t="n"/>
      <c r="E107" s="519">
        <f>SUMIF(FS_Q!$1:$1,FS_Y!E$1,FS_Q!107:107)</f>
        <v/>
      </c>
      <c r="F107" s="519">
        <f>SUMIF(FS_Q!$1:$1,FS_Y!F$1,FS_Q!107:107)</f>
        <v/>
      </c>
      <c r="G107" s="519">
        <f>SUMIF(FS_Q!$1:$1,FS_Y!G$1,FS_Q!107:107)</f>
        <v/>
      </c>
      <c r="H107" s="519">
        <f>SUMIF(FS_Q!$1:$1,FS_Y!H$1,FS_Q!107:107)</f>
        <v/>
      </c>
      <c r="I107" s="519">
        <f>SUMIF(FS_Q!$1:$1,FS_Y!I$1,FS_Q!107:107)</f>
        <v/>
      </c>
      <c r="J107" s="519">
        <f>SUMIF(FS_Q!$1:$1,FS_Y!J$1,FS_Q!107:107)</f>
        <v/>
      </c>
      <c r="K107" s="519">
        <f>SUMIF(FS_Q!$1:$1,FS_Y!K$1,FS_Q!107:107)</f>
        <v/>
      </c>
      <c r="L107" s="519">
        <f>SUMIF(FS_Q!$1:$1,FS_Y!L$1,FS_Q!107:107)</f>
        <v/>
      </c>
      <c r="M107" s="519">
        <f>SUMIF(FS_Q!$1:$1,FS_Y!M$1,FS_Q!107:107)</f>
        <v/>
      </c>
      <c r="N107" s="519">
        <f>SUMIF(FS_Q!$1:$1,FS_Y!N$1,FS_Q!107:107)</f>
        <v/>
      </c>
      <c r="O107" s="519">
        <f>SUMIF(FS_Q!$1:$1,FS_Y!O$1,FS_Q!107:107)</f>
        <v/>
      </c>
      <c r="P107" s="519">
        <f>SUMIF(FS_Q!$1:$1,FS_Y!P$1,FS_Q!107:107)</f>
        <v/>
      </c>
      <c r="Q107" s="519">
        <f>SUMIF(FS_Q!$1:$1,FS_Y!Q$1,FS_Q!107:107)</f>
        <v/>
      </c>
      <c r="R107" s="519">
        <f>SUMIF(FS_Q!$1:$1,FS_Y!R$1,FS_Q!107:107)</f>
        <v/>
      </c>
      <c r="S107" s="519">
        <f>SUMIF(FS_Q!$1:$1,FS_Y!S$1,FS_Q!107:107)</f>
        <v/>
      </c>
      <c r="T107" s="519">
        <f>SUMIF(FS_Q!$1:$1,FS_Y!T$1,FS_Q!107:107)</f>
        <v/>
      </c>
      <c r="U107" s="519">
        <f>SUMIF(FS_Q!$1:$1,FS_Y!U$1,FS_Q!107:107)</f>
        <v/>
      </c>
      <c r="V107" s="519">
        <f>SUMIF(FS_Q!$1:$1,FS_Y!V$1,FS_Q!107:107)</f>
        <v/>
      </c>
      <c r="W107" s="519">
        <f>SUMIF(FS_Q!$1:$1,FS_Y!W$1,FS_Q!107:107)</f>
        <v/>
      </c>
      <c r="X107" s="148" t="n"/>
      <c r="Y107" s="148" t="n"/>
      <c r="Z107" s="148" t="n"/>
      <c r="AA107" s="148" t="n"/>
      <c r="AB107" s="148" t="n"/>
      <c r="AC107" s="148" t="n"/>
      <c r="AD107" s="148" t="n"/>
      <c r="AE107" s="148" t="n"/>
      <c r="AF107" s="148" t="n"/>
      <c r="AG107" s="148" t="n"/>
      <c r="AH107" s="148" t="n"/>
      <c r="AI107" s="148" t="n"/>
      <c r="AJ107" s="148" t="n"/>
      <c r="AK107" s="148" t="n"/>
      <c r="AL107" s="148" t="n"/>
      <c r="AM107" s="148" t="n"/>
      <c r="AN107" s="148" t="n"/>
      <c r="AO107" s="148" t="n"/>
      <c r="AP107" s="148" t="n"/>
      <c r="AQ107" s="148" t="n"/>
      <c r="AR107" s="148" t="n"/>
      <c r="AS107" s="148" t="n"/>
    </row>
    <row r="108">
      <c r="B108" s="148" t="n"/>
      <c r="C108" s="148" t="n"/>
      <c r="D108" s="143" t="n"/>
      <c r="X108" s="148" t="n"/>
      <c r="Y108" s="148" t="n"/>
      <c r="Z108" s="148" t="n"/>
      <c r="AA108" s="148" t="n"/>
      <c r="AB108" s="148" t="n"/>
      <c r="AC108" s="148" t="n"/>
      <c r="AD108" s="148" t="n"/>
      <c r="AE108" s="148" t="n"/>
      <c r="AF108" s="148" t="n"/>
      <c r="AG108" s="148" t="n"/>
      <c r="AH108" s="148" t="n"/>
      <c r="AI108" s="148" t="n"/>
      <c r="AJ108" s="148" t="n"/>
      <c r="AK108" s="148" t="n"/>
      <c r="AL108" s="148" t="n"/>
      <c r="AM108" s="148" t="n"/>
      <c r="AN108" s="148" t="n"/>
      <c r="AO108" s="148" t="n"/>
      <c r="AP108" s="148" t="n"/>
      <c r="AQ108" s="148" t="n"/>
      <c r="AR108" s="148" t="n"/>
      <c r="AS108" s="148" t="n"/>
    </row>
    <row r="109">
      <c r="A109" s="22">
        <f>FS_Q!A109</f>
        <v/>
      </c>
      <c r="B109" s="148" t="n"/>
      <c r="C109" s="148" t="n"/>
      <c r="D109" s="143" t="n"/>
      <c r="X109" s="148" t="n"/>
      <c r="Y109" s="148" t="n"/>
      <c r="Z109" s="148" t="n"/>
      <c r="AA109" s="148" t="n"/>
      <c r="AB109" s="148" t="n"/>
      <c r="AC109" s="148" t="n"/>
      <c r="AD109" s="148" t="n"/>
      <c r="AE109" s="148" t="n"/>
      <c r="AF109" s="148" t="n"/>
      <c r="AG109" s="148" t="n"/>
      <c r="AH109" s="148" t="n"/>
      <c r="AI109" s="148" t="n"/>
      <c r="AJ109" s="148" t="n"/>
      <c r="AK109" s="148" t="n"/>
      <c r="AL109" s="148" t="n"/>
      <c r="AM109" s="148" t="n"/>
      <c r="AN109" s="148" t="n"/>
      <c r="AO109" s="148" t="n"/>
      <c r="AP109" s="148" t="n"/>
      <c r="AQ109" s="148" t="n"/>
      <c r="AR109" s="148" t="n"/>
      <c r="AS109" s="148" t="n"/>
    </row>
    <row r="110" customFormat="1" s="399">
      <c r="A110" s="74">
        <f>FS_Q!A110</f>
        <v/>
      </c>
      <c r="B110" s="148" t="n"/>
      <c r="C110" s="148" t="n"/>
      <c r="D110" s="147" t="n"/>
      <c r="E110" s="76">
        <f>SUMIF(FS_Q!$1:$1,FS_Y!E$1,FS_Q!110:110)</f>
        <v/>
      </c>
      <c r="F110" s="76">
        <f>SUMIF(FS_Q!$1:$1,FS_Y!F$1,FS_Q!110:110)</f>
        <v/>
      </c>
      <c r="G110" s="76">
        <f>SUMIF(FS_Q!$1:$1,FS_Y!G$1,FS_Q!110:110)</f>
        <v/>
      </c>
      <c r="H110" s="76">
        <f>SUMIF(FS_Q!$1:$1,FS_Y!H$1,FS_Q!110:110)</f>
        <v/>
      </c>
      <c r="I110" s="76">
        <f>SUMIF(FS_Q!$1:$1,FS_Y!I$1,FS_Q!110:110)</f>
        <v/>
      </c>
      <c r="J110" s="76">
        <f>SUMIF(FS_Q!$1:$1,FS_Y!J$1,FS_Q!110:110)</f>
        <v/>
      </c>
      <c r="K110" s="76">
        <f>SUMIF(FS_Q!$1:$1,FS_Y!K$1,FS_Q!110:110)</f>
        <v/>
      </c>
      <c r="L110" s="76">
        <f>SUMIF(FS_Q!$1:$1,FS_Y!L$1,FS_Q!110:110)</f>
        <v/>
      </c>
      <c r="M110" s="76">
        <f>SUMIF(FS_Q!$1:$1,FS_Y!M$1,FS_Q!110:110)</f>
        <v/>
      </c>
      <c r="N110" s="76">
        <f>SUMIF(FS_Q!$1:$1,FS_Y!N$1,FS_Q!110:110)</f>
        <v/>
      </c>
      <c r="O110" s="76">
        <f>SUMIF(FS_Q!$1:$1,FS_Y!O$1,FS_Q!110:110)</f>
        <v/>
      </c>
      <c r="P110" s="76">
        <f>SUMIF(FS_Q!$1:$1,FS_Y!P$1,FS_Q!110:110)</f>
        <v/>
      </c>
      <c r="Q110" s="76">
        <f>SUMIF(FS_Q!$1:$1,FS_Y!Q$1,FS_Q!110:110)</f>
        <v/>
      </c>
      <c r="R110" s="76">
        <f>SUMIF(FS_Q!$1:$1,FS_Y!R$1,FS_Q!110:110)</f>
        <v/>
      </c>
      <c r="S110" s="76">
        <f>SUMIF(FS_Q!$1:$1,FS_Y!S$1,FS_Q!110:110)</f>
        <v/>
      </c>
      <c r="T110" s="76">
        <f>SUMIF(FS_Q!$1:$1,FS_Y!T$1,FS_Q!110:110)</f>
        <v/>
      </c>
      <c r="U110" s="76">
        <f>SUMIF(FS_Q!$1:$1,FS_Y!U$1,FS_Q!110:110)</f>
        <v/>
      </c>
      <c r="V110" s="76">
        <f>SUMIF(FS_Q!$1:$1,FS_Y!V$1,FS_Q!110:110)</f>
        <v/>
      </c>
      <c r="W110" s="76">
        <f>SUMIF(FS_Q!$1:$1,FS_Y!W$1,FS_Q!110:110)</f>
        <v/>
      </c>
      <c r="X110" s="382" t="n"/>
      <c r="Y110" s="382" t="n"/>
      <c r="Z110" s="382" t="n"/>
      <c r="AA110" s="382" t="n"/>
      <c r="AB110" s="382" t="n"/>
      <c r="AC110" s="382" t="n"/>
      <c r="AD110" s="382" t="n"/>
      <c r="AE110" s="382" t="n"/>
      <c r="AF110" s="382" t="n"/>
      <c r="AG110" s="382" t="n"/>
      <c r="AH110" s="382" t="n"/>
      <c r="AI110" s="382" t="n"/>
      <c r="AJ110" s="382" t="n"/>
      <c r="AK110" s="382" t="n"/>
      <c r="AL110" s="382" t="n"/>
      <c r="AM110" s="382" t="n"/>
      <c r="AN110" s="382" t="n"/>
      <c r="AO110" s="382" t="n"/>
      <c r="AP110" s="382" t="n"/>
      <c r="AQ110" s="382" t="n"/>
      <c r="AR110" s="382" t="n"/>
      <c r="AS110" s="382" t="n"/>
    </row>
    <row r="111" customFormat="1" s="281">
      <c r="A111" s="74">
        <f>FS_Q!A111</f>
        <v/>
      </c>
      <c r="B111" s="382" t="n"/>
      <c r="C111" s="382" t="n"/>
      <c r="D111" s="143" t="n"/>
      <c r="E111" s="517">
        <f>SUMIF(FS_Q!$1:$1,FS_Y!E$1,FS_Q!111:111)</f>
        <v/>
      </c>
      <c r="F111" s="517">
        <f>SUMIF(FS_Q!$1:$1,FS_Y!F$1,FS_Q!111:111)</f>
        <v/>
      </c>
      <c r="G111" s="517">
        <f>SUMIF(FS_Q!$1:$1,FS_Y!G$1,FS_Q!111:111)</f>
        <v/>
      </c>
      <c r="H111" s="517">
        <f>SUMIF(FS_Q!$1:$1,FS_Y!H$1,FS_Q!111:111)</f>
        <v/>
      </c>
      <c r="I111" s="517">
        <f>SUMIF(FS_Q!$1:$1,FS_Y!I$1,FS_Q!111:111)</f>
        <v/>
      </c>
      <c r="J111" s="517">
        <f>SUMIF(FS_Q!$1:$1,FS_Y!J$1,FS_Q!111:111)</f>
        <v/>
      </c>
      <c r="K111" s="517">
        <f>SUMIF(FS_Q!$1:$1,FS_Y!K$1,FS_Q!111:111)</f>
        <v/>
      </c>
      <c r="L111" s="517">
        <f>SUMIF(FS_Q!$1:$1,FS_Y!L$1,FS_Q!111:111)</f>
        <v/>
      </c>
      <c r="M111" s="517">
        <f>SUMIF(FS_Q!$1:$1,FS_Y!M$1,FS_Q!111:111)</f>
        <v/>
      </c>
      <c r="N111" s="517">
        <f>SUMIF(FS_Q!$1:$1,FS_Y!N$1,FS_Q!111:111)</f>
        <v/>
      </c>
      <c r="O111" s="517">
        <f>SUMIF(FS_Q!$1:$1,FS_Y!O$1,FS_Q!111:111)</f>
        <v/>
      </c>
      <c r="P111" s="517">
        <f>SUMIF(FS_Q!$1:$1,FS_Y!P$1,FS_Q!111:111)</f>
        <v/>
      </c>
      <c r="Q111" s="517">
        <f>SUMIF(FS_Q!$1:$1,FS_Y!Q$1,FS_Q!111:111)</f>
        <v/>
      </c>
      <c r="R111" s="517">
        <f>SUMIF(FS_Q!$1:$1,FS_Y!R$1,FS_Q!111:111)</f>
        <v/>
      </c>
      <c r="S111" s="517">
        <f>SUMIF(FS_Q!$1:$1,FS_Y!S$1,FS_Q!111:111)</f>
        <v/>
      </c>
      <c r="T111" s="517">
        <f>SUMIF(FS_Q!$1:$1,FS_Y!T$1,FS_Q!111:111)</f>
        <v/>
      </c>
      <c r="U111" s="517">
        <f>SUMIF(FS_Q!$1:$1,FS_Y!U$1,FS_Q!111:111)</f>
        <v/>
      </c>
      <c r="V111" s="517">
        <f>SUMIF(FS_Q!$1:$1,FS_Y!V$1,FS_Q!111:111)</f>
        <v/>
      </c>
      <c r="W111" s="517">
        <f>SUMIF(FS_Q!$1:$1,FS_Y!W$1,FS_Q!111:111)</f>
        <v/>
      </c>
      <c r="X111" s="400" t="n"/>
      <c r="Y111" s="400" t="n"/>
      <c r="Z111" s="400" t="n"/>
      <c r="AA111" s="400" t="n"/>
      <c r="AB111" s="400" t="n"/>
      <c r="AC111" s="400" t="n"/>
      <c r="AD111" s="400" t="n"/>
      <c r="AE111" s="400" t="n"/>
      <c r="AF111" s="400" t="n"/>
      <c r="AG111" s="400" t="n"/>
      <c r="AH111" s="400" t="n"/>
      <c r="AI111" s="400" t="n"/>
      <c r="AJ111" s="400" t="n"/>
      <c r="AK111" s="400" t="n"/>
      <c r="AL111" s="400" t="n"/>
      <c r="AM111" s="400" t="n"/>
      <c r="AN111" s="400" t="n"/>
      <c r="AO111" s="400" t="n"/>
      <c r="AP111" s="400" t="n"/>
      <c r="AQ111" s="400" t="n"/>
      <c r="AR111" s="400" t="n"/>
      <c r="AS111" s="400" t="n"/>
    </row>
    <row r="112" customFormat="1" s="281">
      <c r="A112" s="74">
        <f>FS_Q!A112</f>
        <v/>
      </c>
      <c r="B112" s="382" t="n"/>
      <c r="C112" s="382" t="n"/>
      <c r="D112" s="143" t="n"/>
      <c r="E112" s="517">
        <f>SUMIF(FS_Q!$1:$1,FS_Y!E$1,FS_Q!112:112)</f>
        <v/>
      </c>
      <c r="F112" s="517">
        <f>SUMIF(FS_Q!$1:$1,FS_Y!F$1,FS_Q!112:112)</f>
        <v/>
      </c>
      <c r="G112" s="517">
        <f>SUMIF(FS_Q!$1:$1,FS_Y!G$1,FS_Q!112:112)</f>
        <v/>
      </c>
      <c r="H112" s="517">
        <f>SUMIF(FS_Q!$1:$1,FS_Y!H$1,FS_Q!112:112)</f>
        <v/>
      </c>
      <c r="I112" s="517">
        <f>SUMIF(FS_Q!$1:$1,FS_Y!I$1,FS_Q!112:112)</f>
        <v/>
      </c>
      <c r="J112" s="517">
        <f>SUMIF(FS_Q!$1:$1,FS_Y!J$1,FS_Q!112:112)</f>
        <v/>
      </c>
      <c r="K112" s="517">
        <f>SUMIF(FS_Q!$1:$1,FS_Y!K$1,FS_Q!112:112)</f>
        <v/>
      </c>
      <c r="L112" s="517">
        <f>SUMIF(FS_Q!$1:$1,FS_Y!L$1,FS_Q!112:112)</f>
        <v/>
      </c>
      <c r="M112" s="517">
        <f>SUMIF(FS_Q!$1:$1,FS_Y!M$1,FS_Q!112:112)</f>
        <v/>
      </c>
      <c r="N112" s="517">
        <f>SUMIF(FS_Q!$1:$1,FS_Y!N$1,FS_Q!112:112)</f>
        <v/>
      </c>
      <c r="O112" s="517">
        <f>SUMIF(FS_Q!$1:$1,FS_Y!O$1,FS_Q!112:112)</f>
        <v/>
      </c>
      <c r="P112" s="517">
        <f>SUMIF(FS_Q!$1:$1,FS_Y!P$1,FS_Q!112:112)</f>
        <v/>
      </c>
      <c r="Q112" s="517">
        <f>SUMIF(FS_Q!$1:$1,FS_Y!Q$1,FS_Q!112:112)</f>
        <v/>
      </c>
      <c r="R112" s="517">
        <f>SUMIF(FS_Q!$1:$1,FS_Y!R$1,FS_Q!112:112)</f>
        <v/>
      </c>
      <c r="S112" s="517">
        <f>SUMIF(FS_Q!$1:$1,FS_Y!S$1,FS_Q!112:112)</f>
        <v/>
      </c>
      <c r="T112" s="517">
        <f>SUMIF(FS_Q!$1:$1,FS_Y!T$1,FS_Q!112:112)</f>
        <v/>
      </c>
      <c r="U112" s="517">
        <f>SUMIF(FS_Q!$1:$1,FS_Y!U$1,FS_Q!112:112)</f>
        <v/>
      </c>
      <c r="V112" s="517">
        <f>SUMIF(FS_Q!$1:$1,FS_Y!V$1,FS_Q!112:112)</f>
        <v/>
      </c>
      <c r="W112" s="517">
        <f>SUMIF(FS_Q!$1:$1,FS_Y!W$1,FS_Q!112:112)</f>
        <v/>
      </c>
      <c r="X112" s="400" t="n"/>
      <c r="Y112" s="400" t="n"/>
      <c r="Z112" s="400" t="n"/>
      <c r="AA112" s="400" t="n"/>
      <c r="AB112" s="400" t="n"/>
      <c r="AC112" s="400" t="n"/>
      <c r="AD112" s="400" t="n"/>
      <c r="AE112" s="400" t="n"/>
      <c r="AF112" s="400" t="n"/>
      <c r="AG112" s="400" t="n"/>
      <c r="AH112" s="400" t="n"/>
      <c r="AI112" s="400" t="n"/>
      <c r="AJ112" s="400" t="n"/>
      <c r="AK112" s="400" t="n"/>
      <c r="AL112" s="400" t="n"/>
      <c r="AM112" s="400" t="n"/>
      <c r="AN112" s="400" t="n"/>
      <c r="AO112" s="400" t="n"/>
      <c r="AP112" s="400" t="n"/>
      <c r="AQ112" s="400" t="n"/>
      <c r="AR112" s="400" t="n"/>
      <c r="AS112" s="400" t="n"/>
    </row>
    <row r="113">
      <c r="A113" s="22">
        <f>FS_Q!A113</f>
        <v/>
      </c>
      <c r="B113" s="148" t="n"/>
      <c r="C113" s="148" t="n"/>
      <c r="D113" s="143" t="n"/>
      <c r="E113" s="128">
        <f>SUMIF(FS_Q!$1:$1,FS_Y!E$1,FS_Q!113:113)</f>
        <v/>
      </c>
      <c r="F113" s="128">
        <f>SUMIF(FS_Q!$1:$1,FS_Y!F$1,FS_Q!113:113)</f>
        <v/>
      </c>
      <c r="G113" s="128">
        <f>SUMIF(FS_Q!$1:$1,FS_Y!G$1,FS_Q!113:113)</f>
        <v/>
      </c>
      <c r="H113" s="128">
        <f>SUMIF(FS_Q!$1:$1,FS_Y!H$1,FS_Q!113:113)</f>
        <v/>
      </c>
      <c r="I113" s="128">
        <f>SUMIF(FS_Q!$1:$1,FS_Y!I$1,FS_Q!113:113)</f>
        <v/>
      </c>
      <c r="J113" s="128">
        <f>SUMIF(FS_Q!$1:$1,FS_Y!J$1,FS_Q!113:113)</f>
        <v/>
      </c>
      <c r="K113" s="128">
        <f>SUMIF(FS_Q!$1:$1,FS_Y!K$1,FS_Q!113:113)</f>
        <v/>
      </c>
      <c r="L113" s="128">
        <f>SUMIF(FS_Q!$1:$1,FS_Y!L$1,FS_Q!113:113)</f>
        <v/>
      </c>
      <c r="M113" s="128">
        <f>SUMIF(FS_Q!$1:$1,FS_Y!M$1,FS_Q!113:113)</f>
        <v/>
      </c>
      <c r="N113" s="128">
        <f>SUMIF(FS_Q!$1:$1,FS_Y!N$1,FS_Q!113:113)</f>
        <v/>
      </c>
      <c r="O113" s="128">
        <f>SUMIF(FS_Q!$1:$1,FS_Y!O$1,FS_Q!113:113)</f>
        <v/>
      </c>
      <c r="P113" s="128">
        <f>SUMIF(FS_Q!$1:$1,FS_Y!P$1,FS_Q!113:113)</f>
        <v/>
      </c>
      <c r="Q113" s="128">
        <f>SUMIF(FS_Q!$1:$1,FS_Y!Q$1,FS_Q!113:113)</f>
        <v/>
      </c>
      <c r="R113" s="128">
        <f>SUMIF(FS_Q!$1:$1,FS_Y!R$1,FS_Q!113:113)</f>
        <v/>
      </c>
      <c r="S113" s="128">
        <f>SUMIF(FS_Q!$1:$1,FS_Y!S$1,FS_Q!113:113)</f>
        <v/>
      </c>
      <c r="T113" s="128">
        <f>SUMIF(FS_Q!$1:$1,FS_Y!T$1,FS_Q!113:113)</f>
        <v/>
      </c>
      <c r="U113" s="128">
        <f>SUMIF(FS_Q!$1:$1,FS_Y!U$1,FS_Q!113:113)</f>
        <v/>
      </c>
      <c r="V113" s="128">
        <f>SUMIF(FS_Q!$1:$1,FS_Y!V$1,FS_Q!113:113)</f>
        <v/>
      </c>
      <c r="W113" s="128">
        <f>SUMIF(FS_Q!$1:$1,FS_Y!W$1,FS_Q!113:113)</f>
        <v/>
      </c>
      <c r="X113" s="148" t="n"/>
      <c r="Y113" s="148" t="n"/>
      <c r="Z113" s="148" t="n"/>
      <c r="AA113" s="148" t="n"/>
      <c r="AB113" s="148" t="n"/>
      <c r="AC113" s="148" t="n"/>
      <c r="AD113" s="148" t="n"/>
      <c r="AE113" s="148" t="n"/>
      <c r="AF113" s="148" t="n"/>
      <c r="AG113" s="148" t="n"/>
      <c r="AH113" s="148" t="n"/>
      <c r="AI113" s="148" t="n"/>
      <c r="AJ113" s="148" t="n"/>
      <c r="AK113" s="148" t="n"/>
      <c r="AL113" s="148" t="n"/>
      <c r="AM113" s="148" t="n"/>
      <c r="AN113" s="148" t="n"/>
      <c r="AO113" s="148" t="n"/>
      <c r="AP113" s="148" t="n"/>
      <c r="AQ113" s="148" t="n"/>
      <c r="AR113" s="148" t="n"/>
      <c r="AS113" s="148" t="n"/>
    </row>
    <row r="114">
      <c r="B114" s="148" t="n"/>
      <c r="C114" s="148" t="n"/>
      <c r="D114" s="143" t="n"/>
      <c r="X114" s="148" t="n"/>
      <c r="Y114" s="148" t="n"/>
      <c r="Z114" s="148" t="n"/>
      <c r="AA114" s="148" t="n"/>
      <c r="AB114" s="148" t="n"/>
      <c r="AC114" s="148" t="n"/>
      <c r="AD114" s="148" t="n"/>
      <c r="AE114" s="148" t="n"/>
      <c r="AF114" s="148" t="n"/>
      <c r="AG114" s="148" t="n"/>
      <c r="AH114" s="148" t="n"/>
      <c r="AI114" s="148" t="n"/>
      <c r="AJ114" s="148" t="n"/>
      <c r="AK114" s="148" t="n"/>
      <c r="AL114" s="148" t="n"/>
      <c r="AM114" s="148" t="n"/>
      <c r="AN114" s="148" t="n"/>
      <c r="AO114" s="148" t="n"/>
      <c r="AP114" s="148" t="n"/>
      <c r="AQ114" s="148" t="n"/>
      <c r="AR114" s="148" t="n"/>
      <c r="AS114" s="148" t="n"/>
    </row>
    <row r="115">
      <c r="A115" s="502">
        <f>FS_Q!A115</f>
        <v/>
      </c>
      <c r="B115" s="148" t="n"/>
      <c r="C115" s="148" t="n"/>
      <c r="D115" s="143" t="n"/>
      <c r="E115" s="76">
        <f>SUMIF(FS_Q!$1:$1,FS_Y!E$1,FS_Q!115:115)</f>
        <v/>
      </c>
      <c r="F115" s="76">
        <f>SUMIF(FS_Q!$1:$1,FS_Y!F$1,FS_Q!115:115)</f>
        <v/>
      </c>
      <c r="G115" s="76">
        <f>SUMIF(FS_Q!$1:$1,FS_Y!G$1,FS_Q!115:115)</f>
        <v/>
      </c>
      <c r="H115" s="76">
        <f>SUMIF(FS_Q!$1:$1,FS_Y!H$1,FS_Q!115:115)</f>
        <v/>
      </c>
      <c r="I115" s="76">
        <f>SUMIF(FS_Q!$1:$1,FS_Y!I$1,FS_Q!115:115)</f>
        <v/>
      </c>
      <c r="J115" s="76">
        <f>SUMIF(FS_Q!$1:$1,FS_Y!J$1,FS_Q!115:115)</f>
        <v/>
      </c>
      <c r="K115" s="76">
        <f>SUMIF(FS_Q!$1:$1,FS_Y!K$1,FS_Q!115:115)</f>
        <v/>
      </c>
      <c r="L115" s="76">
        <f>SUMIF(FS_Q!$1:$1,FS_Y!L$1,FS_Q!115:115)</f>
        <v/>
      </c>
      <c r="M115" s="76">
        <f>SUMIF(FS_Q!$1:$1,FS_Y!M$1,FS_Q!115:115)</f>
        <v/>
      </c>
      <c r="N115" s="76">
        <f>SUMIF(FS_Q!$1:$1,FS_Y!N$1,FS_Q!115:115)</f>
        <v/>
      </c>
      <c r="O115" s="76">
        <f>SUMIF(FS_Q!$1:$1,FS_Y!O$1,FS_Q!115:115)</f>
        <v/>
      </c>
      <c r="P115" s="76">
        <f>SUMIF(FS_Q!$1:$1,FS_Y!P$1,FS_Q!115:115)</f>
        <v/>
      </c>
      <c r="Q115" s="76">
        <f>SUMIF(FS_Q!$1:$1,FS_Y!Q$1,FS_Q!115:115)</f>
        <v/>
      </c>
      <c r="R115" s="76">
        <f>SUMIF(FS_Q!$1:$1,FS_Y!R$1,FS_Q!115:115)</f>
        <v/>
      </c>
      <c r="S115" s="76">
        <f>SUMIF(FS_Q!$1:$1,FS_Y!S$1,FS_Q!115:115)</f>
        <v/>
      </c>
      <c r="T115" s="76">
        <f>SUMIF(FS_Q!$1:$1,FS_Y!T$1,FS_Q!115:115)</f>
        <v/>
      </c>
      <c r="U115" s="76">
        <f>SUMIF(FS_Q!$1:$1,FS_Y!U$1,FS_Q!115:115)</f>
        <v/>
      </c>
      <c r="V115" s="76">
        <f>SUMIF(FS_Q!$1:$1,FS_Y!V$1,FS_Q!115:115)</f>
        <v/>
      </c>
      <c r="W115" s="76">
        <f>SUMIF(FS_Q!$1:$1,FS_Y!W$1,FS_Q!115:115)</f>
        <v/>
      </c>
      <c r="X115" s="148" t="n"/>
      <c r="Y115" s="148" t="n"/>
      <c r="Z115" s="148" t="n"/>
      <c r="AA115" s="148" t="n"/>
      <c r="AB115" s="148" t="n"/>
      <c r="AC115" s="148" t="n"/>
      <c r="AD115" s="148" t="n"/>
      <c r="AE115" s="148" t="n"/>
      <c r="AF115" s="148" t="n"/>
      <c r="AG115" s="148" t="n"/>
      <c r="AH115" s="148" t="n"/>
      <c r="AI115" s="148" t="n"/>
      <c r="AJ115" s="148" t="n"/>
      <c r="AK115" s="148" t="n"/>
      <c r="AL115" s="148" t="n"/>
      <c r="AM115" s="148" t="n"/>
      <c r="AN115" s="148" t="n"/>
      <c r="AO115" s="148" t="n"/>
      <c r="AP115" s="148" t="n"/>
      <c r="AQ115" s="148" t="n"/>
      <c r="AR115" s="148" t="n"/>
      <c r="AS115" s="148" t="n"/>
    </row>
    <row r="116">
      <c r="A116" s="503">
        <f>FS_Q!A116</f>
        <v/>
      </c>
      <c r="B116" s="148" t="n"/>
      <c r="C116" s="148" t="n"/>
      <c r="D116" s="143" t="n"/>
      <c r="E116" s="519">
        <f>SUMIF(FS_Q!$1:$1,FS_Y!E$1,FS_Q!116:116)</f>
        <v/>
      </c>
      <c r="F116" s="519">
        <f>SUMIF(FS_Q!$1:$1,FS_Y!F$1,FS_Q!116:116)</f>
        <v/>
      </c>
      <c r="G116" s="519">
        <f>SUMIF(FS_Q!$1:$1,FS_Y!G$1,FS_Q!116:116)</f>
        <v/>
      </c>
      <c r="H116" s="519">
        <f>SUMIF(FS_Q!$1:$1,FS_Y!H$1,FS_Q!116:116)</f>
        <v/>
      </c>
      <c r="I116" s="519">
        <f>SUMIF(FS_Q!$1:$1,FS_Y!I$1,FS_Q!116:116)</f>
        <v/>
      </c>
      <c r="J116" s="519">
        <f>SUMIF(FS_Q!$1:$1,FS_Y!J$1,FS_Q!116:116)</f>
        <v/>
      </c>
      <c r="K116" s="519">
        <f>SUMIF(FS_Q!$1:$1,FS_Y!K$1,FS_Q!116:116)</f>
        <v/>
      </c>
      <c r="L116" s="519">
        <f>SUMIF(FS_Q!$1:$1,FS_Y!L$1,FS_Q!116:116)</f>
        <v/>
      </c>
      <c r="M116" s="519">
        <f>SUMIF(FS_Q!$1:$1,FS_Y!M$1,FS_Q!116:116)</f>
        <v/>
      </c>
      <c r="N116" s="519">
        <f>SUMIF(FS_Q!$1:$1,FS_Y!N$1,FS_Q!116:116)</f>
        <v/>
      </c>
      <c r="O116" s="519">
        <f>SUMIF(FS_Q!$1:$1,FS_Y!O$1,FS_Q!116:116)</f>
        <v/>
      </c>
      <c r="P116" s="519">
        <f>SUMIF(FS_Q!$1:$1,FS_Y!P$1,FS_Q!116:116)</f>
        <v/>
      </c>
      <c r="Q116" s="519">
        <f>SUMIF(FS_Q!$1:$1,FS_Y!Q$1,FS_Q!116:116)</f>
        <v/>
      </c>
      <c r="R116" s="519">
        <f>SUMIF(FS_Q!$1:$1,FS_Y!R$1,FS_Q!116:116)</f>
        <v/>
      </c>
      <c r="S116" s="519">
        <f>SUMIF(FS_Q!$1:$1,FS_Y!S$1,FS_Q!116:116)</f>
        <v/>
      </c>
      <c r="T116" s="519">
        <f>SUMIF(FS_Q!$1:$1,FS_Y!T$1,FS_Q!116:116)</f>
        <v/>
      </c>
      <c r="U116" s="519">
        <f>SUMIF(FS_Q!$1:$1,FS_Y!U$1,FS_Q!116:116)</f>
        <v/>
      </c>
      <c r="V116" s="519">
        <f>SUMIF(FS_Q!$1:$1,FS_Y!V$1,FS_Q!116:116)</f>
        <v/>
      </c>
      <c r="W116" s="519">
        <f>SUMIF(FS_Q!$1:$1,FS_Y!W$1,FS_Q!116:116)</f>
        <v/>
      </c>
      <c r="X116" s="148" t="n"/>
      <c r="Y116" s="148" t="n"/>
      <c r="Z116" s="148" t="n"/>
      <c r="AA116" s="148" t="n"/>
      <c r="AB116" s="148" t="n"/>
      <c r="AC116" s="148" t="n"/>
      <c r="AD116" s="148" t="n"/>
      <c r="AE116" s="148" t="n"/>
      <c r="AF116" s="148" t="n"/>
      <c r="AG116" s="148" t="n"/>
      <c r="AH116" s="148" t="n"/>
      <c r="AI116" s="148" t="n"/>
      <c r="AJ116" s="148" t="n"/>
      <c r="AK116" s="148" t="n"/>
      <c r="AL116" s="148" t="n"/>
      <c r="AM116" s="148" t="n"/>
      <c r="AN116" s="148" t="n"/>
      <c r="AO116" s="148" t="n"/>
      <c r="AP116" s="148" t="n"/>
      <c r="AQ116" s="148" t="n"/>
      <c r="AR116" s="148" t="n"/>
      <c r="AS116" s="148" t="n"/>
    </row>
    <row r="117" customFormat="1" s="21">
      <c r="A117" s="502">
        <f>FS_Q!A117</f>
        <v/>
      </c>
      <c r="B117" s="148" t="n"/>
      <c r="C117" s="148" t="n"/>
      <c r="D117" s="147" t="n"/>
      <c r="E117" s="143">
        <f>INDEX(FS_Q!117:117,MATCH("1Q"&amp;RIGHT(FS_Y!E$5,2),FS_Q!$5:$5,0))</f>
        <v/>
      </c>
      <c r="F117" s="143">
        <f>INDEX(FS_Q!117:117,MATCH("1Q"&amp;RIGHT(FS_Y!F$5,2),FS_Q!$5:$5,0))</f>
        <v/>
      </c>
      <c r="G117" s="143">
        <f>INDEX(FS_Q!117:117,MATCH("1Q"&amp;RIGHT(FS_Y!G$5,2),FS_Q!$5:$5,0))</f>
        <v/>
      </c>
      <c r="H117" s="143">
        <f>INDEX(FS_Q!117:117,MATCH("1Q"&amp;RIGHT(FS_Y!H$5,2),FS_Q!$5:$5,0))</f>
        <v/>
      </c>
      <c r="I117" s="143">
        <f>INDEX(FS_Q!117:117,MATCH("1Q"&amp;RIGHT(FS_Y!I$5,2),FS_Q!$5:$5,0))</f>
        <v/>
      </c>
      <c r="J117" s="143">
        <f>INDEX(FS_Q!117:117,MATCH("1Q"&amp;RIGHT(FS_Y!J$5,2),FS_Q!$5:$5,0))</f>
        <v/>
      </c>
      <c r="K117" s="143">
        <f>INDEX(FS_Q!117:117,MATCH("1Q"&amp;RIGHT(FS_Y!K$5,2),FS_Q!$5:$5,0))</f>
        <v/>
      </c>
      <c r="L117" s="143">
        <f>INDEX(FS_Q!117:117,MATCH("1Q"&amp;RIGHT(FS_Y!L$5,2),FS_Q!$5:$5,0))</f>
        <v/>
      </c>
      <c r="M117" s="143">
        <f>INDEX(FS_Q!117:117,MATCH("1Q"&amp;RIGHT(FS_Y!M$5,2),FS_Q!$5:$5,0))</f>
        <v/>
      </c>
      <c r="N117" s="143">
        <f>INDEX(FS_Q!117:117,MATCH("1Q"&amp;RIGHT(FS_Y!N$5,2),FS_Q!$5:$5,0))</f>
        <v/>
      </c>
      <c r="O117" s="143">
        <f>INDEX(FS_Q!117:117,MATCH("1Q"&amp;RIGHT(FS_Y!O$5,2),FS_Q!$5:$5,0))</f>
        <v/>
      </c>
      <c r="P117" s="143">
        <f>INDEX(FS_Q!117:117,MATCH("1Q"&amp;RIGHT(FS_Y!P$5,2),FS_Q!$5:$5,0))</f>
        <v/>
      </c>
      <c r="Q117" s="143">
        <f>INDEX(FS_Q!117:117,MATCH("1Q"&amp;RIGHT(FS_Y!Q$5,2),FS_Q!$5:$5,0))</f>
        <v/>
      </c>
      <c r="R117" s="143">
        <f>INDEX(FS_Q!117:117,MATCH("1Q"&amp;RIGHT(FS_Y!R$5,2),FS_Q!$5:$5,0))</f>
        <v/>
      </c>
      <c r="S117" s="143">
        <f>INDEX(FS_Q!117:117,MATCH("1Q"&amp;RIGHT(FS_Y!S$5,2),FS_Q!$5:$5,0))</f>
        <v/>
      </c>
      <c r="T117" s="143">
        <f>INDEX(FS_Q!117:117,MATCH("1Q"&amp;RIGHT(FS_Y!T$5,2),FS_Q!$5:$5,0))</f>
        <v/>
      </c>
      <c r="U117" s="143">
        <f>INDEX(FS_Q!117:117,MATCH("1Q"&amp;RIGHT(FS_Y!U$5,2),FS_Q!$5:$5,0))</f>
        <v/>
      </c>
      <c r="V117" s="143">
        <f>INDEX(FS_Q!117:117,MATCH("1Q"&amp;RIGHT(FS_Y!V$5,2),FS_Q!$5:$5,0))</f>
        <v/>
      </c>
      <c r="W117" s="143">
        <f>INDEX(FS_Q!117:117,MATCH("1Q"&amp;RIGHT(FS_Y!W$5,2),FS_Q!$5:$5,0))</f>
        <v/>
      </c>
      <c r="X117" s="131" t="n"/>
      <c r="Y117" s="131" t="n"/>
      <c r="Z117" s="131" t="n"/>
      <c r="AA117" s="131" t="n"/>
      <c r="AB117" s="131" t="n"/>
      <c r="AC117" s="131" t="n"/>
      <c r="AD117" s="131" t="n"/>
      <c r="AE117" s="131" t="n"/>
      <c r="AF117" s="131" t="n"/>
      <c r="AG117" s="131" t="n"/>
      <c r="AH117" s="131" t="n"/>
      <c r="AI117" s="131" t="n"/>
      <c r="AJ117" s="131" t="n"/>
      <c r="AK117" s="131" t="n"/>
      <c r="AL117" s="131" t="n"/>
      <c r="AM117" s="131" t="n"/>
      <c r="AN117" s="131" t="n"/>
      <c r="AO117" s="131" t="n"/>
      <c r="AP117" s="131" t="n"/>
      <c r="AQ117" s="131" t="n"/>
      <c r="AR117" s="131" t="n"/>
      <c r="AS117" s="131" t="n"/>
    </row>
    <row r="118" customFormat="1" s="21">
      <c r="A118" s="502" t="inlineStr">
        <is>
          <t>Less: restricted cash included in other current assets and other assets</t>
        </is>
      </c>
      <c r="B118" s="148" t="n"/>
      <c r="C118" s="148" t="n"/>
      <c r="D118" s="147" t="n"/>
      <c r="E118" s="143" t="n"/>
      <c r="F118" s="143" t="n"/>
      <c r="G118" s="143" t="n"/>
      <c r="H118" s="143" t="n"/>
      <c r="I118" s="143" t="n"/>
      <c r="J118" s="143" t="n"/>
      <c r="K118" s="143" t="n"/>
      <c r="L118" s="143" t="n"/>
      <c r="M118" s="143" t="n"/>
      <c r="N118" s="143">
        <f>INDEX(FS_Q!119:119,MATCH("4Q"&amp;RIGHT(FS_Y!N$5,2),FS_Q!$5:$5,0))</f>
        <v/>
      </c>
      <c r="O118" s="143">
        <f>INDEX(FS_Q!119:119,MATCH("4Q"&amp;RIGHT(FS_Y!O$5,2),FS_Q!$5:$5,0))</f>
        <v/>
      </c>
      <c r="P118" s="143">
        <f>INDEX(FS_Q!119:119,MATCH("4Q"&amp;RIGHT(FS_Y!P$5,2),FS_Q!$5:$5,0))</f>
        <v/>
      </c>
      <c r="Q118" s="143" t="n"/>
      <c r="R118" s="143" t="n"/>
      <c r="S118" s="143" t="n"/>
      <c r="T118" s="143" t="n"/>
      <c r="U118" s="143" t="n"/>
      <c r="V118" s="143" t="n"/>
      <c r="W118" s="143" t="n"/>
      <c r="X118" s="131" t="n"/>
      <c r="Y118" s="131" t="n"/>
      <c r="Z118" s="131" t="n"/>
      <c r="AA118" s="131" t="n"/>
      <c r="AB118" s="131" t="n"/>
      <c r="AC118" s="131" t="n"/>
      <c r="AD118" s="131" t="n"/>
      <c r="AE118" s="131" t="n"/>
      <c r="AF118" s="131" t="n"/>
      <c r="AG118" s="131" t="n"/>
      <c r="AH118" s="131" t="n"/>
      <c r="AI118" s="131" t="n"/>
      <c r="AJ118" s="131" t="n"/>
      <c r="AK118" s="131" t="n"/>
      <c r="AL118" s="131" t="n"/>
      <c r="AM118" s="131" t="n"/>
      <c r="AN118" s="131" t="n"/>
      <c r="AO118" s="131" t="n"/>
      <c r="AP118" s="131" t="n"/>
      <c r="AQ118" s="131" t="n"/>
      <c r="AR118" s="131" t="n"/>
      <c r="AS118" s="131" t="n"/>
    </row>
    <row r="119" customFormat="1" s="281">
      <c r="A119" s="502">
        <f>FS_Q!A120</f>
        <v/>
      </c>
      <c r="B119" s="382" t="n"/>
      <c r="C119" s="382" t="n"/>
      <c r="D119" s="400" t="n"/>
      <c r="E119" s="108">
        <f>INDEX(FS_Q!120:120,MATCH("4Q"&amp;RIGHT(FS_Y!E$5,2),FS_Q!$5:$5,0))</f>
        <v/>
      </c>
      <c r="F119" s="108">
        <f>INDEX(FS_Q!120:120,MATCH("4Q"&amp;RIGHT(FS_Y!F$5,2),FS_Q!$5:$5,0))</f>
        <v/>
      </c>
      <c r="G119" s="108">
        <f>INDEX(FS_Q!120:120,MATCH("4Q"&amp;RIGHT(FS_Y!G$5,2),FS_Q!$5:$5,0))</f>
        <v/>
      </c>
      <c r="H119" s="108">
        <f>INDEX(FS_Q!120:120,MATCH("4Q"&amp;RIGHT(FS_Y!H$5,2),FS_Q!$5:$5,0))</f>
        <v/>
      </c>
      <c r="I119" s="108">
        <f>INDEX(FS_Q!120:120,MATCH("4Q"&amp;RIGHT(FS_Y!I$5,2),FS_Q!$5:$5,0))</f>
        <v/>
      </c>
      <c r="J119" s="108">
        <f>INDEX(FS_Q!120:120,MATCH("4Q"&amp;RIGHT(FS_Y!J$5,2),FS_Q!$5:$5,0))</f>
        <v/>
      </c>
      <c r="K119" s="108">
        <f>INDEX(FS_Q!120:120,MATCH("4Q"&amp;RIGHT(FS_Y!K$5,2),FS_Q!$5:$5,0))</f>
        <v/>
      </c>
      <c r="L119" s="108">
        <f>INDEX(FS_Q!120:120,MATCH("4Q"&amp;RIGHT(FS_Y!L$5,2),FS_Q!$5:$5,0))</f>
        <v/>
      </c>
      <c r="M119" s="108">
        <f>INDEX(FS_Q!120:120,MATCH("4Q"&amp;RIGHT(FS_Y!M$5,2),FS_Q!$5:$5,0))</f>
        <v/>
      </c>
      <c r="N119" s="108">
        <f>INDEX(FS_Q!120:120,MATCH("4Q"&amp;RIGHT(FS_Y!N$5,2),FS_Q!$5:$5,0))</f>
        <v/>
      </c>
      <c r="O119" s="108">
        <f>INDEX(FS_Q!120:120,MATCH("4Q"&amp;RIGHT(FS_Y!O$5,2),FS_Q!$5:$5,0))</f>
        <v/>
      </c>
      <c r="P119" s="108">
        <f>INDEX(FS_Q!120:120,MATCH("4Q"&amp;RIGHT(FS_Y!P$5,2),FS_Q!$5:$5,0))</f>
        <v/>
      </c>
      <c r="Q119" s="108">
        <f>INDEX(FS_Q!120:120,MATCH("4Q"&amp;RIGHT(FS_Y!Q$5,2),FS_Q!$5:$5,0))</f>
        <v/>
      </c>
      <c r="R119" s="108">
        <f>INDEX(FS_Q!120:120,MATCH("4Q"&amp;RIGHT(FS_Y!R$5,2),FS_Q!$5:$5,0))</f>
        <v/>
      </c>
      <c r="S119" s="108">
        <f>INDEX(FS_Q!120:120,MATCH("4Q"&amp;RIGHT(FS_Y!S$5,2),FS_Q!$5:$5,0))</f>
        <v/>
      </c>
      <c r="T119" s="108">
        <f>INDEX(FS_Q!120:120,MATCH("4Q"&amp;RIGHT(FS_Y!T$5,2),FS_Q!$5:$5,0))</f>
        <v/>
      </c>
      <c r="U119" s="108">
        <f>INDEX(FS_Q!120:120,MATCH("4Q"&amp;RIGHT(FS_Y!U$5,2),FS_Q!$5:$5,0))</f>
        <v/>
      </c>
      <c r="V119" s="108">
        <f>INDEX(FS_Q!120:120,MATCH("4Q"&amp;RIGHT(FS_Y!V$5,2),FS_Q!$5:$5,0))</f>
        <v/>
      </c>
      <c r="W119" s="108">
        <f>INDEX(FS_Q!120:120,MATCH("4Q"&amp;RIGHT(FS_Y!W$5,2),FS_Q!$5:$5,0))</f>
        <v/>
      </c>
      <c r="X119" s="382" t="n"/>
      <c r="Y119" s="382" t="n"/>
      <c r="Z119" s="382" t="n"/>
      <c r="AA119" s="382" t="n"/>
      <c r="AB119" s="382" t="n"/>
      <c r="AC119" s="382" t="n"/>
      <c r="AD119" s="382" t="n"/>
      <c r="AE119" s="382" t="n"/>
      <c r="AF119" s="382" t="n"/>
      <c r="AG119" s="382" t="n"/>
      <c r="AH119" s="382" t="n"/>
      <c r="AI119" s="382" t="n"/>
      <c r="AJ119" s="382" t="n"/>
      <c r="AK119" s="382" t="n"/>
      <c r="AL119" s="382" t="n"/>
      <c r="AM119" s="382" t="n"/>
      <c r="AN119" s="382" t="n"/>
      <c r="AO119" s="382" t="n"/>
      <c r="AP119" s="382" t="n"/>
      <c r="AQ119" s="382" t="n"/>
      <c r="AR119" s="382" t="n"/>
      <c r="AS119" s="382" t="n"/>
    </row>
    <row r="120">
      <c r="B120" s="148" t="n"/>
      <c r="C120" s="148" t="n"/>
      <c r="D120" s="143" t="n"/>
      <c r="E120" s="143" t="n"/>
      <c r="F120" s="143" t="n"/>
      <c r="G120" s="143" t="n"/>
      <c r="H120" s="143" t="n"/>
      <c r="I120" s="143" t="n"/>
      <c r="J120" s="143" t="n"/>
      <c r="K120" s="143" t="n"/>
      <c r="L120" s="143" t="n"/>
      <c r="M120" s="143" t="n"/>
      <c r="N120" s="143" t="n"/>
      <c r="O120" s="143" t="n"/>
      <c r="P120" s="143" t="n"/>
      <c r="Q120" s="143" t="n"/>
      <c r="R120" s="143" t="n"/>
      <c r="S120" s="143" t="n"/>
      <c r="T120" s="143" t="n"/>
      <c r="U120" s="143" t="n"/>
      <c r="V120" s="131" t="n"/>
      <c r="W120" s="131" t="n"/>
      <c r="X120" s="131" t="n"/>
      <c r="Y120" s="131" t="n"/>
      <c r="Z120" s="131" t="n"/>
      <c r="AA120" s="131" t="n"/>
      <c r="AB120" s="131" t="n"/>
      <c r="AC120" s="131" t="n"/>
      <c r="AD120" s="131" t="n"/>
      <c r="AE120" s="131" t="n"/>
      <c r="AF120" s="131" t="n"/>
      <c r="AG120" s="131" t="n"/>
      <c r="AH120" s="131" t="n"/>
      <c r="AI120" s="131" t="n"/>
      <c r="AJ120" s="131" t="n"/>
      <c r="AK120" s="131" t="n"/>
      <c r="AL120" s="131" t="n"/>
      <c r="AM120" s="131" t="n"/>
      <c r="AN120" s="131" t="n"/>
      <c r="AO120" s="131" t="n"/>
      <c r="AP120" s="131" t="n"/>
      <c r="AQ120" s="131" t="n"/>
      <c r="AR120" s="131" t="n"/>
      <c r="AS120" s="131" t="n"/>
    </row>
    <row r="121">
      <c r="A121" s="455">
        <f>FS_Q!A122</f>
        <v/>
      </c>
      <c r="B121" s="148" t="n"/>
      <c r="C121" s="148" t="n"/>
      <c r="D121" s="143" t="n"/>
      <c r="E121" s="400">
        <f>E91-E25</f>
        <v/>
      </c>
      <c r="F121" s="400">
        <f>F91-F25</f>
        <v/>
      </c>
      <c r="G121" s="400">
        <f>G91-G25</f>
        <v/>
      </c>
      <c r="H121" s="400">
        <f>H91-H25</f>
        <v/>
      </c>
      <c r="I121" s="400">
        <f>I91-I25</f>
        <v/>
      </c>
      <c r="J121" s="400">
        <f>J91-J25</f>
        <v/>
      </c>
      <c r="K121" s="400">
        <f>K91-K25</f>
        <v/>
      </c>
      <c r="L121" s="400">
        <f>L91-L25</f>
        <v/>
      </c>
      <c r="M121" s="400">
        <f>M91-M25</f>
        <v/>
      </c>
      <c r="N121" s="400">
        <f>N91-N25</f>
        <v/>
      </c>
      <c r="O121" s="400">
        <f>O91-O25</f>
        <v/>
      </c>
      <c r="P121" s="400">
        <f>P91-P25</f>
        <v/>
      </c>
      <c r="Q121" s="400">
        <f>Q91-Q25</f>
        <v/>
      </c>
      <c r="R121" s="400">
        <f>R91-R25</f>
        <v/>
      </c>
      <c r="S121" s="400">
        <f>S91-S25</f>
        <v/>
      </c>
      <c r="T121" s="400">
        <f>T91-T25</f>
        <v/>
      </c>
      <c r="U121" s="400">
        <f>U91-U25</f>
        <v/>
      </c>
      <c r="V121" s="400">
        <f>V91-V25</f>
        <v/>
      </c>
      <c r="W121" s="400">
        <f>W91-W25</f>
        <v/>
      </c>
      <c r="X121" s="148" t="n"/>
      <c r="Y121" s="148" t="n"/>
      <c r="Z121" s="148" t="n"/>
      <c r="AA121" s="148" t="n"/>
      <c r="AB121" s="148" t="n"/>
      <c r="AC121" s="148" t="n"/>
      <c r="AD121" s="148" t="n"/>
      <c r="AE121" s="148" t="n"/>
      <c r="AF121" s="148" t="n"/>
      <c r="AG121" s="148" t="n"/>
      <c r="AH121" s="148" t="n"/>
      <c r="AI121" s="148" t="n"/>
      <c r="AJ121" s="148" t="n"/>
      <c r="AK121" s="148" t="n"/>
      <c r="AL121" s="148" t="n"/>
      <c r="AM121" s="148" t="n"/>
      <c r="AN121" s="148" t="n"/>
      <c r="AO121" s="148" t="n"/>
      <c r="AP121" s="148" t="n"/>
      <c r="AQ121" s="148" t="n"/>
      <c r="AR121" s="148" t="n"/>
      <c r="AS121" s="148" t="n"/>
    </row>
    <row r="122">
      <c r="A122" s="455">
        <f>FS_Q!A123</f>
        <v/>
      </c>
      <c r="B122" s="148" t="n"/>
      <c r="C122" s="148" t="n"/>
      <c r="D122" s="143" t="n"/>
      <c r="E122" s="400">
        <f>SUM(E91:E101)-E102</f>
        <v/>
      </c>
      <c r="F122" s="400">
        <f>SUM(F91:F101)-F102</f>
        <v/>
      </c>
      <c r="G122" s="400">
        <f>SUM(G91:G101)-G102</f>
        <v/>
      </c>
      <c r="H122" s="400">
        <f>SUM(H91:H101)-H102</f>
        <v/>
      </c>
      <c r="I122" s="400">
        <f>SUM(I91:I101)-I102</f>
        <v/>
      </c>
      <c r="J122" s="400">
        <f>SUM(J91:J101)-J102</f>
        <v/>
      </c>
      <c r="K122" s="400">
        <f>SUM(K91:K101)-K102</f>
        <v/>
      </c>
      <c r="L122" s="400">
        <f>SUM(L91:L101)-L102</f>
        <v/>
      </c>
      <c r="M122" s="400">
        <f>SUM(M91:M101)-M102</f>
        <v/>
      </c>
      <c r="N122" s="400">
        <f>SUM(N91:N101)-N102</f>
        <v/>
      </c>
      <c r="O122" s="400">
        <f>SUM(O91:O101)-O102</f>
        <v/>
      </c>
      <c r="P122" s="400">
        <f>SUM(P91:P101)-P102</f>
        <v/>
      </c>
      <c r="Q122" s="400">
        <f>SUM(Q91:Q101)-Q102</f>
        <v/>
      </c>
      <c r="R122" s="400">
        <f>SUM(R91:R101)-R102</f>
        <v/>
      </c>
      <c r="S122" s="400">
        <f>SUM(S91:S101)-S102</f>
        <v/>
      </c>
      <c r="T122" s="400">
        <f>SUM(T91:T101)-T102</f>
        <v/>
      </c>
      <c r="U122" s="400">
        <f>SUM(U91:U101)-U102</f>
        <v/>
      </c>
      <c r="V122" s="400">
        <f>SUM(V91:V101)-V102</f>
        <v/>
      </c>
      <c r="W122" s="400">
        <f>SUM(W91:W101)-W102</f>
        <v/>
      </c>
      <c r="X122" s="148" t="n"/>
      <c r="Y122" s="148" t="n"/>
      <c r="Z122" s="148" t="n"/>
      <c r="AA122" s="148" t="n"/>
      <c r="AB122" s="148" t="n"/>
      <c r="AC122" s="148" t="n"/>
      <c r="AD122" s="148" t="n"/>
      <c r="AE122" s="148" t="n"/>
      <c r="AF122" s="148" t="n"/>
      <c r="AG122" s="148" t="n"/>
      <c r="AH122" s="148" t="n"/>
      <c r="AI122" s="148" t="n"/>
      <c r="AJ122" s="148" t="n"/>
      <c r="AK122" s="148" t="n"/>
      <c r="AL122" s="148" t="n"/>
      <c r="AM122" s="148" t="n"/>
      <c r="AN122" s="148" t="n"/>
      <c r="AO122" s="148" t="n"/>
      <c r="AP122" s="148" t="n"/>
      <c r="AQ122" s="148" t="n"/>
      <c r="AR122" s="148" t="n"/>
      <c r="AS122" s="148" t="n"/>
    </row>
    <row r="123">
      <c r="A123" s="455">
        <f>FS_Q!A124</f>
        <v/>
      </c>
      <c r="B123" s="148" t="n"/>
      <c r="C123" s="148" t="n"/>
      <c r="D123" s="143" t="n"/>
      <c r="E123" s="400">
        <f>SUM(E105:E106)-E107</f>
        <v/>
      </c>
      <c r="F123" s="400">
        <f>SUM(F105:F106)-F107</f>
        <v/>
      </c>
      <c r="G123" s="400">
        <f>SUM(G105:G106)-G107</f>
        <v/>
      </c>
      <c r="H123" s="400">
        <f>SUM(H105:H106)-H107</f>
        <v/>
      </c>
      <c r="I123" s="400">
        <f>SUM(I105:I106)-I107</f>
        <v/>
      </c>
      <c r="J123" s="400">
        <f>SUM(J105:J106)-J107</f>
        <v/>
      </c>
      <c r="K123" s="400">
        <f>SUM(K105:K106)-K107</f>
        <v/>
      </c>
      <c r="L123" s="400">
        <f>SUM(L105:L106)-L107</f>
        <v/>
      </c>
      <c r="M123" s="400">
        <f>SUM(M105:M106)-M107</f>
        <v/>
      </c>
      <c r="N123" s="400">
        <f>SUM(N105:N106)-N107</f>
        <v/>
      </c>
      <c r="O123" s="400">
        <f>SUM(O105:O106)-O107</f>
        <v/>
      </c>
      <c r="P123" s="400">
        <f>SUM(P105:P106)-P107</f>
        <v/>
      </c>
      <c r="Q123" s="400">
        <f>SUM(Q105:Q106)-Q107</f>
        <v/>
      </c>
      <c r="R123" s="400">
        <f>SUM(R105:R106)-R107</f>
        <v/>
      </c>
      <c r="S123" s="400">
        <f>SUM(S105:S106)-S107</f>
        <v/>
      </c>
      <c r="T123" s="400">
        <f>SUM(T105:T106)-T107</f>
        <v/>
      </c>
      <c r="U123" s="400">
        <f>SUM(U105:U106)-U107</f>
        <v/>
      </c>
      <c r="V123" s="400">
        <f>SUM(V105:V106)-V107</f>
        <v/>
      </c>
      <c r="W123" s="400">
        <f>SUM(W105:W106)-W107</f>
        <v/>
      </c>
      <c r="X123" s="148" t="n"/>
      <c r="Y123" s="148" t="n"/>
      <c r="Z123" s="148" t="n"/>
      <c r="AA123" s="148" t="n"/>
      <c r="AB123" s="148" t="n"/>
      <c r="AC123" s="148" t="n"/>
      <c r="AD123" s="148" t="n"/>
      <c r="AE123" s="148" t="n"/>
      <c r="AF123" s="148" t="n"/>
      <c r="AG123" s="148" t="n"/>
      <c r="AH123" s="148" t="n"/>
      <c r="AI123" s="148" t="n"/>
      <c r="AJ123" s="148" t="n"/>
      <c r="AK123" s="148" t="n"/>
      <c r="AL123" s="148" t="n"/>
      <c r="AM123" s="148" t="n"/>
      <c r="AN123" s="148" t="n"/>
      <c r="AO123" s="148" t="n"/>
      <c r="AP123" s="148" t="n"/>
      <c r="AQ123" s="148" t="n"/>
      <c r="AR123" s="148" t="n"/>
      <c r="AS123" s="148" t="n"/>
    </row>
    <row r="124" customFormat="1" s="21">
      <c r="A124" s="455">
        <f>FS_Q!A125</f>
        <v/>
      </c>
      <c r="B124" s="148" t="n"/>
      <c r="C124" s="148" t="n"/>
      <c r="D124" s="147" t="n"/>
      <c r="E124" s="400">
        <f>SUM(E110:E112)-E113</f>
        <v/>
      </c>
      <c r="F124" s="400">
        <f>SUM(F110:F112)-F113</f>
        <v/>
      </c>
      <c r="G124" s="400">
        <f>SUM(G110:G112)-G113</f>
        <v/>
      </c>
      <c r="H124" s="400">
        <f>SUM(H110:H112)-H113</f>
        <v/>
      </c>
      <c r="I124" s="400">
        <f>SUM(I110:I112)-I113</f>
        <v/>
      </c>
      <c r="J124" s="400">
        <f>SUM(J110:J112)-J113</f>
        <v/>
      </c>
      <c r="K124" s="400">
        <f>SUM(K110:K112)-K113</f>
        <v/>
      </c>
      <c r="L124" s="400">
        <f>SUM(L110:L112)-L113</f>
        <v/>
      </c>
      <c r="M124" s="400">
        <f>SUM(M110:M112)-M113</f>
        <v/>
      </c>
      <c r="N124" s="400">
        <f>SUM(N110:N112)-N113</f>
        <v/>
      </c>
      <c r="O124" s="400">
        <f>SUM(O110:O112)-O113</f>
        <v/>
      </c>
      <c r="P124" s="400">
        <f>SUM(P110:P112)-P113</f>
        <v/>
      </c>
      <c r="Q124" s="400">
        <f>SUM(Q110:Q112)-Q113</f>
        <v/>
      </c>
      <c r="R124" s="400">
        <f>SUM(R110:R112)-R113</f>
        <v/>
      </c>
      <c r="S124" s="400">
        <f>SUM(S110:S112)-S113</f>
        <v/>
      </c>
      <c r="T124" s="400">
        <f>SUM(T110:T112)-T113</f>
        <v/>
      </c>
      <c r="U124" s="400">
        <f>SUM(U110:U112)-U113</f>
        <v/>
      </c>
      <c r="V124" s="400">
        <f>SUM(V110:V112)-V113</f>
        <v/>
      </c>
      <c r="W124" s="400">
        <f>SUM(W110:W112)-W113</f>
        <v/>
      </c>
      <c r="X124" s="148" t="n"/>
      <c r="Y124" s="148" t="n"/>
      <c r="Z124" s="148" t="n"/>
      <c r="AA124" s="148" t="n"/>
      <c r="AB124" s="148" t="n"/>
      <c r="AC124" s="148" t="n"/>
      <c r="AD124" s="148" t="n"/>
      <c r="AE124" s="148" t="n"/>
      <c r="AF124" s="148" t="n"/>
      <c r="AG124" s="148" t="n"/>
      <c r="AH124" s="148" t="n"/>
      <c r="AI124" s="148" t="n"/>
      <c r="AJ124" s="148" t="n"/>
      <c r="AK124" s="148" t="n"/>
      <c r="AL124" s="148" t="n"/>
      <c r="AM124" s="148" t="n"/>
      <c r="AN124" s="148" t="n"/>
      <c r="AO124" s="148" t="n"/>
      <c r="AP124" s="148" t="n"/>
      <c r="AQ124" s="148" t="n"/>
      <c r="AR124" s="148" t="n"/>
      <c r="AS124" s="148" t="n"/>
    </row>
    <row r="125" customFormat="1" s="281">
      <c r="A125" s="455">
        <f>FS_Q!A126</f>
        <v/>
      </c>
      <c r="B125" s="382" t="n"/>
      <c r="C125" s="400" t="n"/>
      <c r="D125" s="400" t="n"/>
      <c r="E125" s="400">
        <f>SUM(E102,E107,E113,E115)-E116</f>
        <v/>
      </c>
      <c r="F125" s="400">
        <f>SUM(F102,F107,F113,F115)-F116</f>
        <v/>
      </c>
      <c r="G125" s="400">
        <f>SUM(G102,G107,G113,G115)-G116</f>
        <v/>
      </c>
      <c r="H125" s="400">
        <f>SUM(H102,H107,H113,H115)-H116</f>
        <v/>
      </c>
      <c r="I125" s="400">
        <f>SUM(I102,I107,I113,I115)-I116</f>
        <v/>
      </c>
      <c r="J125" s="400">
        <f>SUM(J102,J107,J113,J115)-J116</f>
        <v/>
      </c>
      <c r="K125" s="400">
        <f>SUM(K102,K107,K113,K115)-K116</f>
        <v/>
      </c>
      <c r="L125" s="400">
        <f>SUM(L102,L107,L113,L115)-L116</f>
        <v/>
      </c>
      <c r="M125" s="400">
        <f>SUM(M102,M107,M113,M115)-M116</f>
        <v/>
      </c>
      <c r="N125" s="400">
        <f>SUM(N102,N107,N113,N115)-N116</f>
        <v/>
      </c>
      <c r="O125" s="400">
        <f>SUM(O102,O107,O113,O115)-O116</f>
        <v/>
      </c>
      <c r="P125" s="400">
        <f>SUM(P102,P107,P113,P115)-P116</f>
        <v/>
      </c>
      <c r="Q125" s="400">
        <f>SUM(Q102,Q107,Q113,Q115)-Q116</f>
        <v/>
      </c>
      <c r="R125" s="400">
        <f>SUM(R102,R107,R113,R115)-R116</f>
        <v/>
      </c>
      <c r="S125" s="400">
        <f>SUM(S102,S107,S113,S115)-S116</f>
        <v/>
      </c>
      <c r="T125" s="400">
        <f>SUM(T102,T107,T113,T115)-T116</f>
        <v/>
      </c>
      <c r="U125" s="400">
        <f>SUM(U102,U107,U113,U115)-U116</f>
        <v/>
      </c>
      <c r="V125" s="400">
        <f>SUM(V102,V107,V113,V115)-V116</f>
        <v/>
      </c>
      <c r="W125" s="400">
        <f>SUM(W102,W107,W113,W115)-W116</f>
        <v/>
      </c>
      <c r="X125" s="382" t="n"/>
      <c r="Y125" s="382" t="n"/>
      <c r="Z125" s="382" t="n"/>
      <c r="AA125" s="382" t="n"/>
      <c r="AB125" s="382" t="n"/>
      <c r="AC125" s="382" t="n"/>
      <c r="AD125" s="382" t="n"/>
      <c r="AE125" s="382" t="n"/>
      <c r="AF125" s="382" t="n"/>
      <c r="AG125" s="382" t="n"/>
      <c r="AH125" s="382" t="n"/>
      <c r="AI125" s="382" t="n"/>
      <c r="AJ125" s="382" t="n"/>
      <c r="AK125" s="382" t="n"/>
      <c r="AL125" s="382" t="n"/>
      <c r="AM125" s="382" t="n"/>
      <c r="AN125" s="382" t="n"/>
      <c r="AO125" s="382" t="n"/>
      <c r="AP125" s="382" t="n"/>
      <c r="AQ125" s="382" t="n"/>
      <c r="AR125" s="382" t="n"/>
      <c r="AS125" s="382" t="n"/>
    </row>
    <row r="126">
      <c r="A126" s="455">
        <f>FS_Q!A127</f>
        <v/>
      </c>
      <c r="B126" s="148" t="n"/>
      <c r="C126" s="148" t="n"/>
      <c r="D126" s="143" t="n"/>
      <c r="E126" s="400">
        <f>E117+E116-E119</f>
        <v/>
      </c>
      <c r="F126" s="400">
        <f>F117+F116-F119</f>
        <v/>
      </c>
      <c r="G126" s="400">
        <f>G117+G116-G119</f>
        <v/>
      </c>
      <c r="H126" s="400">
        <f>H117+H116-H119</f>
        <v/>
      </c>
      <c r="I126" s="400">
        <f>I117+I116-I119</f>
        <v/>
      </c>
      <c r="J126" s="400">
        <f>J117+J116-J119</f>
        <v/>
      </c>
      <c r="K126" s="400">
        <f>K117+K116-K119</f>
        <v/>
      </c>
      <c r="L126" s="400">
        <f>L117+L116-L119</f>
        <v/>
      </c>
      <c r="M126" s="400">
        <f>M117+M116-M119</f>
        <v/>
      </c>
      <c r="N126" s="400">
        <f>N117+N116-N119-N118</f>
        <v/>
      </c>
      <c r="O126" s="400">
        <f>O117+O116-O119-O118</f>
        <v/>
      </c>
      <c r="P126" s="400">
        <f>P117+P116-P119-P118</f>
        <v/>
      </c>
      <c r="Q126" s="400">
        <f>Q117+Q116-Q119-Q118</f>
        <v/>
      </c>
      <c r="R126" s="400">
        <f>R117+R116-R119-R118</f>
        <v/>
      </c>
      <c r="S126" s="400">
        <f>S117+S116-S119-S118</f>
        <v/>
      </c>
      <c r="T126" s="400">
        <f>T117+T116-T119-T118</f>
        <v/>
      </c>
      <c r="U126" s="400">
        <f>U117+U116-U119-U118</f>
        <v/>
      </c>
      <c r="V126" s="400">
        <f>V117+V116-V119-V118</f>
        <v/>
      </c>
      <c r="W126" s="400">
        <f>W117+W116-W119-W118</f>
        <v/>
      </c>
      <c r="X126" s="131" t="n"/>
      <c r="Y126" s="131" t="n"/>
      <c r="Z126" s="131" t="n"/>
      <c r="AA126" s="131" t="n"/>
      <c r="AB126" s="131" t="n"/>
      <c r="AC126" s="131" t="n"/>
      <c r="AD126" s="131" t="n"/>
      <c r="AE126" s="131" t="n"/>
      <c r="AF126" s="131" t="n"/>
      <c r="AG126" s="131" t="n"/>
      <c r="AH126" s="131" t="n"/>
      <c r="AI126" s="131" t="n"/>
      <c r="AJ126" s="131" t="n"/>
      <c r="AK126" s="131" t="n"/>
      <c r="AL126" s="131" t="n"/>
      <c r="AM126" s="131" t="n"/>
      <c r="AN126" s="131" t="n"/>
      <c r="AO126" s="131" t="n"/>
      <c r="AP126" s="131" t="n"/>
      <c r="AQ126" s="131" t="n"/>
      <c r="AR126" s="131" t="n"/>
      <c r="AS126" s="131" t="n"/>
    </row>
    <row r="127">
      <c r="A127" s="455">
        <f>FS_Q!A128</f>
        <v/>
      </c>
      <c r="B127" s="148" t="n"/>
      <c r="C127" s="148" t="n"/>
      <c r="D127" s="143" t="n"/>
      <c r="E127" s="400">
        <f>E119-E44</f>
        <v/>
      </c>
      <c r="F127" s="400">
        <f>F119-F44</f>
        <v/>
      </c>
      <c r="G127" s="400">
        <f>G119-G44</f>
        <v/>
      </c>
      <c r="H127" s="400">
        <f>H119-H44</f>
        <v/>
      </c>
      <c r="I127" s="400">
        <f>I119-I44</f>
        <v/>
      </c>
      <c r="J127" s="400">
        <f>J119-J44</f>
        <v/>
      </c>
      <c r="K127" s="400">
        <f>K119-K44</f>
        <v/>
      </c>
      <c r="L127" s="400">
        <f>L119-L44</f>
        <v/>
      </c>
      <c r="M127" s="400">
        <f>M119-M44</f>
        <v/>
      </c>
      <c r="N127" s="400">
        <f>N119-N44</f>
        <v/>
      </c>
      <c r="O127" s="400">
        <f>O119-O44</f>
        <v/>
      </c>
      <c r="P127" s="400">
        <f>P119-P44</f>
        <v/>
      </c>
      <c r="Q127" s="400">
        <f>Q119-Q44</f>
        <v/>
      </c>
      <c r="R127" s="400">
        <f>R119-R44</f>
        <v/>
      </c>
      <c r="S127" s="400">
        <f>S119-S44</f>
        <v/>
      </c>
      <c r="T127" s="400">
        <f>T119-T44</f>
        <v/>
      </c>
      <c r="U127" s="400">
        <f>U119-U44</f>
        <v/>
      </c>
      <c r="V127" s="400">
        <f>V119-V44</f>
        <v/>
      </c>
      <c r="W127" s="400">
        <f>W119-W44</f>
        <v/>
      </c>
      <c r="X127" s="131" t="n"/>
      <c r="Y127" s="131" t="n"/>
      <c r="Z127" s="131" t="n"/>
      <c r="AA127" s="131" t="n"/>
      <c r="AB127" s="131" t="n"/>
      <c r="AC127" s="131" t="n"/>
      <c r="AD127" s="131" t="n"/>
      <c r="AE127" s="131" t="n"/>
      <c r="AF127" s="131" t="n"/>
      <c r="AG127" s="131" t="n"/>
      <c r="AH127" s="131" t="n"/>
      <c r="AI127" s="131" t="n"/>
      <c r="AJ127" s="131" t="n"/>
      <c r="AK127" s="131" t="n"/>
      <c r="AL127" s="131" t="n"/>
      <c r="AM127" s="131" t="n"/>
      <c r="AN127" s="131" t="n"/>
      <c r="AO127" s="131" t="n"/>
      <c r="AP127" s="131" t="n"/>
      <c r="AQ127" s="131" t="n"/>
      <c r="AR127" s="131" t="n"/>
      <c r="AS127" s="131" t="n"/>
    </row>
    <row r="128">
      <c r="A128" s="455" t="n"/>
      <c r="B128" s="148" t="n"/>
      <c r="C128" s="148" t="n"/>
      <c r="D128" s="143" t="n"/>
      <c r="E128" s="400" t="n"/>
      <c r="F128" s="400" t="n"/>
      <c r="G128" s="400" t="n"/>
      <c r="H128" s="400" t="n"/>
      <c r="I128" s="400" t="n"/>
      <c r="J128" s="400" t="n"/>
      <c r="K128" s="400" t="n"/>
      <c r="L128" s="400" t="n"/>
      <c r="M128" s="400" t="n"/>
      <c r="N128" s="400" t="n"/>
      <c r="O128" s="400" t="n"/>
      <c r="P128" s="400" t="n"/>
      <c r="Q128" s="400" t="n"/>
      <c r="R128" s="400" t="n"/>
      <c r="S128" s="400" t="n"/>
      <c r="T128" s="400" t="n"/>
      <c r="U128" s="400" t="n"/>
      <c r="V128" s="400" t="n"/>
      <c r="W128" s="400" t="n"/>
      <c r="X128" s="131" t="n"/>
      <c r="Y128" s="131" t="n"/>
      <c r="Z128" s="131" t="n"/>
      <c r="AA128" s="131" t="n"/>
      <c r="AB128" s="131" t="n"/>
      <c r="AC128" s="131" t="n"/>
      <c r="AD128" s="131" t="n"/>
      <c r="AE128" s="131" t="n"/>
      <c r="AF128" s="131" t="n"/>
      <c r="AG128" s="131" t="n"/>
      <c r="AH128" s="131" t="n"/>
      <c r="AI128" s="131" t="n"/>
      <c r="AJ128" s="131" t="n"/>
      <c r="AK128" s="131" t="n"/>
      <c r="AL128" s="131" t="n"/>
      <c r="AM128" s="131" t="n"/>
      <c r="AN128" s="131" t="n"/>
      <c r="AO128" s="131" t="n"/>
      <c r="AP128" s="131" t="n"/>
      <c r="AQ128" s="131" t="n"/>
      <c r="AR128" s="131" t="n"/>
      <c r="AS128" s="131" t="n"/>
    </row>
    <row r="129">
      <c r="E129" s="517" t="n"/>
      <c r="F129" s="517" t="n"/>
      <c r="G129" s="517" t="n"/>
      <c r="H129" s="517" t="n"/>
      <c r="I129" s="517" t="n"/>
      <c r="J129" s="517" t="n"/>
      <c r="K129" s="517" t="n"/>
      <c r="L129" s="517" t="n"/>
      <c r="M129" s="517" t="n"/>
      <c r="N129" s="517" t="n"/>
      <c r="O129" s="517" t="n"/>
      <c r="P129" s="517" t="n"/>
      <c r="Q129" s="517" t="n"/>
      <c r="R129" s="517" t="n"/>
      <c r="S129" s="517" t="n"/>
      <c r="T129" s="517" t="n"/>
      <c r="U129" s="517" t="n"/>
      <c r="V129" s="517" t="n"/>
      <c r="W129" s="517" t="n"/>
    </row>
    <row r="130">
      <c r="F130" s="517" t="n"/>
      <c r="G130" s="517" t="n"/>
      <c r="H130" s="517" t="n"/>
      <c r="I130" s="517" t="n"/>
      <c r="J130" s="517" t="n"/>
      <c r="K130" s="517" t="n"/>
      <c r="L130" s="517" t="n"/>
      <c r="M130" s="517" t="n"/>
      <c r="N130" s="517" t="n"/>
      <c r="O130" s="517" t="n"/>
      <c r="P130" s="517" t="n"/>
      <c r="Q130" s="517" t="n"/>
      <c r="R130" s="517" t="n"/>
      <c r="S130" s="517" t="n"/>
      <c r="T130" s="517" t="n"/>
      <c r="U130" s="517" t="n"/>
      <c r="V130" s="517" t="n"/>
      <c r="W130" s="517" t="n"/>
    </row>
    <row r="132">
      <c r="A132" s="383" t="inlineStr">
        <is>
          <t>KEY OPERATIONAL INDICATORS</t>
        </is>
      </c>
    </row>
    <row r="133">
      <c r="A133" s="384" t="n"/>
    </row>
    <row r="134">
      <c r="A134" s="385" t="inlineStr">
        <is>
          <t>Organic turnover</t>
        </is>
      </c>
      <c r="B134" s="166" t="n"/>
      <c r="C134" s="166" t="n"/>
      <c r="D134" s="166" t="n"/>
      <c r="E134" s="108">
        <f>E11</f>
        <v/>
      </c>
      <c r="F134" s="108">
        <f>F11</f>
        <v/>
      </c>
      <c r="G134" s="108">
        <f>G11</f>
        <v/>
      </c>
      <c r="H134" s="108">
        <f>H11</f>
        <v/>
      </c>
      <c r="I134" s="108">
        <f>I11</f>
        <v/>
      </c>
      <c r="J134" s="108">
        <f>J11</f>
        <v/>
      </c>
      <c r="K134" s="108">
        <f>K11</f>
        <v/>
      </c>
      <c r="L134" s="108">
        <f>L11</f>
        <v/>
      </c>
      <c r="M134" s="108">
        <f>M11</f>
        <v/>
      </c>
      <c r="N134" s="108">
        <f>N11</f>
        <v/>
      </c>
      <c r="O134" s="108">
        <f>O11</f>
        <v/>
      </c>
      <c r="P134" s="108">
        <f>P11</f>
        <v/>
      </c>
      <c r="Q134" s="108">
        <f>Q11</f>
        <v/>
      </c>
      <c r="R134" s="108">
        <f>R11</f>
        <v/>
      </c>
      <c r="S134" s="108">
        <f>S11</f>
        <v/>
      </c>
      <c r="T134" s="108">
        <f>T11</f>
        <v/>
      </c>
      <c r="U134" s="108">
        <f>U11</f>
        <v/>
      </c>
      <c r="V134" s="108">
        <f>V11</f>
        <v/>
      </c>
      <c r="W134" s="108">
        <f>W11</f>
        <v/>
      </c>
    </row>
    <row r="135" customFormat="1" s="432">
      <c r="A135" s="431" t="inlineStr">
        <is>
          <t>YoY Growth</t>
        </is>
      </c>
      <c r="C135" s="433" t="n"/>
      <c r="D135" s="433" t="n"/>
      <c r="E135" s="433" t="n"/>
      <c r="F135" s="433">
        <f>F134/E134-1</f>
        <v/>
      </c>
      <c r="G135" s="433">
        <f>G134/F134-1</f>
        <v/>
      </c>
      <c r="H135" s="433">
        <f>H134/G134-1</f>
        <v/>
      </c>
      <c r="I135" s="433">
        <f>I134/H134-1</f>
        <v/>
      </c>
      <c r="J135" s="433">
        <f>J134/I134-1</f>
        <v/>
      </c>
      <c r="K135" s="433">
        <f>K134/J134-1</f>
        <v/>
      </c>
      <c r="L135" s="433">
        <f>L134/K134-1</f>
        <v/>
      </c>
      <c r="M135" s="433">
        <f>M134/L134-1</f>
        <v/>
      </c>
      <c r="N135" s="433">
        <f>N134/M134-1</f>
        <v/>
      </c>
      <c r="O135" s="433">
        <f>O134/N134-1</f>
        <v/>
      </c>
      <c r="P135" s="433">
        <f>P134/O134-1</f>
        <v/>
      </c>
      <c r="Q135" s="433">
        <f>Q134/P134-1</f>
        <v/>
      </c>
      <c r="R135" s="433">
        <f>R134/Q134-1</f>
        <v/>
      </c>
      <c r="S135" s="433">
        <f>S134/R134-1</f>
        <v/>
      </c>
      <c r="T135" s="433">
        <f>T134/S134-1</f>
        <v/>
      </c>
      <c r="U135" s="433">
        <f>U134/T134-1</f>
        <v/>
      </c>
      <c r="V135" s="433">
        <f>V134/U134-1</f>
        <v/>
      </c>
      <c r="W135" s="433">
        <f>W134/V134-1</f>
        <v/>
      </c>
    </row>
    <row r="136">
      <c r="A136" s="387" t="n"/>
    </row>
    <row r="137">
      <c r="A137" s="385" t="inlineStr">
        <is>
          <t>EBITDA</t>
        </is>
      </c>
      <c r="B137" s="108" t="n"/>
      <c r="C137" s="108" t="n"/>
      <c r="D137" s="108" t="n"/>
      <c r="E137" s="108">
        <f>E19+E93</f>
        <v/>
      </c>
      <c r="F137" s="108">
        <f>F19+F93</f>
        <v/>
      </c>
      <c r="G137" s="108">
        <f>G19+G93</f>
        <v/>
      </c>
      <c r="H137" s="108">
        <f>H19+H93</f>
        <v/>
      </c>
      <c r="I137" s="108">
        <f>I19+I93</f>
        <v/>
      </c>
      <c r="J137" s="108">
        <f>J19+J93</f>
        <v/>
      </c>
      <c r="K137" s="108">
        <f>K19+K93</f>
        <v/>
      </c>
      <c r="L137" s="108">
        <f>L19+L93</f>
        <v/>
      </c>
      <c r="M137" s="108">
        <f>M19+M93</f>
        <v/>
      </c>
      <c r="N137" s="108">
        <f>N19+N93</f>
        <v/>
      </c>
      <c r="O137" s="108">
        <f>O19+O93</f>
        <v/>
      </c>
      <c r="P137" s="108">
        <f>P19+P93</f>
        <v/>
      </c>
      <c r="Q137" s="108">
        <f>Q19+Q93</f>
        <v/>
      </c>
      <c r="R137" s="108">
        <f>R19+R93</f>
        <v/>
      </c>
      <c r="S137" s="108">
        <f>S19+S93</f>
        <v/>
      </c>
      <c r="T137" s="108">
        <f>T19+T93</f>
        <v/>
      </c>
      <c r="U137" s="108">
        <f>U19+U93</f>
        <v/>
      </c>
      <c r="V137" s="108">
        <f>V19+V93</f>
        <v/>
      </c>
      <c r="W137" s="108">
        <f>W19+W93</f>
        <v/>
      </c>
    </row>
    <row r="138">
      <c r="A138" s="387" t="n"/>
    </row>
    <row r="139">
      <c r="A139" s="388" t="inlineStr">
        <is>
          <t>Cash and cash equivalents from balance sheet</t>
        </is>
      </c>
      <c r="B139" s="166" t="n"/>
      <c r="C139" s="166" t="n"/>
      <c r="D139" s="166" t="n"/>
      <c r="E139" s="166">
        <f>E44</f>
        <v/>
      </c>
      <c r="F139" s="166">
        <f>F44</f>
        <v/>
      </c>
      <c r="G139" s="166">
        <f>G44</f>
        <v/>
      </c>
      <c r="H139" s="166">
        <f>H44</f>
        <v/>
      </c>
      <c r="I139" s="166">
        <f>I44</f>
        <v/>
      </c>
      <c r="J139" s="166">
        <f>J44</f>
        <v/>
      </c>
      <c r="K139" s="166">
        <f>K44</f>
        <v/>
      </c>
      <c r="L139" s="166">
        <f>L44</f>
        <v/>
      </c>
      <c r="M139" s="166">
        <f>M44</f>
        <v/>
      </c>
      <c r="N139" s="166">
        <f>N44</f>
        <v/>
      </c>
      <c r="O139" s="166">
        <f>O44</f>
        <v/>
      </c>
      <c r="P139" s="166">
        <f>P44</f>
        <v/>
      </c>
      <c r="Q139" s="166">
        <f>Q44</f>
        <v/>
      </c>
      <c r="R139" s="166">
        <f>R44</f>
        <v/>
      </c>
      <c r="S139" s="166">
        <f>S44</f>
        <v/>
      </c>
      <c r="T139" s="166">
        <f>T44</f>
        <v/>
      </c>
      <c r="U139" s="166">
        <f>U44</f>
        <v/>
      </c>
      <c r="V139" s="166">
        <f>V44</f>
        <v/>
      </c>
      <c r="W139" s="166">
        <f>W44</f>
        <v/>
      </c>
    </row>
    <row r="140">
      <c r="A140" s="389" t="inlineStr">
        <is>
          <t>Excess cash (above 5% of annualized revenue)</t>
        </is>
      </c>
      <c r="B140" s="166" t="n"/>
      <c r="C140" s="166" t="n"/>
      <c r="D140" s="166" t="n"/>
      <c r="E140" s="166">
        <f>E139-E141</f>
        <v/>
      </c>
      <c r="F140" s="166">
        <f>F139-F141</f>
        <v/>
      </c>
      <c r="G140" s="166">
        <f>G139-G141</f>
        <v/>
      </c>
      <c r="H140" s="166">
        <f>H139-H141</f>
        <v/>
      </c>
      <c r="I140" s="166">
        <f>I139-I141</f>
        <v/>
      </c>
      <c r="J140" s="166">
        <f>J139-J141</f>
        <v/>
      </c>
      <c r="K140" s="166">
        <f>K139-K141</f>
        <v/>
      </c>
      <c r="L140" s="166">
        <f>L139-L141</f>
        <v/>
      </c>
      <c r="M140" s="166">
        <f>M139-M141</f>
        <v/>
      </c>
      <c r="N140" s="166">
        <f>N139-N141</f>
        <v/>
      </c>
      <c r="O140" s="166">
        <f>O139-O141</f>
        <v/>
      </c>
      <c r="P140" s="166">
        <f>P139-P141</f>
        <v/>
      </c>
      <c r="Q140" s="166">
        <f>Q139-Q141</f>
        <v/>
      </c>
      <c r="R140" s="166">
        <f>R139-R141</f>
        <v/>
      </c>
      <c r="S140" s="166">
        <f>S139-S141</f>
        <v/>
      </c>
      <c r="T140" s="166">
        <f>T139-T141</f>
        <v/>
      </c>
      <c r="U140" s="166">
        <f>U139-U141</f>
        <v/>
      </c>
      <c r="V140" s="166">
        <f>V139-V141</f>
        <v/>
      </c>
      <c r="W140" s="166">
        <f>W139-W141</f>
        <v/>
      </c>
    </row>
    <row r="141">
      <c r="A141" s="389" t="inlineStr">
        <is>
          <t>Working cash (5% of annualized revenue)</t>
        </is>
      </c>
      <c r="B141" s="166" t="n"/>
      <c r="C141" s="166" t="n"/>
      <c r="D141" s="166" t="n"/>
      <c r="E141" s="108">
        <f>5%*E134</f>
        <v/>
      </c>
      <c r="F141" s="108">
        <f>5%*F134</f>
        <v/>
      </c>
      <c r="G141" s="108">
        <f>5%*G134</f>
        <v/>
      </c>
      <c r="H141" s="108">
        <f>5%*H134</f>
        <v/>
      </c>
      <c r="I141" s="108">
        <f>5%*I134</f>
        <v/>
      </c>
      <c r="J141" s="108">
        <f>5%*J134</f>
        <v/>
      </c>
      <c r="K141" s="108">
        <f>5%*K134</f>
        <v/>
      </c>
      <c r="L141" s="108">
        <f>5%*L134</f>
        <v/>
      </c>
      <c r="M141" s="108">
        <f>5%*M134</f>
        <v/>
      </c>
      <c r="N141" s="108">
        <f>5%*N134</f>
        <v/>
      </c>
      <c r="O141" s="108">
        <f>5%*O134</f>
        <v/>
      </c>
      <c r="P141" s="108">
        <f>5%*P134</f>
        <v/>
      </c>
      <c r="Q141" s="108">
        <f>5%*Q134</f>
        <v/>
      </c>
      <c r="R141" s="108">
        <f>5%*R134</f>
        <v/>
      </c>
      <c r="S141" s="108">
        <f>5%*S134</f>
        <v/>
      </c>
      <c r="T141" s="108">
        <f>5%*T134</f>
        <v/>
      </c>
      <c r="U141" s="108">
        <f>5%*U134</f>
        <v/>
      </c>
      <c r="V141" s="108">
        <f>5%*V134</f>
        <v/>
      </c>
      <c r="W141" s="108">
        <f>5%*W134</f>
        <v/>
      </c>
    </row>
    <row r="142">
      <c r="A142" s="389" t="n"/>
    </row>
    <row r="143">
      <c r="A143" s="388" t="inlineStr">
        <is>
          <t>Total debt</t>
        </is>
      </c>
    </row>
    <row r="144">
      <c r="A144" s="390" t="inlineStr">
        <is>
          <t>Current</t>
        </is>
      </c>
      <c r="B144" s="166" t="n"/>
      <c r="C144" s="166" t="n"/>
      <c r="D144" s="166" t="n"/>
      <c r="E144" s="166">
        <f>E58</f>
        <v/>
      </c>
      <c r="F144" s="166">
        <f>F58</f>
        <v/>
      </c>
      <c r="G144" s="166">
        <f>G58</f>
        <v/>
      </c>
      <c r="H144" s="166">
        <f>H58</f>
        <v/>
      </c>
      <c r="I144" s="166">
        <f>I58</f>
        <v/>
      </c>
      <c r="J144" s="166">
        <f>J58</f>
        <v/>
      </c>
      <c r="K144" s="166">
        <f>K58</f>
        <v/>
      </c>
      <c r="L144" s="166">
        <f>L58</f>
        <v/>
      </c>
      <c r="M144" s="166">
        <f>M58</f>
        <v/>
      </c>
      <c r="N144" s="166">
        <f>N58</f>
        <v/>
      </c>
      <c r="O144" s="166">
        <f>O58</f>
        <v/>
      </c>
      <c r="P144" s="166">
        <f>P58</f>
        <v/>
      </c>
      <c r="Q144" s="166">
        <f>Q58</f>
        <v/>
      </c>
      <c r="R144" s="166">
        <f>R58</f>
        <v/>
      </c>
      <c r="S144" s="166">
        <f>S58</f>
        <v/>
      </c>
      <c r="T144" s="166">
        <f>T58</f>
        <v/>
      </c>
      <c r="U144" s="166">
        <f>U58</f>
        <v/>
      </c>
      <c r="V144" s="166">
        <f>V58</f>
        <v/>
      </c>
      <c r="W144" s="166">
        <f>W58</f>
        <v/>
      </c>
    </row>
    <row r="145">
      <c r="A145" s="390" t="inlineStr">
        <is>
          <t>Non-current</t>
        </is>
      </c>
      <c r="B145" s="166" t="n"/>
      <c r="C145" s="166" t="n"/>
      <c r="D145" s="166" t="n"/>
      <c r="E145" s="166">
        <f>E65</f>
        <v/>
      </c>
      <c r="F145" s="166">
        <f>F65</f>
        <v/>
      </c>
      <c r="G145" s="166">
        <f>G65</f>
        <v/>
      </c>
      <c r="H145" s="166">
        <f>H65</f>
        <v/>
      </c>
      <c r="I145" s="166">
        <f>I65</f>
        <v/>
      </c>
      <c r="J145" s="166">
        <f>J65</f>
        <v/>
      </c>
      <c r="K145" s="166">
        <f>K65</f>
        <v/>
      </c>
      <c r="L145" s="166">
        <f>L65</f>
        <v/>
      </c>
      <c r="M145" s="166">
        <f>M65</f>
        <v/>
      </c>
      <c r="N145" s="166">
        <f>N65</f>
        <v/>
      </c>
      <c r="O145" s="166">
        <f>O65</f>
        <v/>
      </c>
      <c r="P145" s="166">
        <f>P65</f>
        <v/>
      </c>
      <c r="Q145" s="166">
        <f>Q65</f>
        <v/>
      </c>
      <c r="R145" s="166">
        <f>R65</f>
        <v/>
      </c>
      <c r="S145" s="166">
        <f>S65</f>
        <v/>
      </c>
      <c r="T145" s="166">
        <f>T65</f>
        <v/>
      </c>
      <c r="U145" s="166">
        <f>U65</f>
        <v/>
      </c>
      <c r="V145" s="166">
        <f>V65</f>
        <v/>
      </c>
      <c r="W145" s="166">
        <f>W65</f>
        <v/>
      </c>
    </row>
    <row r="146" customFormat="1" s="21">
      <c r="A146" s="391" t="inlineStr">
        <is>
          <t>Total debt</t>
        </is>
      </c>
      <c r="B146" s="342" t="n"/>
      <c r="C146" s="342" t="n"/>
      <c r="D146" s="342" t="n"/>
      <c r="E146" s="342">
        <f>SUM(E144:E145)</f>
        <v/>
      </c>
      <c r="F146" s="342">
        <f>SUM(F144:F145)</f>
        <v/>
      </c>
      <c r="G146" s="342">
        <f>SUM(G144:G145)</f>
        <v/>
      </c>
      <c r="H146" s="342">
        <f>SUM(H144:H145)</f>
        <v/>
      </c>
      <c r="I146" s="342">
        <f>SUM(I144:I145)</f>
        <v/>
      </c>
      <c r="J146" s="342">
        <f>SUM(J144:J145)</f>
        <v/>
      </c>
      <c r="K146" s="342">
        <f>SUM(K144:K145)</f>
        <v/>
      </c>
      <c r="L146" s="342">
        <f>SUM(L144:L145)</f>
        <v/>
      </c>
      <c r="M146" s="342">
        <f>SUM(M144:M145)</f>
        <v/>
      </c>
      <c r="N146" s="342">
        <f>SUM(N144:N145)</f>
        <v/>
      </c>
      <c r="O146" s="342">
        <f>SUM(O144:O145)</f>
        <v/>
      </c>
      <c r="P146" s="342">
        <f>SUM(P144:P145)</f>
        <v/>
      </c>
      <c r="Q146" s="342">
        <f>SUM(Q144:Q145)</f>
        <v/>
      </c>
      <c r="R146" s="342">
        <f>SUM(R144:R145)</f>
        <v/>
      </c>
      <c r="S146" s="342">
        <f>SUM(S144:S145)</f>
        <v/>
      </c>
      <c r="T146" s="342">
        <f>SUM(T144:T145)</f>
        <v/>
      </c>
      <c r="U146" s="342">
        <f>SUM(U144:U145)</f>
        <v/>
      </c>
      <c r="V146" s="342">
        <f>SUM(V144:V145)</f>
        <v/>
      </c>
      <c r="W146" s="342">
        <f>SUM(W144:W145)</f>
        <v/>
      </c>
    </row>
    <row r="147" customFormat="1" s="433">
      <c r="A147" s="434" t="inlineStr">
        <is>
          <t>Total debt to equity ratio</t>
        </is>
      </c>
      <c r="E147" s="433">
        <f>E146/E75</f>
        <v/>
      </c>
      <c r="F147" s="433">
        <f>F146/F75</f>
        <v/>
      </c>
      <c r="G147" s="433">
        <f>G146/G75</f>
        <v/>
      </c>
      <c r="H147" s="433">
        <f>H146/H75</f>
        <v/>
      </c>
      <c r="I147" s="433">
        <f>I146/I75</f>
        <v/>
      </c>
      <c r="J147" s="433">
        <f>J146/J75</f>
        <v/>
      </c>
      <c r="K147" s="433">
        <f>K146/K75</f>
        <v/>
      </c>
      <c r="L147" s="433">
        <f>L146/L75</f>
        <v/>
      </c>
      <c r="M147" s="433">
        <f>M146/M75</f>
        <v/>
      </c>
      <c r="N147" s="433">
        <f>N146/N75</f>
        <v/>
      </c>
      <c r="O147" s="433">
        <f>O146/O75</f>
        <v/>
      </c>
      <c r="P147" s="433">
        <f>P146/P75</f>
        <v/>
      </c>
      <c r="Q147" s="433">
        <f>Q146/Q75</f>
        <v/>
      </c>
      <c r="R147" s="433">
        <f>R146/R75</f>
        <v/>
      </c>
      <c r="S147" s="433">
        <f>S146/S75</f>
        <v/>
      </c>
      <c r="T147" s="433">
        <f>T146/T75</f>
        <v/>
      </c>
      <c r="U147" s="433">
        <f>U146/U75</f>
        <v/>
      </c>
      <c r="V147" s="433">
        <f>V146/V75</f>
        <v/>
      </c>
      <c r="W147" s="433">
        <f>W146/W75</f>
        <v/>
      </c>
    </row>
    <row r="148">
      <c r="A148" s="392" t="n"/>
    </row>
    <row r="149">
      <c r="A149" s="388" t="inlineStr">
        <is>
          <t>Cash (Net of debt)</t>
        </is>
      </c>
      <c r="B149" s="166" t="n"/>
      <c r="C149" s="166" t="n"/>
      <c r="D149" s="166" t="n"/>
      <c r="E149" s="166">
        <f>E139-E146</f>
        <v/>
      </c>
      <c r="F149" s="166">
        <f>F139-F146</f>
        <v/>
      </c>
      <c r="G149" s="166">
        <f>G139-G146</f>
        <v/>
      </c>
      <c r="H149" s="166">
        <f>H139-H146</f>
        <v/>
      </c>
      <c r="I149" s="166">
        <f>I139-I146</f>
        <v/>
      </c>
      <c r="J149" s="166">
        <f>J139-J146</f>
        <v/>
      </c>
      <c r="K149" s="166">
        <f>K139-K146</f>
        <v/>
      </c>
      <c r="L149" s="166">
        <f>L139-L146</f>
        <v/>
      </c>
      <c r="M149" s="166">
        <f>M139-M146</f>
        <v/>
      </c>
      <c r="N149" s="166">
        <f>N139-N146</f>
        <v/>
      </c>
      <c r="O149" s="166">
        <f>O139-O146</f>
        <v/>
      </c>
      <c r="P149" s="166">
        <f>P139-P146</f>
        <v/>
      </c>
      <c r="Q149" s="166">
        <f>Q139-Q146</f>
        <v/>
      </c>
      <c r="R149" s="166">
        <f>R139-R146</f>
        <v/>
      </c>
      <c r="S149" s="166">
        <f>S139-S146</f>
        <v/>
      </c>
      <c r="T149" s="166">
        <f>T139-T146</f>
        <v/>
      </c>
      <c r="U149" s="166">
        <f>U139-U146</f>
        <v/>
      </c>
      <c r="V149" s="166">
        <f>V139-V146</f>
        <v/>
      </c>
      <c r="W149" s="166">
        <f>W139-W146</f>
        <v/>
      </c>
    </row>
    <row r="150">
      <c r="A150" s="393" t="n"/>
      <c r="B150" s="94" t="n"/>
      <c r="C150" s="94" t="n"/>
      <c r="D150" s="94" t="n"/>
      <c r="E150" s="94" t="n"/>
      <c r="F150" s="94" t="n"/>
      <c r="G150" s="94" t="n"/>
      <c r="H150" s="94" t="n"/>
      <c r="I150" s="94" t="n"/>
      <c r="J150" s="94" t="n"/>
      <c r="K150" s="94" t="n"/>
      <c r="L150" s="94" t="n"/>
      <c r="M150" s="94" t="n"/>
      <c r="N150" s="94" t="n"/>
      <c r="O150" s="94" t="n"/>
      <c r="P150" s="94" t="n"/>
      <c r="Q150" s="94" t="n"/>
      <c r="R150" s="94" t="n"/>
      <c r="S150" s="94" t="n"/>
      <c r="T150" s="94" t="n"/>
      <c r="U150" s="94" t="n"/>
      <c r="V150" s="94" t="n"/>
      <c r="W150" s="94" t="n"/>
    </row>
    <row r="151">
      <c r="A151" s="387" t="n"/>
    </row>
    <row r="152">
      <c r="A152" s="388" t="inlineStr">
        <is>
          <t>Account Receivable days</t>
        </is>
      </c>
      <c r="B152" s="401" t="n"/>
      <c r="C152" s="401" t="n"/>
      <c r="D152" s="401" t="n"/>
      <c r="E152" s="401" t="n"/>
      <c r="F152" s="166">
        <f>AVERAGE(E46:F46)/F$11*F$190</f>
        <v/>
      </c>
      <c r="G152" s="166">
        <f>AVERAGE(F46:G46)/G$11*G$190</f>
        <v/>
      </c>
      <c r="H152" s="166">
        <f>AVERAGE(G46:H46)/H$11*H$190</f>
        <v/>
      </c>
      <c r="I152" s="166">
        <f>AVERAGE(H46:I46)/I$11*I$190</f>
        <v/>
      </c>
      <c r="J152" s="166">
        <f>AVERAGE(I46:J46)/J$11*J$190</f>
        <v/>
      </c>
      <c r="K152" s="166">
        <f>AVERAGE(J46:K46)/K$11*K$190</f>
        <v/>
      </c>
      <c r="L152" s="166">
        <f>AVERAGE(K46:L46)/L$11*L$190</f>
        <v/>
      </c>
      <c r="M152" s="166">
        <f>AVERAGE(L46:M46)/M$11*M$190</f>
        <v/>
      </c>
      <c r="N152" s="166">
        <f>AVERAGE(M46:N46)/N$11*N$190</f>
        <v/>
      </c>
      <c r="O152" s="166">
        <f>AVERAGE(N46:O46)/O$11*O$190</f>
        <v/>
      </c>
      <c r="P152" s="166">
        <f>AVERAGE(O46:P46)/P$11*P$190</f>
        <v/>
      </c>
      <c r="Q152" s="166">
        <f>AVERAGE(P46:Q46)/Q$11*Q$190</f>
        <v/>
      </c>
      <c r="R152" s="166">
        <f>AVERAGE(Q46:R46)/R$11*R$190</f>
        <v/>
      </c>
      <c r="S152" s="166">
        <f>AVERAGE(R46:S46)/S$11*S$190</f>
        <v/>
      </c>
      <c r="T152" s="166">
        <f>AVERAGE(S46:T46)/T$11*T$190</f>
        <v/>
      </c>
      <c r="U152" s="166">
        <f>AVERAGE(T46:U46)/U$11*U$190</f>
        <v/>
      </c>
      <c r="V152" s="166">
        <f>AVERAGE(U46:V46)/V$11*V$190</f>
        <v/>
      </c>
      <c r="W152" s="166">
        <f>AVERAGE(V46:W46)/W$11*W$190</f>
        <v/>
      </c>
    </row>
    <row r="153">
      <c r="A153" s="388" t="inlineStr">
        <is>
          <t>Inventory turnover days</t>
        </is>
      </c>
      <c r="B153" s="401" t="n"/>
      <c r="C153" s="401" t="n"/>
      <c r="D153" s="401" t="n"/>
      <c r="E153" s="401" t="n"/>
      <c r="F153" s="166">
        <f>AVERAGE(E47:F47)/F$12*F$190</f>
        <v/>
      </c>
      <c r="G153" s="166">
        <f>AVERAGE(F47:G47)/G$12*G$190</f>
        <v/>
      </c>
      <c r="H153" s="166">
        <f>AVERAGE(G47:H47)/H$12*H$190</f>
        <v/>
      </c>
      <c r="I153" s="166">
        <f>AVERAGE(H47:I47)/I$12*I$190</f>
        <v/>
      </c>
      <c r="J153" s="166">
        <f>AVERAGE(I47:J47)/J$12*J$190</f>
        <v/>
      </c>
      <c r="K153" s="166">
        <f>AVERAGE(J47:K47)/K$12*K$190</f>
        <v/>
      </c>
      <c r="L153" s="166">
        <f>AVERAGE(K47:L47)/L$12*L$190</f>
        <v/>
      </c>
      <c r="M153" s="166">
        <f>AVERAGE(L47:M47)/M$12*M$190</f>
        <v/>
      </c>
      <c r="N153" s="166">
        <f>AVERAGE(M47:N47)/N$12*N$190</f>
        <v/>
      </c>
      <c r="O153" s="166">
        <f>AVERAGE(N47:O47)/O$12*O$190</f>
        <v/>
      </c>
      <c r="P153" s="166">
        <f>AVERAGE(O47:P47)/P$12*P$190</f>
        <v/>
      </c>
      <c r="Q153" s="166">
        <f>AVERAGE(P47:Q47)/Q$12*Q$190</f>
        <v/>
      </c>
      <c r="R153" s="166">
        <f>AVERAGE(Q47:R47)/R$12*R$190</f>
        <v/>
      </c>
      <c r="S153" s="166">
        <f>AVERAGE(R47:S47)/S$12*S$190</f>
        <v/>
      </c>
      <c r="T153" s="166">
        <f>AVERAGE(S47:T47)/T$12*T$190</f>
        <v/>
      </c>
      <c r="U153" s="166">
        <f>AVERAGE(T47:U47)/U$12*U$190</f>
        <v/>
      </c>
      <c r="V153" s="166">
        <f>AVERAGE(U47:V47)/V$12*V$190</f>
        <v/>
      </c>
      <c r="W153" s="166">
        <f>AVERAGE(V47:W47)/W$12*W$190</f>
        <v/>
      </c>
    </row>
    <row r="154">
      <c r="A154" s="388" t="inlineStr">
        <is>
          <t>Account Payable days</t>
        </is>
      </c>
      <c r="B154" s="401" t="n"/>
      <c r="C154" s="401" t="n"/>
      <c r="D154" s="401" t="n"/>
      <c r="E154" s="401" t="n"/>
      <c r="F154" s="166">
        <f>AVERAGE(E59:F59)/F$12*F$190</f>
        <v/>
      </c>
      <c r="G154" s="166">
        <f>AVERAGE(F59:G59)/G$12*G$190</f>
        <v/>
      </c>
      <c r="H154" s="166">
        <f>AVERAGE(G59:H59)/H$12*H$190</f>
        <v/>
      </c>
      <c r="I154" s="166">
        <f>AVERAGE(H59:I59)/I$12*I$190</f>
        <v/>
      </c>
      <c r="J154" s="166">
        <f>AVERAGE(I59:J59)/J$12*J$190</f>
        <v/>
      </c>
      <c r="K154" s="166">
        <f>AVERAGE(J59:K59)/K$12*K$190</f>
        <v/>
      </c>
      <c r="L154" s="166">
        <f>AVERAGE(K59:L59)/L$12*L$190</f>
        <v/>
      </c>
      <c r="M154" s="166">
        <f>AVERAGE(L59:M59)/M$12*M$190</f>
        <v/>
      </c>
      <c r="N154" s="166">
        <f>AVERAGE(M59:N59)/N$12*N$190</f>
        <v/>
      </c>
      <c r="O154" s="166">
        <f>AVERAGE(N59:O59)/O$12*O$190</f>
        <v/>
      </c>
      <c r="P154" s="166">
        <f>AVERAGE(O59:P59)/P$12*P$190</f>
        <v/>
      </c>
      <c r="Q154" s="166">
        <f>AVERAGE(P59:Q59)/Q$12*Q$190</f>
        <v/>
      </c>
      <c r="R154" s="166">
        <f>AVERAGE(Q59:R59)/R$12*R$190</f>
        <v/>
      </c>
      <c r="S154" s="166">
        <f>AVERAGE(R59:S59)/S$12*S$190</f>
        <v/>
      </c>
      <c r="T154" s="166">
        <f>AVERAGE(S59:T59)/T$12*T$190</f>
        <v/>
      </c>
      <c r="U154" s="166">
        <f>AVERAGE(T59:U59)/U$12*U$190</f>
        <v/>
      </c>
      <c r="V154" s="166">
        <f>AVERAGE(U59:V59)/V$12*V$190</f>
        <v/>
      </c>
      <c r="W154" s="166">
        <f>AVERAGE(V59:W59)/W$12*W$190</f>
        <v/>
      </c>
    </row>
    <row r="155">
      <c r="A155" s="388" t="inlineStr">
        <is>
          <t>Cash conversion cycle</t>
        </is>
      </c>
      <c r="B155" s="401" t="n"/>
      <c r="C155" s="401" t="n"/>
      <c r="D155" s="401" t="n"/>
      <c r="E155" s="401" t="n"/>
      <c r="F155" s="401">
        <f>F152+F153-F154</f>
        <v/>
      </c>
      <c r="G155" s="401">
        <f>G152+G153-G154</f>
        <v/>
      </c>
      <c r="H155" s="401">
        <f>H152+H153-H154</f>
        <v/>
      </c>
      <c r="I155" s="401">
        <f>I152+I153-I154</f>
        <v/>
      </c>
      <c r="J155" s="401">
        <f>J152+J153-J154</f>
        <v/>
      </c>
      <c r="K155" s="401">
        <f>K152+K153-K154</f>
        <v/>
      </c>
      <c r="L155" s="401">
        <f>L152+L153-L154</f>
        <v/>
      </c>
      <c r="M155" s="401">
        <f>M152+M153-M154</f>
        <v/>
      </c>
      <c r="N155" s="401">
        <f>N152+N153-N154</f>
        <v/>
      </c>
      <c r="O155" s="401">
        <f>O152+O153-O154</f>
        <v/>
      </c>
      <c r="P155" s="401">
        <f>P152+P153-P154</f>
        <v/>
      </c>
      <c r="Q155" s="401">
        <f>Q152+Q153-Q154</f>
        <v/>
      </c>
      <c r="R155" s="401">
        <f>R152+R153-R154</f>
        <v/>
      </c>
      <c r="S155" s="401">
        <f>S152+S153-S154</f>
        <v/>
      </c>
      <c r="T155" s="401">
        <f>T152+T153-T154</f>
        <v/>
      </c>
      <c r="U155" s="401">
        <f>U152+U153-U154</f>
        <v/>
      </c>
      <c r="V155" s="401">
        <f>V152+V153-V154</f>
        <v/>
      </c>
      <c r="W155" s="401">
        <f>W152+W153-W154</f>
        <v/>
      </c>
    </row>
    <row r="156">
      <c r="A156" s="388" t="inlineStr">
        <is>
          <t>Net working capital days</t>
        </is>
      </c>
      <c r="B156" s="401" t="n"/>
      <c r="C156" s="401" t="n"/>
      <c r="D156" s="401" t="n"/>
      <c r="E156" s="401" t="n"/>
      <c r="F156" s="166">
        <f>AVERAGE(E162:F162)/F$11*F$190</f>
        <v/>
      </c>
      <c r="G156" s="166">
        <f>AVERAGE(F162:G162)/G$11*G$190</f>
        <v/>
      </c>
      <c r="H156" s="166">
        <f>AVERAGE(G162:H162)/H$11*H$190</f>
        <v/>
      </c>
      <c r="I156" s="166">
        <f>AVERAGE(H162:I162)/I$11*I$190</f>
        <v/>
      </c>
      <c r="J156" s="166">
        <f>AVERAGE(I162:J162)/J$11*J$190</f>
        <v/>
      </c>
      <c r="K156" s="166">
        <f>AVERAGE(J162:K162)/K$11*K$190</f>
        <v/>
      </c>
      <c r="L156" s="166">
        <f>AVERAGE(K162:L162)/L$11*L$190</f>
        <v/>
      </c>
      <c r="M156" s="166">
        <f>AVERAGE(L162:M162)/M$11*M$190</f>
        <v/>
      </c>
      <c r="N156" s="166">
        <f>AVERAGE(M162:N162)/N$11*N$190</f>
        <v/>
      </c>
      <c r="O156" s="166">
        <f>AVERAGE(N162:O162)/O$11*O$190</f>
        <v/>
      </c>
      <c r="P156" s="166">
        <f>AVERAGE(O162:P162)/P$11*P$190</f>
        <v/>
      </c>
      <c r="Q156" s="166">
        <f>AVERAGE(P162:Q162)/Q$11*Q$190</f>
        <v/>
      </c>
      <c r="R156" s="166">
        <f>AVERAGE(Q162:R162)/R$11*R$190</f>
        <v/>
      </c>
      <c r="S156" s="166">
        <f>AVERAGE(R162:S162)/S$11*S$190</f>
        <v/>
      </c>
      <c r="T156" s="166">
        <f>AVERAGE(S162:T162)/T$11*T$190</f>
        <v/>
      </c>
      <c r="U156" s="166">
        <f>AVERAGE(T162:U162)/U$11*U$190</f>
        <v/>
      </c>
      <c r="V156" s="166">
        <f>AVERAGE(U162:V162)/V$11*V$190</f>
        <v/>
      </c>
      <c r="W156" s="166">
        <f>AVERAGE(V162:W162)/W$11*W$190</f>
        <v/>
      </c>
    </row>
    <row r="157">
      <c r="A157" s="386" t="n"/>
    </row>
    <row r="158">
      <c r="A158" s="385" t="inlineStr">
        <is>
          <t>CAPEX</t>
        </is>
      </c>
      <c r="B158" s="166" t="n"/>
      <c r="C158" s="166" t="n"/>
      <c r="D158" s="166" t="n"/>
      <c r="E158" s="166">
        <f>-E105</f>
        <v/>
      </c>
      <c r="F158" s="166">
        <f>-F105</f>
        <v/>
      </c>
      <c r="G158" s="166">
        <f>-G105</f>
        <v/>
      </c>
      <c r="H158" s="166">
        <f>-H105</f>
        <v/>
      </c>
      <c r="I158" s="166">
        <f>-I105</f>
        <v/>
      </c>
      <c r="J158" s="166">
        <f>-J105</f>
        <v/>
      </c>
      <c r="K158" s="166">
        <f>-K105</f>
        <v/>
      </c>
      <c r="L158" s="166">
        <f>-L105</f>
        <v/>
      </c>
      <c r="M158" s="166">
        <f>-M105</f>
        <v/>
      </c>
      <c r="N158" s="166">
        <f>-N105</f>
        <v/>
      </c>
      <c r="O158" s="166">
        <f>-O105</f>
        <v/>
      </c>
      <c r="P158" s="166">
        <f>-P105</f>
        <v/>
      </c>
      <c r="Q158" s="166">
        <f>-Q105</f>
        <v/>
      </c>
      <c r="R158" s="166">
        <f>-R105</f>
        <v/>
      </c>
      <c r="S158" s="166">
        <f>-S105</f>
        <v/>
      </c>
      <c r="T158" s="166">
        <f>-T105</f>
        <v/>
      </c>
      <c r="U158" s="166">
        <f>-U105</f>
        <v/>
      </c>
      <c r="V158" s="166">
        <f>-V105</f>
        <v/>
      </c>
      <c r="W158" s="166">
        <f>-W105</f>
        <v/>
      </c>
    </row>
    <row r="159" customFormat="1" s="432">
      <c r="A159" s="431" t="inlineStr">
        <is>
          <t>As % of sales (capital intensity)</t>
        </is>
      </c>
      <c r="B159" s="900" t="n"/>
      <c r="C159" s="900" t="n"/>
      <c r="D159" s="900" t="n"/>
      <c r="E159" s="900">
        <f>E158/E11</f>
        <v/>
      </c>
      <c r="F159" s="900">
        <f>F158/F11</f>
        <v/>
      </c>
      <c r="G159" s="900">
        <f>G158/G11</f>
        <v/>
      </c>
      <c r="H159" s="900">
        <f>H158/H11</f>
        <v/>
      </c>
      <c r="I159" s="900">
        <f>I158/I11</f>
        <v/>
      </c>
      <c r="J159" s="900">
        <f>J158/J11</f>
        <v/>
      </c>
      <c r="K159" s="900">
        <f>K158/K11</f>
        <v/>
      </c>
      <c r="L159" s="900">
        <f>L158/L11</f>
        <v/>
      </c>
      <c r="M159" s="900">
        <f>M158/M11</f>
        <v/>
      </c>
      <c r="N159" s="900">
        <f>N158/N11</f>
        <v/>
      </c>
      <c r="O159" s="900">
        <f>O158/O11</f>
        <v/>
      </c>
      <c r="P159" s="900">
        <f>P158/P11</f>
        <v/>
      </c>
      <c r="Q159" s="900">
        <f>Q158/Q11</f>
        <v/>
      </c>
      <c r="R159" s="900">
        <f>R158/R11</f>
        <v/>
      </c>
      <c r="S159" s="900">
        <f>S158/S11</f>
        <v/>
      </c>
      <c r="T159" s="900">
        <f>T158/T11</f>
        <v/>
      </c>
      <c r="U159" s="900">
        <f>U158/U11</f>
        <v/>
      </c>
      <c r="V159" s="900">
        <f>V158/V11</f>
        <v/>
      </c>
      <c r="W159" s="900">
        <f>W158/W11</f>
        <v/>
      </c>
    </row>
    <row r="160">
      <c r="A160" s="387" t="n"/>
      <c r="O160" s="166" t="n"/>
      <c r="P160" s="166" t="n"/>
      <c r="Q160" s="166" t="n"/>
      <c r="R160" s="166" t="n"/>
      <c r="S160" s="166" t="n"/>
    </row>
    <row r="161">
      <c r="A161" s="388" t="inlineStr">
        <is>
          <t>Invested capital, in which</t>
        </is>
      </c>
      <c r="B161" s="166" t="n"/>
      <c r="C161" s="166" t="n"/>
      <c r="D161" s="166" t="n"/>
      <c r="E161" s="166">
        <f>SUM(E162:E163)</f>
        <v/>
      </c>
      <c r="F161" s="166">
        <f>SUM(F162:F163)</f>
        <v/>
      </c>
      <c r="G161" s="166">
        <f>SUM(G162:G163)</f>
        <v/>
      </c>
      <c r="H161" s="166">
        <f>SUM(H162:H163)</f>
        <v/>
      </c>
      <c r="I161" s="166">
        <f>SUM(I162:I163)</f>
        <v/>
      </c>
      <c r="J161" s="166">
        <f>SUM(J162:J163)</f>
        <v/>
      </c>
      <c r="K161" s="166">
        <f>SUM(K162:K163)</f>
        <v/>
      </c>
      <c r="L161" s="166">
        <f>SUM(L162:L163)</f>
        <v/>
      </c>
      <c r="M161" s="166">
        <f>SUM(M162:M163)</f>
        <v/>
      </c>
      <c r="N161" s="166">
        <f>SUM(N162:N163)</f>
        <v/>
      </c>
      <c r="O161" s="166">
        <f>SUM(O162:O163)</f>
        <v/>
      </c>
      <c r="P161" s="166">
        <f>SUM(P162:P163)</f>
        <v/>
      </c>
      <c r="Q161" s="166">
        <f>SUM(Q162:Q163)</f>
        <v/>
      </c>
      <c r="R161" s="166">
        <f>SUM(R162:R163)</f>
        <v/>
      </c>
      <c r="S161" s="166">
        <f>SUM(S162:S163)</f>
        <v/>
      </c>
      <c r="T161" s="166">
        <f>SUM(T162:T163)</f>
        <v/>
      </c>
      <c r="U161" s="166">
        <f>SUM(U162:U163)</f>
        <v/>
      </c>
      <c r="V161" s="166">
        <f>SUM(V162:V163)</f>
        <v/>
      </c>
      <c r="W161" s="166">
        <f>SUM(W162:W163)</f>
        <v/>
      </c>
    </row>
    <row r="162">
      <c r="A162" s="386" t="inlineStr">
        <is>
          <t>Net working capital (current assets less cash - current liabilities less debt)</t>
        </is>
      </c>
      <c r="B162" s="166" t="n"/>
      <c r="C162" s="166" t="n"/>
      <c r="D162" s="166" t="n"/>
      <c r="E162" s="166">
        <f>SUM(E46:E50)-SUM(E59:E62)</f>
        <v/>
      </c>
      <c r="F162" s="166">
        <f>SUM(F46:F50)-SUM(F59:F62)</f>
        <v/>
      </c>
      <c r="G162" s="166">
        <f>SUM(G46:G50)-SUM(G59:G62)</f>
        <v/>
      </c>
      <c r="H162" s="166">
        <f>SUM(H46:H50)-SUM(H59:H62)</f>
        <v/>
      </c>
      <c r="I162" s="166">
        <f>SUM(I46:I50)-SUM(I59:I62)</f>
        <v/>
      </c>
      <c r="J162" s="166">
        <f>SUM(J46:J50)-SUM(J59:J62)</f>
        <v/>
      </c>
      <c r="K162" s="166">
        <f>SUM(K46:K50)-SUM(K59:K62)</f>
        <v/>
      </c>
      <c r="L162" s="166">
        <f>SUM(L46:L50)-SUM(L59:L62)</f>
        <v/>
      </c>
      <c r="M162" s="166">
        <f>SUM(M46:M50)-SUM(M59:M62)</f>
        <v/>
      </c>
      <c r="N162" s="166">
        <f>SUM(N46:N50)-SUM(N59:N62)</f>
        <v/>
      </c>
      <c r="O162" s="166">
        <f>SUM(O46:O50)-SUM(O59:O62)</f>
        <v/>
      </c>
      <c r="P162" s="166">
        <f>SUM(P46:P50)-SUM(P59:P62)</f>
        <v/>
      </c>
      <c r="Q162" s="166">
        <f>SUM(Q46:Q50)-SUM(Q59:Q62)</f>
        <v/>
      </c>
      <c r="R162" s="166">
        <f>SUM(R46:R50)-SUM(R59:R62)</f>
        <v/>
      </c>
      <c r="S162" s="166">
        <f>SUM(S46:S50)-SUM(S59:S62)</f>
        <v/>
      </c>
      <c r="T162" s="166">
        <f>SUM(T46:T50)-SUM(T59:T62)</f>
        <v/>
      </c>
      <c r="U162" s="166">
        <f>SUM(U46:U50)-SUM(U59:U62)</f>
        <v/>
      </c>
      <c r="V162" s="166">
        <f>SUM(V46:V50)-SUM(V59:V62)</f>
        <v/>
      </c>
      <c r="W162" s="166">
        <f>SUM(W46:W50)-SUM(W59:W62)</f>
        <v/>
      </c>
    </row>
    <row r="163">
      <c r="A163" s="386" t="inlineStr">
        <is>
          <t>Fixed assets</t>
        </is>
      </c>
      <c r="B163" s="166" t="n"/>
      <c r="C163" s="166" t="n"/>
      <c r="D163" s="166" t="n"/>
      <c r="E163" s="166">
        <f>SUM(E52:E55)</f>
        <v/>
      </c>
      <c r="F163" s="166">
        <f>SUM(F52:F55)</f>
        <v/>
      </c>
      <c r="G163" s="166">
        <f>SUM(G52:G55)</f>
        <v/>
      </c>
      <c r="H163" s="166">
        <f>SUM(H52:H55)</f>
        <v/>
      </c>
      <c r="I163" s="166">
        <f>SUM(I52:I55)</f>
        <v/>
      </c>
      <c r="J163" s="166">
        <f>SUM(J52:J55)</f>
        <v/>
      </c>
      <c r="K163" s="166">
        <f>SUM(K52:K55)</f>
        <v/>
      </c>
      <c r="L163" s="166">
        <f>SUM(L52:L55)</f>
        <v/>
      </c>
      <c r="M163" s="166">
        <f>SUM(M52:M55)</f>
        <v/>
      </c>
      <c r="N163" s="166">
        <f>SUM(N52:N55)</f>
        <v/>
      </c>
      <c r="O163" s="166">
        <f>SUM(O52:O55)</f>
        <v/>
      </c>
      <c r="P163" s="166">
        <f>SUM(P52:P55)</f>
        <v/>
      </c>
      <c r="Q163" s="166">
        <f>SUM(Q52:Q55)</f>
        <v/>
      </c>
      <c r="R163" s="166">
        <f>SUM(R52:R55)</f>
        <v/>
      </c>
      <c r="S163" s="166">
        <f>SUM(S52:S55)</f>
        <v/>
      </c>
      <c r="T163" s="166">
        <f>SUM(T52:T55)</f>
        <v/>
      </c>
      <c r="U163" s="166">
        <f>SUM(U52:U55)</f>
        <v/>
      </c>
      <c r="V163" s="166">
        <f>SUM(V52:V55)</f>
        <v/>
      </c>
      <c r="W163" s="166">
        <f>SUM(W52:W55)</f>
        <v/>
      </c>
    </row>
    <row r="164">
      <c r="A164" s="387" t="n"/>
    </row>
    <row r="165">
      <c r="A165" s="385" t="inlineStr">
        <is>
          <t>Net profit from operations</t>
        </is>
      </c>
      <c r="B165" s="166" t="n"/>
      <c r="C165" s="166" t="n"/>
      <c r="D165" s="166" t="n"/>
      <c r="E165" s="166">
        <f>E19</f>
        <v/>
      </c>
      <c r="F165" s="166">
        <f>F19</f>
        <v/>
      </c>
      <c r="G165" s="166">
        <f>G19</f>
        <v/>
      </c>
      <c r="H165" s="166">
        <f>H19</f>
        <v/>
      </c>
      <c r="I165" s="166">
        <f>I19</f>
        <v/>
      </c>
      <c r="J165" s="166">
        <f>J19</f>
        <v/>
      </c>
      <c r="K165" s="166">
        <f>K19</f>
        <v/>
      </c>
      <c r="L165" s="166">
        <f>L19</f>
        <v/>
      </c>
      <c r="M165" s="166">
        <f>M19</f>
        <v/>
      </c>
      <c r="N165" s="166">
        <f>N19</f>
        <v/>
      </c>
      <c r="O165" s="166">
        <f>O19</f>
        <v/>
      </c>
      <c r="P165" s="166">
        <f>P19</f>
        <v/>
      </c>
      <c r="Q165" s="166">
        <f>Q19</f>
        <v/>
      </c>
      <c r="R165" s="166">
        <f>R19</f>
        <v/>
      </c>
      <c r="S165" s="166">
        <f>S19</f>
        <v/>
      </c>
      <c r="T165" s="166">
        <f>T19</f>
        <v/>
      </c>
      <c r="U165" s="166">
        <f>U19</f>
        <v/>
      </c>
      <c r="V165" s="166">
        <f>V19</f>
        <v/>
      </c>
      <c r="W165" s="166">
        <f>W19</f>
        <v/>
      </c>
    </row>
    <row r="166" customFormat="1" s="499">
      <c r="A166" s="546" t="inlineStr">
        <is>
          <t>Income tax rate</t>
        </is>
      </c>
      <c r="B166" s="901" t="n"/>
      <c r="C166" s="902" t="n"/>
      <c r="D166" s="902" t="n"/>
      <c r="E166" s="900">
        <f>-E24/E23</f>
        <v/>
      </c>
      <c r="F166" s="900">
        <f>-F24/F23</f>
        <v/>
      </c>
      <c r="G166" s="900">
        <f>-G24/G23</f>
        <v/>
      </c>
      <c r="H166" s="900">
        <f>-H24/H23</f>
        <v/>
      </c>
      <c r="I166" s="900">
        <f>-I24/I23</f>
        <v/>
      </c>
      <c r="J166" s="900">
        <f>-J24/J23</f>
        <v/>
      </c>
      <c r="K166" s="900">
        <f>-K24/K23</f>
        <v/>
      </c>
      <c r="L166" s="900">
        <f>-L24/L23</f>
        <v/>
      </c>
      <c r="M166" s="900">
        <f>-M24/M23</f>
        <v/>
      </c>
      <c r="N166" s="900">
        <f>-N24/N23</f>
        <v/>
      </c>
      <c r="O166" s="900">
        <f>-O24/O23</f>
        <v/>
      </c>
      <c r="P166" s="900">
        <f>-P24/P23</f>
        <v/>
      </c>
      <c r="Q166" s="900">
        <f>-Q24/Q23</f>
        <v/>
      </c>
      <c r="R166" s="900">
        <f>-R24/R23</f>
        <v/>
      </c>
      <c r="S166" s="900">
        <f>-S24/S23</f>
        <v/>
      </c>
      <c r="T166" s="900">
        <f>-T24/T23</f>
        <v/>
      </c>
      <c r="U166" s="900">
        <f>-U24/U23</f>
        <v/>
      </c>
      <c r="V166" s="900">
        <f>-V24/V23</f>
        <v/>
      </c>
      <c r="W166" s="900">
        <f>-W24/W23</f>
        <v/>
      </c>
    </row>
    <row r="167" customFormat="1" s="21">
      <c r="A167" s="385" t="inlineStr">
        <is>
          <t>NOPLAT</t>
        </is>
      </c>
      <c r="B167" s="343" t="n"/>
      <c r="C167" s="343" t="n"/>
      <c r="D167" s="343" t="n"/>
      <c r="E167" s="343">
        <f>E165*(1-E166)</f>
        <v/>
      </c>
      <c r="F167" s="343">
        <f>F165*(1-F166)</f>
        <v/>
      </c>
      <c r="G167" s="343">
        <f>G165*(1-G166)</f>
        <v/>
      </c>
      <c r="H167" s="343">
        <f>H165*(1-H166)</f>
        <v/>
      </c>
      <c r="I167" s="343">
        <f>I165*(1-I166)</f>
        <v/>
      </c>
      <c r="J167" s="343">
        <f>J165*(1-J166)</f>
        <v/>
      </c>
      <c r="K167" s="343">
        <f>K165*(1-K166)</f>
        <v/>
      </c>
      <c r="L167" s="343">
        <f>L165*(1-L166)</f>
        <v/>
      </c>
      <c r="M167" s="343">
        <f>M165*(1-M166)</f>
        <v/>
      </c>
      <c r="N167" s="343">
        <f>N165*(1-N166)</f>
        <v/>
      </c>
      <c r="O167" s="343">
        <f>O165*(1-O166)</f>
        <v/>
      </c>
      <c r="P167" s="343">
        <f>P165*(1-P166)</f>
        <v/>
      </c>
      <c r="Q167" s="343">
        <f>Q165*(1-Q166)</f>
        <v/>
      </c>
      <c r="R167" s="343">
        <f>R165*(1-R166)</f>
        <v/>
      </c>
      <c r="S167" s="343">
        <f>S165*(1-S166)</f>
        <v/>
      </c>
      <c r="T167" s="343">
        <f>T165*(1-T166)</f>
        <v/>
      </c>
      <c r="U167" s="343">
        <f>U165*(1-U166)</f>
        <v/>
      </c>
      <c r="V167" s="343">
        <f>V165*(1-V166)</f>
        <v/>
      </c>
      <c r="W167" s="343">
        <f>W165*(1-W166)</f>
        <v/>
      </c>
    </row>
    <row r="168">
      <c r="A168" s="389" t="inlineStr">
        <is>
          <t>Add: Non-cash charges, incl. depreciation and amortization</t>
        </is>
      </c>
      <c r="B168" s="166" t="n"/>
      <c r="C168" s="166" t="n"/>
      <c r="D168" s="166" t="n"/>
      <c r="E168" s="166">
        <f>SUM(E93:E95)</f>
        <v/>
      </c>
      <c r="F168" s="166">
        <f>SUM(F93:F95)</f>
        <v/>
      </c>
      <c r="G168" s="166">
        <f>SUM(G93:G95)</f>
        <v/>
      </c>
      <c r="H168" s="166">
        <f>SUM(H93:H95)</f>
        <v/>
      </c>
      <c r="I168" s="166">
        <f>SUM(I93:I95)</f>
        <v/>
      </c>
      <c r="J168" s="166">
        <f>SUM(J93:J95)</f>
        <v/>
      </c>
      <c r="K168" s="166">
        <f>SUM(K93:K95)</f>
        <v/>
      </c>
      <c r="L168" s="166">
        <f>SUM(L93:L95)</f>
        <v/>
      </c>
      <c r="M168" s="166">
        <f>SUM(M93:M95)</f>
        <v/>
      </c>
      <c r="N168" s="166">
        <f>SUM(N93:N95)</f>
        <v/>
      </c>
      <c r="O168" s="166">
        <f>SUM(O93:O95)</f>
        <v/>
      </c>
      <c r="P168" s="166">
        <f>SUM(P93:P95)</f>
        <v/>
      </c>
      <c r="Q168" s="166">
        <f>SUM(Q93:Q95)</f>
        <v/>
      </c>
      <c r="R168" s="166">
        <f>SUM(R93:R95)</f>
        <v/>
      </c>
      <c r="S168" s="166">
        <f>SUM(S93:S95)</f>
        <v/>
      </c>
      <c r="T168" s="166">
        <f>SUM(T93:T95)</f>
        <v/>
      </c>
      <c r="U168" s="166">
        <f>SUM(U93:U95)</f>
        <v/>
      </c>
      <c r="V168" s="166">
        <f>SUM(V93:V95)</f>
        <v/>
      </c>
      <c r="W168" s="166">
        <f>SUM(W93:W95)</f>
        <v/>
      </c>
    </row>
    <row r="169" customFormat="1" s="21">
      <c r="A169" s="385" t="inlineStr">
        <is>
          <t>Gross cash flow</t>
        </is>
      </c>
      <c r="B169" s="342" t="n"/>
      <c r="C169" s="342" t="n"/>
      <c r="D169" s="342" t="n"/>
      <c r="E169" s="342">
        <f>E167+E168</f>
        <v/>
      </c>
      <c r="F169" s="342">
        <f>F167+F168</f>
        <v/>
      </c>
      <c r="G169" s="342">
        <f>G167+G168</f>
        <v/>
      </c>
      <c r="H169" s="342">
        <f>H167+H168</f>
        <v/>
      </c>
      <c r="I169" s="342">
        <f>I167+I168</f>
        <v/>
      </c>
      <c r="J169" s="342">
        <f>J167+J168</f>
        <v/>
      </c>
      <c r="K169" s="342">
        <f>K167+K168</f>
        <v/>
      </c>
      <c r="L169" s="342">
        <f>L167+L168</f>
        <v/>
      </c>
      <c r="M169" s="342">
        <f>M167+M168</f>
        <v/>
      </c>
      <c r="N169" s="342">
        <f>N167+N168</f>
        <v/>
      </c>
      <c r="O169" s="342">
        <f>O167+O168</f>
        <v/>
      </c>
      <c r="P169" s="342">
        <f>P167+P168</f>
        <v/>
      </c>
      <c r="Q169" s="342">
        <f>Q167+Q168</f>
        <v/>
      </c>
      <c r="R169" s="342">
        <f>R167+R168</f>
        <v/>
      </c>
      <c r="S169" s="342">
        <f>S167+S168</f>
        <v/>
      </c>
      <c r="T169" s="342">
        <f>T167+T168</f>
        <v/>
      </c>
      <c r="U169" s="342">
        <f>U167+U168</f>
        <v/>
      </c>
      <c r="V169" s="342">
        <f>V167+V168</f>
        <v/>
      </c>
      <c r="W169" s="342">
        <f>W167+W168</f>
        <v/>
      </c>
    </row>
    <row r="170" customFormat="1" s="21">
      <c r="A170" s="385" t="inlineStr">
        <is>
          <t>Gross investment, including</t>
        </is>
      </c>
      <c r="B170" s="343" t="n"/>
      <c r="C170" s="343" t="n"/>
      <c r="D170" s="343" t="n"/>
      <c r="E170" s="343">
        <f>SUM(E171:E172)</f>
        <v/>
      </c>
      <c r="F170" s="343">
        <f>SUM(F171:F172)</f>
        <v/>
      </c>
      <c r="G170" s="343">
        <f>SUM(G171:G172)</f>
        <v/>
      </c>
      <c r="H170" s="343">
        <f>SUM(H171:H172)</f>
        <v/>
      </c>
      <c r="I170" s="343">
        <f>SUM(I171:I172)</f>
        <v/>
      </c>
      <c r="J170" s="343">
        <f>SUM(J171:J172)</f>
        <v/>
      </c>
      <c r="K170" s="343">
        <f>SUM(K171:K172)</f>
        <v/>
      </c>
      <c r="L170" s="343">
        <f>SUM(L171:L172)</f>
        <v/>
      </c>
      <c r="M170" s="343">
        <f>SUM(M171:M172)</f>
        <v/>
      </c>
      <c r="N170" s="343">
        <f>SUM(N171:N172)</f>
        <v/>
      </c>
      <c r="O170" s="343">
        <f>SUM(O171:O172)</f>
        <v/>
      </c>
      <c r="P170" s="343">
        <f>SUM(P171:P172)</f>
        <v/>
      </c>
      <c r="Q170" s="343">
        <f>SUM(Q171:Q172)</f>
        <v/>
      </c>
      <c r="R170" s="343">
        <f>SUM(R171:R172)</f>
        <v/>
      </c>
      <c r="S170" s="343">
        <f>SUM(S171:S172)</f>
        <v/>
      </c>
      <c r="T170" s="343">
        <f>SUM(T171:T172)</f>
        <v/>
      </c>
      <c r="U170" s="343">
        <f>SUM(U171:U172)</f>
        <v/>
      </c>
      <c r="V170" s="343">
        <f>SUM(V171:V172)</f>
        <v/>
      </c>
      <c r="W170" s="343">
        <f>SUM(W171:W172)</f>
        <v/>
      </c>
    </row>
    <row r="171">
      <c r="A171" s="386" t="inlineStr">
        <is>
          <t>(Increase) in net working capital</t>
        </is>
      </c>
      <c r="B171" s="166" t="n"/>
      <c r="C171" s="166" t="n"/>
      <c r="D171" s="166" t="n"/>
      <c r="E171" s="166">
        <f>SUM(E97:E101)</f>
        <v/>
      </c>
      <c r="F171" s="166">
        <f>SUM(F97:F101)</f>
        <v/>
      </c>
      <c r="G171" s="166">
        <f>SUM(G97:G101)</f>
        <v/>
      </c>
      <c r="H171" s="166">
        <f>SUM(H97:H101)</f>
        <v/>
      </c>
      <c r="I171" s="166">
        <f>SUM(I97:I101)</f>
        <v/>
      </c>
      <c r="J171" s="166">
        <f>SUM(J97:J101)</f>
        <v/>
      </c>
      <c r="K171" s="166">
        <f>SUM(K97:K101)</f>
        <v/>
      </c>
      <c r="L171" s="166">
        <f>SUM(L97:L101)</f>
        <v/>
      </c>
      <c r="M171" s="166">
        <f>SUM(M97:M101)</f>
        <v/>
      </c>
      <c r="N171" s="166">
        <f>SUM(N97:N101)</f>
        <v/>
      </c>
      <c r="O171" s="166">
        <f>SUM(O97:O101)</f>
        <v/>
      </c>
      <c r="P171" s="166">
        <f>SUM(P97:P101)</f>
        <v/>
      </c>
      <c r="Q171" s="166">
        <f>SUM(Q97:Q101)</f>
        <v/>
      </c>
      <c r="R171" s="166">
        <f>SUM(R97:R101)</f>
        <v/>
      </c>
      <c r="S171" s="166">
        <f>SUM(S97:S101)</f>
        <v/>
      </c>
      <c r="T171" s="166">
        <f>SUM(T97:T101)</f>
        <v/>
      </c>
      <c r="U171" s="166">
        <f>SUM(U97:U101)</f>
        <v/>
      </c>
      <c r="V171" s="166">
        <f>SUM(V97:V101)</f>
        <v/>
      </c>
      <c r="W171" s="166">
        <f>SUM(W97:W101)</f>
        <v/>
      </c>
    </row>
    <row r="172">
      <c r="A172" s="386" t="inlineStr">
        <is>
          <t>(Capex)</t>
        </is>
      </c>
      <c r="B172" s="166" t="n"/>
      <c r="C172" s="166" t="n"/>
      <c r="D172" s="166" t="n"/>
      <c r="E172" s="166">
        <f>-E158</f>
        <v/>
      </c>
      <c r="F172" s="166">
        <f>-F158</f>
        <v/>
      </c>
      <c r="G172" s="166">
        <f>-G158</f>
        <v/>
      </c>
      <c r="H172" s="166">
        <f>-H158</f>
        <v/>
      </c>
      <c r="I172" s="166">
        <f>-I158</f>
        <v/>
      </c>
      <c r="J172" s="166">
        <f>-J158</f>
        <v/>
      </c>
      <c r="K172" s="166">
        <f>-K158</f>
        <v/>
      </c>
      <c r="L172" s="166">
        <f>-L158</f>
        <v/>
      </c>
      <c r="M172" s="166">
        <f>-M158</f>
        <v/>
      </c>
      <c r="N172" s="166">
        <f>-N158</f>
        <v/>
      </c>
      <c r="O172" s="166">
        <f>-O158</f>
        <v/>
      </c>
      <c r="P172" s="166">
        <f>-P158</f>
        <v/>
      </c>
      <c r="Q172" s="166">
        <f>-Q158</f>
        <v/>
      </c>
      <c r="R172" s="166">
        <f>-R158</f>
        <v/>
      </c>
      <c r="S172" s="166">
        <f>-S158</f>
        <v/>
      </c>
      <c r="T172" s="166">
        <f>-T158</f>
        <v/>
      </c>
      <c r="U172" s="166">
        <f>-U158</f>
        <v/>
      </c>
      <c r="V172" s="166">
        <f>-V158</f>
        <v/>
      </c>
      <c r="W172" s="166">
        <f>-W158</f>
        <v/>
      </c>
    </row>
    <row r="173">
      <c r="A173" s="385" t="inlineStr">
        <is>
          <t>FCF</t>
        </is>
      </c>
      <c r="D173" s="128" t="n"/>
      <c r="E173" s="128">
        <f>E169+E170</f>
        <v/>
      </c>
      <c r="F173" s="128">
        <f>F169+F170</f>
        <v/>
      </c>
      <c r="G173" s="128">
        <f>G169+G170</f>
        <v/>
      </c>
      <c r="H173" s="128">
        <f>H169+H170</f>
        <v/>
      </c>
      <c r="I173" s="128">
        <f>I169+I170</f>
        <v/>
      </c>
      <c r="J173" s="128">
        <f>J169+J170</f>
        <v/>
      </c>
      <c r="K173" s="128">
        <f>K169+K170</f>
        <v/>
      </c>
      <c r="L173" s="128">
        <f>L169+L170</f>
        <v/>
      </c>
      <c r="M173" s="128">
        <f>M169+M170</f>
        <v/>
      </c>
      <c r="N173" s="128">
        <f>N169+N170</f>
        <v/>
      </c>
      <c r="O173" s="128">
        <f>O169+O170</f>
        <v/>
      </c>
      <c r="P173" s="128">
        <f>P169+P170</f>
        <v/>
      </c>
      <c r="Q173" s="128">
        <f>Q169+Q170</f>
        <v/>
      </c>
      <c r="R173" s="128">
        <f>R169+R170</f>
        <v/>
      </c>
      <c r="S173" s="128">
        <f>S169+S170</f>
        <v/>
      </c>
      <c r="T173" s="128">
        <f>T169+T170</f>
        <v/>
      </c>
      <c r="U173" s="128">
        <f>U169+U170</f>
        <v/>
      </c>
      <c r="V173" s="128">
        <f>V169+V170</f>
        <v/>
      </c>
      <c r="W173" s="128">
        <f>W169+W170</f>
        <v/>
      </c>
    </row>
    <row r="174">
      <c r="A174" s="386" t="inlineStr">
        <is>
          <t>(Increase) in working cash</t>
        </is>
      </c>
      <c r="D174" s="166" t="n"/>
      <c r="E174" s="166">
        <f>D141-E141</f>
        <v/>
      </c>
      <c r="F174" s="166">
        <f>E141-F141</f>
        <v/>
      </c>
      <c r="G174" s="166">
        <f>F141-G141</f>
        <v/>
      </c>
      <c r="H174" s="166">
        <f>G141-H141</f>
        <v/>
      </c>
      <c r="I174" s="166">
        <f>H141-I141</f>
        <v/>
      </c>
      <c r="J174" s="166">
        <f>I141-J141</f>
        <v/>
      </c>
      <c r="K174" s="166">
        <f>J141-K141</f>
        <v/>
      </c>
      <c r="L174" s="166">
        <f>K141-L141</f>
        <v/>
      </c>
      <c r="M174" s="166">
        <f>L141-M141</f>
        <v/>
      </c>
      <c r="N174" s="166">
        <f>M141-N141</f>
        <v/>
      </c>
      <c r="O174" s="166">
        <f>N141-O141</f>
        <v/>
      </c>
      <c r="P174" s="166">
        <f>O141-P141</f>
        <v/>
      </c>
      <c r="Q174" s="166">
        <f>P141-Q141</f>
        <v/>
      </c>
      <c r="R174" s="166">
        <f>Q141-R141</f>
        <v/>
      </c>
      <c r="S174" s="166">
        <f>R141-S141</f>
        <v/>
      </c>
      <c r="T174" s="166">
        <f>S141-T141</f>
        <v/>
      </c>
      <c r="U174" s="166">
        <f>T141-U141</f>
        <v/>
      </c>
      <c r="V174" s="166">
        <f>U141-V141</f>
        <v/>
      </c>
      <c r="W174" s="166">
        <f>V141-W141</f>
        <v/>
      </c>
    </row>
    <row r="175">
      <c r="A175" s="393" t="inlineStr">
        <is>
          <t>FCF (net of working cash)</t>
        </is>
      </c>
      <c r="D175" s="166" t="n"/>
      <c r="E175" s="166">
        <f>SUM(E173:E174)</f>
        <v/>
      </c>
      <c r="F175" s="166">
        <f>SUM(F173:F174)</f>
        <v/>
      </c>
      <c r="G175" s="166">
        <f>SUM(G173:G174)</f>
        <v/>
      </c>
      <c r="H175" s="166">
        <f>SUM(H173:H174)</f>
        <v/>
      </c>
      <c r="I175" s="166">
        <f>SUM(I173:I174)</f>
        <v/>
      </c>
      <c r="J175" s="166">
        <f>SUM(J173:J174)</f>
        <v/>
      </c>
      <c r="K175" s="166">
        <f>SUM(K173:K174)</f>
        <v/>
      </c>
      <c r="L175" s="166">
        <f>SUM(L173:L174)</f>
        <v/>
      </c>
      <c r="M175" s="166">
        <f>SUM(M173:M174)</f>
        <v/>
      </c>
      <c r="N175" s="166">
        <f>SUM(N173:N174)</f>
        <v/>
      </c>
      <c r="O175" s="166">
        <f>SUM(O173:O174)</f>
        <v/>
      </c>
      <c r="P175" s="166">
        <f>SUM(P173:P174)</f>
        <v/>
      </c>
      <c r="Q175" s="166">
        <f>SUM(Q173:Q174)</f>
        <v/>
      </c>
      <c r="R175" s="166">
        <f>SUM(R173:R174)</f>
        <v/>
      </c>
      <c r="S175" s="166">
        <f>SUM(S173:S174)</f>
        <v/>
      </c>
      <c r="T175" s="166">
        <f>SUM(T173:T174)</f>
        <v/>
      </c>
      <c r="U175" s="166">
        <f>SUM(U173:U174)</f>
        <v/>
      </c>
      <c r="V175" s="166">
        <f>SUM(V173:V174)</f>
        <v/>
      </c>
      <c r="W175" s="166">
        <f>SUM(W173:W174)</f>
        <v/>
      </c>
    </row>
    <row r="176">
      <c r="A176" s="393" t="inlineStr">
        <is>
          <t>FCF (alt. NOPLAT - NET CHANGE IN IC)</t>
        </is>
      </c>
      <c r="D176" s="166" t="n"/>
      <c r="E176" s="166">
        <f>E167-(E161-D161)</f>
        <v/>
      </c>
      <c r="F176" s="166">
        <f>F167-(F161-E161)</f>
        <v/>
      </c>
      <c r="G176" s="166">
        <f>G167-(G161-F161)</f>
        <v/>
      </c>
      <c r="H176" s="166">
        <f>H167-(H161-G161)</f>
        <v/>
      </c>
      <c r="I176" s="166">
        <f>I167-(I161-H161)</f>
        <v/>
      </c>
      <c r="J176" s="166">
        <f>J167-(J161-I161)</f>
        <v/>
      </c>
      <c r="K176" s="166">
        <f>K167-(K161-J161)</f>
        <v/>
      </c>
      <c r="L176" s="166">
        <f>L167-(L161-K161)</f>
        <v/>
      </c>
      <c r="M176" s="166">
        <f>M167-(M161-L161)</f>
        <v/>
      </c>
      <c r="N176" s="166">
        <f>N167-(N161-M161)</f>
        <v/>
      </c>
      <c r="O176" s="166">
        <f>O167-(O161-N161)</f>
        <v/>
      </c>
      <c r="P176" s="166">
        <f>P167-(P161-O161)</f>
        <v/>
      </c>
      <c r="Q176" s="166">
        <f>Q167-(Q161-P161)</f>
        <v/>
      </c>
      <c r="R176" s="166">
        <f>R167-(R161-Q161)</f>
        <v/>
      </c>
      <c r="S176" s="166">
        <f>S167-(S161-R161)</f>
        <v/>
      </c>
      <c r="T176" s="166">
        <f>T167-(T161-S161)</f>
        <v/>
      </c>
      <c r="U176" s="166">
        <f>U167-(U161-T161)</f>
        <v/>
      </c>
      <c r="V176" s="166">
        <f>V167-(V161-U161)</f>
        <v/>
      </c>
      <c r="W176" s="166">
        <f>W167-(W161-V161)</f>
        <v/>
      </c>
    </row>
    <row r="177" customFormat="1" s="432">
      <c r="A177" s="436" t="inlineStr">
        <is>
          <t>ROIC (excluding investment)</t>
        </is>
      </c>
      <c r="C177" s="433" t="n"/>
      <c r="D177" s="433" t="n"/>
      <c r="E177" s="903">
        <f>E167/AVERAGE(D160:E161)</f>
        <v/>
      </c>
      <c r="F177" s="903">
        <f>F167/AVERAGE(E160:F161)</f>
        <v/>
      </c>
      <c r="G177" s="903">
        <f>G167/AVERAGE(F160:G161)</f>
        <v/>
      </c>
      <c r="H177" s="903">
        <f>H167/AVERAGE(G160:H161)</f>
        <v/>
      </c>
      <c r="I177" s="903">
        <f>I167/AVERAGE(H160:I161)</f>
        <v/>
      </c>
      <c r="J177" s="903">
        <f>J167/AVERAGE(I160:J161)</f>
        <v/>
      </c>
      <c r="K177" s="903">
        <f>K167/AVERAGE(J160:K161)</f>
        <v/>
      </c>
      <c r="L177" s="903">
        <f>L167/AVERAGE(K160:L161)</f>
        <v/>
      </c>
      <c r="M177" s="903">
        <f>M167/AVERAGE(L160:M161)</f>
        <v/>
      </c>
      <c r="N177" s="903">
        <f>N167/AVERAGE(M160:N161)</f>
        <v/>
      </c>
      <c r="O177" s="903">
        <f>O167/AVERAGE(N160:O161)</f>
        <v/>
      </c>
      <c r="P177" s="903">
        <f>P167/AVERAGE(O160:P161)</f>
        <v/>
      </c>
      <c r="Q177" s="903">
        <f>Q167/AVERAGE(P160:Q161)</f>
        <v/>
      </c>
      <c r="R177" s="903">
        <f>R167/AVERAGE(Q160:R161)</f>
        <v/>
      </c>
      <c r="S177" s="903">
        <f>S167/AVERAGE(R160:S161)</f>
        <v/>
      </c>
      <c r="T177" s="903">
        <f>T167/AVERAGE(S160:T161)</f>
        <v/>
      </c>
      <c r="U177" s="903">
        <f>U167/AVERAGE(T160:U161)</f>
        <v/>
      </c>
      <c r="V177" s="903">
        <f>V167/AVERAGE(U160:V161)</f>
        <v/>
      </c>
      <c r="W177" s="903">
        <f>W167/AVERAGE(V160:W161)</f>
        <v/>
      </c>
    </row>
    <row r="178" customFormat="1" s="432">
      <c r="A178" s="436" t="inlineStr">
        <is>
          <t>ROE</t>
        </is>
      </c>
      <c r="B178" s="433" t="n"/>
      <c r="C178" s="433" t="n"/>
      <c r="D178" s="433" t="n"/>
      <c r="E178" s="903">
        <f>E25/AVERAGE(D75:E75)</f>
        <v/>
      </c>
      <c r="F178" s="903">
        <f>F25/AVERAGE(E75:F75)</f>
        <v/>
      </c>
      <c r="G178" s="903">
        <f>G25/AVERAGE(F75:G75)</f>
        <v/>
      </c>
      <c r="H178" s="903">
        <f>H25/AVERAGE(G75:H75)</f>
        <v/>
      </c>
      <c r="I178" s="903">
        <f>I25/AVERAGE(H75:I75)</f>
        <v/>
      </c>
      <c r="J178" s="903">
        <f>J25/AVERAGE(I75:J75)</f>
        <v/>
      </c>
      <c r="K178" s="903">
        <f>K25/AVERAGE(J75:K75)</f>
        <v/>
      </c>
      <c r="L178" s="903">
        <f>L25/AVERAGE(K75:L75)</f>
        <v/>
      </c>
      <c r="M178" s="903">
        <f>M25/AVERAGE(L75:M75)</f>
        <v/>
      </c>
      <c r="N178" s="903">
        <f>N25/AVERAGE(M75:N75)</f>
        <v/>
      </c>
      <c r="O178" s="903">
        <f>O25/AVERAGE(N75:O75)</f>
        <v/>
      </c>
      <c r="P178" s="903">
        <f>P25/AVERAGE(O75:P75)</f>
        <v/>
      </c>
      <c r="Q178" s="903">
        <f>Q25/AVERAGE(P75:Q75)</f>
        <v/>
      </c>
      <c r="R178" s="903">
        <f>R25/AVERAGE(Q75:R75)</f>
        <v/>
      </c>
      <c r="S178" s="903">
        <f>S25/AVERAGE(R75:S75)</f>
        <v/>
      </c>
      <c r="T178" s="903">
        <f>T25/AVERAGE(S75:T75)</f>
        <v/>
      </c>
      <c r="U178" s="903">
        <f>U25/AVERAGE(T75:U75)</f>
        <v/>
      </c>
      <c r="V178" s="903">
        <f>V25/AVERAGE(U75:V75)</f>
        <v/>
      </c>
      <c r="W178" s="903">
        <f>W25/AVERAGE(V75:W75)</f>
        <v/>
      </c>
    </row>
    <row r="179" customFormat="1" s="432">
      <c r="A179" s="437" t="inlineStr">
        <is>
          <t>FCF margin</t>
        </is>
      </c>
      <c r="E179" s="904">
        <f>E173/E11</f>
        <v/>
      </c>
      <c r="F179" s="904">
        <f>F173/F11</f>
        <v/>
      </c>
      <c r="G179" s="904">
        <f>G173/G11</f>
        <v/>
      </c>
      <c r="H179" s="904">
        <f>H173/H11</f>
        <v/>
      </c>
      <c r="I179" s="904">
        <f>I173/I11</f>
        <v/>
      </c>
      <c r="J179" s="904">
        <f>J173/J11</f>
        <v/>
      </c>
      <c r="K179" s="904">
        <f>K173/K11</f>
        <v/>
      </c>
      <c r="L179" s="904">
        <f>L173/L11</f>
        <v/>
      </c>
      <c r="M179" s="904">
        <f>M173/M11</f>
        <v/>
      </c>
      <c r="N179" s="904">
        <f>N173/N11</f>
        <v/>
      </c>
      <c r="O179" s="904">
        <f>O173/O11</f>
        <v/>
      </c>
      <c r="P179" s="904">
        <f>P173/P11</f>
        <v/>
      </c>
      <c r="Q179" s="904">
        <f>Q173/Q11</f>
        <v/>
      </c>
      <c r="R179" s="904">
        <f>R173/R11</f>
        <v/>
      </c>
      <c r="S179" s="904">
        <f>S173/S11</f>
        <v/>
      </c>
      <c r="T179" s="904">
        <f>T173/T11</f>
        <v/>
      </c>
      <c r="U179" s="904">
        <f>U173/U11</f>
        <v/>
      </c>
      <c r="V179" s="904">
        <f>V173/V11</f>
        <v/>
      </c>
      <c r="W179" s="904">
        <f>W173/W11</f>
        <v/>
      </c>
    </row>
    <row r="180" customFormat="1" s="432">
      <c r="A180" s="437" t="n"/>
      <c r="F180" s="904" t="n"/>
      <c r="G180" s="904" t="n"/>
      <c r="H180" s="904" t="n"/>
      <c r="I180" s="904" t="n"/>
      <c r="J180" s="904" t="n"/>
      <c r="K180" s="904" t="n"/>
      <c r="L180" s="904" t="n"/>
      <c r="M180" s="904" t="n"/>
      <c r="N180" s="904" t="n"/>
      <c r="O180" s="904" t="n"/>
      <c r="P180" s="904" t="n"/>
      <c r="Q180" s="904" t="n"/>
      <c r="R180" s="904" t="n"/>
      <c r="S180" s="904" t="n"/>
      <c r="T180" s="904" t="n"/>
      <c r="U180" s="904" t="n"/>
      <c r="V180" s="904" t="n"/>
      <c r="W180" s="904" t="n"/>
    </row>
    <row r="181" customFormat="1" s="432">
      <c r="A181" s="385" t="inlineStr">
        <is>
          <t>BVPS(basic)</t>
        </is>
      </c>
      <c r="E181" s="550">
        <f>E$75/E32</f>
        <v/>
      </c>
      <c r="F181" s="550">
        <f>F$75/F32</f>
        <v/>
      </c>
      <c r="G181" s="550">
        <f>G$75/G32</f>
        <v/>
      </c>
      <c r="H181" s="550">
        <f>H$75/H32</f>
        <v/>
      </c>
      <c r="I181" s="550">
        <f>I$75/I32</f>
        <v/>
      </c>
      <c r="J181" s="550">
        <f>J$75/J32</f>
        <v/>
      </c>
      <c r="K181" s="550">
        <f>K$75/K32</f>
        <v/>
      </c>
      <c r="L181" s="550">
        <f>L$75/L32</f>
        <v/>
      </c>
      <c r="M181" s="550">
        <f>M$75/M32</f>
        <v/>
      </c>
      <c r="N181" s="550">
        <f>N$75/N32</f>
        <v/>
      </c>
      <c r="O181" s="550">
        <f>O$75/O32</f>
        <v/>
      </c>
      <c r="P181" s="550">
        <f>P$75/P32</f>
        <v/>
      </c>
      <c r="Q181" s="550">
        <f>Q$75/Q32</f>
        <v/>
      </c>
      <c r="R181" s="550">
        <f>R$75/R32</f>
        <v/>
      </c>
      <c r="S181" s="550">
        <f>S$75/S32</f>
        <v/>
      </c>
      <c r="T181" s="550">
        <f>T$75/T32</f>
        <v/>
      </c>
      <c r="U181" s="550">
        <f>U$75/U32</f>
        <v/>
      </c>
      <c r="V181" s="550">
        <f>V$75/V32</f>
        <v/>
      </c>
      <c r="W181" s="550">
        <f>W$75/W32</f>
        <v/>
      </c>
    </row>
    <row r="182" customFormat="1" s="432">
      <c r="A182" s="385" t="inlineStr">
        <is>
          <t>BVPS(diluted)</t>
        </is>
      </c>
      <c r="E182" s="550">
        <f>E$75/E33</f>
        <v/>
      </c>
      <c r="F182" s="550">
        <f>F$75/F33</f>
        <v/>
      </c>
      <c r="G182" s="550">
        <f>G$75/G33</f>
        <v/>
      </c>
      <c r="H182" s="550">
        <f>H$75/H33</f>
        <v/>
      </c>
      <c r="I182" s="550">
        <f>I$75/I33</f>
        <v/>
      </c>
      <c r="J182" s="550">
        <f>J$75/J33</f>
        <v/>
      </c>
      <c r="K182" s="550">
        <f>K$75/K33</f>
        <v/>
      </c>
      <c r="L182" s="550">
        <f>L$75/L33</f>
        <v/>
      </c>
      <c r="M182" s="550">
        <f>M$75/M33</f>
        <v/>
      </c>
      <c r="N182" s="550">
        <f>N$75/N33</f>
        <v/>
      </c>
      <c r="O182" s="550">
        <f>O$75/O33</f>
        <v/>
      </c>
      <c r="P182" s="550">
        <f>P$75/P33</f>
        <v/>
      </c>
      <c r="Q182" s="550">
        <f>Q$75/Q33</f>
        <v/>
      </c>
      <c r="R182" s="550">
        <f>R$75/R33</f>
        <v/>
      </c>
      <c r="S182" s="550">
        <f>S$75/S33</f>
        <v/>
      </c>
      <c r="T182" s="550">
        <f>T$75/T33</f>
        <v/>
      </c>
      <c r="U182" s="550">
        <f>U$75/U33</f>
        <v/>
      </c>
      <c r="V182" s="550">
        <f>V$75/V33</f>
        <v/>
      </c>
      <c r="W182" s="550">
        <f>W$75/W33</f>
        <v/>
      </c>
    </row>
    <row r="183" customFormat="1" s="432">
      <c r="A183" s="385" t="n"/>
      <c r="E183" s="550" t="n"/>
      <c r="F183" s="550" t="n"/>
      <c r="G183" s="550" t="n"/>
      <c r="H183" s="550" t="n"/>
      <c r="I183" s="550" t="n"/>
      <c r="J183" s="550" t="n"/>
      <c r="K183" s="550" t="n"/>
      <c r="L183" s="550" t="n"/>
      <c r="M183" s="550" t="n"/>
      <c r="N183" s="550" t="n"/>
      <c r="O183" s="550" t="n"/>
      <c r="P183" s="550" t="n"/>
      <c r="Q183" s="550" t="n"/>
      <c r="R183" s="550" t="n"/>
      <c r="S183" s="550" t="n"/>
      <c r="T183" s="550" t="n"/>
      <c r="U183" s="550" t="n"/>
      <c r="V183" s="550" t="n"/>
      <c r="W183" s="550" t="n"/>
    </row>
    <row r="184" customFormat="1" s="432">
      <c r="A184" s="385" t="inlineStr">
        <is>
          <t>DOL (Degree of operating leverage)</t>
        </is>
      </c>
      <c r="E184" s="550" t="n"/>
      <c r="F184" s="472">
        <f>(F19/E19-1)/(F11/E11-1)</f>
        <v/>
      </c>
      <c r="G184" s="472">
        <f>(G19/F19-1)/(G11/F11-1)</f>
        <v/>
      </c>
      <c r="H184" s="472">
        <f>(H19/G19-1)/(H11/G11-1)</f>
        <v/>
      </c>
      <c r="I184" s="472">
        <f>(I19/H19-1)/(I11/H11-1)</f>
        <v/>
      </c>
      <c r="J184" s="472">
        <f>(J19/I19-1)/(J11/I11-1)</f>
        <v/>
      </c>
      <c r="K184" s="472">
        <f>(K19/J19-1)/(K11/J11-1)</f>
        <v/>
      </c>
      <c r="L184" s="472">
        <f>(L19/K19-1)/(L11/K11-1)</f>
        <v/>
      </c>
      <c r="M184" s="472">
        <f>(M19/L19-1)/(M11/L11-1)</f>
        <v/>
      </c>
      <c r="N184" s="472">
        <f>(N19/M19-1)/(N11/M11-1)</f>
        <v/>
      </c>
      <c r="O184" s="472">
        <f>(O19/N19-1)/(O11/N11-1)</f>
        <v/>
      </c>
      <c r="P184" s="472">
        <f>(P19/O19-1)/(P11/O11-1)</f>
        <v/>
      </c>
      <c r="Q184" s="472">
        <f>(Q19/P19-1)/(Q11/P11-1)</f>
        <v/>
      </c>
      <c r="R184" s="472">
        <f>(R19/Q19-1)/(R11/Q11-1)</f>
        <v/>
      </c>
      <c r="S184" s="472">
        <f>(S19/R19-1)/(S11/R11-1)</f>
        <v/>
      </c>
      <c r="T184" s="472">
        <f>(T19/S19-1)/(T11/S11-1)</f>
        <v/>
      </c>
      <c r="U184" s="472">
        <f>(U19/T19-1)/(U11/T11-1)</f>
        <v/>
      </c>
      <c r="V184" s="472">
        <f>(V19/U19-1)/(V11/U11-1)</f>
        <v/>
      </c>
      <c r="W184" s="472">
        <f>(W19/V19-1)/(W11/V11-1)</f>
        <v/>
      </c>
    </row>
    <row r="185">
      <c r="A185" s="387" t="n"/>
    </row>
    <row r="186">
      <c r="A186" s="383" t="inlineStr">
        <is>
          <t>Annualization - Half</t>
        </is>
      </c>
    </row>
    <row r="187">
      <c r="A187" s="394" t="inlineStr">
        <is>
          <t>Period Start</t>
        </is>
      </c>
      <c r="B187" s="46">
        <f>DATE(B1,1,1)</f>
        <v/>
      </c>
      <c r="C187" s="46">
        <f>DATE(C1-1,3,21)</f>
        <v/>
      </c>
      <c r="D187" s="46">
        <f>DATE(D1-1,3,21)</f>
        <v/>
      </c>
      <c r="E187" s="544">
        <f>DATE(E5,1,1)</f>
        <v/>
      </c>
      <c r="F187" s="545">
        <f>DATE(F5,1,1)</f>
        <v/>
      </c>
      <c r="G187" s="545">
        <f>DATE(G5,1,1)</f>
        <v/>
      </c>
      <c r="H187" s="545">
        <f>DATE(H5,1,1)</f>
        <v/>
      </c>
      <c r="I187" s="545">
        <f>DATE(I5,1,1)</f>
        <v/>
      </c>
      <c r="J187" s="545">
        <f>DATE(J5,1,1)</f>
        <v/>
      </c>
      <c r="K187" s="545">
        <f>DATE(K5,1,1)</f>
        <v/>
      </c>
      <c r="L187" s="545">
        <f>DATE(L5,1,1)</f>
        <v/>
      </c>
      <c r="M187" s="545">
        <f>DATE(M5,1,1)</f>
        <v/>
      </c>
      <c r="N187" s="545">
        <f>DATE(N5,1,1)</f>
        <v/>
      </c>
      <c r="O187" s="545">
        <f>DATE(O5,1,1)</f>
        <v/>
      </c>
      <c r="P187" s="545">
        <f>DATE(P5,1,1)</f>
        <v/>
      </c>
      <c r="Q187" s="545">
        <f>DATE(Q5,1,1)</f>
        <v/>
      </c>
      <c r="R187" s="545">
        <f>DATE(R5,1,1)</f>
        <v/>
      </c>
      <c r="S187" s="545">
        <f>DATE(S5,1,1)</f>
        <v/>
      </c>
      <c r="T187" s="545">
        <f>DATE(T5,1,1)</f>
        <v/>
      </c>
      <c r="U187" s="545">
        <f>DATE(U5,1,1)</f>
        <v/>
      </c>
      <c r="V187" s="545">
        <f>DATE(V5,1,1)</f>
        <v/>
      </c>
      <c r="W187" s="545">
        <f>DATE(W5,1,1)</f>
        <v/>
      </c>
    </row>
    <row r="188">
      <c r="A188" s="394" t="inlineStr">
        <is>
          <t>Year Starts</t>
        </is>
      </c>
      <c r="B188" s="46">
        <f>+B187</f>
        <v/>
      </c>
      <c r="C188" s="46">
        <f>+C187</f>
        <v/>
      </c>
      <c r="D188" s="46">
        <f>+D187</f>
        <v/>
      </c>
      <c r="E188" s="522">
        <f>DATE(E5,1,1)</f>
        <v/>
      </c>
      <c r="F188" s="522">
        <f>DATE(F5,1,1)</f>
        <v/>
      </c>
      <c r="G188" s="522">
        <f>DATE(G5,1,1)</f>
        <v/>
      </c>
      <c r="H188" s="522">
        <f>DATE(H5,1,1)</f>
        <v/>
      </c>
      <c r="I188" s="522">
        <f>DATE(I5,1,1)</f>
        <v/>
      </c>
      <c r="J188" s="522">
        <f>DATE(J5,1,1)</f>
        <v/>
      </c>
      <c r="K188" s="522">
        <f>DATE(K5,1,1)</f>
        <v/>
      </c>
      <c r="L188" s="522">
        <f>DATE(L5,1,1)</f>
        <v/>
      </c>
      <c r="M188" s="522">
        <f>DATE(M5,1,1)</f>
        <v/>
      </c>
      <c r="N188" s="522">
        <f>DATE(N5,1,1)</f>
        <v/>
      </c>
      <c r="O188" s="522">
        <f>DATE(O5,1,1)</f>
        <v/>
      </c>
      <c r="P188" s="522">
        <f>DATE(P5,1,1)</f>
        <v/>
      </c>
      <c r="Q188" s="522">
        <f>DATE(Q5,1,1)</f>
        <v/>
      </c>
      <c r="R188" s="522">
        <f>DATE(R5,1,1)</f>
        <v/>
      </c>
      <c r="S188" s="522">
        <f>DATE(S5,1,1)</f>
        <v/>
      </c>
      <c r="T188" s="522">
        <f>DATE(T5,1,1)</f>
        <v/>
      </c>
      <c r="U188" s="522">
        <f>DATE(U5,1,1)</f>
        <v/>
      </c>
      <c r="V188" s="522">
        <f>DATE(V5,1,1)</f>
        <v/>
      </c>
      <c r="W188" s="522">
        <f>DATE(W5,1,1)</f>
        <v/>
      </c>
    </row>
    <row r="189">
      <c r="A189" s="394" t="inlineStr">
        <is>
          <t>Year Ends</t>
        </is>
      </c>
      <c r="B189" s="46">
        <f>+#REF!</f>
        <v/>
      </c>
      <c r="C189" s="46">
        <f>+#REF!</f>
        <v/>
      </c>
      <c r="D189" s="46">
        <f>+#REF!</f>
        <v/>
      </c>
      <c r="E189" s="522">
        <f>DATE(E5,12,31)</f>
        <v/>
      </c>
      <c r="F189" s="522">
        <f>DATE(F5,12,31)</f>
        <v/>
      </c>
      <c r="G189" s="522">
        <f>DATE(G5,12,31)</f>
        <v/>
      </c>
      <c r="H189" s="522">
        <f>DATE(H5,12,31)</f>
        <v/>
      </c>
      <c r="I189" s="522">
        <f>DATE(I5,12,31)</f>
        <v/>
      </c>
      <c r="J189" s="522">
        <f>DATE(J5,12,31)</f>
        <v/>
      </c>
      <c r="K189" s="522">
        <f>DATE(K5,12,31)</f>
        <v/>
      </c>
      <c r="L189" s="522">
        <f>DATE(L5,12,31)</f>
        <v/>
      </c>
      <c r="M189" s="522">
        <f>DATE(M5,12,31)</f>
        <v/>
      </c>
      <c r="N189" s="522">
        <f>DATE(N5,12,31)</f>
        <v/>
      </c>
      <c r="O189" s="522">
        <f>DATE(O5,12,31)</f>
        <v/>
      </c>
      <c r="P189" s="522">
        <f>DATE(P5,12,31)</f>
        <v/>
      </c>
      <c r="Q189" s="522">
        <f>DATE(Q5,12,31)</f>
        <v/>
      </c>
      <c r="R189" s="522">
        <f>DATE(R5,12,31)</f>
        <v/>
      </c>
      <c r="S189" s="522">
        <f>DATE(S5,12,31)</f>
        <v/>
      </c>
      <c r="T189" s="522">
        <f>DATE(T5,12,31)</f>
        <v/>
      </c>
      <c r="U189" s="522">
        <f>DATE(U5,12,31)</f>
        <v/>
      </c>
      <c r="V189" s="522">
        <f>DATE(V5,12,31)</f>
        <v/>
      </c>
      <c r="W189" s="522">
        <f>DATE(W5,12,31)</f>
        <v/>
      </c>
    </row>
    <row r="190">
      <c r="A190" s="394" t="inlineStr">
        <is>
          <t>Year Days</t>
        </is>
      </c>
      <c r="B190" s="82">
        <f>B189-B188+1</f>
        <v/>
      </c>
      <c r="C190" s="82">
        <f>C189-C188+1</f>
        <v/>
      </c>
      <c r="D190" s="82">
        <f>D189-D188+1</f>
        <v/>
      </c>
      <c r="E190" s="82">
        <f>E189-E188+1</f>
        <v/>
      </c>
      <c r="F190" s="82">
        <f>F189-F188+1</f>
        <v/>
      </c>
      <c r="G190" s="82">
        <f>G189-G188+1</f>
        <v/>
      </c>
      <c r="H190" s="82">
        <f>H189-H188+1</f>
        <v/>
      </c>
      <c r="I190" s="82">
        <f>I189-I188+1</f>
        <v/>
      </c>
      <c r="J190" s="82">
        <f>J189-J188+1</f>
        <v/>
      </c>
      <c r="K190" s="82">
        <f>K189-K188+1</f>
        <v/>
      </c>
      <c r="L190" s="82">
        <f>L189-L188+1</f>
        <v/>
      </c>
      <c r="M190" s="82">
        <f>M189-M188+1</f>
        <v/>
      </c>
      <c r="N190" s="82">
        <f>N189-N188+1</f>
        <v/>
      </c>
      <c r="O190" s="82">
        <f>O189-O188+1</f>
        <v/>
      </c>
      <c r="P190" s="82">
        <f>P189-P188+1</f>
        <v/>
      </c>
      <c r="Q190" s="82">
        <f>Q189-Q188+1</f>
        <v/>
      </c>
      <c r="R190" s="82">
        <f>R189-R188+1</f>
        <v/>
      </c>
      <c r="S190" s="82">
        <f>S189-S188+1</f>
        <v/>
      </c>
      <c r="T190" s="82">
        <f>T189-T188+1</f>
        <v/>
      </c>
      <c r="U190" s="82">
        <f>U189-U188+1</f>
        <v/>
      </c>
      <c r="V190" s="82">
        <f>V189-V188+1</f>
        <v/>
      </c>
      <c r="W190" s="82">
        <f>W189-W188+1</f>
        <v/>
      </c>
    </row>
    <row r="191">
      <c r="A191" s="387" t="n"/>
    </row>
    <row r="192">
      <c r="A192" s="394" t="n"/>
    </row>
  </sheetData>
  <pageMargins left="0.7" right="0.7" top="0.75" bottom="0.75" header="0.3" footer="0.3"/>
  <pageSetup orientation="portrait" paperSize="9" horizontalDpi="300" verticalDpi="300"/>
</worksheet>
</file>

<file path=xl/worksheets/sheet7.xml><?xml version="1.0" encoding="utf-8"?>
<worksheet xmlns="http://schemas.openxmlformats.org/spreadsheetml/2006/main">
  <sheetPr>
    <tabColor theme="1"/>
    <outlinePr summaryBelow="1" summaryRight="1"/>
    <pageSetUpPr/>
  </sheetPr>
  <dimension ref="A1:CK128"/>
  <sheetViews>
    <sheetView zoomScaleNormal="100" workbookViewId="0">
      <pane xSplit="13" ySplit="6" topLeftCell="BW7" activePane="bottomRight" state="frozen"/>
      <selection pane="topRight" activeCell="N1" sqref="N1"/>
      <selection pane="bottomLeft" activeCell="A7" sqref="A7"/>
      <selection pane="bottomRight" activeCell="CC41" sqref="CC41"/>
    </sheetView>
  </sheetViews>
  <sheetFormatPr baseColWidth="10" defaultColWidth="9.33203125" defaultRowHeight="13" outlineLevelRow="1"/>
  <cols>
    <col width="78.33203125" customWidth="1" min="1" max="1"/>
    <col hidden="1" min="2" max="13"/>
    <col width="12.6640625" customWidth="1" min="14" max="89"/>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23">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row>
    <row r="2">
      <c r="A2" t="inlineStr">
        <is>
          <t>Forecast</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24">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S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S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26">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S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row>
    <row r="8">
      <c r="A8" s="105" t="n"/>
      <c r="B8" s="121" t="n"/>
      <c r="C8" s="121" t="n"/>
      <c r="D8" s="121" t="n"/>
      <c r="E8" s="121" t="n"/>
      <c r="F8" s="121" t="n"/>
      <c r="G8" s="121" t="n"/>
      <c r="H8" s="121" t="n"/>
      <c r="I8" s="121" t="n"/>
      <c r="J8" s="121" t="n"/>
      <c r="K8" s="121" t="n"/>
      <c r="L8" s="121" t="n"/>
      <c r="M8" s="121" t="n"/>
      <c r="N8" s="121" t="n"/>
      <c r="O8" s="121" t="n"/>
      <c r="P8" s="121" t="n"/>
      <c r="Q8" s="121" t="n"/>
      <c r="R8" s="121" t="n"/>
      <c r="S8" s="121" t="n"/>
      <c r="T8" s="121" t="n"/>
      <c r="U8" s="121" t="n"/>
      <c r="V8" s="121" t="n"/>
      <c r="W8" s="121" t="n"/>
      <c r="X8" s="121" t="n"/>
      <c r="Y8" s="121" t="n"/>
      <c r="Z8" s="121" t="n"/>
      <c r="AA8" s="121" t="n"/>
      <c r="AB8" s="121" t="n"/>
      <c r="AC8" s="121" t="n"/>
      <c r="AD8" s="121" t="n"/>
      <c r="AE8" s="121" t="n"/>
      <c r="AF8" s="121" t="n"/>
      <c r="AG8" s="121" t="n"/>
      <c r="AH8" s="121" t="n"/>
      <c r="AI8" s="121" t="n"/>
      <c r="AJ8" s="121" t="n"/>
      <c r="AK8" s="439" t="n"/>
      <c r="AL8" s="439" t="n"/>
      <c r="AM8" s="121" t="n"/>
      <c r="AN8" s="121" t="n"/>
      <c r="AO8" s="121" t="n"/>
      <c r="AP8" s="121" t="n"/>
      <c r="AQ8" s="121" t="n"/>
      <c r="AR8" s="121" t="n"/>
      <c r="AV8" s="519" t="n"/>
    </row>
    <row r="9">
      <c r="A9" s="81" t="inlineStr">
        <is>
          <t>CONSOLIDATED INCOME STATEMENT (in '000 USD)</t>
        </is>
      </c>
      <c r="B9" s="119" t="n"/>
      <c r="C9" s="119" t="n"/>
      <c r="D9" s="119" t="n"/>
      <c r="E9" s="119" t="n"/>
      <c r="F9" s="119" t="n"/>
      <c r="G9" s="119" t="n"/>
      <c r="H9" s="119" t="n"/>
      <c r="I9" s="119" t="n"/>
      <c r="J9" s="119" t="n"/>
      <c r="K9" s="119" t="n"/>
      <c r="L9" s="119" t="n"/>
      <c r="M9" s="119" t="n"/>
      <c r="N9" s="119" t="n"/>
      <c r="O9" s="119" t="n"/>
      <c r="P9" s="119" t="n"/>
      <c r="Q9" s="119" t="n"/>
      <c r="R9" s="119" t="n"/>
      <c r="S9" s="119"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U9" s="905" t="n"/>
      <c r="AV9" s="668" t="n"/>
      <c r="AW9" s="905" t="n"/>
      <c r="AX9" s="905" t="n"/>
      <c r="AY9" s="905" t="n"/>
      <c r="AZ9" s="905" t="n"/>
      <c r="BA9" s="905" t="n"/>
    </row>
    <row r="10">
      <c r="B10" s="76" t="n"/>
      <c r="C10" s="76" t="n"/>
      <c r="D10" s="76" t="n"/>
      <c r="E10" s="76" t="n"/>
      <c r="F10" s="76" t="n"/>
      <c r="G10" s="76" t="n"/>
      <c r="H10" s="76" t="n"/>
      <c r="I10" s="76" t="n"/>
      <c r="J10" s="76" t="n"/>
      <c r="K10" s="76" t="n"/>
      <c r="L10" s="76" t="n"/>
      <c r="M10" s="76" t="n"/>
      <c r="N10" s="76" t="n"/>
      <c r="O10" s="76" t="n"/>
      <c r="P10" s="76" t="n"/>
      <c r="Q10" s="76" t="n"/>
      <c r="R10" s="76" t="n"/>
      <c r="S10" s="76" t="n"/>
      <c r="AO10" s="108" t="n"/>
      <c r="AP10" s="108" t="n"/>
      <c r="AQ10" s="108" t="n"/>
      <c r="AR10" s="108" t="n"/>
      <c r="AT10" s="905" t="n"/>
    </row>
    <row r="11">
      <c r="A11" s="22" t="inlineStr">
        <is>
          <t>Net Sales</t>
        </is>
      </c>
      <c r="B11" s="133" t="n"/>
      <c r="C11" s="133" t="n"/>
      <c r="D11" s="133" t="n"/>
      <c r="E11" s="133" t="n"/>
      <c r="F11" s="133" t="n"/>
      <c r="G11" s="133" t="n"/>
      <c r="H11" s="133" t="n"/>
      <c r="I11" s="133" t="n"/>
      <c r="J11" s="133" t="n"/>
      <c r="K11" s="133" t="n"/>
      <c r="L11" s="133" t="n"/>
      <c r="M11" s="133" t="n"/>
      <c r="N11" s="671">
        <f>IF(N$2=1,Reported!N79,Reported!N79-Reported!M79)</f>
        <v/>
      </c>
      <c r="O11" s="671">
        <f>IF(O$2=1,Reported!O79,Reported!O79-Reported!N79)</f>
        <v/>
      </c>
      <c r="P11" s="671">
        <f>IF(P$2=1,Reported!P79,Reported!P79-Reported!O79)</f>
        <v/>
      </c>
      <c r="Q11" s="671">
        <f>IF(Q$2=1,Reported!Q79,Reported!Q79-Reported!P79)</f>
        <v/>
      </c>
      <c r="R11" s="671">
        <f>IF(R$2=1,Reported!R79,Reported!R79-Reported!Q79)</f>
        <v/>
      </c>
      <c r="S11" s="671">
        <f>IF(S$2=1,Reported!S79,Reported!S79-Reported!R79)</f>
        <v/>
      </c>
      <c r="T11" s="671">
        <f>IF(T$2=1,Reported!T79,Reported!T79-Reported!S79)</f>
        <v/>
      </c>
      <c r="U11" s="671">
        <f>IF(U$2=1,Reported!U79,Reported!U79-Reported!T79)</f>
        <v/>
      </c>
      <c r="V11" s="671">
        <f>IF(V$2=1,Reported!V79,Reported!V79-Reported!U79)</f>
        <v/>
      </c>
      <c r="W11" s="671">
        <f>IF(W$2=1,Reported!W79,Reported!W79-Reported!V79)</f>
        <v/>
      </c>
      <c r="X11" s="671">
        <f>IF(X$2=1,Reported!X79,Reported!X79-Reported!W79)</f>
        <v/>
      </c>
      <c r="Y11" s="671">
        <f>IF(Y$2=1,Reported!Y79,Reported!Y79-Reported!X79)</f>
        <v/>
      </c>
      <c r="Z11" s="671">
        <f>IF(Z$2=1,Reported!Z79,Reported!Z79-Reported!Y79)</f>
        <v/>
      </c>
      <c r="AA11" s="671">
        <f>IF(AA$2=1,Reported!AA79,Reported!AA79-Reported!Z79)</f>
        <v/>
      </c>
      <c r="AB11" s="671">
        <f>IF(AB$2=1,Reported!AB79,Reported!AB79-Reported!AA79)</f>
        <v/>
      </c>
      <c r="AC11" s="671">
        <f>IF(AC$2=1,Reported!AC79,Reported!AC79-Reported!AB79)</f>
        <v/>
      </c>
      <c r="AD11" s="671">
        <f>IF(AD$2=1,Reported!AD79,Reported!AD79-Reported!AC79)</f>
        <v/>
      </c>
      <c r="AE11" s="671">
        <f>IF(AE$2=1,Reported!AE79,Reported!AE79-Reported!AD79)</f>
        <v/>
      </c>
      <c r="AF11" s="671">
        <f>IF(AF$2=1,Reported!AF79,Reported!AF79-Reported!AE79)</f>
        <v/>
      </c>
      <c r="AG11" s="671">
        <f>IF(AG$2=1,Reported!AG79,Reported!AG79-Reported!AF79)</f>
        <v/>
      </c>
      <c r="AH11" s="671">
        <f>IF(AH$2=1,Reported!AH79,Reported!AH79-Reported!AG79)</f>
        <v/>
      </c>
      <c r="AI11" s="671">
        <f>IF(AI$2=1,Reported!AI79,Reported!AI79-Reported!AH79)</f>
        <v/>
      </c>
      <c r="AJ11" s="671">
        <f>IF(AJ$2=1,Reported!AJ79,Reported!AJ79-Reported!AI79)</f>
        <v/>
      </c>
      <c r="AK11" s="671">
        <f>IF(AK$2=1,Reported!AK79,Reported!AK79-Reported!AJ79)</f>
        <v/>
      </c>
      <c r="AL11" s="671">
        <f>IF(AL$2=1,Reported!AL79,Reported!AL79-Reported!AK79)</f>
        <v/>
      </c>
      <c r="AM11" s="671">
        <f>IF(AM$2=1,Reported!AM79,Reported!AM79-Reported!AL79)</f>
        <v/>
      </c>
      <c r="AN11" s="671">
        <f>IF(AN$2=1,Reported!AN79,Reported!AN79-Reported!AM79)</f>
        <v/>
      </c>
      <c r="AO11" s="671">
        <f>IF(AO$2=1,Reported!AO79,Reported!AO79-Reported!AN79)</f>
        <v/>
      </c>
      <c r="AP11" s="671">
        <f>IF(AP$2=1,Reported!AP79,Reported!AP79-Reported!AO79)</f>
        <v/>
      </c>
      <c r="AQ11" s="671">
        <f>IF(AQ$2=1,Reported!AQ79,Reported!AQ79-Reported!AP79)</f>
        <v/>
      </c>
      <c r="AR11" s="671">
        <f>IF(AR$2=1,Reported!AR79,Reported!AR79-Reported!AQ79)</f>
        <v/>
      </c>
      <c r="AS11" s="671">
        <f>IF(AS$2=1,Reported!AS79,Reported!AS79-Reported!AR79)</f>
        <v/>
      </c>
      <c r="AT11" s="671">
        <f>IF(AT$2=1,Reported!AT79,Reported!AT79-Reported!AS79)</f>
        <v/>
      </c>
      <c r="AU11" s="671">
        <f>IF(AU$2=1,Reported!AU79,Reported!AU79-Reported!AT79)</f>
        <v/>
      </c>
      <c r="AV11" s="671">
        <f>IF(AV$2=1,Reported!AV79,Reported!AV79-Reported!AU79)</f>
        <v/>
      </c>
      <c r="AW11" s="671">
        <f>IF(AW$2=1,Reported!AW79,Reported!AW79-Reported!AV79)</f>
        <v/>
      </c>
      <c r="AX11" s="671">
        <f>IF(AX$2=1,Reported!AX79,Reported!AX79-Reported!AW79)</f>
        <v/>
      </c>
      <c r="AY11" s="671">
        <f>IF(AY$2=1,Reported!AY79,Reported!AY79-Reported!AX79)</f>
        <v/>
      </c>
      <c r="AZ11" s="671">
        <f>IF(AZ$2=1,Reported!AZ79,Reported!AZ79-Reported!AY79)</f>
        <v/>
      </c>
      <c r="BA11" s="671">
        <f>IF(BA$2=1,Reported!BA79,Reported!BA79-Reported!AZ79)</f>
        <v/>
      </c>
      <c r="BB11" s="671">
        <f>IF(BB$2=1,Reported!BB79,Reported!BB79-Reported!BA79)</f>
        <v/>
      </c>
      <c r="BC11" s="671">
        <f>IF(BC$2=1,Reported!BC79,Reported!BC79-Reported!BB79)</f>
        <v/>
      </c>
      <c r="BD11" s="671">
        <f>IF(BD$2=1,Reported!BD79,Reported!BD79-Reported!BC79)</f>
        <v/>
      </c>
      <c r="BE11" s="671">
        <f>IF(BE$2=1,Reported!BE79,Reported!BE79-Reported!BD79)</f>
        <v/>
      </c>
      <c r="BF11" s="671">
        <f>IF(BF$2=1,Reported!BF79,Reported!BF79-Reported!BE79)</f>
        <v/>
      </c>
      <c r="BG11" s="671">
        <f>IF(BG$2=1,Reported!BG79,Reported!BG79-Reported!BF79)</f>
        <v/>
      </c>
      <c r="BH11" s="671">
        <f>IF(BH$2=1,Reported!BH79,Reported!BH79-Reported!BG79)</f>
        <v/>
      </c>
      <c r="BI11" s="671">
        <f>IF(BI$2=1,Reported!BI79,Reported!BI79-Reported!BH79)</f>
        <v/>
      </c>
      <c r="BJ11" s="671">
        <f>IF(BJ$2=1,Reported!BJ79,Reported!BJ79-Reported!BI79)</f>
        <v/>
      </c>
      <c r="BK11" s="671">
        <f>IF(BK$2=1,Reported!BK79,Reported!BK79-Reported!BJ79)</f>
        <v/>
      </c>
      <c r="BL11" s="671">
        <f>IF(BL$2=1,Reported!BL79,Reported!BL79-Reported!BK79)</f>
        <v/>
      </c>
      <c r="BM11" s="671">
        <f>IF(BM$2=1,Reported!BM79,Reported!BM79-Reported!BL79)</f>
        <v/>
      </c>
      <c r="BN11" s="671">
        <f>IF(BN$2=1,Reported!BN79,Reported!BN79-Reported!BM79)</f>
        <v/>
      </c>
      <c r="BO11" s="671">
        <f>IF(BO$2=1,Reported!BO79,Reported!BO79-Reported!BN79)</f>
        <v/>
      </c>
      <c r="BP11" s="671">
        <f>IF(BP$2=1,Reported!BP79,Reported!BP79-Reported!BO79)</f>
        <v/>
      </c>
      <c r="BQ11" s="671">
        <f>IF(BQ$2=1,Reported!BQ79,Reported!BQ79-Reported!BP79)</f>
        <v/>
      </c>
      <c r="BR11" s="671">
        <f>IF(BR$2=1,Reported!BR79,Reported!BR79-Reported!BQ79)</f>
        <v/>
      </c>
      <c r="BS11" s="519">
        <f>Assumption!BS20</f>
        <v/>
      </c>
      <c r="BT11" s="519">
        <f>Assumption!BT20</f>
        <v/>
      </c>
      <c r="BU11" s="519">
        <f>Assumption!BU20</f>
        <v/>
      </c>
      <c r="BV11" s="519">
        <f>Assumption!BV20</f>
        <v/>
      </c>
      <c r="BW11" s="519">
        <f>Assumption!BW20</f>
        <v/>
      </c>
      <c r="BX11" s="519">
        <f>Assumption!BX20</f>
        <v/>
      </c>
      <c r="BY11" s="519">
        <f>Assumption!BY20</f>
        <v/>
      </c>
      <c r="BZ11" s="519">
        <f>Assumption!BZ20</f>
        <v/>
      </c>
      <c r="CA11" s="519">
        <f>Assumption!CA20</f>
        <v/>
      </c>
      <c r="CB11" s="519">
        <f>Assumption!CB20</f>
        <v/>
      </c>
      <c r="CC11" s="519">
        <f>Assumption!CC20</f>
        <v/>
      </c>
      <c r="CD11" s="519">
        <f>Assumption!CD20</f>
        <v/>
      </c>
      <c r="CE11" s="519">
        <f>Assumption!CE20</f>
        <v/>
      </c>
      <c r="CF11" s="519">
        <f>Assumption!CF20</f>
        <v/>
      </c>
      <c r="CG11" s="519">
        <f>Assumption!CG20</f>
        <v/>
      </c>
      <c r="CH11" s="519">
        <f>Assumption!CH20</f>
        <v/>
      </c>
      <c r="CI11" s="519">
        <f>Assumption!CI20</f>
        <v/>
      </c>
      <c r="CJ11" s="519">
        <f>Assumption!CJ20</f>
        <v/>
      </c>
      <c r="CK11" s="519">
        <f>Assumption!CK20</f>
        <v/>
      </c>
    </row>
    <row r="12">
      <c r="A12" s="74" t="inlineStr">
        <is>
          <t>Cost of sales</t>
        </is>
      </c>
      <c r="B12" s="145" t="n"/>
      <c r="C12" s="145" t="n"/>
      <c r="D12" s="145" t="n"/>
      <c r="E12" s="145" t="n"/>
      <c r="F12" s="145" t="n"/>
      <c r="G12" s="145" t="n"/>
      <c r="H12" s="145" t="n"/>
      <c r="I12" s="145" t="n"/>
      <c r="J12" s="145" t="n"/>
      <c r="K12" s="145" t="n"/>
      <c r="L12" s="145" t="n"/>
      <c r="M12" s="145" t="n"/>
      <c r="N12" s="509">
        <f>IF(N$2=1,Reported!N80,Reported!N80-Reported!M80)</f>
        <v/>
      </c>
      <c r="O12" s="509">
        <f>IF(O$2=1,Reported!O80,Reported!O80-Reported!N80)</f>
        <v/>
      </c>
      <c r="P12" s="509">
        <f>IF(P$2=1,Reported!P80,Reported!P80-Reported!O80)</f>
        <v/>
      </c>
      <c r="Q12" s="509">
        <f>IF(Q$2=1,Reported!Q80,Reported!Q80-Reported!P80)</f>
        <v/>
      </c>
      <c r="R12" s="509">
        <f>IF(R$2=1,Reported!R80,Reported!R80-Reported!Q80)</f>
        <v/>
      </c>
      <c r="S12" s="509">
        <f>IF(S$2=1,Reported!S80,Reported!S80-Reported!R80)</f>
        <v/>
      </c>
      <c r="T12" s="509">
        <f>IF(T$2=1,Reported!T80,Reported!T80-Reported!S80)</f>
        <v/>
      </c>
      <c r="U12" s="509">
        <f>IF(U$2=1,Reported!U80,Reported!U80-Reported!T80)</f>
        <v/>
      </c>
      <c r="V12" s="509">
        <f>IF(V$2=1,Reported!V80,Reported!V80-Reported!U80)</f>
        <v/>
      </c>
      <c r="W12" s="509">
        <f>IF(W$2=1,Reported!W80,Reported!W80-Reported!V80)</f>
        <v/>
      </c>
      <c r="X12" s="509">
        <f>IF(X$2=1,Reported!X80,Reported!X80-Reported!W80)</f>
        <v/>
      </c>
      <c r="Y12" s="509">
        <f>IF(Y$2=1,Reported!Y80,Reported!Y80-Reported!X80)</f>
        <v/>
      </c>
      <c r="Z12" s="509">
        <f>IF(Z$2=1,Reported!Z80,Reported!Z80-Reported!Y80)</f>
        <v/>
      </c>
      <c r="AA12" s="509">
        <f>IF(AA$2=1,Reported!AA80,Reported!AA80-Reported!Z80)</f>
        <v/>
      </c>
      <c r="AB12" s="509">
        <f>IF(AB$2=1,Reported!AB80,Reported!AB80-Reported!AA80)</f>
        <v/>
      </c>
      <c r="AC12" s="509">
        <f>IF(AC$2=1,Reported!AC80,Reported!AC80-Reported!AB80)</f>
        <v/>
      </c>
      <c r="AD12" s="509">
        <f>IF(AD$2=1,Reported!AD80,Reported!AD80-Reported!AC80)</f>
        <v/>
      </c>
      <c r="AE12" s="509">
        <f>IF(AE$2=1,Reported!AE80,Reported!AE80-Reported!AD80)</f>
        <v/>
      </c>
      <c r="AF12" s="509">
        <f>IF(AF$2=1,Reported!AF80,Reported!AF80-Reported!AE80)</f>
        <v/>
      </c>
      <c r="AG12" s="509">
        <f>IF(AG$2=1,Reported!AG80,Reported!AG80-Reported!AF80)</f>
        <v/>
      </c>
      <c r="AH12" s="509">
        <f>IF(AH$2=1,Reported!AH80,Reported!AH80-Reported!AG80)</f>
        <v/>
      </c>
      <c r="AI12" s="509">
        <f>IF(AI$2=1,Reported!AI80,Reported!AI80-Reported!AH80)</f>
        <v/>
      </c>
      <c r="AJ12" s="509">
        <f>IF(AJ$2=1,Reported!AJ80,Reported!AJ80-Reported!AI80)</f>
        <v/>
      </c>
      <c r="AK12" s="509">
        <f>IF(AK$2=1,Reported!AK80,Reported!AK80-Reported!AJ80)</f>
        <v/>
      </c>
      <c r="AL12" s="509">
        <f>IF(AL$2=1,Reported!AL80,Reported!AL80-Reported!AK80)</f>
        <v/>
      </c>
      <c r="AM12" s="509">
        <f>IF(AM$2=1,Reported!AM80,Reported!AM80-Reported!AL80)</f>
        <v/>
      </c>
      <c r="AN12" s="509">
        <f>IF(AN$2=1,Reported!AN80,Reported!AN80-Reported!AM80)</f>
        <v/>
      </c>
      <c r="AO12" s="509">
        <f>IF(AO$2=1,Reported!AO80,Reported!AO80-Reported!AN80)</f>
        <v/>
      </c>
      <c r="AP12" s="509">
        <f>IF(AP$2=1,Reported!AP80,Reported!AP80-Reported!AO80)</f>
        <v/>
      </c>
      <c r="AQ12" s="509">
        <f>IF(AQ$2=1,Reported!AQ80,Reported!AQ80-Reported!AP80)</f>
        <v/>
      </c>
      <c r="AR12" s="509">
        <f>IF(AR$2=1,Reported!AR80,Reported!AR80-Reported!AQ80)</f>
        <v/>
      </c>
      <c r="AS12" s="509">
        <f>IF(AS$2=1,Reported!AS80,Reported!AS80-Reported!AR80)</f>
        <v/>
      </c>
      <c r="AT12" s="509">
        <f>IF(AT$2=1,Reported!AT80,Reported!AT80-Reported!AS80)</f>
        <v/>
      </c>
      <c r="AU12" s="509">
        <f>IF(AU$2=1,Reported!AU80,Reported!AU80-Reported!AT80)</f>
        <v/>
      </c>
      <c r="AV12" s="509">
        <f>IF(AV$2=1,Reported!AV80,Reported!AV80-Reported!AU80)</f>
        <v/>
      </c>
      <c r="AW12" s="509">
        <f>IF(AW$2=1,Reported!AW80,Reported!AW80-Reported!AV80)</f>
        <v/>
      </c>
      <c r="AX12" s="509">
        <f>IF(AX$2=1,Reported!AX80,Reported!AX80-Reported!AW80)</f>
        <v/>
      </c>
      <c r="AY12" s="509">
        <f>IF(AY$2=1,Reported!AY80,Reported!AY80-Reported!AX80)</f>
        <v/>
      </c>
      <c r="AZ12" s="509">
        <f>IF(AZ$2=1,Reported!AZ80,Reported!AZ80-Reported!AY80)</f>
        <v/>
      </c>
      <c r="BA12" s="509">
        <f>IF(BA$2=1,Reported!BA80,Reported!BA80-Reported!AZ80)</f>
        <v/>
      </c>
      <c r="BB12" s="509">
        <f>IF(BB$2=1,Reported!BB80,Reported!BB80-Reported!BA80)</f>
        <v/>
      </c>
      <c r="BC12" s="509">
        <f>IF(BC$2=1,Reported!BC80,Reported!BC80-Reported!BB80)</f>
        <v/>
      </c>
      <c r="BD12" s="509">
        <f>IF(BD$2=1,Reported!BD80,Reported!BD80-Reported!BC80)</f>
        <v/>
      </c>
      <c r="BE12" s="509">
        <f>IF(BE$2=1,Reported!BE80,Reported!BE80-Reported!BD80)</f>
        <v/>
      </c>
      <c r="BF12" s="509">
        <f>IF(BF$2=1,Reported!BF80,Reported!BF80-Reported!BE80)</f>
        <v/>
      </c>
      <c r="BG12" s="509">
        <f>IF(BG$2=1,Reported!BG80,Reported!BG80-Reported!BF80)</f>
        <v/>
      </c>
      <c r="BH12" s="509">
        <f>IF(BH$2=1,Reported!BH80,Reported!BH80-Reported!BG80)</f>
        <v/>
      </c>
      <c r="BI12" s="509">
        <f>IF(BI$2=1,Reported!BI80,Reported!BI80-Reported!BH80)</f>
        <v/>
      </c>
      <c r="BJ12" s="509">
        <f>IF(BJ$2=1,Reported!BJ80,Reported!BJ80-Reported!BI80)</f>
        <v/>
      </c>
      <c r="BK12" s="509">
        <f>IF(BK$2=1,Reported!BK80,Reported!BK80-Reported!BJ80)</f>
        <v/>
      </c>
      <c r="BL12" s="509">
        <f>IF(BL$2=1,Reported!BL80,Reported!BL80-Reported!BK80)</f>
        <v/>
      </c>
      <c r="BM12" s="509">
        <f>IF(BM$2=1,Reported!BM80,Reported!BM80-Reported!BL80)</f>
        <v/>
      </c>
      <c r="BN12" s="509">
        <f>IF(BN$2=1,Reported!BN80,Reported!BN80-Reported!BM80)</f>
        <v/>
      </c>
      <c r="BO12" s="509">
        <f>IF(BO$2=1,Reported!BO80,Reported!BO80-Reported!BN80)</f>
        <v/>
      </c>
      <c r="BP12" s="509">
        <f>IF(BP$2=1,Reported!BP80,Reported!BP80-Reported!BO80)</f>
        <v/>
      </c>
      <c r="BQ12" s="509">
        <f>IF(BQ$2=1,Reported!BQ80,Reported!BQ80-Reported!BP80)</f>
        <v/>
      </c>
      <c r="BR12" s="509">
        <f>IF(BR$2=1,Reported!BR80,Reported!BR80-Reported!BQ80)</f>
        <v/>
      </c>
      <c r="BS12" s="517">
        <f>Assumption!BS64</f>
        <v/>
      </c>
      <c r="BT12" s="517">
        <f>Assumption!BT64</f>
        <v/>
      </c>
      <c r="BU12" s="517">
        <f>Assumption!BU64</f>
        <v/>
      </c>
      <c r="BV12" s="517">
        <f>Assumption!BV64</f>
        <v/>
      </c>
      <c r="BW12" s="517">
        <f>Assumption!BW64</f>
        <v/>
      </c>
      <c r="BX12" s="517">
        <f>Assumption!BX64</f>
        <v/>
      </c>
      <c r="BY12" s="517">
        <f>Assumption!BY64</f>
        <v/>
      </c>
      <c r="BZ12" s="517">
        <f>Assumption!BZ64</f>
        <v/>
      </c>
      <c r="CA12" s="517">
        <f>Assumption!CA64</f>
        <v/>
      </c>
      <c r="CB12" s="517">
        <f>Assumption!CB64</f>
        <v/>
      </c>
      <c r="CC12" s="517">
        <f>Assumption!CC64</f>
        <v/>
      </c>
      <c r="CD12" s="517">
        <f>Assumption!CD64</f>
        <v/>
      </c>
      <c r="CE12" s="517">
        <f>Assumption!CE64</f>
        <v/>
      </c>
      <c r="CF12" s="517">
        <f>Assumption!CF64</f>
        <v/>
      </c>
      <c r="CG12" s="517">
        <f>Assumption!CG64</f>
        <v/>
      </c>
      <c r="CH12" s="517">
        <f>Assumption!CH64</f>
        <v/>
      </c>
      <c r="CI12" s="517">
        <f>Assumption!CI64</f>
        <v/>
      </c>
      <c r="CJ12" s="517">
        <f>Assumption!CJ64</f>
        <v/>
      </c>
      <c r="CK12" s="517">
        <f>Assumption!CK64</f>
        <v/>
      </c>
    </row>
    <row r="13">
      <c r="A13" s="22" t="inlineStr">
        <is>
          <t>Gross profit</t>
        </is>
      </c>
      <c r="B13" s="133" t="n"/>
      <c r="C13" s="133" t="n"/>
      <c r="D13" s="133" t="n"/>
      <c r="E13" s="133" t="n"/>
      <c r="F13" s="133" t="n"/>
      <c r="G13" s="133" t="n"/>
      <c r="H13" s="133" t="n"/>
      <c r="I13" s="133" t="n"/>
      <c r="J13" s="133" t="n"/>
      <c r="K13" s="133" t="n"/>
      <c r="L13" s="133" t="n"/>
      <c r="M13" s="133" t="n"/>
      <c r="N13" s="671">
        <f>IF(N$2=1,Reported!N81,Reported!N81-Reported!M81)</f>
        <v/>
      </c>
      <c r="O13" s="671">
        <f>IF(O$2=1,Reported!O81,Reported!O81-Reported!N81)</f>
        <v/>
      </c>
      <c r="P13" s="671">
        <f>IF(P$2=1,Reported!P81,Reported!P81-Reported!O81)</f>
        <v/>
      </c>
      <c r="Q13" s="671">
        <f>IF(Q$2=1,Reported!Q81,Reported!Q81-Reported!P81)</f>
        <v/>
      </c>
      <c r="R13" s="671">
        <f>IF(R$2=1,Reported!R81,Reported!R81-Reported!Q81)</f>
        <v/>
      </c>
      <c r="S13" s="671">
        <f>IF(S$2=1,Reported!S81,Reported!S81-Reported!R81)</f>
        <v/>
      </c>
      <c r="T13" s="671">
        <f>IF(T$2=1,Reported!T81,Reported!T81-Reported!S81)</f>
        <v/>
      </c>
      <c r="U13" s="671">
        <f>IF(U$2=1,Reported!U81,Reported!U81-Reported!T81)</f>
        <v/>
      </c>
      <c r="V13" s="671">
        <f>IF(V$2=1,Reported!V81,Reported!V81-Reported!U81)</f>
        <v/>
      </c>
      <c r="W13" s="671">
        <f>IF(W$2=1,Reported!W81,Reported!W81-Reported!V81)</f>
        <v/>
      </c>
      <c r="X13" s="671">
        <f>IF(X$2=1,Reported!X81,Reported!X81-Reported!W81)</f>
        <v/>
      </c>
      <c r="Y13" s="671">
        <f>IF(Y$2=1,Reported!Y81,Reported!Y81-Reported!X81)</f>
        <v/>
      </c>
      <c r="Z13" s="671">
        <f>IF(Z$2=1,Reported!Z81,Reported!Z81-Reported!Y81)</f>
        <v/>
      </c>
      <c r="AA13" s="671">
        <f>IF(AA$2=1,Reported!AA81,Reported!AA81-Reported!Z81)</f>
        <v/>
      </c>
      <c r="AB13" s="671">
        <f>IF(AB$2=1,Reported!AB81,Reported!AB81-Reported!AA81)</f>
        <v/>
      </c>
      <c r="AC13" s="671">
        <f>IF(AC$2=1,Reported!AC81,Reported!AC81-Reported!AB81)</f>
        <v/>
      </c>
      <c r="AD13" s="671">
        <f>IF(AD$2=1,Reported!AD81,Reported!AD81-Reported!AC81)</f>
        <v/>
      </c>
      <c r="AE13" s="671">
        <f>IF(AE$2=1,Reported!AE81,Reported!AE81-Reported!AD81)</f>
        <v/>
      </c>
      <c r="AF13" s="671">
        <f>IF(AF$2=1,Reported!AF81,Reported!AF81-Reported!AE81)</f>
        <v/>
      </c>
      <c r="AG13" s="671">
        <f>IF(AG$2=1,Reported!AG81,Reported!AG81-Reported!AF81)</f>
        <v/>
      </c>
      <c r="AH13" s="671">
        <f>IF(AH$2=1,Reported!AH81,Reported!AH81-Reported!AG81)</f>
        <v/>
      </c>
      <c r="AI13" s="671">
        <f>IF(AI$2=1,Reported!AI81,Reported!AI81-Reported!AH81)</f>
        <v/>
      </c>
      <c r="AJ13" s="671">
        <f>IF(AJ$2=1,Reported!AJ81,Reported!AJ81-Reported!AI81)</f>
        <v/>
      </c>
      <c r="AK13" s="671">
        <f>IF(AK$2=1,Reported!AK81,Reported!AK81-Reported!AJ81)</f>
        <v/>
      </c>
      <c r="AL13" s="671">
        <f>IF(AL$2=1,Reported!AL81,Reported!AL81-Reported!AK81)</f>
        <v/>
      </c>
      <c r="AM13" s="671">
        <f>IF(AM$2=1,Reported!AM81,Reported!AM81-Reported!AL81)</f>
        <v/>
      </c>
      <c r="AN13" s="671">
        <f>IF(AN$2=1,Reported!AN81,Reported!AN81-Reported!AM81)</f>
        <v/>
      </c>
      <c r="AO13" s="671">
        <f>IF(AO$2=1,Reported!AO81,Reported!AO81-Reported!AN81)</f>
        <v/>
      </c>
      <c r="AP13" s="671">
        <f>IF(AP$2=1,Reported!AP81,Reported!AP81-Reported!AO81)</f>
        <v/>
      </c>
      <c r="AQ13" s="671">
        <f>IF(AQ$2=1,Reported!AQ81,Reported!AQ81-Reported!AP81)</f>
        <v/>
      </c>
      <c r="AR13" s="671">
        <f>IF(AR$2=1,Reported!AR81,Reported!AR81-Reported!AQ81)</f>
        <v/>
      </c>
      <c r="AS13" s="671">
        <f>IF(AS$2=1,Reported!AS81,Reported!AS81-Reported!AR81)</f>
        <v/>
      </c>
      <c r="AT13" s="671">
        <f>IF(AT$2=1,Reported!AT81,Reported!AT81-Reported!AS81)</f>
        <v/>
      </c>
      <c r="AU13" s="671">
        <f>IF(AU$2=1,Reported!AU81,Reported!AU81-Reported!AT81)</f>
        <v/>
      </c>
      <c r="AV13" s="671">
        <f>IF(AV$2=1,Reported!AV81,Reported!AV81-Reported!AU81)</f>
        <v/>
      </c>
      <c r="AW13" s="671">
        <f>IF(AW$2=1,Reported!AW81,Reported!AW81-Reported!AV81)</f>
        <v/>
      </c>
      <c r="AX13" s="671">
        <f>IF(AX$2=1,Reported!AX81,Reported!AX81-Reported!AW81)</f>
        <v/>
      </c>
      <c r="AY13" s="671">
        <f>IF(AY$2=1,Reported!AY81,Reported!AY81-Reported!AX81)</f>
        <v/>
      </c>
      <c r="AZ13" s="671">
        <f>IF(AZ$2=1,Reported!AZ81,Reported!AZ81-Reported!AY81)</f>
        <v/>
      </c>
      <c r="BA13" s="671">
        <f>IF(BA$2=1,Reported!BA81,Reported!BA81-Reported!AZ81)</f>
        <v/>
      </c>
      <c r="BB13" s="671">
        <f>IF(BB$2=1,Reported!BB81,Reported!BB81-Reported!BA81)</f>
        <v/>
      </c>
      <c r="BC13" s="671">
        <f>IF(BC$2=1,Reported!BC81,Reported!BC81-Reported!BB81)</f>
        <v/>
      </c>
      <c r="BD13" s="671">
        <f>IF(BD$2=1,Reported!BD81,Reported!BD81-Reported!BC81)</f>
        <v/>
      </c>
      <c r="BE13" s="671">
        <f>IF(BE$2=1,Reported!BE81,Reported!BE81-Reported!BD81)</f>
        <v/>
      </c>
      <c r="BF13" s="671">
        <f>IF(BF$2=1,Reported!BF81,Reported!BF81-Reported!BE81)</f>
        <v/>
      </c>
      <c r="BG13" s="671">
        <f>IF(BG$2=1,Reported!BG81,Reported!BG81-Reported!BF81)</f>
        <v/>
      </c>
      <c r="BH13" s="671">
        <f>IF(BH$2=1,Reported!BH81,Reported!BH81-Reported!BG81)</f>
        <v/>
      </c>
      <c r="BI13" s="671">
        <f>IF(BI$2=1,Reported!BI81,Reported!BI81-Reported!BH81)</f>
        <v/>
      </c>
      <c r="BJ13" s="671">
        <f>IF(BJ$2=1,Reported!BJ81,Reported!BJ81-Reported!BI81)</f>
        <v/>
      </c>
      <c r="BK13" s="671">
        <f>IF(BK$2=1,Reported!BK81,Reported!BK81-Reported!BJ81)</f>
        <v/>
      </c>
      <c r="BL13" s="671">
        <f>IF(BL$2=1,Reported!BL81,Reported!BL81-Reported!BK81)</f>
        <v/>
      </c>
      <c r="BM13" s="671">
        <f>IF(BM$2=1,Reported!BM81,Reported!BM81-Reported!BL81)</f>
        <v/>
      </c>
      <c r="BN13" s="671">
        <f>IF(BN$2=1,Reported!BN81,Reported!BN81-Reported!BM81)</f>
        <v/>
      </c>
      <c r="BO13" s="671">
        <f>IF(BO$2=1,Reported!BO81,Reported!BO81-Reported!BN81)</f>
        <v/>
      </c>
      <c r="BP13" s="671">
        <f>IF(BP$2=1,Reported!BP81,Reported!BP81-Reported!BO81)</f>
        <v/>
      </c>
      <c r="BQ13" s="671">
        <f>IF(BQ$2=1,Reported!BQ81,Reported!BQ81-Reported!BP81)</f>
        <v/>
      </c>
      <c r="BR13" s="671">
        <f>IF(BR$2=1,Reported!BR81,Reported!BR81-Reported!BQ81)</f>
        <v/>
      </c>
      <c r="BS13" s="519">
        <f>BS11-BS12</f>
        <v/>
      </c>
      <c r="BT13" s="519">
        <f>BT11-BT12</f>
        <v/>
      </c>
      <c r="BU13" s="519">
        <f>BU11-BU12</f>
        <v/>
      </c>
      <c r="BV13" s="519">
        <f>BV11-BV12</f>
        <v/>
      </c>
      <c r="BW13" s="519">
        <f>BW11-BW12</f>
        <v/>
      </c>
      <c r="BX13" s="519">
        <f>BX11-BX12</f>
        <v/>
      </c>
      <c r="BY13" s="519">
        <f>BY11-BY12</f>
        <v/>
      </c>
      <c r="BZ13" s="519">
        <f>BZ11-BZ12</f>
        <v/>
      </c>
      <c r="CA13" s="519">
        <f>CA11-CA12</f>
        <v/>
      </c>
      <c r="CB13" s="519">
        <f>CB11-CB12</f>
        <v/>
      </c>
      <c r="CC13" s="519">
        <f>CC11-CC12</f>
        <v/>
      </c>
      <c r="CD13" s="519">
        <f>CD11-CD12</f>
        <v/>
      </c>
      <c r="CE13" s="519">
        <f>CE11-CE12</f>
        <v/>
      </c>
      <c r="CF13" s="519">
        <f>CF11-CF12</f>
        <v/>
      </c>
      <c r="CG13" s="519">
        <f>CG11-CG12</f>
        <v/>
      </c>
      <c r="CH13" s="519">
        <f>CH11-CH12</f>
        <v/>
      </c>
      <c r="CI13" s="519">
        <f>CI11-CI12</f>
        <v/>
      </c>
      <c r="CJ13" s="519">
        <f>CJ11-CJ12</f>
        <v/>
      </c>
      <c r="CK13" s="519">
        <f>CK11-CK12</f>
        <v/>
      </c>
    </row>
    <row r="14">
      <c r="A14" s="33" t="inlineStr">
        <is>
          <t>Sales and marketing</t>
        </is>
      </c>
      <c r="B14" s="145" t="n"/>
      <c r="C14" s="145" t="n"/>
      <c r="D14" s="145" t="n"/>
      <c r="E14" s="145" t="n"/>
      <c r="F14" s="145" t="n"/>
      <c r="G14" s="145" t="n"/>
      <c r="H14" s="145" t="n"/>
      <c r="I14" s="145" t="n"/>
      <c r="J14" s="145" t="n"/>
      <c r="K14" s="145" t="n"/>
      <c r="L14" s="145" t="n"/>
      <c r="M14" s="145" t="n"/>
      <c r="N14" s="509">
        <f>IF(N$2=1,Reported!N82,Reported!N82-Reported!M82)</f>
        <v/>
      </c>
      <c r="O14" s="509">
        <f>IF(O$2=1,Reported!O82,Reported!O82-Reported!N82)</f>
        <v/>
      </c>
      <c r="P14" s="509">
        <f>IF(P$2=1,Reported!P82,Reported!P82-Reported!O82)</f>
        <v/>
      </c>
      <c r="Q14" s="509">
        <f>IF(Q$2=1,Reported!Q82,Reported!Q82-Reported!P82)</f>
        <v/>
      </c>
      <c r="R14" s="509">
        <f>IF(R$2=1,Reported!R82,Reported!R82-Reported!Q82)</f>
        <v/>
      </c>
      <c r="S14" s="509">
        <f>IF(S$2=1,Reported!S82,Reported!S82-Reported!R82)</f>
        <v/>
      </c>
      <c r="T14" s="509">
        <f>IF(T$2=1,Reported!T82,Reported!T82-Reported!S82)</f>
        <v/>
      </c>
      <c r="U14" s="509">
        <f>IF(U$2=1,Reported!U82,Reported!U82-Reported!T82)</f>
        <v/>
      </c>
      <c r="V14" s="509">
        <f>IF(V$2=1,Reported!V82,Reported!V82-Reported!U82)</f>
        <v/>
      </c>
      <c r="W14" s="509">
        <f>IF(W$2=1,Reported!W82,Reported!W82-Reported!V82)</f>
        <v/>
      </c>
      <c r="X14" s="509">
        <f>IF(X$2=1,Reported!X82,Reported!X82-Reported!W82)</f>
        <v/>
      </c>
      <c r="Y14" s="509">
        <f>IF(Y$2=1,Reported!Y82,Reported!Y82-Reported!X82)</f>
        <v/>
      </c>
      <c r="Z14" s="509">
        <f>IF(Z$2=1,Reported!Z82,Reported!Z82-Reported!Y82)</f>
        <v/>
      </c>
      <c r="AA14" s="509">
        <f>IF(AA$2=1,Reported!AA82,Reported!AA82-Reported!Z82)</f>
        <v/>
      </c>
      <c r="AB14" s="509">
        <f>IF(AB$2=1,Reported!AB82,Reported!AB82-Reported!AA82)</f>
        <v/>
      </c>
      <c r="AC14" s="509">
        <f>IF(AC$2=1,Reported!AC82,Reported!AC82-Reported!AB82)</f>
        <v/>
      </c>
      <c r="AD14" s="509">
        <f>IF(AD$2=1,Reported!AD82,Reported!AD82-Reported!AC82)</f>
        <v/>
      </c>
      <c r="AE14" s="509">
        <f>IF(AE$2=1,Reported!AE82,Reported!AE82-Reported!AD82)</f>
        <v/>
      </c>
      <c r="AF14" s="509">
        <f>IF(AF$2=1,Reported!AF82,Reported!AF82-Reported!AE82)</f>
        <v/>
      </c>
      <c r="AG14" s="509">
        <f>IF(AG$2=1,Reported!AG82,Reported!AG82-Reported!AF82)</f>
        <v/>
      </c>
      <c r="AH14" s="509">
        <f>IF(AH$2=1,Reported!AH82,Reported!AH82-Reported!AG82)</f>
        <v/>
      </c>
      <c r="AI14" s="509">
        <f>IF(AI$2=1,Reported!AI82,Reported!AI82-Reported!AH82)</f>
        <v/>
      </c>
      <c r="AJ14" s="509">
        <f>IF(AJ$2=1,Reported!AJ82,Reported!AJ82-Reported!AI82)</f>
        <v/>
      </c>
      <c r="AK14" s="509">
        <f>IF(AK$2=1,Reported!AK82,Reported!AK82-Reported!AJ82)</f>
        <v/>
      </c>
      <c r="AL14" s="509">
        <f>IF(AL$2=1,Reported!AL82,Reported!AL82-Reported!AK82)</f>
        <v/>
      </c>
      <c r="AM14" s="509">
        <f>IF(AM$2=1,Reported!AM82,Reported!AM82-Reported!AL82)</f>
        <v/>
      </c>
      <c r="AN14" s="509">
        <f>IF(AN$2=1,Reported!AN82,Reported!AN82-Reported!AM82)</f>
        <v/>
      </c>
      <c r="AO14" s="509">
        <f>IF(AO$2=1,Reported!AO82,Reported!AO82-Reported!AN82)</f>
        <v/>
      </c>
      <c r="AP14" s="509">
        <f>IF(AP$2=1,Reported!AP82,Reported!AP82-Reported!AO82)</f>
        <v/>
      </c>
      <c r="AQ14" s="509">
        <f>IF(AQ$2=1,Reported!AQ82,Reported!AQ82-Reported!AP82)</f>
        <v/>
      </c>
      <c r="AR14" s="509">
        <f>IF(AR$2=1,Reported!AR82,Reported!AR82-Reported!AQ82)</f>
        <v/>
      </c>
      <c r="AS14" s="509">
        <f>IF(AS$2=1,Reported!AS82,Reported!AS82-Reported!AR82)</f>
        <v/>
      </c>
      <c r="AT14" s="509">
        <f>IF(AT$2=1,Reported!AT82,Reported!AT82-Reported!AS82)</f>
        <v/>
      </c>
      <c r="AU14" s="509">
        <f>IF(AU$2=1,Reported!AU82,Reported!AU82-Reported!AT82)</f>
        <v/>
      </c>
      <c r="AV14" s="509">
        <f>IF(AV$2=1,Reported!AV82,Reported!AV82-Reported!AU82)</f>
        <v/>
      </c>
      <c r="AW14" s="509">
        <f>IF(AW$2=1,Reported!AW82,Reported!AW82-Reported!AV82)</f>
        <v/>
      </c>
      <c r="AX14" s="509">
        <f>IF(AX$2=1,Reported!AX82,Reported!AX82-Reported!AW82)</f>
        <v/>
      </c>
      <c r="AY14" s="509">
        <f>IF(AY$2=1,Reported!AY82,Reported!AY82-Reported!AX82)</f>
        <v/>
      </c>
      <c r="AZ14" s="509">
        <f>IF(AZ$2=1,Reported!AZ82,Reported!AZ82-Reported!AY82)</f>
        <v/>
      </c>
      <c r="BA14" s="509">
        <f>IF(BA$2=1,Reported!BA82,Reported!BA82-Reported!AZ82)</f>
        <v/>
      </c>
      <c r="BB14" s="509">
        <f>IF(BB$2=1,Reported!BB82,Reported!BB82-Reported!BA82)</f>
        <v/>
      </c>
      <c r="BC14" s="509">
        <f>IF(BC$2=1,Reported!BC82,Reported!BC82-Reported!BB82)</f>
        <v/>
      </c>
      <c r="BD14" s="509">
        <f>IF(BD$2=1,Reported!BD82,Reported!BD82-Reported!BC82)</f>
        <v/>
      </c>
      <c r="BE14" s="509">
        <f>IF(BE$2=1,Reported!BE82,Reported!BE82-Reported!BD82)</f>
        <v/>
      </c>
      <c r="BF14" s="509">
        <f>IF(BF$2=1,Reported!BF82,Reported!BF82-Reported!BE82)</f>
        <v/>
      </c>
      <c r="BG14" s="509">
        <f>IF(BG$2=1,Reported!BG82,Reported!BG82-Reported!BF82)</f>
        <v/>
      </c>
      <c r="BH14" s="509">
        <f>IF(BH$2=1,Reported!BH82,Reported!BH82-Reported!BG82)</f>
        <v/>
      </c>
      <c r="BI14" s="509">
        <f>IF(BI$2=1,Reported!BI82,Reported!BI82-Reported!BH82)</f>
        <v/>
      </c>
      <c r="BJ14" s="509">
        <f>IF(BJ$2=1,Reported!BJ82,Reported!BJ82-Reported!BI82)</f>
        <v/>
      </c>
      <c r="BK14" s="509">
        <f>IF(BK$2=1,Reported!BK82,Reported!BK82-Reported!BJ82)</f>
        <v/>
      </c>
      <c r="BL14" s="509">
        <f>IF(BL$2=1,Reported!BL82,Reported!BL82-Reported!BK82)</f>
        <v/>
      </c>
      <c r="BM14" s="509">
        <f>IF(BM$2=1,Reported!BM82,Reported!BM82-Reported!BL82)</f>
        <v/>
      </c>
      <c r="BN14" s="509">
        <f>IF(BN$2=1,Reported!BN82,Reported!BN82-Reported!BM82)</f>
        <v/>
      </c>
      <c r="BO14" s="509">
        <f>IF(BO$2=1,Reported!BO82,Reported!BO82-Reported!BN82)</f>
        <v/>
      </c>
      <c r="BP14" s="509">
        <f>IF(BP$2=1,Reported!BP82,Reported!BP82-Reported!BO82)</f>
        <v/>
      </c>
      <c r="BQ14" s="509">
        <f>IF(BQ$2=1,Reported!BQ82,Reported!BQ82-Reported!BP82)</f>
        <v/>
      </c>
      <c r="BR14" s="509">
        <f>IF(BR$2=1,Reported!BR82,Reported!BR82-Reported!BQ82)</f>
        <v/>
      </c>
      <c r="BS14" s="517">
        <f>Assumption!BS73</f>
        <v/>
      </c>
      <c r="BT14" s="517">
        <f>Assumption!BT73</f>
        <v/>
      </c>
      <c r="BU14" s="517">
        <f>Assumption!BU73</f>
        <v/>
      </c>
      <c r="BV14" s="517">
        <f>Assumption!BV73</f>
        <v/>
      </c>
      <c r="BW14" s="517">
        <f>Assumption!BW73</f>
        <v/>
      </c>
      <c r="BX14" s="517">
        <f>Assumption!BX73</f>
        <v/>
      </c>
      <c r="BY14" s="517">
        <f>Assumption!BY73</f>
        <v/>
      </c>
      <c r="BZ14" s="517">
        <f>Assumption!BZ73</f>
        <v/>
      </c>
      <c r="CA14" s="517">
        <f>Assumption!CA73</f>
        <v/>
      </c>
      <c r="CB14" s="517">
        <f>Assumption!CB73</f>
        <v/>
      </c>
      <c r="CC14" s="517">
        <f>Assumption!CC73</f>
        <v/>
      </c>
      <c r="CD14" s="517">
        <f>Assumption!CD73</f>
        <v/>
      </c>
      <c r="CE14" s="517">
        <f>Assumption!CE73</f>
        <v/>
      </c>
      <c r="CF14" s="517">
        <f>Assumption!CF73</f>
        <v/>
      </c>
      <c r="CG14" s="517">
        <f>Assumption!CG73</f>
        <v/>
      </c>
      <c r="CH14" s="517">
        <f>Assumption!CH73</f>
        <v/>
      </c>
      <c r="CI14" s="517">
        <f>Assumption!CI73</f>
        <v/>
      </c>
      <c r="CJ14" s="517">
        <f>Assumption!CJ73</f>
        <v/>
      </c>
      <c r="CK14" s="517">
        <f>Assumption!CK73</f>
        <v/>
      </c>
    </row>
    <row r="15">
      <c r="A15" s="33" t="inlineStr">
        <is>
          <t>Research and development</t>
        </is>
      </c>
      <c r="B15" s="145" t="n"/>
      <c r="C15" s="145" t="n"/>
      <c r="D15" s="145" t="n"/>
      <c r="E15" s="145" t="n"/>
      <c r="F15" s="145" t="n"/>
      <c r="G15" s="145" t="n"/>
      <c r="H15" s="145" t="n"/>
      <c r="I15" s="145" t="n"/>
      <c r="J15" s="145" t="n"/>
      <c r="K15" s="145" t="n"/>
      <c r="L15" s="145" t="n"/>
      <c r="M15" s="145" t="n"/>
      <c r="N15" s="509">
        <f>IF(N$2=1,Reported!N83,Reported!N83-Reported!M83)</f>
        <v/>
      </c>
      <c r="O15" s="509">
        <f>IF(O$2=1,Reported!O83,Reported!O83-Reported!N83)</f>
        <v/>
      </c>
      <c r="P15" s="509">
        <f>IF(P$2=1,Reported!P83,Reported!P83-Reported!O83)</f>
        <v/>
      </c>
      <c r="Q15" s="509">
        <f>IF(Q$2=1,Reported!Q83,Reported!Q83-Reported!P83)</f>
        <v/>
      </c>
      <c r="R15" s="509">
        <f>IF(R$2=1,Reported!R83,Reported!R83-Reported!Q83)</f>
        <v/>
      </c>
      <c r="S15" s="509">
        <f>IF(S$2=1,Reported!S83,Reported!S83-Reported!R83)</f>
        <v/>
      </c>
      <c r="T15" s="509">
        <f>IF(T$2=1,Reported!T83,Reported!T83-Reported!S83)</f>
        <v/>
      </c>
      <c r="U15" s="509">
        <f>IF(U$2=1,Reported!U83,Reported!U83-Reported!T83)</f>
        <v/>
      </c>
      <c r="V15" s="509">
        <f>IF(V$2=1,Reported!V83,Reported!V83-Reported!U83)</f>
        <v/>
      </c>
      <c r="W15" s="509">
        <f>IF(W$2=1,Reported!W83,Reported!W83-Reported!V83)</f>
        <v/>
      </c>
      <c r="X15" s="509">
        <f>IF(X$2=1,Reported!X83,Reported!X83-Reported!W83)</f>
        <v/>
      </c>
      <c r="Y15" s="509">
        <f>IF(Y$2=1,Reported!Y83,Reported!Y83-Reported!X83)</f>
        <v/>
      </c>
      <c r="Z15" s="509">
        <f>IF(Z$2=1,Reported!Z83,Reported!Z83-Reported!Y83)</f>
        <v/>
      </c>
      <c r="AA15" s="509">
        <f>IF(AA$2=1,Reported!AA83,Reported!AA83-Reported!Z83)</f>
        <v/>
      </c>
      <c r="AB15" s="509">
        <f>IF(AB$2=1,Reported!AB83,Reported!AB83-Reported!AA83)</f>
        <v/>
      </c>
      <c r="AC15" s="509">
        <f>IF(AC$2=1,Reported!AC83,Reported!AC83-Reported!AB83)</f>
        <v/>
      </c>
      <c r="AD15" s="509">
        <f>IF(AD$2=1,Reported!AD83,Reported!AD83-Reported!AC83)</f>
        <v/>
      </c>
      <c r="AE15" s="509">
        <f>IF(AE$2=1,Reported!AE83,Reported!AE83-Reported!AD83)</f>
        <v/>
      </c>
      <c r="AF15" s="509">
        <f>IF(AF$2=1,Reported!AF83,Reported!AF83-Reported!AE83)</f>
        <v/>
      </c>
      <c r="AG15" s="509">
        <f>IF(AG$2=1,Reported!AG83,Reported!AG83-Reported!AF83)</f>
        <v/>
      </c>
      <c r="AH15" s="509">
        <f>IF(AH$2=1,Reported!AH83,Reported!AH83-Reported!AG83)</f>
        <v/>
      </c>
      <c r="AI15" s="509">
        <f>IF(AI$2=1,Reported!AI83,Reported!AI83-Reported!AH83)</f>
        <v/>
      </c>
      <c r="AJ15" s="509">
        <f>IF(AJ$2=1,Reported!AJ83,Reported!AJ83-Reported!AI83)</f>
        <v/>
      </c>
      <c r="AK15" s="509">
        <f>IF(AK$2=1,Reported!AK83,Reported!AK83-Reported!AJ83)</f>
        <v/>
      </c>
      <c r="AL15" s="509">
        <f>IF(AL$2=1,Reported!AL83,Reported!AL83-Reported!AK83)</f>
        <v/>
      </c>
      <c r="AM15" s="509">
        <f>IF(AM$2=1,Reported!AM83,Reported!AM83-Reported!AL83)</f>
        <v/>
      </c>
      <c r="AN15" s="509">
        <f>IF(AN$2=1,Reported!AN83,Reported!AN83-Reported!AM83)</f>
        <v/>
      </c>
      <c r="AO15" s="509">
        <f>IF(AO$2=1,Reported!AO83,Reported!AO83-Reported!AN83)</f>
        <v/>
      </c>
      <c r="AP15" s="509">
        <f>IF(AP$2=1,Reported!AP83,Reported!AP83-Reported!AO83)</f>
        <v/>
      </c>
      <c r="AQ15" s="509">
        <f>IF(AQ$2=1,Reported!AQ83,Reported!AQ83-Reported!AP83)</f>
        <v/>
      </c>
      <c r="AR15" s="509">
        <f>IF(AR$2=1,Reported!AR83,Reported!AR83-Reported!AQ83)</f>
        <v/>
      </c>
      <c r="AS15" s="509">
        <f>IF(AS$2=1,Reported!AS83,Reported!AS83-Reported!AR83)</f>
        <v/>
      </c>
      <c r="AT15" s="509">
        <f>IF(AT$2=1,Reported!AT83,Reported!AT83-Reported!AS83)</f>
        <v/>
      </c>
      <c r="AU15" s="509">
        <f>IF(AU$2=1,Reported!AU83,Reported!AU83-Reported!AT83)</f>
        <v/>
      </c>
      <c r="AV15" s="509">
        <f>IF(AV$2=1,Reported!AV83,Reported!AV83-Reported!AU83)</f>
        <v/>
      </c>
      <c r="AW15" s="509">
        <f>IF(AW$2=1,Reported!AW83,Reported!AW83-Reported!AV83)</f>
        <v/>
      </c>
      <c r="AX15" s="509">
        <f>IF(AX$2=1,Reported!AX83,Reported!AX83-Reported!AW83)</f>
        <v/>
      </c>
      <c r="AY15" s="509">
        <f>IF(AY$2=1,Reported!AY83,Reported!AY83-Reported!AX83)</f>
        <v/>
      </c>
      <c r="AZ15" s="509">
        <f>IF(AZ$2=1,Reported!AZ83,Reported!AZ83-Reported!AY83)</f>
        <v/>
      </c>
      <c r="BA15" s="509">
        <f>IF(BA$2=1,Reported!BA83,Reported!BA83-Reported!AZ83)</f>
        <v/>
      </c>
      <c r="BB15" s="509">
        <f>IF(BB$2=1,Reported!BB83,Reported!BB83-Reported!BA83)</f>
        <v/>
      </c>
      <c r="BC15" s="509">
        <f>IF(BC$2=1,Reported!BC83,Reported!BC83-Reported!BB83)</f>
        <v/>
      </c>
      <c r="BD15" s="509">
        <f>IF(BD$2=1,Reported!BD83,Reported!BD83-Reported!BC83)</f>
        <v/>
      </c>
      <c r="BE15" s="509">
        <f>IF(BE$2=1,Reported!BE83,Reported!BE83-Reported!BD83)</f>
        <v/>
      </c>
      <c r="BF15" s="509">
        <f>IF(BF$2=1,Reported!BF83,Reported!BF83-Reported!BE83)</f>
        <v/>
      </c>
      <c r="BG15" s="509">
        <f>IF(BG$2=1,Reported!BG83,Reported!BG83-Reported!BF83)</f>
        <v/>
      </c>
      <c r="BH15" s="509">
        <f>IF(BH$2=1,Reported!BH83,Reported!BH83-Reported!BG83)</f>
        <v/>
      </c>
      <c r="BI15" s="509">
        <f>IF(BI$2=1,Reported!BI83,Reported!BI83-Reported!BH83)</f>
        <v/>
      </c>
      <c r="BJ15" s="509">
        <f>IF(BJ$2=1,Reported!BJ83,Reported!BJ83-Reported!BI83)</f>
        <v/>
      </c>
      <c r="BK15" s="509">
        <f>IF(BK$2=1,Reported!BK83,Reported!BK83-Reported!BJ83)</f>
        <v/>
      </c>
      <c r="BL15" s="509">
        <f>IF(BL$2=1,Reported!BL83,Reported!BL83-Reported!BK83)</f>
        <v/>
      </c>
      <c r="BM15" s="509">
        <f>IF(BM$2=1,Reported!BM83,Reported!BM83-Reported!BL83)</f>
        <v/>
      </c>
      <c r="BN15" s="509">
        <f>IF(BN$2=1,Reported!BN83,Reported!BN83-Reported!BM83)</f>
        <v/>
      </c>
      <c r="BO15" s="509">
        <f>IF(BO$2=1,Reported!BO83,Reported!BO83-Reported!BN83)</f>
        <v/>
      </c>
      <c r="BP15" s="509">
        <f>IF(BP$2=1,Reported!BP83,Reported!BP83-Reported!BO83)</f>
        <v/>
      </c>
      <c r="BQ15" s="509">
        <f>IF(BQ$2=1,Reported!BQ83,Reported!BQ83-Reported!BP83)</f>
        <v/>
      </c>
      <c r="BR15" s="509">
        <f>IF(BR$2=1,Reported!BR83,Reported!BR83-Reported!BQ83)</f>
        <v/>
      </c>
      <c r="BS15" s="517">
        <f>Assumption!BS76</f>
        <v/>
      </c>
      <c r="BT15" s="517">
        <f>Assumption!BT76</f>
        <v/>
      </c>
      <c r="BU15" s="517">
        <f>Assumption!BU76</f>
        <v/>
      </c>
      <c r="BV15" s="517">
        <f>Assumption!BV76</f>
        <v/>
      </c>
      <c r="BW15" s="517">
        <f>Assumption!BW76</f>
        <v/>
      </c>
      <c r="BX15" s="517">
        <f>Assumption!BX76</f>
        <v/>
      </c>
      <c r="BY15" s="517">
        <f>Assumption!BY76</f>
        <v/>
      </c>
      <c r="BZ15" s="517">
        <f>Assumption!BZ76</f>
        <v/>
      </c>
      <c r="CA15" s="517">
        <f>Assumption!CA76</f>
        <v/>
      </c>
      <c r="CB15" s="517">
        <f>Assumption!CB76</f>
        <v/>
      </c>
      <c r="CC15" s="517">
        <f>Assumption!CC76</f>
        <v/>
      </c>
      <c r="CD15" s="517">
        <f>Assumption!CD76</f>
        <v/>
      </c>
      <c r="CE15" s="517">
        <f>Assumption!CE76</f>
        <v/>
      </c>
      <c r="CF15" s="517">
        <f>Assumption!CF76</f>
        <v/>
      </c>
      <c r="CG15" s="517">
        <f>Assumption!CG76</f>
        <v/>
      </c>
      <c r="CH15" s="517">
        <f>Assumption!CH76</f>
        <v/>
      </c>
      <c r="CI15" s="517">
        <f>Assumption!CI76</f>
        <v/>
      </c>
      <c r="CJ15" s="517">
        <f>Assumption!CJ76</f>
        <v/>
      </c>
      <c r="CK15" s="517">
        <f>Assumption!CK76</f>
        <v/>
      </c>
    </row>
    <row r="16">
      <c r="A16" s="33" t="inlineStr">
        <is>
          <t>General and administrative</t>
        </is>
      </c>
      <c r="B16" s="145" t="n"/>
      <c r="C16" s="145" t="n"/>
      <c r="D16" s="145" t="n"/>
      <c r="E16" s="145" t="n"/>
      <c r="F16" s="145" t="n"/>
      <c r="G16" s="145" t="n"/>
      <c r="H16" s="145" t="n"/>
      <c r="I16" s="145" t="n"/>
      <c r="J16" s="145" t="n"/>
      <c r="K16" s="145" t="n"/>
      <c r="L16" s="145" t="n"/>
      <c r="M16" s="145" t="n"/>
      <c r="N16" s="509">
        <f>IF(N$2=1,Reported!N84,Reported!N84-Reported!M84)</f>
        <v/>
      </c>
      <c r="O16" s="509">
        <f>IF(O$2=1,Reported!O84,Reported!O84-Reported!N84)</f>
        <v/>
      </c>
      <c r="P16" s="509">
        <f>IF(P$2=1,Reported!P84,Reported!P84-Reported!O84)</f>
        <v/>
      </c>
      <c r="Q16" s="509">
        <f>IF(Q$2=1,Reported!Q84,Reported!Q84-Reported!P84)</f>
        <v/>
      </c>
      <c r="R16" s="509">
        <f>IF(R$2=1,Reported!R84,Reported!R84-Reported!Q84)</f>
        <v/>
      </c>
      <c r="S16" s="509">
        <f>IF(S$2=1,Reported!S84,Reported!S84-Reported!R84)</f>
        <v/>
      </c>
      <c r="T16" s="509">
        <f>IF(T$2=1,Reported!T84,Reported!T84-Reported!S84)</f>
        <v/>
      </c>
      <c r="U16" s="509">
        <f>IF(U$2=1,Reported!U84,Reported!U84-Reported!T84)</f>
        <v/>
      </c>
      <c r="V16" s="509">
        <f>IF(V$2=1,Reported!V84,Reported!V84-Reported!U84)</f>
        <v/>
      </c>
      <c r="W16" s="509">
        <f>IF(W$2=1,Reported!W84,Reported!W84-Reported!V84)</f>
        <v/>
      </c>
      <c r="X16" s="509">
        <f>IF(X$2=1,Reported!X84,Reported!X84-Reported!W84)</f>
        <v/>
      </c>
      <c r="Y16" s="509">
        <f>IF(Y$2=1,Reported!Y84,Reported!Y84-Reported!X84)</f>
        <v/>
      </c>
      <c r="Z16" s="509">
        <f>IF(Z$2=1,Reported!Z84,Reported!Z84-Reported!Y84)</f>
        <v/>
      </c>
      <c r="AA16" s="509">
        <f>IF(AA$2=1,Reported!AA84,Reported!AA84-Reported!Z84)</f>
        <v/>
      </c>
      <c r="AB16" s="509">
        <f>IF(AB$2=1,Reported!AB84,Reported!AB84-Reported!AA84)</f>
        <v/>
      </c>
      <c r="AC16" s="509">
        <f>IF(AC$2=1,Reported!AC84,Reported!AC84-Reported!AB84)</f>
        <v/>
      </c>
      <c r="AD16" s="509">
        <f>IF(AD$2=1,Reported!AD84,Reported!AD84-Reported!AC84)</f>
        <v/>
      </c>
      <c r="AE16" s="509">
        <f>IF(AE$2=1,Reported!AE84,Reported!AE84-Reported!AD84)</f>
        <v/>
      </c>
      <c r="AF16" s="509">
        <f>IF(AF$2=1,Reported!AF84,Reported!AF84-Reported!AE84)</f>
        <v/>
      </c>
      <c r="AG16" s="509">
        <f>IF(AG$2=1,Reported!AG84,Reported!AG84-Reported!AF84)</f>
        <v/>
      </c>
      <c r="AH16" s="509">
        <f>IF(AH$2=1,Reported!AH84,Reported!AH84-Reported!AG84)</f>
        <v/>
      </c>
      <c r="AI16" s="509">
        <f>IF(AI$2=1,Reported!AI84,Reported!AI84-Reported!AH84)</f>
        <v/>
      </c>
      <c r="AJ16" s="509">
        <f>IF(AJ$2=1,Reported!AJ84,Reported!AJ84-Reported!AI84)</f>
        <v/>
      </c>
      <c r="AK16" s="509">
        <f>IF(AK$2=1,Reported!AK84,Reported!AK84-Reported!AJ84)</f>
        <v/>
      </c>
      <c r="AL16" s="509">
        <f>IF(AL$2=1,Reported!AL84,Reported!AL84-Reported!AK84)</f>
        <v/>
      </c>
      <c r="AM16" s="509">
        <f>IF(AM$2=1,Reported!AM84,Reported!AM84-Reported!AL84)</f>
        <v/>
      </c>
      <c r="AN16" s="509">
        <f>IF(AN$2=1,Reported!AN84,Reported!AN84-Reported!AM84)</f>
        <v/>
      </c>
      <c r="AO16" s="509">
        <f>IF(AO$2=1,Reported!AO84,Reported!AO84-Reported!AN84)</f>
        <v/>
      </c>
      <c r="AP16" s="509">
        <f>IF(AP$2=1,Reported!AP84,Reported!AP84-Reported!AO84)</f>
        <v/>
      </c>
      <c r="AQ16" s="509">
        <f>IF(AQ$2=1,Reported!AQ84,Reported!AQ84-Reported!AP84)</f>
        <v/>
      </c>
      <c r="AR16" s="509">
        <f>IF(AR$2=1,Reported!AR84,Reported!AR84-Reported!AQ84)</f>
        <v/>
      </c>
      <c r="AS16" s="509">
        <f>IF(AS$2=1,Reported!AS84,Reported!AS84-Reported!AR84)</f>
        <v/>
      </c>
      <c r="AT16" s="509">
        <f>IF(AT$2=1,Reported!AT84,Reported!AT84-Reported!AS84)</f>
        <v/>
      </c>
      <c r="AU16" s="509">
        <f>IF(AU$2=1,Reported!AU84,Reported!AU84-Reported!AT84)</f>
        <v/>
      </c>
      <c r="AV16" s="509">
        <f>IF(AV$2=1,Reported!AV84,Reported!AV84-Reported!AU84)</f>
        <v/>
      </c>
      <c r="AW16" s="509">
        <f>IF(AW$2=1,Reported!AW84,Reported!AW84-Reported!AV84)</f>
        <v/>
      </c>
      <c r="AX16" s="509">
        <f>IF(AX$2=1,Reported!AX84,Reported!AX84-Reported!AW84)</f>
        <v/>
      </c>
      <c r="AY16" s="509">
        <f>IF(AY$2=1,Reported!AY84,Reported!AY84-Reported!AX84)</f>
        <v/>
      </c>
      <c r="AZ16" s="509">
        <f>IF(AZ$2=1,Reported!AZ84,Reported!AZ84-Reported!AY84)</f>
        <v/>
      </c>
      <c r="BA16" s="509">
        <f>IF(BA$2=1,Reported!BA84,Reported!BA84-Reported!AZ84)</f>
        <v/>
      </c>
      <c r="BB16" s="509">
        <f>IF(BB$2=1,Reported!BB84,Reported!BB84-Reported!BA84)</f>
        <v/>
      </c>
      <c r="BC16" s="509">
        <f>IF(BC$2=1,Reported!BC84,Reported!BC84-Reported!BB84)</f>
        <v/>
      </c>
      <c r="BD16" s="509">
        <f>IF(BD$2=1,Reported!BD84,Reported!BD84-Reported!BC84)</f>
        <v/>
      </c>
      <c r="BE16" s="509">
        <f>IF(BE$2=1,Reported!BE84,Reported!BE84-Reported!BD84)</f>
        <v/>
      </c>
      <c r="BF16" s="509">
        <f>IF(BF$2=1,Reported!BF84,Reported!BF84-Reported!BE84)</f>
        <v/>
      </c>
      <c r="BG16" s="509">
        <f>IF(BG$2=1,Reported!BG84,Reported!BG84-Reported!BF84)</f>
        <v/>
      </c>
      <c r="BH16" s="509">
        <f>IF(BH$2=1,Reported!BH84,Reported!BH84-Reported!BG84)</f>
        <v/>
      </c>
      <c r="BI16" s="509">
        <f>IF(BI$2=1,Reported!BI84,Reported!BI84-Reported!BH84)</f>
        <v/>
      </c>
      <c r="BJ16" s="509">
        <f>IF(BJ$2=1,Reported!BJ84,Reported!BJ84-Reported!BI84)</f>
        <v/>
      </c>
      <c r="BK16" s="509">
        <f>IF(BK$2=1,Reported!BK84,Reported!BK84-Reported!BJ84)</f>
        <v/>
      </c>
      <c r="BL16" s="509">
        <f>IF(BL$2=1,Reported!BL84,Reported!BL84-Reported!BK84)</f>
        <v/>
      </c>
      <c r="BM16" s="509">
        <f>IF(BM$2=1,Reported!BM84,Reported!BM84-Reported!BL84)</f>
        <v/>
      </c>
      <c r="BN16" s="509">
        <f>IF(BN$2=1,Reported!BN84,Reported!BN84-Reported!BM84)</f>
        <v/>
      </c>
      <c r="BO16" s="509">
        <f>IF(BO$2=1,Reported!BO84,Reported!BO84-Reported!BN84)</f>
        <v/>
      </c>
      <c r="BP16" s="509">
        <f>IF(BP$2=1,Reported!BP84,Reported!BP84-Reported!BO84)</f>
        <v/>
      </c>
      <c r="BQ16" s="509">
        <f>IF(BQ$2=1,Reported!BQ84,Reported!BQ84-Reported!BP84)</f>
        <v/>
      </c>
      <c r="BR16" s="509">
        <f>IF(BR$2=1,Reported!BR84,Reported!BR84-Reported!BQ84)</f>
        <v/>
      </c>
      <c r="BS16" s="517">
        <f>Assumption!BS79</f>
        <v/>
      </c>
      <c r="BT16" s="517">
        <f>Assumption!BT79</f>
        <v/>
      </c>
      <c r="BU16" s="517">
        <f>Assumption!BU79</f>
        <v/>
      </c>
      <c r="BV16" s="517">
        <f>Assumption!BV79</f>
        <v/>
      </c>
      <c r="BW16" s="517">
        <f>Assumption!BW79</f>
        <v/>
      </c>
      <c r="BX16" s="517">
        <f>Assumption!BX79</f>
        <v/>
      </c>
      <c r="BY16" s="517">
        <f>Assumption!BY79</f>
        <v/>
      </c>
      <c r="BZ16" s="517">
        <f>Assumption!BZ79</f>
        <v/>
      </c>
      <c r="CA16" s="517">
        <f>Assumption!CA79</f>
        <v/>
      </c>
      <c r="CB16" s="517">
        <f>Assumption!CB79</f>
        <v/>
      </c>
      <c r="CC16" s="517">
        <f>Assumption!CC79</f>
        <v/>
      </c>
      <c r="CD16" s="517">
        <f>Assumption!CD79</f>
        <v/>
      </c>
      <c r="CE16" s="517">
        <f>Assumption!CE79</f>
        <v/>
      </c>
      <c r="CF16" s="517">
        <f>Assumption!CF79</f>
        <v/>
      </c>
      <c r="CG16" s="517">
        <f>Assumption!CG79</f>
        <v/>
      </c>
      <c r="CH16" s="517">
        <f>Assumption!CH79</f>
        <v/>
      </c>
      <c r="CI16" s="517">
        <f>Assumption!CI79</f>
        <v/>
      </c>
      <c r="CJ16" s="517">
        <f>Assumption!CJ79</f>
        <v/>
      </c>
      <c r="CK16" s="517">
        <f>Assumption!CK79</f>
        <v/>
      </c>
    </row>
    <row r="17">
      <c r="A17" s="33" t="inlineStr">
        <is>
          <t>Loss (gain) on foreign exchange and others</t>
        </is>
      </c>
      <c r="B17" s="145" t="n"/>
      <c r="C17" s="145" t="n"/>
      <c r="D17" s="145" t="n"/>
      <c r="E17" s="145" t="n"/>
      <c r="F17" s="145" t="n"/>
      <c r="G17" s="145" t="n"/>
      <c r="H17" s="145" t="n"/>
      <c r="I17" s="145" t="n"/>
      <c r="J17" s="145" t="n"/>
      <c r="K17" s="145" t="n"/>
      <c r="L17" s="145" t="n"/>
      <c r="M17" s="145" t="n"/>
      <c r="N17" s="509">
        <f>IF(N$2=1,Reported!N85,Reported!N85-Reported!M85)</f>
        <v/>
      </c>
      <c r="O17" s="509">
        <f>IF(O$2=1,Reported!O85,Reported!O85-Reported!N85)</f>
        <v/>
      </c>
      <c r="P17" s="509">
        <f>IF(P$2=1,Reported!P85,Reported!P85-Reported!O85)</f>
        <v/>
      </c>
      <c r="Q17" s="509">
        <f>IF(Q$2=1,Reported!Q85,Reported!Q85-Reported!P85)</f>
        <v/>
      </c>
      <c r="R17" s="509">
        <f>IF(R$2=1,Reported!R85,Reported!R85-Reported!Q85)</f>
        <v/>
      </c>
      <c r="S17" s="509">
        <f>IF(S$2=1,Reported!S85,Reported!S85-Reported!R85)</f>
        <v/>
      </c>
      <c r="T17" s="509">
        <f>IF(T$2=1,Reported!T85,Reported!T85-Reported!S85)</f>
        <v/>
      </c>
      <c r="U17" s="509">
        <f>IF(U$2=1,Reported!U85,Reported!U85-Reported!T85)</f>
        <v/>
      </c>
      <c r="V17" s="509">
        <f>IF(V$2=1,Reported!V85,Reported!V85-Reported!U85)</f>
        <v/>
      </c>
      <c r="W17" s="509">
        <f>IF(W$2=1,Reported!W85,Reported!W85-Reported!V85)</f>
        <v/>
      </c>
      <c r="X17" s="509">
        <f>IF(X$2=1,Reported!X85,Reported!X85-Reported!W85)</f>
        <v/>
      </c>
      <c r="Y17" s="509">
        <f>IF(Y$2=1,Reported!Y85,Reported!Y85-Reported!X85)</f>
        <v/>
      </c>
      <c r="Z17" s="509">
        <f>IF(Z$2=1,Reported!Z85,Reported!Z85-Reported!Y85)</f>
        <v/>
      </c>
      <c r="AA17" s="509">
        <f>IF(AA$2=1,Reported!AA85,Reported!AA85-Reported!Z85)</f>
        <v/>
      </c>
      <c r="AB17" s="509">
        <f>IF(AB$2=1,Reported!AB85,Reported!AB85-Reported!AA85)</f>
        <v/>
      </c>
      <c r="AC17" s="509">
        <f>IF(AC$2=1,Reported!AC85,Reported!AC85-Reported!AB85)</f>
        <v/>
      </c>
      <c r="AD17" s="509">
        <f>IF(AD$2=1,Reported!AD85,Reported!AD85-Reported!AC85)</f>
        <v/>
      </c>
      <c r="AE17" s="509">
        <f>IF(AE$2=1,Reported!AE85,Reported!AE85-Reported!AD85)</f>
        <v/>
      </c>
      <c r="AF17" s="509">
        <f>IF(AF$2=1,Reported!AF85,Reported!AF85-Reported!AE85)</f>
        <v/>
      </c>
      <c r="AG17" s="509">
        <f>IF(AG$2=1,Reported!AG85,Reported!AG85-Reported!AF85)</f>
        <v/>
      </c>
      <c r="AH17" s="509">
        <f>IF(AH$2=1,Reported!AH85,Reported!AH85-Reported!AG85)</f>
        <v/>
      </c>
      <c r="AI17" s="509">
        <f>IF(AI$2=1,Reported!AI85,Reported!AI85-Reported!AH85)</f>
        <v/>
      </c>
      <c r="AJ17" s="509">
        <f>IF(AJ$2=1,Reported!AJ85,Reported!AJ85-Reported!AI85)</f>
        <v/>
      </c>
      <c r="AK17" s="509">
        <f>IF(AK$2=1,Reported!AK85,Reported!AK85-Reported!AJ85)</f>
        <v/>
      </c>
      <c r="AL17" s="509">
        <f>IF(AL$2=1,Reported!AL85,Reported!AL85-Reported!AK85)</f>
        <v/>
      </c>
      <c r="AM17" s="509">
        <f>IF(AM$2=1,Reported!AM85,Reported!AM85-Reported!AL85)</f>
        <v/>
      </c>
      <c r="AN17" s="509">
        <f>IF(AN$2=1,Reported!AN85,Reported!AN85-Reported!AM85)</f>
        <v/>
      </c>
      <c r="AO17" s="509">
        <f>IF(AO$2=1,Reported!AO85,Reported!AO85-Reported!AN85)</f>
        <v/>
      </c>
      <c r="AP17" s="509">
        <f>IF(AP$2=1,Reported!AP85,Reported!AP85-Reported!AO85)</f>
        <v/>
      </c>
      <c r="AQ17" s="509">
        <f>IF(AQ$2=1,Reported!AQ85,Reported!AQ85-Reported!AP85)</f>
        <v/>
      </c>
      <c r="AR17" s="509">
        <f>IF(AR$2=1,Reported!AR85,Reported!AR85-Reported!AQ85)</f>
        <v/>
      </c>
      <c r="AS17" s="509">
        <f>IF(AS$2=1,Reported!AS85,Reported!AS85-Reported!AR85)</f>
        <v/>
      </c>
      <c r="AT17" s="509">
        <f>IF(AT$2=1,Reported!AT85,Reported!AT85-Reported!AS85)</f>
        <v/>
      </c>
      <c r="AU17" s="509">
        <f>IF(AU$2=1,Reported!AU85,Reported!AU85-Reported!AT85)</f>
        <v/>
      </c>
      <c r="AV17" s="509">
        <f>IF(AV$2=1,Reported!AV85,Reported!AV85-Reported!AU85)</f>
        <v/>
      </c>
      <c r="AW17" s="509">
        <f>IF(AW$2=1,Reported!AW85,Reported!AW85-Reported!AV85)</f>
        <v/>
      </c>
      <c r="AX17" s="509">
        <f>IF(AX$2=1,Reported!AX85,Reported!AX85-Reported!AW85)</f>
        <v/>
      </c>
      <c r="AY17" s="509">
        <f>IF(AY$2=1,Reported!AY85,Reported!AY85-Reported!AX85)</f>
        <v/>
      </c>
      <c r="AZ17" s="509">
        <f>IF(AZ$2=1,Reported!AZ85,Reported!AZ85-Reported!AY85)</f>
        <v/>
      </c>
      <c r="BA17" s="509">
        <f>IF(BA$2=1,Reported!BA85,Reported!BA85-Reported!AZ85)</f>
        <v/>
      </c>
      <c r="BB17" s="509">
        <f>IF(BB$2=1,Reported!BB85,Reported!BB85-Reported!BA85)</f>
        <v/>
      </c>
      <c r="BC17" s="509">
        <f>IF(BC$2=1,Reported!BC85,Reported!BC85-Reported!BB85)</f>
        <v/>
      </c>
      <c r="BD17" s="509">
        <f>IF(BD$2=1,Reported!BD85,Reported!BD85-Reported!BC85)</f>
        <v/>
      </c>
      <c r="BE17" s="509">
        <f>IF(BE$2=1,Reported!BE85,Reported!BE85-Reported!BD85)</f>
        <v/>
      </c>
      <c r="BF17" s="509">
        <f>IF(BF$2=1,Reported!BF85,Reported!BF85-Reported!BE85)</f>
        <v/>
      </c>
      <c r="BG17" s="509">
        <f>IF(BG$2=1,Reported!BG85,Reported!BG85-Reported!BF85)</f>
        <v/>
      </c>
      <c r="BH17" s="509">
        <f>IF(BH$2=1,Reported!BH85,Reported!BH85-Reported!BG85)</f>
        <v/>
      </c>
      <c r="BI17" s="509">
        <f>IF(BI$2=1,Reported!BI85,Reported!BI85-Reported!BH85)</f>
        <v/>
      </c>
      <c r="BJ17" s="509">
        <f>IF(BJ$2=1,Reported!BJ85,Reported!BJ85-Reported!BI85)</f>
        <v/>
      </c>
      <c r="BK17" s="509">
        <f>IF(BK$2=1,Reported!BK85,Reported!BK85-Reported!BJ85)</f>
        <v/>
      </c>
      <c r="BL17" s="509">
        <f>IF(BL$2=1,Reported!BL85,Reported!BL85-Reported!BK85)</f>
        <v/>
      </c>
      <c r="BM17" s="509">
        <f>IF(BM$2=1,Reported!BM85,Reported!BM85-Reported!BL85)</f>
        <v/>
      </c>
      <c r="BN17" s="509">
        <f>IF(BN$2=1,Reported!BN85,Reported!BN85-Reported!BM85)</f>
        <v/>
      </c>
      <c r="BO17" s="509">
        <f>IF(BO$2=1,Reported!BO85,Reported!BO85-Reported!BN85)</f>
        <v/>
      </c>
      <c r="BP17" s="509">
        <f>IF(BP$2=1,Reported!BP85,Reported!BP85-Reported!BO85)</f>
        <v/>
      </c>
      <c r="BQ17" s="509">
        <f>IF(BQ$2=1,Reported!BQ85,Reported!BQ85-Reported!BP85)</f>
        <v/>
      </c>
      <c r="BR17" s="509">
        <f>IF(BR$2=1,Reported!BR85,Reported!BR85-Reported!BQ85)</f>
        <v/>
      </c>
      <c r="BS17" s="517">
        <f>Assumption!BS85</f>
        <v/>
      </c>
      <c r="BT17" s="517">
        <f>Assumption!BT85</f>
        <v/>
      </c>
      <c r="BU17" s="517">
        <f>Assumption!BU85</f>
        <v/>
      </c>
      <c r="BV17" s="517">
        <f>Assumption!BV85</f>
        <v/>
      </c>
      <c r="BW17" s="517">
        <f>Assumption!BW85</f>
        <v/>
      </c>
      <c r="BX17" s="517">
        <f>Assumption!BX85</f>
        <v/>
      </c>
      <c r="BY17" s="517">
        <f>Assumption!BY85</f>
        <v/>
      </c>
      <c r="BZ17" s="517">
        <f>Assumption!BZ85</f>
        <v/>
      </c>
      <c r="CA17" s="517">
        <f>Assumption!CA85</f>
        <v/>
      </c>
      <c r="CB17" s="517">
        <f>Assumption!CB85</f>
        <v/>
      </c>
      <c r="CC17" s="517">
        <f>Assumption!CC85</f>
        <v/>
      </c>
      <c r="CD17" s="517">
        <f>Assumption!CD85</f>
        <v/>
      </c>
      <c r="CE17" s="517">
        <f>Assumption!CE85</f>
        <v/>
      </c>
      <c r="CF17" s="517">
        <f>Assumption!CF85</f>
        <v/>
      </c>
      <c r="CG17" s="517">
        <f>Assumption!CG85</f>
        <v/>
      </c>
      <c r="CH17" s="517">
        <f>Assumption!CH85</f>
        <v/>
      </c>
      <c r="CI17" s="517">
        <f>Assumption!CI85</f>
        <v/>
      </c>
      <c r="CJ17" s="517">
        <f>Assumption!CJ85</f>
        <v/>
      </c>
      <c r="CK17" s="517">
        <f>Assumption!CK85</f>
        <v/>
      </c>
    </row>
    <row r="18">
      <c r="A18" s="74" t="inlineStr">
        <is>
          <t>Total operating expenses</t>
        </is>
      </c>
      <c r="B18" s="145" t="n"/>
      <c r="C18" s="145" t="n"/>
      <c r="D18" s="145" t="n"/>
      <c r="E18" s="145" t="n"/>
      <c r="F18" s="145" t="n"/>
      <c r="G18" s="145" t="n"/>
      <c r="H18" s="145" t="n"/>
      <c r="I18" s="145" t="n"/>
      <c r="J18" s="145" t="n"/>
      <c r="K18" s="145" t="n"/>
      <c r="L18" s="145" t="n"/>
      <c r="M18" s="145" t="n"/>
      <c r="N18" s="509">
        <f>IF(N$2=1,Reported!N86,Reported!N86-Reported!M86)</f>
        <v/>
      </c>
      <c r="O18" s="509">
        <f>IF(O$2=1,Reported!O86,Reported!O86-Reported!N86)</f>
        <v/>
      </c>
      <c r="P18" s="509">
        <f>IF(P$2=1,Reported!P86,Reported!P86-Reported!O86)</f>
        <v/>
      </c>
      <c r="Q18" s="509">
        <f>IF(Q$2=1,Reported!Q86,Reported!Q86-Reported!P86)</f>
        <v/>
      </c>
      <c r="R18" s="509">
        <f>IF(R$2=1,Reported!R86,Reported!R86-Reported!Q86)</f>
        <v/>
      </c>
      <c r="S18" s="509">
        <f>IF(S$2=1,Reported!S86,Reported!S86-Reported!R86)</f>
        <v/>
      </c>
      <c r="T18" s="509">
        <f>IF(T$2=1,Reported!T86,Reported!T86-Reported!S86)</f>
        <v/>
      </c>
      <c r="U18" s="509">
        <f>IF(U$2=1,Reported!U86,Reported!U86-Reported!T86)</f>
        <v/>
      </c>
      <c r="V18" s="509">
        <f>IF(V$2=1,Reported!V86,Reported!V86-Reported!U86)</f>
        <v/>
      </c>
      <c r="W18" s="509">
        <f>IF(W$2=1,Reported!W86,Reported!W86-Reported!V86)</f>
        <v/>
      </c>
      <c r="X18" s="509">
        <f>IF(X$2=1,Reported!X86,Reported!X86-Reported!W86)</f>
        <v/>
      </c>
      <c r="Y18" s="509">
        <f>IF(Y$2=1,Reported!Y86,Reported!Y86-Reported!X86)</f>
        <v/>
      </c>
      <c r="Z18" s="509">
        <f>IF(Z$2=1,Reported!Z86,Reported!Z86-Reported!Y86)</f>
        <v/>
      </c>
      <c r="AA18" s="509">
        <f>IF(AA$2=1,Reported!AA86,Reported!AA86-Reported!Z86)</f>
        <v/>
      </c>
      <c r="AB18" s="509">
        <f>IF(AB$2=1,Reported!AB86,Reported!AB86-Reported!AA86)</f>
        <v/>
      </c>
      <c r="AC18" s="509">
        <f>IF(AC$2=1,Reported!AC86,Reported!AC86-Reported!AB86)</f>
        <v/>
      </c>
      <c r="AD18" s="509">
        <f>IF(AD$2=1,Reported!AD86,Reported!AD86-Reported!AC86)</f>
        <v/>
      </c>
      <c r="AE18" s="509">
        <f>IF(AE$2=1,Reported!AE86,Reported!AE86-Reported!AD86)</f>
        <v/>
      </c>
      <c r="AF18" s="509">
        <f>IF(AF$2=1,Reported!AF86,Reported!AF86-Reported!AE86)</f>
        <v/>
      </c>
      <c r="AG18" s="509">
        <f>IF(AG$2=1,Reported!AG86,Reported!AG86-Reported!AF86)</f>
        <v/>
      </c>
      <c r="AH18" s="509">
        <f>IF(AH$2=1,Reported!AH86,Reported!AH86-Reported!AG86)</f>
        <v/>
      </c>
      <c r="AI18" s="509">
        <f>IF(AI$2=1,Reported!AI86,Reported!AI86-Reported!AH86)</f>
        <v/>
      </c>
      <c r="AJ18" s="509">
        <f>IF(AJ$2=1,Reported!AJ86,Reported!AJ86-Reported!AI86)</f>
        <v/>
      </c>
      <c r="AK18" s="509">
        <f>IF(AK$2=1,Reported!AK86,Reported!AK86-Reported!AJ86)</f>
        <v/>
      </c>
      <c r="AL18" s="509">
        <f>IF(AL$2=1,Reported!AL86,Reported!AL86-Reported!AK86)</f>
        <v/>
      </c>
      <c r="AM18" s="509">
        <f>IF(AM$2=1,Reported!AM86,Reported!AM86-Reported!AL86)</f>
        <v/>
      </c>
      <c r="AN18" s="509">
        <f>IF(AN$2=1,Reported!AN86,Reported!AN86-Reported!AM86)</f>
        <v/>
      </c>
      <c r="AO18" s="509">
        <f>IF(AO$2=1,Reported!AO86,Reported!AO86-Reported!AN86)</f>
        <v/>
      </c>
      <c r="AP18" s="509">
        <f>IF(AP$2=1,Reported!AP86,Reported!AP86-Reported!AO86)</f>
        <v/>
      </c>
      <c r="AQ18" s="509">
        <f>IF(AQ$2=1,Reported!AQ86,Reported!AQ86-Reported!AP86)</f>
        <v/>
      </c>
      <c r="AR18" s="509">
        <f>IF(AR$2=1,Reported!AR86,Reported!AR86-Reported!AQ86)</f>
        <v/>
      </c>
      <c r="AS18" s="509">
        <f>IF(AS$2=1,Reported!AS86,Reported!AS86-Reported!AR86)</f>
        <v/>
      </c>
      <c r="AT18" s="509">
        <f>IF(AT$2=1,Reported!AT86,Reported!AT86-Reported!AS86)</f>
        <v/>
      </c>
      <c r="AU18" s="509">
        <f>IF(AU$2=1,Reported!AU86,Reported!AU86-Reported!AT86)</f>
        <v/>
      </c>
      <c r="AV18" s="509">
        <f>IF(AV$2=1,Reported!AV86,Reported!AV86-Reported!AU86)</f>
        <v/>
      </c>
      <c r="AW18" s="509">
        <f>IF(AW$2=1,Reported!AW86,Reported!AW86-Reported!AV86)</f>
        <v/>
      </c>
      <c r="AX18" s="509">
        <f>IF(AX$2=1,Reported!AX86,Reported!AX86-Reported!AW86)</f>
        <v/>
      </c>
      <c r="AY18" s="509">
        <f>IF(AY$2=1,Reported!AY86,Reported!AY86-Reported!AX86)</f>
        <v/>
      </c>
      <c r="AZ18" s="509">
        <f>IF(AZ$2=1,Reported!AZ86,Reported!AZ86-Reported!AY86)</f>
        <v/>
      </c>
      <c r="BA18" s="509">
        <f>IF(BA$2=1,Reported!BA86,Reported!BA86-Reported!AZ86)</f>
        <v/>
      </c>
      <c r="BB18" s="509">
        <f>IF(BB$2=1,Reported!BB86,Reported!BB86-Reported!BA86)</f>
        <v/>
      </c>
      <c r="BC18" s="509">
        <f>IF(BC$2=1,Reported!BC86,Reported!BC86-Reported!BB86)</f>
        <v/>
      </c>
      <c r="BD18" s="509">
        <f>IF(BD$2=1,Reported!BD86,Reported!BD86-Reported!BC86)</f>
        <v/>
      </c>
      <c r="BE18" s="509">
        <f>IF(BE$2=1,Reported!BE86,Reported!BE86-Reported!BD86)</f>
        <v/>
      </c>
      <c r="BF18" s="509">
        <f>IF(BF$2=1,Reported!BF86,Reported!BF86-Reported!BE86)</f>
        <v/>
      </c>
      <c r="BG18" s="509">
        <f>IF(BG$2=1,Reported!BG86,Reported!BG86-Reported!BF86)</f>
        <v/>
      </c>
      <c r="BH18" s="509">
        <f>IF(BH$2=1,Reported!BH86,Reported!BH86-Reported!BG86)</f>
        <v/>
      </c>
      <c r="BI18" s="509">
        <f>IF(BI$2=1,Reported!BI86,Reported!BI86-Reported!BH86)</f>
        <v/>
      </c>
      <c r="BJ18" s="509">
        <f>IF(BJ$2=1,Reported!BJ86,Reported!BJ86-Reported!BI86)</f>
        <v/>
      </c>
      <c r="BK18" s="509">
        <f>IF(BK$2=1,Reported!BK86,Reported!BK86-Reported!BJ86)</f>
        <v/>
      </c>
      <c r="BL18" s="509">
        <f>IF(BL$2=1,Reported!BL86,Reported!BL86-Reported!BK86)</f>
        <v/>
      </c>
      <c r="BM18" s="509">
        <f>IF(BM$2=1,Reported!BM86,Reported!BM86-Reported!BL86)</f>
        <v/>
      </c>
      <c r="BN18" s="509">
        <f>IF(BN$2=1,Reported!BN86,Reported!BN86-Reported!BM86)</f>
        <v/>
      </c>
      <c r="BO18" s="509">
        <f>IF(BO$2=1,Reported!BO86,Reported!BO86-Reported!BN86)</f>
        <v/>
      </c>
      <c r="BP18" s="509">
        <f>IF(BP$2=1,Reported!BP86,Reported!BP86-Reported!BO86)</f>
        <v/>
      </c>
      <c r="BQ18" s="509">
        <f>IF(BQ$2=1,Reported!BQ86,Reported!BQ86-Reported!BP86)</f>
        <v/>
      </c>
      <c r="BR18" s="509">
        <f>IF(BR$2=1,Reported!BR86,Reported!BR86-Reported!BQ86)</f>
        <v/>
      </c>
      <c r="BS18" s="517">
        <f>SUM(BS14:BS17)</f>
        <v/>
      </c>
      <c r="BT18" s="517">
        <f>SUM(BT14:BT17)</f>
        <v/>
      </c>
      <c r="BU18" s="517">
        <f>SUM(BU14:BU17)</f>
        <v/>
      </c>
      <c r="BV18" s="517">
        <f>SUM(BV14:BV17)</f>
        <v/>
      </c>
      <c r="BW18" s="517">
        <f>SUM(BW14:BW17)</f>
        <v/>
      </c>
      <c r="BX18" s="517">
        <f>SUM(BX14:BX17)</f>
        <v/>
      </c>
      <c r="BY18" s="517">
        <f>SUM(BY14:BY17)</f>
        <v/>
      </c>
      <c r="BZ18" s="517">
        <f>SUM(BZ14:BZ17)</f>
        <v/>
      </c>
      <c r="CA18" s="517">
        <f>SUM(CA14:CA17)</f>
        <v/>
      </c>
      <c r="CB18" s="517">
        <f>SUM(CB14:CB17)</f>
        <v/>
      </c>
      <c r="CC18" s="517">
        <f>SUM(CC14:CC17)</f>
        <v/>
      </c>
      <c r="CD18" s="517">
        <f>SUM(CD14:CD17)</f>
        <v/>
      </c>
      <c r="CE18" s="517">
        <f>SUM(CE14:CE17)</f>
        <v/>
      </c>
      <c r="CF18" s="517">
        <f>SUM(CF14:CF17)</f>
        <v/>
      </c>
      <c r="CG18" s="517">
        <f>SUM(CG14:CG17)</f>
        <v/>
      </c>
      <c r="CH18" s="517">
        <f>SUM(CH14:CH17)</f>
        <v/>
      </c>
      <c r="CI18" s="517">
        <f>SUM(CI14:CI17)</f>
        <v/>
      </c>
      <c r="CJ18" s="517">
        <f>SUM(CJ14:CJ17)</f>
        <v/>
      </c>
      <c r="CK18" s="517">
        <f>SUM(CK14:CK17)</f>
        <v/>
      </c>
    </row>
    <row r="19">
      <c r="A19" s="22" t="inlineStr">
        <is>
          <t>Operating Income</t>
        </is>
      </c>
      <c r="B19" s="133" t="n"/>
      <c r="C19" s="133" t="n"/>
      <c r="D19" s="133" t="n"/>
      <c r="E19" s="133" t="n"/>
      <c r="F19" s="133" t="n"/>
      <c r="G19" s="133" t="n"/>
      <c r="H19" s="133" t="n"/>
      <c r="I19" s="133" t="n"/>
      <c r="J19" s="133" t="n"/>
      <c r="K19" s="133" t="n"/>
      <c r="L19" s="133" t="n"/>
      <c r="M19" s="133" t="n"/>
      <c r="N19" s="671">
        <f>IF(N$2=1,Reported!N87,Reported!N87-Reported!M87)</f>
        <v/>
      </c>
      <c r="O19" s="671">
        <f>IF(O$2=1,Reported!O87,Reported!O87-Reported!N87)</f>
        <v/>
      </c>
      <c r="P19" s="671">
        <f>IF(P$2=1,Reported!P87,Reported!P87-Reported!O87)</f>
        <v/>
      </c>
      <c r="Q19" s="671">
        <f>IF(Q$2=1,Reported!Q87,Reported!Q87-Reported!P87)</f>
        <v/>
      </c>
      <c r="R19" s="671">
        <f>IF(R$2=1,Reported!R87,Reported!R87-Reported!Q87)</f>
        <v/>
      </c>
      <c r="S19" s="671">
        <f>IF(S$2=1,Reported!S87,Reported!S87-Reported!R87)</f>
        <v/>
      </c>
      <c r="T19" s="671">
        <f>IF(T$2=1,Reported!T87,Reported!T87-Reported!S87)</f>
        <v/>
      </c>
      <c r="U19" s="671">
        <f>IF(U$2=1,Reported!U87,Reported!U87-Reported!T87)</f>
        <v/>
      </c>
      <c r="V19" s="671">
        <f>IF(V$2=1,Reported!V87,Reported!V87-Reported!U87)</f>
        <v/>
      </c>
      <c r="W19" s="671">
        <f>IF(W$2=1,Reported!W87,Reported!W87-Reported!V87)</f>
        <v/>
      </c>
      <c r="X19" s="671">
        <f>IF(X$2=1,Reported!X87,Reported!X87-Reported!W87)</f>
        <v/>
      </c>
      <c r="Y19" s="671">
        <f>IF(Y$2=1,Reported!Y87,Reported!Y87-Reported!X87)</f>
        <v/>
      </c>
      <c r="Z19" s="671">
        <f>IF(Z$2=1,Reported!Z87,Reported!Z87-Reported!Y87)</f>
        <v/>
      </c>
      <c r="AA19" s="671">
        <f>IF(AA$2=1,Reported!AA87,Reported!AA87-Reported!Z87)</f>
        <v/>
      </c>
      <c r="AB19" s="671">
        <f>IF(AB$2=1,Reported!AB87,Reported!AB87-Reported!AA87)</f>
        <v/>
      </c>
      <c r="AC19" s="671">
        <f>IF(AC$2=1,Reported!AC87,Reported!AC87-Reported!AB87)</f>
        <v/>
      </c>
      <c r="AD19" s="671">
        <f>IF(AD$2=1,Reported!AD87,Reported!AD87-Reported!AC87)</f>
        <v/>
      </c>
      <c r="AE19" s="671">
        <f>IF(AE$2=1,Reported!AE87,Reported!AE87-Reported!AD87)</f>
        <v/>
      </c>
      <c r="AF19" s="671">
        <f>IF(AF$2=1,Reported!AF87,Reported!AF87-Reported!AE87)</f>
        <v/>
      </c>
      <c r="AG19" s="671">
        <f>IF(AG$2=1,Reported!AG87,Reported!AG87-Reported!AF87)</f>
        <v/>
      </c>
      <c r="AH19" s="671">
        <f>IF(AH$2=1,Reported!AH87,Reported!AH87-Reported!AG87)</f>
        <v/>
      </c>
      <c r="AI19" s="671">
        <f>IF(AI$2=1,Reported!AI87,Reported!AI87-Reported!AH87)</f>
        <v/>
      </c>
      <c r="AJ19" s="671">
        <f>IF(AJ$2=1,Reported!AJ87,Reported!AJ87-Reported!AI87)</f>
        <v/>
      </c>
      <c r="AK19" s="671">
        <f>IF(AK$2=1,Reported!AK87,Reported!AK87-Reported!AJ87)</f>
        <v/>
      </c>
      <c r="AL19" s="671">
        <f>IF(AL$2=1,Reported!AL87,Reported!AL87-Reported!AK87)</f>
        <v/>
      </c>
      <c r="AM19" s="671">
        <f>IF(AM$2=1,Reported!AM87,Reported!AM87-Reported!AL87)</f>
        <v/>
      </c>
      <c r="AN19" s="671">
        <f>IF(AN$2=1,Reported!AN87,Reported!AN87-Reported!AM87)</f>
        <v/>
      </c>
      <c r="AO19" s="671">
        <f>IF(AO$2=1,Reported!AO87,Reported!AO87-Reported!AN87)</f>
        <v/>
      </c>
      <c r="AP19" s="671">
        <f>IF(AP$2=1,Reported!AP87,Reported!AP87-Reported!AO87)</f>
        <v/>
      </c>
      <c r="AQ19" s="671">
        <f>IF(AQ$2=1,Reported!AQ87,Reported!AQ87-Reported!AP87)</f>
        <v/>
      </c>
      <c r="AR19" s="671">
        <f>IF(AR$2=1,Reported!AR87,Reported!AR87-Reported!AQ87)</f>
        <v/>
      </c>
      <c r="AS19" s="671">
        <f>IF(AS$2=1,Reported!AS87,Reported!AS87-Reported!AR87)</f>
        <v/>
      </c>
      <c r="AT19" s="671">
        <f>IF(AT$2=1,Reported!AT87,Reported!AT87-Reported!AS87)</f>
        <v/>
      </c>
      <c r="AU19" s="671">
        <f>IF(AU$2=1,Reported!AU87,Reported!AU87-Reported!AT87)</f>
        <v/>
      </c>
      <c r="AV19" s="671">
        <f>IF(AV$2=1,Reported!AV87,Reported!AV87-Reported!AU87)</f>
        <v/>
      </c>
      <c r="AW19" s="671">
        <f>IF(AW$2=1,Reported!AW87,Reported!AW87-Reported!AV87)</f>
        <v/>
      </c>
      <c r="AX19" s="671">
        <f>IF(AX$2=1,Reported!AX87,Reported!AX87-Reported!AW87)</f>
        <v/>
      </c>
      <c r="AY19" s="671">
        <f>IF(AY$2=1,Reported!AY87,Reported!AY87-Reported!AX87)</f>
        <v/>
      </c>
      <c r="AZ19" s="671">
        <f>IF(AZ$2=1,Reported!AZ87,Reported!AZ87-Reported!AY87)</f>
        <v/>
      </c>
      <c r="BA19" s="671">
        <f>IF(BA$2=1,Reported!BA87,Reported!BA87-Reported!AZ87)</f>
        <v/>
      </c>
      <c r="BB19" s="671">
        <f>IF(BB$2=1,Reported!BB87,Reported!BB87-Reported!BA87)</f>
        <v/>
      </c>
      <c r="BC19" s="671">
        <f>IF(BC$2=1,Reported!BC87,Reported!BC87-Reported!BB87)</f>
        <v/>
      </c>
      <c r="BD19" s="671">
        <f>IF(BD$2=1,Reported!BD87,Reported!BD87-Reported!BC87)</f>
        <v/>
      </c>
      <c r="BE19" s="671">
        <f>IF(BE$2=1,Reported!BE87,Reported!BE87-Reported!BD87)</f>
        <v/>
      </c>
      <c r="BF19" s="671">
        <f>IF(BF$2=1,Reported!BF87,Reported!BF87-Reported!BE87)</f>
        <v/>
      </c>
      <c r="BG19" s="671">
        <f>IF(BG$2=1,Reported!BG87,Reported!BG87-Reported!BF87)</f>
        <v/>
      </c>
      <c r="BH19" s="671">
        <f>IF(BH$2=1,Reported!BH87,Reported!BH87-Reported!BG87)</f>
        <v/>
      </c>
      <c r="BI19" s="671">
        <f>IF(BI$2=1,Reported!BI87,Reported!BI87-Reported!BH87)</f>
        <v/>
      </c>
      <c r="BJ19" s="671">
        <f>IF(BJ$2=1,Reported!BJ87,Reported!BJ87-Reported!BI87)</f>
        <v/>
      </c>
      <c r="BK19" s="671">
        <f>IF(BK$2=1,Reported!BK87,Reported!BK87-Reported!BJ87)</f>
        <v/>
      </c>
      <c r="BL19" s="671">
        <f>IF(BL$2=1,Reported!BL87,Reported!BL87-Reported!BK87)</f>
        <v/>
      </c>
      <c r="BM19" s="671">
        <f>IF(BM$2=1,Reported!BM87,Reported!BM87-Reported!BL87)</f>
        <v/>
      </c>
      <c r="BN19" s="671">
        <f>IF(BN$2=1,Reported!BN87,Reported!BN87-Reported!BM87)</f>
        <v/>
      </c>
      <c r="BO19" s="671">
        <f>IF(BO$2=1,Reported!BO87,Reported!BO87-Reported!BN87)</f>
        <v/>
      </c>
      <c r="BP19" s="671">
        <f>IF(BP$2=1,Reported!BP87,Reported!BP87-Reported!BO87)</f>
        <v/>
      </c>
      <c r="BQ19" s="671">
        <f>IF(BQ$2=1,Reported!BQ87,Reported!BQ87-Reported!BP87)</f>
        <v/>
      </c>
      <c r="BR19" s="671">
        <f>IF(BR$2=1,Reported!BR87,Reported!BR87-Reported!BQ87)</f>
        <v/>
      </c>
      <c r="BS19" s="519">
        <f>Assumption!BS88</f>
        <v/>
      </c>
      <c r="BT19" s="519">
        <f>Assumption!BT88</f>
        <v/>
      </c>
      <c r="BU19" s="519">
        <f>Assumption!BU88</f>
        <v/>
      </c>
      <c r="BV19" s="519">
        <f>Assumption!BV88</f>
        <v/>
      </c>
      <c r="BW19" s="519">
        <f>Assumption!BW88</f>
        <v/>
      </c>
      <c r="BX19" s="519">
        <f>Assumption!BX88</f>
        <v/>
      </c>
      <c r="BY19" s="519">
        <f>Assumption!BY88</f>
        <v/>
      </c>
      <c r="BZ19" s="519">
        <f>Assumption!BZ88</f>
        <v/>
      </c>
      <c r="CA19" s="519">
        <f>Assumption!CA88</f>
        <v/>
      </c>
      <c r="CB19" s="519">
        <f>Assumption!CB88</f>
        <v/>
      </c>
      <c r="CC19" s="519">
        <f>Assumption!CC88</f>
        <v/>
      </c>
      <c r="CD19" s="519">
        <f>Assumption!CD88</f>
        <v/>
      </c>
      <c r="CE19" s="519">
        <f>Assumption!CE88</f>
        <v/>
      </c>
      <c r="CF19" s="519">
        <f>Assumption!CF88</f>
        <v/>
      </c>
      <c r="CG19" s="519">
        <f>Assumption!CG88</f>
        <v/>
      </c>
      <c r="CH19" s="519">
        <f>Assumption!CH88</f>
        <v/>
      </c>
      <c r="CI19" s="519">
        <f>Assumption!CI88</f>
        <v/>
      </c>
      <c r="CJ19" s="519">
        <f>Assumption!CJ88</f>
        <v/>
      </c>
      <c r="CK19" s="519">
        <f>Assumption!CK88</f>
        <v/>
      </c>
    </row>
    <row r="20">
      <c r="A20" s="33" t="inlineStr">
        <is>
          <t>Interest income (expense), net</t>
        </is>
      </c>
      <c r="B20" s="145" t="n"/>
      <c r="C20" s="145" t="n"/>
      <c r="D20" s="145" t="n"/>
      <c r="E20" s="145" t="n"/>
      <c r="F20" s="145" t="n"/>
      <c r="G20" s="145" t="n"/>
      <c r="H20" s="145" t="n"/>
      <c r="I20" s="145" t="n"/>
      <c r="J20" s="145" t="n"/>
      <c r="K20" s="145" t="n"/>
      <c r="L20" s="145" t="n"/>
      <c r="M20" s="145" t="n"/>
      <c r="N20" s="509">
        <f>IF(N$2=1,Reported!N88,Reported!N88-Reported!M88)</f>
        <v/>
      </c>
      <c r="O20" s="509">
        <f>IF(O$2=1,Reported!O88,Reported!O88-Reported!N88)</f>
        <v/>
      </c>
      <c r="P20" s="509">
        <f>IF(P$2=1,Reported!P88,Reported!P88-Reported!O88)</f>
        <v/>
      </c>
      <c r="Q20" s="509">
        <f>IF(Q$2=1,Reported!Q88,Reported!Q88-Reported!P88)</f>
        <v/>
      </c>
      <c r="R20" s="509">
        <f>IF(R$2=1,Reported!R88,Reported!R88-Reported!Q88)</f>
        <v/>
      </c>
      <c r="S20" s="509">
        <f>IF(S$2=1,Reported!S88,Reported!S88-Reported!R88)</f>
        <v/>
      </c>
      <c r="T20" s="509">
        <f>IF(T$2=1,Reported!T88,Reported!T88-Reported!S88)</f>
        <v/>
      </c>
      <c r="U20" s="509">
        <f>IF(U$2=1,Reported!U88,Reported!U88-Reported!T88)</f>
        <v/>
      </c>
      <c r="V20" s="509">
        <f>IF(V$2=1,Reported!V88,Reported!V88-Reported!U88)</f>
        <v/>
      </c>
      <c r="W20" s="509">
        <f>IF(W$2=1,Reported!W88,Reported!W88-Reported!V88)</f>
        <v/>
      </c>
      <c r="X20" s="509">
        <f>IF(X$2=1,Reported!X88,Reported!X88-Reported!W88)</f>
        <v/>
      </c>
      <c r="Y20" s="509">
        <f>IF(Y$2=1,Reported!Y88,Reported!Y88-Reported!X88)</f>
        <v/>
      </c>
      <c r="Z20" s="509">
        <f>IF(Z$2=1,Reported!Z88,Reported!Z88-Reported!Y88)</f>
        <v/>
      </c>
      <c r="AA20" s="509">
        <f>IF(AA$2=1,Reported!AA88,Reported!AA88-Reported!Z88)</f>
        <v/>
      </c>
      <c r="AB20" s="509">
        <f>IF(AB$2=1,Reported!AB88,Reported!AB88-Reported!AA88)</f>
        <v/>
      </c>
      <c r="AC20" s="509">
        <f>IF(AC$2=1,Reported!AC88,Reported!AC88-Reported!AB88)</f>
        <v/>
      </c>
      <c r="AD20" s="509">
        <f>IF(AD$2=1,Reported!AD88,Reported!AD88-Reported!AC88)</f>
        <v/>
      </c>
      <c r="AE20" s="509">
        <f>IF(AE$2=1,Reported!AE88,Reported!AE88-Reported!AD88)</f>
        <v/>
      </c>
      <c r="AF20" s="509">
        <f>IF(AF$2=1,Reported!AF88,Reported!AF88-Reported!AE88)</f>
        <v/>
      </c>
      <c r="AG20" s="509">
        <f>IF(AG$2=1,Reported!AG88,Reported!AG88-Reported!AF88)</f>
        <v/>
      </c>
      <c r="AH20" s="509">
        <f>IF(AH$2=1,Reported!AH88,Reported!AH88-Reported!AG88)</f>
        <v/>
      </c>
      <c r="AI20" s="509">
        <f>IF(AI$2=1,Reported!AI88,Reported!AI88-Reported!AH88)</f>
        <v/>
      </c>
      <c r="AJ20" s="509">
        <f>IF(AJ$2=1,Reported!AJ88,Reported!AJ88-Reported!AI88)</f>
        <v/>
      </c>
      <c r="AK20" s="509">
        <f>IF(AK$2=1,Reported!AK88,Reported!AK88-Reported!AJ88)</f>
        <v/>
      </c>
      <c r="AL20" s="509">
        <f>IF(AL$2=1,Reported!AL88,Reported!AL88-Reported!AK88)</f>
        <v/>
      </c>
      <c r="AM20" s="509">
        <f>IF(AM$2=1,Reported!AM88,Reported!AM88-Reported!AL88)</f>
        <v/>
      </c>
      <c r="AN20" s="509">
        <f>IF(AN$2=1,Reported!AN88,Reported!AN88-Reported!AM88)</f>
        <v/>
      </c>
      <c r="AO20" s="509">
        <f>IF(AO$2=1,Reported!AO88,Reported!AO88-Reported!AN88)</f>
        <v/>
      </c>
      <c r="AP20" s="509">
        <f>IF(AP$2=1,Reported!AP88,Reported!AP88-Reported!AO88)</f>
        <v/>
      </c>
      <c r="AQ20" s="509">
        <f>IF(AQ$2=1,Reported!AQ88,Reported!AQ88-Reported!AP88)</f>
        <v/>
      </c>
      <c r="AR20" s="509">
        <f>IF(AR$2=1,Reported!AR88,Reported!AR88-Reported!AQ88)</f>
        <v/>
      </c>
      <c r="AS20" s="509">
        <f>IF(AS$2=1,Reported!AS88,Reported!AS88-Reported!AR88)</f>
        <v/>
      </c>
      <c r="AT20" s="509">
        <f>IF(AT$2=1,Reported!AT88,Reported!AT88-Reported!AS88)</f>
        <v/>
      </c>
      <c r="AU20" s="509">
        <f>IF(AU$2=1,Reported!AU88,Reported!AU88-Reported!AT88)</f>
        <v/>
      </c>
      <c r="AV20" s="509">
        <f>IF(AV$2=1,Reported!AV88,Reported!AV88-Reported!AU88)</f>
        <v/>
      </c>
      <c r="AW20" s="509">
        <f>IF(AW$2=1,Reported!AW88,Reported!AW88-Reported!AV88)</f>
        <v/>
      </c>
      <c r="AX20" s="509">
        <f>IF(AX$2=1,Reported!AX88,Reported!AX88-Reported!AW88)</f>
        <v/>
      </c>
      <c r="AY20" s="509">
        <f>IF(AY$2=1,Reported!AY88,Reported!AY88-Reported!AX88)</f>
        <v/>
      </c>
      <c r="AZ20" s="509">
        <f>IF(AZ$2=1,Reported!AZ88,Reported!AZ88-Reported!AY88)</f>
        <v/>
      </c>
      <c r="BA20" s="509">
        <f>IF(BA$2=1,Reported!BA88,Reported!BA88-Reported!AZ88)</f>
        <v/>
      </c>
      <c r="BB20" s="509">
        <f>IF(BB$2=1,Reported!BB88,Reported!BB88-Reported!BA88)</f>
        <v/>
      </c>
      <c r="BC20" s="509">
        <f>IF(BC$2=1,Reported!BC88,Reported!BC88-Reported!BB88)</f>
        <v/>
      </c>
      <c r="BD20" s="509">
        <f>IF(BD$2=1,Reported!BD88,Reported!BD88-Reported!BC88)</f>
        <v/>
      </c>
      <c r="BE20" s="509">
        <f>IF(BE$2=1,Reported!BE88,Reported!BE88-Reported!BD88)</f>
        <v/>
      </c>
      <c r="BF20" s="509">
        <f>IF(BF$2=1,Reported!BF88,Reported!BF88-Reported!BE88)</f>
        <v/>
      </c>
      <c r="BG20" s="509">
        <f>IF(BG$2=1,Reported!BG88,Reported!BG88-Reported!BF88)</f>
        <v/>
      </c>
      <c r="BH20" s="509">
        <f>IF(BH$2=1,Reported!BH88,Reported!BH88-Reported!BG88)</f>
        <v/>
      </c>
      <c r="BI20" s="509">
        <f>IF(BI$2=1,Reported!BI88,Reported!BI88-Reported!BH88)</f>
        <v/>
      </c>
      <c r="BJ20" s="509">
        <f>IF(BJ$2=1,Reported!BJ88,Reported!BJ88-Reported!BI88)</f>
        <v/>
      </c>
      <c r="BK20" s="509">
        <f>IF(BK$2=1,Reported!BK88,Reported!BK88-Reported!BJ88)</f>
        <v/>
      </c>
      <c r="BL20" s="509">
        <f>IF(BL$2=1,Reported!BL88,Reported!BL88-Reported!BK88)</f>
        <v/>
      </c>
      <c r="BM20" s="509">
        <f>IF(BM$2=1,Reported!BM88,Reported!BM88-Reported!BL88)</f>
        <v/>
      </c>
      <c r="BN20" s="509">
        <f>IF(BN$2=1,Reported!BN88,Reported!BN88-Reported!BM88)</f>
        <v/>
      </c>
      <c r="BO20" s="509">
        <f>IF(BO$2=1,Reported!BO88,Reported!BO88-Reported!BN88)</f>
        <v/>
      </c>
      <c r="BP20" s="509">
        <f>IF(BP$2=1,Reported!BP88,Reported!BP88-Reported!BO88)</f>
        <v/>
      </c>
      <c r="BQ20" s="509">
        <f>IF(BQ$2=1,Reported!BQ88,Reported!BQ88-Reported!BP88)</f>
        <v/>
      </c>
      <c r="BR20" s="509">
        <f>IF(BR$2=1,Reported!BR88,Reported!BR88-Reported!BQ88)</f>
        <v/>
      </c>
      <c r="BS20" s="517">
        <f>Assumption!BS93</f>
        <v/>
      </c>
      <c r="BT20" s="517">
        <f>Assumption!BT93</f>
        <v/>
      </c>
      <c r="BU20" s="517">
        <f>Assumption!BU93</f>
        <v/>
      </c>
      <c r="BV20" s="517">
        <f>Assumption!BV93</f>
        <v/>
      </c>
      <c r="BW20" s="517">
        <f>Assumption!BW93</f>
        <v/>
      </c>
      <c r="BX20" s="517">
        <f>Assumption!BX93</f>
        <v/>
      </c>
      <c r="BY20" s="517">
        <f>Assumption!BY93</f>
        <v/>
      </c>
      <c r="BZ20" s="517">
        <f>Assumption!BZ93</f>
        <v/>
      </c>
      <c r="CA20" s="517">
        <f>Assumption!CA93</f>
        <v/>
      </c>
      <c r="CB20" s="517">
        <f>Assumption!CB93</f>
        <v/>
      </c>
      <c r="CC20" s="517">
        <f>Assumption!CC93</f>
        <v/>
      </c>
      <c r="CD20" s="517">
        <f>Assumption!CD93</f>
        <v/>
      </c>
      <c r="CE20" s="517">
        <f>Assumption!CE93</f>
        <v/>
      </c>
      <c r="CF20" s="517">
        <f>Assumption!CF93</f>
        <v/>
      </c>
      <c r="CG20" s="517">
        <f>Assumption!CG93</f>
        <v/>
      </c>
      <c r="CH20" s="517">
        <f>Assumption!CH93</f>
        <v/>
      </c>
      <c r="CI20" s="517">
        <f>Assumption!CI93</f>
        <v/>
      </c>
      <c r="CJ20" s="517">
        <f>Assumption!CJ93</f>
        <v/>
      </c>
      <c r="CK20" s="517">
        <f>Assumption!CK93</f>
        <v/>
      </c>
    </row>
    <row r="21">
      <c r="A21" s="33" t="inlineStr">
        <is>
          <t>Other income (expense), net</t>
        </is>
      </c>
      <c r="B21" s="145" t="n"/>
      <c r="C21" s="145" t="n"/>
      <c r="D21" s="145" t="n"/>
      <c r="E21" s="145" t="n"/>
      <c r="F21" s="145" t="n"/>
      <c r="G21" s="145" t="n"/>
      <c r="H21" s="145" t="n"/>
      <c r="I21" s="145" t="n"/>
      <c r="J21" s="145" t="n"/>
      <c r="K21" s="145" t="n"/>
      <c r="L21" s="145" t="n"/>
      <c r="M21" s="145" t="n"/>
      <c r="N21" s="509">
        <f>IF(N$2=1,Reported!N89,Reported!N89-Reported!M89)</f>
        <v/>
      </c>
      <c r="O21" s="509">
        <f>IF(O$2=1,Reported!O89,Reported!O89-Reported!N89)</f>
        <v/>
      </c>
      <c r="P21" s="509">
        <f>IF(P$2=1,Reported!P89,Reported!P89-Reported!O89)</f>
        <v/>
      </c>
      <c r="Q21" s="509">
        <f>IF(Q$2=1,Reported!Q89,Reported!Q89-Reported!P89)</f>
        <v/>
      </c>
      <c r="R21" s="509">
        <f>IF(R$2=1,Reported!R89,Reported!R89-Reported!Q89)</f>
        <v/>
      </c>
      <c r="S21" s="509">
        <f>IF(S$2=1,Reported!S89,Reported!S89-Reported!R89)</f>
        <v/>
      </c>
      <c r="T21" s="509">
        <f>IF(T$2=1,Reported!T89,Reported!T89-Reported!S89)</f>
        <v/>
      </c>
      <c r="U21" s="509">
        <f>IF(U$2=1,Reported!U89,Reported!U89-Reported!T89)</f>
        <v/>
      </c>
      <c r="V21" s="509">
        <f>IF(V$2=1,Reported!V89,Reported!V89-Reported!U89)</f>
        <v/>
      </c>
      <c r="W21" s="509">
        <f>IF(W$2=1,Reported!W89,Reported!W89-Reported!V89)</f>
        <v/>
      </c>
      <c r="X21" s="509">
        <f>IF(X$2=1,Reported!X89,Reported!X89-Reported!W89)</f>
        <v/>
      </c>
      <c r="Y21" s="509">
        <f>IF(Y$2=1,Reported!Y89,Reported!Y89-Reported!X89)</f>
        <v/>
      </c>
      <c r="Z21" s="509">
        <f>IF(Z$2=1,Reported!Z89,Reported!Z89-Reported!Y89)</f>
        <v/>
      </c>
      <c r="AA21" s="509">
        <f>IF(AA$2=1,Reported!AA89,Reported!AA89-Reported!Z89)</f>
        <v/>
      </c>
      <c r="AB21" s="509">
        <f>IF(AB$2=1,Reported!AB89,Reported!AB89-Reported!AA89)</f>
        <v/>
      </c>
      <c r="AC21" s="509">
        <f>IF(AC$2=1,Reported!AC89,Reported!AC89-Reported!AB89)</f>
        <v/>
      </c>
      <c r="AD21" s="509">
        <f>IF(AD$2=1,Reported!AD89,Reported!AD89-Reported!AC89)</f>
        <v/>
      </c>
      <c r="AE21" s="509">
        <f>IF(AE$2=1,Reported!AE89,Reported!AE89-Reported!AD89)</f>
        <v/>
      </c>
      <c r="AF21" s="509">
        <f>IF(AF$2=1,Reported!AF89,Reported!AF89-Reported!AE89)</f>
        <v/>
      </c>
      <c r="AG21" s="509">
        <f>IF(AG$2=1,Reported!AG89,Reported!AG89-Reported!AF89)</f>
        <v/>
      </c>
      <c r="AH21" s="509">
        <f>IF(AH$2=1,Reported!AH89,Reported!AH89-Reported!AG89)</f>
        <v/>
      </c>
      <c r="AI21" s="509">
        <f>IF(AI$2=1,Reported!AI89,Reported!AI89-Reported!AH89)</f>
        <v/>
      </c>
      <c r="AJ21" s="509">
        <f>IF(AJ$2=1,Reported!AJ89,Reported!AJ89-Reported!AI89)</f>
        <v/>
      </c>
      <c r="AK21" s="509">
        <f>IF(AK$2=1,Reported!AK89,Reported!AK89-Reported!AJ89)</f>
        <v/>
      </c>
      <c r="AL21" s="509">
        <f>IF(AL$2=1,Reported!AL89,Reported!AL89-Reported!AK89)</f>
        <v/>
      </c>
      <c r="AM21" s="509">
        <f>IF(AM$2=1,Reported!AM89,Reported!AM89-Reported!AL89)</f>
        <v/>
      </c>
      <c r="AN21" s="509">
        <f>IF(AN$2=1,Reported!AN89,Reported!AN89-Reported!AM89)</f>
        <v/>
      </c>
      <c r="AO21" s="509">
        <f>IF(AO$2=1,Reported!AO89,Reported!AO89-Reported!AN89)</f>
        <v/>
      </c>
      <c r="AP21" s="509">
        <f>IF(AP$2=1,Reported!AP89,Reported!AP89-Reported!AO89)</f>
        <v/>
      </c>
      <c r="AQ21" s="509">
        <f>IF(AQ$2=1,Reported!AQ89,Reported!AQ89-Reported!AP89)</f>
        <v/>
      </c>
      <c r="AR21" s="509">
        <f>IF(AR$2=1,Reported!AR89,Reported!AR89-Reported!AQ89)</f>
        <v/>
      </c>
      <c r="AS21" s="509">
        <f>IF(AS$2=1,Reported!AS89,Reported!AS89-Reported!AR89)</f>
        <v/>
      </c>
      <c r="AT21" s="509">
        <f>IF(AT$2=1,Reported!AT89,Reported!AT89-Reported!AS89)</f>
        <v/>
      </c>
      <c r="AU21" s="509">
        <f>IF(AU$2=1,Reported!AU89,Reported!AU89-Reported!AT89)</f>
        <v/>
      </c>
      <c r="AV21" s="509">
        <f>IF(AV$2=1,Reported!AV89,Reported!AV89-Reported!AU89)</f>
        <v/>
      </c>
      <c r="AW21" s="509">
        <f>IF(AW$2=1,Reported!AW89,Reported!AW89-Reported!AV89)</f>
        <v/>
      </c>
      <c r="AX21" s="509">
        <f>IF(AX$2=1,Reported!AX89,Reported!AX89-Reported!AW89)</f>
        <v/>
      </c>
      <c r="AY21" s="509">
        <f>IF(AY$2=1,Reported!AY89,Reported!AY89-Reported!AX89)</f>
        <v/>
      </c>
      <c r="AZ21" s="509">
        <f>IF(AZ$2=1,Reported!AZ89,Reported!AZ89-Reported!AY89)</f>
        <v/>
      </c>
      <c r="BA21" s="509">
        <f>IF(BA$2=1,Reported!BA89,Reported!BA89-Reported!AZ89)</f>
        <v/>
      </c>
      <c r="BB21" s="509">
        <f>IF(BB$2=1,Reported!BB89,Reported!BB89-Reported!BA89)</f>
        <v/>
      </c>
      <c r="BC21" s="509">
        <f>IF(BC$2=1,Reported!BC89,Reported!BC89-Reported!BB89)</f>
        <v/>
      </c>
      <c r="BD21" s="509">
        <f>IF(BD$2=1,Reported!BD89,Reported!BD89-Reported!BC89)</f>
        <v/>
      </c>
      <c r="BE21" s="509">
        <f>IF(BE$2=1,Reported!BE89,Reported!BE89-Reported!BD89)</f>
        <v/>
      </c>
      <c r="BF21" s="509">
        <f>IF(BF$2=1,Reported!BF89,Reported!BF89-Reported!BE89)</f>
        <v/>
      </c>
      <c r="BG21" s="509">
        <f>IF(BG$2=1,Reported!BG89,Reported!BG89-Reported!BF89)</f>
        <v/>
      </c>
      <c r="BH21" s="509">
        <f>IF(BH$2=1,Reported!BH89,Reported!BH89-Reported!BG89)</f>
        <v/>
      </c>
      <c r="BI21" s="509">
        <f>IF(BI$2=1,Reported!BI89,Reported!BI89-Reported!BH89)</f>
        <v/>
      </c>
      <c r="BJ21" s="509">
        <f>IF(BJ$2=1,Reported!BJ89,Reported!BJ89-Reported!BI89)</f>
        <v/>
      </c>
      <c r="BK21" s="509">
        <f>IF(BK$2=1,Reported!BK89,Reported!BK89-Reported!BJ89)</f>
        <v/>
      </c>
      <c r="BL21" s="509">
        <f>IF(BL$2=1,Reported!BL89,Reported!BL89-Reported!BK89)</f>
        <v/>
      </c>
      <c r="BM21" s="509">
        <f>IF(BM$2=1,Reported!BM89,Reported!BM89-Reported!BL89)</f>
        <v/>
      </c>
      <c r="BN21" s="509">
        <f>IF(BN$2=1,Reported!BN89,Reported!BN89-Reported!BM89)</f>
        <v/>
      </c>
      <c r="BO21" s="509">
        <f>IF(BO$2=1,Reported!BO89,Reported!BO89-Reported!BN89)</f>
        <v/>
      </c>
      <c r="BP21" s="509">
        <f>IF(BP$2=1,Reported!BP89,Reported!BP89-Reported!BO89)</f>
        <v/>
      </c>
      <c r="BQ21" s="509">
        <f>IF(BQ$2=1,Reported!BQ89,Reported!BQ89-Reported!BP89)</f>
        <v/>
      </c>
      <c r="BR21" s="509">
        <f>IF(BR$2=1,Reported!BR89,Reported!BR89-Reported!BQ89)</f>
        <v/>
      </c>
      <c r="BS21" s="517">
        <f>Assumption!BS96</f>
        <v/>
      </c>
      <c r="BT21" s="517">
        <f>Assumption!BT96</f>
        <v/>
      </c>
      <c r="BU21" s="517">
        <f>Assumption!BU96</f>
        <v/>
      </c>
      <c r="BV21" s="517">
        <f>Assumption!BV96</f>
        <v/>
      </c>
      <c r="BW21" s="517">
        <f>Assumption!BW96</f>
        <v/>
      </c>
      <c r="BX21" s="517">
        <f>Assumption!BX96</f>
        <v/>
      </c>
      <c r="BY21" s="517">
        <f>Assumption!BY96</f>
        <v/>
      </c>
      <c r="BZ21" s="517">
        <f>Assumption!BZ96</f>
        <v/>
      </c>
      <c r="CA21" s="517">
        <f>Assumption!CA96</f>
        <v/>
      </c>
      <c r="CB21" s="517">
        <f>Assumption!CB96</f>
        <v/>
      </c>
      <c r="CC21" s="517">
        <f>Assumption!CC96</f>
        <v/>
      </c>
      <c r="CD21" s="517">
        <f>Assumption!CD96</f>
        <v/>
      </c>
      <c r="CE21" s="517">
        <f>Assumption!CE96</f>
        <v/>
      </c>
      <c r="CF21" s="517">
        <f>Assumption!CF96</f>
        <v/>
      </c>
      <c r="CG21" s="517">
        <f>Assumption!CG96</f>
        <v/>
      </c>
      <c r="CH21" s="517">
        <f>Assumption!CH96</f>
        <v/>
      </c>
      <c r="CI21" s="517">
        <f>Assumption!CI96</f>
        <v/>
      </c>
      <c r="CJ21" s="517">
        <f>Assumption!CJ96</f>
        <v/>
      </c>
      <c r="CK21" s="517">
        <f>Assumption!CK96</f>
        <v/>
      </c>
    </row>
    <row r="22">
      <c r="A22" s="74" t="inlineStr">
        <is>
          <t>Total other income (expense), net</t>
        </is>
      </c>
      <c r="B22" s="145" t="n"/>
      <c r="C22" s="145" t="n"/>
      <c r="D22" s="145" t="n"/>
      <c r="E22" s="145" t="n"/>
      <c r="F22" s="145" t="n"/>
      <c r="G22" s="145" t="n"/>
      <c r="H22" s="145" t="n"/>
      <c r="I22" s="145" t="n"/>
      <c r="J22" s="145" t="n"/>
      <c r="K22" s="145" t="n"/>
      <c r="L22" s="145" t="n"/>
      <c r="M22" s="145" t="n"/>
      <c r="N22" s="509">
        <f>IF(N$2=1,Reported!N90,Reported!N90-Reported!M90)</f>
        <v/>
      </c>
      <c r="O22" s="509">
        <f>IF(O$2=1,Reported!O90,Reported!O90-Reported!N90)</f>
        <v/>
      </c>
      <c r="P22" s="509">
        <f>IF(P$2=1,Reported!P90,Reported!P90-Reported!O90)</f>
        <v/>
      </c>
      <c r="Q22" s="509">
        <f>IF(Q$2=1,Reported!Q90,Reported!Q90-Reported!P90)</f>
        <v/>
      </c>
      <c r="R22" s="509">
        <f>IF(R$2=1,Reported!R90,Reported!R90-Reported!Q90)</f>
        <v/>
      </c>
      <c r="S22" s="509">
        <f>IF(S$2=1,Reported!S90,Reported!S90-Reported!R90)</f>
        <v/>
      </c>
      <c r="T22" s="509">
        <f>IF(T$2=1,Reported!T90,Reported!T90-Reported!S90)</f>
        <v/>
      </c>
      <c r="U22" s="509">
        <f>IF(U$2=1,Reported!U90,Reported!U90-Reported!T90)</f>
        <v/>
      </c>
      <c r="V22" s="509">
        <f>IF(V$2=1,Reported!V90,Reported!V90-Reported!U90)</f>
        <v/>
      </c>
      <c r="W22" s="509">
        <f>IF(W$2=1,Reported!W90,Reported!W90-Reported!V90)</f>
        <v/>
      </c>
      <c r="X22" s="509">
        <f>IF(X$2=1,Reported!X90,Reported!X90-Reported!W90)</f>
        <v/>
      </c>
      <c r="Y22" s="509">
        <f>IF(Y$2=1,Reported!Y90,Reported!Y90-Reported!X90)</f>
        <v/>
      </c>
      <c r="Z22" s="509">
        <f>IF(Z$2=1,Reported!Z90,Reported!Z90-Reported!Y90)</f>
        <v/>
      </c>
      <c r="AA22" s="509">
        <f>IF(AA$2=1,Reported!AA90,Reported!AA90-Reported!Z90)</f>
        <v/>
      </c>
      <c r="AB22" s="509">
        <f>IF(AB$2=1,Reported!AB90,Reported!AB90-Reported!AA90)</f>
        <v/>
      </c>
      <c r="AC22" s="509">
        <f>IF(AC$2=1,Reported!AC90,Reported!AC90-Reported!AB90)</f>
        <v/>
      </c>
      <c r="AD22" s="509">
        <f>IF(AD$2=1,Reported!AD90,Reported!AD90-Reported!AC90)</f>
        <v/>
      </c>
      <c r="AE22" s="509">
        <f>IF(AE$2=1,Reported!AE90,Reported!AE90-Reported!AD90)</f>
        <v/>
      </c>
      <c r="AF22" s="509">
        <f>IF(AF$2=1,Reported!AF90,Reported!AF90-Reported!AE90)</f>
        <v/>
      </c>
      <c r="AG22" s="509">
        <f>IF(AG$2=1,Reported!AG90,Reported!AG90-Reported!AF90)</f>
        <v/>
      </c>
      <c r="AH22" s="509">
        <f>IF(AH$2=1,Reported!AH90,Reported!AH90-Reported!AG90)</f>
        <v/>
      </c>
      <c r="AI22" s="509">
        <f>IF(AI$2=1,Reported!AI90,Reported!AI90-Reported!AH90)</f>
        <v/>
      </c>
      <c r="AJ22" s="509">
        <f>IF(AJ$2=1,Reported!AJ90,Reported!AJ90-Reported!AI90)</f>
        <v/>
      </c>
      <c r="AK22" s="509">
        <f>IF(AK$2=1,Reported!AK90,Reported!AK90-Reported!AJ90)</f>
        <v/>
      </c>
      <c r="AL22" s="509">
        <f>IF(AL$2=1,Reported!AL90,Reported!AL90-Reported!AK90)</f>
        <v/>
      </c>
      <c r="AM22" s="509">
        <f>IF(AM$2=1,Reported!AM90,Reported!AM90-Reported!AL90)</f>
        <v/>
      </c>
      <c r="AN22" s="509">
        <f>IF(AN$2=1,Reported!AN90,Reported!AN90-Reported!AM90)</f>
        <v/>
      </c>
      <c r="AO22" s="509">
        <f>IF(AO$2=1,Reported!AO90,Reported!AO90-Reported!AN90)</f>
        <v/>
      </c>
      <c r="AP22" s="509">
        <f>IF(AP$2=1,Reported!AP90,Reported!AP90-Reported!AO90)</f>
        <v/>
      </c>
      <c r="AQ22" s="509">
        <f>IF(AQ$2=1,Reported!AQ90,Reported!AQ90-Reported!AP90)</f>
        <v/>
      </c>
      <c r="AR22" s="509">
        <f>IF(AR$2=1,Reported!AR90,Reported!AR90-Reported!AQ90)</f>
        <v/>
      </c>
      <c r="AS22" s="509">
        <f>IF(AS$2=1,Reported!AS90,Reported!AS90-Reported!AR90)</f>
        <v/>
      </c>
      <c r="AT22" s="509">
        <f>IF(AT$2=1,Reported!AT90,Reported!AT90-Reported!AS90)</f>
        <v/>
      </c>
      <c r="AU22" s="509">
        <f>IF(AU$2=1,Reported!AU90,Reported!AU90-Reported!AT90)</f>
        <v/>
      </c>
      <c r="AV22" s="509">
        <f>IF(AV$2=1,Reported!AV90,Reported!AV90-Reported!AU90)</f>
        <v/>
      </c>
      <c r="AW22" s="509">
        <f>IF(AW$2=1,Reported!AW90,Reported!AW90-Reported!AV90)</f>
        <v/>
      </c>
      <c r="AX22" s="509">
        <f>IF(AX$2=1,Reported!AX90,Reported!AX90-Reported!AW90)</f>
        <v/>
      </c>
      <c r="AY22" s="509">
        <f>IF(AY$2=1,Reported!AY90,Reported!AY90-Reported!AX90)</f>
        <v/>
      </c>
      <c r="AZ22" s="509">
        <f>IF(AZ$2=1,Reported!AZ90,Reported!AZ90-Reported!AY90)</f>
        <v/>
      </c>
      <c r="BA22" s="509">
        <f>IF(BA$2=1,Reported!BA90,Reported!BA90-Reported!AZ90)</f>
        <v/>
      </c>
      <c r="BB22" s="509">
        <f>IF(BB$2=1,Reported!BB90,Reported!BB90-Reported!BA90)</f>
        <v/>
      </c>
      <c r="BC22" s="509">
        <f>IF(BC$2=1,Reported!BC90,Reported!BC90-Reported!BB90)</f>
        <v/>
      </c>
      <c r="BD22" s="509">
        <f>IF(BD$2=1,Reported!BD90,Reported!BD90-Reported!BC90)</f>
        <v/>
      </c>
      <c r="BE22" s="509">
        <f>IF(BE$2=1,Reported!BE90,Reported!BE90-Reported!BD90)</f>
        <v/>
      </c>
      <c r="BF22" s="509">
        <f>IF(BF$2=1,Reported!BF90,Reported!BF90-Reported!BE90)</f>
        <v/>
      </c>
      <c r="BG22" s="509">
        <f>IF(BG$2=1,Reported!BG90,Reported!BG90-Reported!BF90)</f>
        <v/>
      </c>
      <c r="BH22" s="509">
        <f>IF(BH$2=1,Reported!BH90,Reported!BH90-Reported!BG90)</f>
        <v/>
      </c>
      <c r="BI22" s="509">
        <f>IF(BI$2=1,Reported!BI90,Reported!BI90-Reported!BH90)</f>
        <v/>
      </c>
      <c r="BJ22" s="509">
        <f>IF(BJ$2=1,Reported!BJ90,Reported!BJ90-Reported!BI90)</f>
        <v/>
      </c>
      <c r="BK22" s="509">
        <f>IF(BK$2=1,Reported!BK90,Reported!BK90-Reported!BJ90)</f>
        <v/>
      </c>
      <c r="BL22" s="509">
        <f>IF(BL$2=1,Reported!BL90,Reported!BL90-Reported!BK90)</f>
        <v/>
      </c>
      <c r="BM22" s="509">
        <f>IF(BM$2=1,Reported!BM90,Reported!BM90-Reported!BL90)</f>
        <v/>
      </c>
      <c r="BN22" s="509">
        <f>IF(BN$2=1,Reported!BN90,Reported!BN90-Reported!BM90)</f>
        <v/>
      </c>
      <c r="BO22" s="509">
        <f>IF(BO$2=1,Reported!BO90,Reported!BO90-Reported!BN90)</f>
        <v/>
      </c>
      <c r="BP22" s="509">
        <f>IF(BP$2=1,Reported!BP90,Reported!BP90-Reported!BO90)</f>
        <v/>
      </c>
      <c r="BQ22" s="509">
        <f>IF(BQ$2=1,Reported!BQ90,Reported!BQ90-Reported!BP90)</f>
        <v/>
      </c>
      <c r="BR22" s="509">
        <f>IF(BR$2=1,Reported!BR90,Reported!BR90-Reported!BQ90)</f>
        <v/>
      </c>
      <c r="BS22" s="517">
        <f>SUM(BS20:BS21)</f>
        <v/>
      </c>
      <c r="BT22" s="517">
        <f>SUM(BT20:BT21)</f>
        <v/>
      </c>
      <c r="BU22" s="517">
        <f>SUM(BU20:BU21)</f>
        <v/>
      </c>
      <c r="BV22" s="517">
        <f>SUM(BV20:BV21)</f>
        <v/>
      </c>
      <c r="BW22" s="517">
        <f>SUM(BW20:BW21)</f>
        <v/>
      </c>
      <c r="BX22" s="517">
        <f>SUM(BX20:BX21)</f>
        <v/>
      </c>
      <c r="BY22" s="517">
        <f>SUM(BY20:BY21)</f>
        <v/>
      </c>
      <c r="BZ22" s="517">
        <f>SUM(BZ20:BZ21)</f>
        <v/>
      </c>
      <c r="CA22" s="517">
        <f>SUM(CA20:CA21)</f>
        <v/>
      </c>
      <c r="CB22" s="517">
        <f>SUM(CB20:CB21)</f>
        <v/>
      </c>
      <c r="CC22" s="517">
        <f>SUM(CC20:CC21)</f>
        <v/>
      </c>
      <c r="CD22" s="517">
        <f>SUM(CD20:CD21)</f>
        <v/>
      </c>
      <c r="CE22" s="517">
        <f>SUM(CE20:CE21)</f>
        <v/>
      </c>
      <c r="CF22" s="517">
        <f>SUM(CF20:CF21)</f>
        <v/>
      </c>
      <c r="CG22" s="517">
        <f>SUM(CG20:CG21)</f>
        <v/>
      </c>
      <c r="CH22" s="517">
        <f>SUM(CH20:CH21)</f>
        <v/>
      </c>
      <c r="CI22" s="517">
        <f>SUM(CI20:CI21)</f>
        <v/>
      </c>
      <c r="CJ22" s="517">
        <f>SUM(CJ20:CJ21)</f>
        <v/>
      </c>
      <c r="CK22" s="517">
        <f>SUM(CK20:CK21)</f>
        <v/>
      </c>
    </row>
    <row r="23">
      <c r="A23" s="40" t="inlineStr">
        <is>
          <t>Income before provision for income taxes</t>
        </is>
      </c>
      <c r="B23" s="133" t="n"/>
      <c r="C23" s="133" t="n"/>
      <c r="D23" s="133" t="n"/>
      <c r="E23" s="133" t="n"/>
      <c r="F23" s="133" t="n"/>
      <c r="G23" s="133" t="n"/>
      <c r="H23" s="133" t="n"/>
      <c r="I23" s="133" t="n"/>
      <c r="J23" s="133" t="n"/>
      <c r="K23" s="133" t="n"/>
      <c r="L23" s="133" t="n"/>
      <c r="M23" s="133" t="n"/>
      <c r="N23" s="671">
        <f>IF(N$2=1,Reported!N91,Reported!N91-Reported!M91)</f>
        <v/>
      </c>
      <c r="O23" s="671">
        <f>IF(O$2=1,Reported!O91,Reported!O91-Reported!N91)</f>
        <v/>
      </c>
      <c r="P23" s="671">
        <f>IF(P$2=1,Reported!P91,Reported!P91-Reported!O91)</f>
        <v/>
      </c>
      <c r="Q23" s="671">
        <f>IF(Q$2=1,Reported!Q91,Reported!Q91-Reported!P91)</f>
        <v/>
      </c>
      <c r="R23" s="671">
        <f>IF(R$2=1,Reported!R91,Reported!R91-Reported!Q91)</f>
        <v/>
      </c>
      <c r="S23" s="671">
        <f>IF(S$2=1,Reported!S91,Reported!S91-Reported!R91)</f>
        <v/>
      </c>
      <c r="T23" s="671">
        <f>IF(T$2=1,Reported!T91,Reported!T91-Reported!S91)</f>
        <v/>
      </c>
      <c r="U23" s="671">
        <f>IF(U$2=1,Reported!U91,Reported!U91-Reported!T91)</f>
        <v/>
      </c>
      <c r="V23" s="671">
        <f>IF(V$2=1,Reported!V91,Reported!V91-Reported!U91)</f>
        <v/>
      </c>
      <c r="W23" s="671">
        <f>IF(W$2=1,Reported!W91,Reported!W91-Reported!V91)</f>
        <v/>
      </c>
      <c r="X23" s="671">
        <f>IF(X$2=1,Reported!X91,Reported!X91-Reported!W91)</f>
        <v/>
      </c>
      <c r="Y23" s="671">
        <f>IF(Y$2=1,Reported!Y91,Reported!Y91-Reported!X91)</f>
        <v/>
      </c>
      <c r="Z23" s="671">
        <f>IF(Z$2=1,Reported!Z91,Reported!Z91-Reported!Y91)</f>
        <v/>
      </c>
      <c r="AA23" s="671">
        <f>IF(AA$2=1,Reported!AA91,Reported!AA91-Reported!Z91)</f>
        <v/>
      </c>
      <c r="AB23" s="671">
        <f>IF(AB$2=1,Reported!AB91,Reported!AB91-Reported!AA91)</f>
        <v/>
      </c>
      <c r="AC23" s="671">
        <f>IF(AC$2=1,Reported!AC91,Reported!AC91-Reported!AB91)</f>
        <v/>
      </c>
      <c r="AD23" s="671">
        <f>IF(AD$2=1,Reported!AD91,Reported!AD91-Reported!AC91)</f>
        <v/>
      </c>
      <c r="AE23" s="671">
        <f>IF(AE$2=1,Reported!AE91,Reported!AE91-Reported!AD91)</f>
        <v/>
      </c>
      <c r="AF23" s="671">
        <f>IF(AF$2=1,Reported!AF91,Reported!AF91-Reported!AE91)</f>
        <v/>
      </c>
      <c r="AG23" s="671">
        <f>IF(AG$2=1,Reported!AG91,Reported!AG91-Reported!AF91)</f>
        <v/>
      </c>
      <c r="AH23" s="671">
        <f>IF(AH$2=1,Reported!AH91,Reported!AH91-Reported!AG91)</f>
        <v/>
      </c>
      <c r="AI23" s="671">
        <f>IF(AI$2=1,Reported!AI91,Reported!AI91-Reported!AH91)</f>
        <v/>
      </c>
      <c r="AJ23" s="671">
        <f>IF(AJ$2=1,Reported!AJ91,Reported!AJ91-Reported!AI91)</f>
        <v/>
      </c>
      <c r="AK23" s="671">
        <f>IF(AK$2=1,Reported!AK91,Reported!AK91-Reported!AJ91)</f>
        <v/>
      </c>
      <c r="AL23" s="671">
        <f>IF(AL$2=1,Reported!AL91,Reported!AL91-Reported!AK91)</f>
        <v/>
      </c>
      <c r="AM23" s="671">
        <f>IF(AM$2=1,Reported!AM91,Reported!AM91-Reported!AL91)</f>
        <v/>
      </c>
      <c r="AN23" s="671">
        <f>IF(AN$2=1,Reported!AN91,Reported!AN91-Reported!AM91)</f>
        <v/>
      </c>
      <c r="AO23" s="671">
        <f>IF(AO$2=1,Reported!AO91,Reported!AO91-Reported!AN91)</f>
        <v/>
      </c>
      <c r="AP23" s="671">
        <f>IF(AP$2=1,Reported!AP91,Reported!AP91-Reported!AO91)</f>
        <v/>
      </c>
      <c r="AQ23" s="671">
        <f>IF(AQ$2=1,Reported!AQ91,Reported!AQ91-Reported!AP91)</f>
        <v/>
      </c>
      <c r="AR23" s="671">
        <f>IF(AR$2=1,Reported!AR91,Reported!AR91-Reported!AQ91)</f>
        <v/>
      </c>
      <c r="AS23" s="671">
        <f>IF(AS$2=1,Reported!AS91,Reported!AS91-Reported!AR91)</f>
        <v/>
      </c>
      <c r="AT23" s="671">
        <f>IF(AT$2=1,Reported!AT91,Reported!AT91-Reported!AS91)</f>
        <v/>
      </c>
      <c r="AU23" s="671">
        <f>IF(AU$2=1,Reported!AU91,Reported!AU91-Reported!AT91)</f>
        <v/>
      </c>
      <c r="AV23" s="671">
        <f>IF(AV$2=1,Reported!AV91,Reported!AV91-Reported!AU91)</f>
        <v/>
      </c>
      <c r="AW23" s="671">
        <f>IF(AW$2=1,Reported!AW91,Reported!AW91-Reported!AV91)</f>
        <v/>
      </c>
      <c r="AX23" s="671">
        <f>IF(AX$2=1,Reported!AX91,Reported!AX91-Reported!AW91)</f>
        <v/>
      </c>
      <c r="AY23" s="671">
        <f>IF(AY$2=1,Reported!AY91,Reported!AY91-Reported!AX91)</f>
        <v/>
      </c>
      <c r="AZ23" s="671">
        <f>IF(AZ$2=1,Reported!AZ91,Reported!AZ91-Reported!AY91)</f>
        <v/>
      </c>
      <c r="BA23" s="671">
        <f>IF(BA$2=1,Reported!BA91,Reported!BA91-Reported!AZ91)</f>
        <v/>
      </c>
      <c r="BB23" s="671">
        <f>IF(BB$2=1,Reported!BB91,Reported!BB91-Reported!BA91)</f>
        <v/>
      </c>
      <c r="BC23" s="671">
        <f>IF(BC$2=1,Reported!BC91,Reported!BC91-Reported!BB91)</f>
        <v/>
      </c>
      <c r="BD23" s="671">
        <f>IF(BD$2=1,Reported!BD91,Reported!BD91-Reported!BC91)</f>
        <v/>
      </c>
      <c r="BE23" s="671">
        <f>IF(BE$2=1,Reported!BE91,Reported!BE91-Reported!BD91)</f>
        <v/>
      </c>
      <c r="BF23" s="671">
        <f>IF(BF$2=1,Reported!BF91,Reported!BF91-Reported!BE91)</f>
        <v/>
      </c>
      <c r="BG23" s="671">
        <f>IF(BG$2=1,Reported!BG91,Reported!BG91-Reported!BF91)</f>
        <v/>
      </c>
      <c r="BH23" s="671">
        <f>IF(BH$2=1,Reported!BH91,Reported!BH91-Reported!BG91)</f>
        <v/>
      </c>
      <c r="BI23" s="671">
        <f>IF(BI$2=1,Reported!BI91,Reported!BI91-Reported!BH91)</f>
        <v/>
      </c>
      <c r="BJ23" s="671">
        <f>IF(BJ$2=1,Reported!BJ91,Reported!BJ91-Reported!BI91)</f>
        <v/>
      </c>
      <c r="BK23" s="671">
        <f>IF(BK$2=1,Reported!BK91,Reported!BK91-Reported!BJ91)</f>
        <v/>
      </c>
      <c r="BL23" s="671">
        <f>IF(BL$2=1,Reported!BL91,Reported!BL91-Reported!BK91)</f>
        <v/>
      </c>
      <c r="BM23" s="671">
        <f>IF(BM$2=1,Reported!BM91,Reported!BM91-Reported!BL91)</f>
        <v/>
      </c>
      <c r="BN23" s="671">
        <f>IF(BN$2=1,Reported!BN91,Reported!BN91-Reported!BM91)</f>
        <v/>
      </c>
      <c r="BO23" s="671">
        <f>IF(BO$2=1,Reported!BO91,Reported!BO91-Reported!BN91)</f>
        <v/>
      </c>
      <c r="BP23" s="671">
        <f>IF(BP$2=1,Reported!BP91,Reported!BP91-Reported!BO91)</f>
        <v/>
      </c>
      <c r="BQ23" s="671">
        <f>IF(BQ$2=1,Reported!BQ91,Reported!BQ91-Reported!BP91)</f>
        <v/>
      </c>
      <c r="BR23" s="671">
        <f>IF(BR$2=1,Reported!BR91,Reported!BR91-Reported!BQ91)</f>
        <v/>
      </c>
      <c r="BS23" s="519">
        <f>Assumption!BS99</f>
        <v/>
      </c>
      <c r="BT23" s="519">
        <f>Assumption!BT99</f>
        <v/>
      </c>
      <c r="BU23" s="519">
        <f>Assumption!BU99</f>
        <v/>
      </c>
      <c r="BV23" s="519">
        <f>Assumption!BV99</f>
        <v/>
      </c>
      <c r="BW23" s="519">
        <f>Assumption!BW99</f>
        <v/>
      </c>
      <c r="BX23" s="519">
        <f>Assumption!BX99</f>
        <v/>
      </c>
      <c r="BY23" s="519">
        <f>Assumption!BY99</f>
        <v/>
      </c>
      <c r="BZ23" s="519">
        <f>Assumption!BZ99</f>
        <v/>
      </c>
      <c r="CA23" s="519">
        <f>Assumption!CA99</f>
        <v/>
      </c>
      <c r="CB23" s="519">
        <f>Assumption!CB99</f>
        <v/>
      </c>
      <c r="CC23" s="519">
        <f>Assumption!CC99</f>
        <v/>
      </c>
      <c r="CD23" s="519">
        <f>Assumption!CD99</f>
        <v/>
      </c>
      <c r="CE23" s="519">
        <f>Assumption!CE99</f>
        <v/>
      </c>
      <c r="CF23" s="519">
        <f>Assumption!CF99</f>
        <v/>
      </c>
      <c r="CG23" s="519">
        <f>Assumption!CG99</f>
        <v/>
      </c>
      <c r="CH23" s="519">
        <f>Assumption!CH99</f>
        <v/>
      </c>
      <c r="CI23" s="519">
        <f>Assumption!CI99</f>
        <v/>
      </c>
      <c r="CJ23" s="519">
        <f>Assumption!CJ99</f>
        <v/>
      </c>
      <c r="CK23" s="519">
        <f>Assumption!CK99</f>
        <v/>
      </c>
    </row>
    <row r="24">
      <c r="A24" s="74" t="inlineStr">
        <is>
          <t>Provision for income taxes</t>
        </is>
      </c>
      <c r="B24" s="145" t="n"/>
      <c r="C24" s="145" t="n"/>
      <c r="D24" s="145" t="n"/>
      <c r="E24" s="145" t="n"/>
      <c r="F24" s="145" t="n"/>
      <c r="G24" s="145" t="n"/>
      <c r="H24" s="145" t="n"/>
      <c r="I24" s="145" t="n"/>
      <c r="J24" s="145" t="n"/>
      <c r="K24" s="145" t="n"/>
      <c r="L24" s="145" t="n"/>
      <c r="M24" s="145" t="n"/>
      <c r="N24" s="509">
        <f>IF(N$2=1,Reported!N92,Reported!N92-Reported!M92)</f>
        <v/>
      </c>
      <c r="O24" s="509">
        <f>IF(O$2=1,Reported!O92,Reported!O92-Reported!N92)</f>
        <v/>
      </c>
      <c r="P24" s="509">
        <f>IF(P$2=1,Reported!P92,Reported!P92-Reported!O92)</f>
        <v/>
      </c>
      <c r="Q24" s="509">
        <f>IF(Q$2=1,Reported!Q92,Reported!Q92-Reported!P92)</f>
        <v/>
      </c>
      <c r="R24" s="509">
        <f>IF(R$2=1,Reported!R92,Reported!R92-Reported!Q92)</f>
        <v/>
      </c>
      <c r="S24" s="509">
        <f>IF(S$2=1,Reported!S92,Reported!S92-Reported!R92)</f>
        <v/>
      </c>
      <c r="T24" s="509">
        <f>IF(T$2=1,Reported!T92,Reported!T92-Reported!S92)</f>
        <v/>
      </c>
      <c r="U24" s="509">
        <f>IF(U$2=1,Reported!U92,Reported!U92-Reported!T92)</f>
        <v/>
      </c>
      <c r="V24" s="509">
        <f>IF(V$2=1,Reported!V92,Reported!V92-Reported!U92)</f>
        <v/>
      </c>
      <c r="W24" s="509">
        <f>IF(W$2=1,Reported!W92,Reported!W92-Reported!V92)</f>
        <v/>
      </c>
      <c r="X24" s="509">
        <f>IF(X$2=1,Reported!X92,Reported!X92-Reported!W92)</f>
        <v/>
      </c>
      <c r="Y24" s="509">
        <f>IF(Y$2=1,Reported!Y92,Reported!Y92-Reported!X92)</f>
        <v/>
      </c>
      <c r="Z24" s="509">
        <f>IF(Z$2=1,Reported!Z92,Reported!Z92-Reported!Y92)</f>
        <v/>
      </c>
      <c r="AA24" s="509">
        <f>IF(AA$2=1,Reported!AA92,Reported!AA92-Reported!Z92)</f>
        <v/>
      </c>
      <c r="AB24" s="509">
        <f>IF(AB$2=1,Reported!AB92,Reported!AB92-Reported!AA92)</f>
        <v/>
      </c>
      <c r="AC24" s="509">
        <f>IF(AC$2=1,Reported!AC92,Reported!AC92-Reported!AB92)</f>
        <v/>
      </c>
      <c r="AD24" s="509">
        <f>IF(AD$2=1,Reported!AD92,Reported!AD92-Reported!AC92)</f>
        <v/>
      </c>
      <c r="AE24" s="509">
        <f>IF(AE$2=1,Reported!AE92,Reported!AE92-Reported!AD92)</f>
        <v/>
      </c>
      <c r="AF24" s="509">
        <f>IF(AF$2=1,Reported!AF92,Reported!AF92-Reported!AE92)</f>
        <v/>
      </c>
      <c r="AG24" s="509">
        <f>IF(AG$2=1,Reported!AG92,Reported!AG92-Reported!AF92)</f>
        <v/>
      </c>
      <c r="AH24" s="509">
        <f>IF(AH$2=1,Reported!AH92,Reported!AH92-Reported!AG92)</f>
        <v/>
      </c>
      <c r="AI24" s="509">
        <f>IF(AI$2=1,Reported!AI92,Reported!AI92-Reported!AH92)</f>
        <v/>
      </c>
      <c r="AJ24" s="509">
        <f>IF(AJ$2=1,Reported!AJ92,Reported!AJ92-Reported!AI92)</f>
        <v/>
      </c>
      <c r="AK24" s="509">
        <f>IF(AK$2=1,Reported!AK92,Reported!AK92-Reported!AJ92)</f>
        <v/>
      </c>
      <c r="AL24" s="509">
        <f>IF(AL$2=1,Reported!AL92,Reported!AL92-Reported!AK92)</f>
        <v/>
      </c>
      <c r="AM24" s="509">
        <f>IF(AM$2=1,Reported!AM92,Reported!AM92-Reported!AL92)</f>
        <v/>
      </c>
      <c r="AN24" s="509">
        <f>IF(AN$2=1,Reported!AN92,Reported!AN92-Reported!AM92)</f>
        <v/>
      </c>
      <c r="AO24" s="509">
        <f>IF(AO$2=1,Reported!AO92,Reported!AO92-Reported!AN92)</f>
        <v/>
      </c>
      <c r="AP24" s="509">
        <f>IF(AP$2=1,Reported!AP92,Reported!AP92-Reported!AO92)</f>
        <v/>
      </c>
      <c r="AQ24" s="509">
        <f>IF(AQ$2=1,Reported!AQ92,Reported!AQ92-Reported!AP92)</f>
        <v/>
      </c>
      <c r="AR24" s="509">
        <f>IF(AR$2=1,Reported!AR92,Reported!AR92-Reported!AQ92)</f>
        <v/>
      </c>
      <c r="AS24" s="509">
        <f>IF(AS$2=1,Reported!AS92,Reported!AS92-Reported!AR92)</f>
        <v/>
      </c>
      <c r="AT24" s="509">
        <f>IF(AT$2=1,Reported!AT92,Reported!AT92-Reported!AS92)</f>
        <v/>
      </c>
      <c r="AU24" s="509">
        <f>IF(AU$2=1,Reported!AU92,Reported!AU92-Reported!AT92)</f>
        <v/>
      </c>
      <c r="AV24" s="509">
        <f>IF(AV$2=1,Reported!AV92,Reported!AV92-Reported!AU92)</f>
        <v/>
      </c>
      <c r="AW24" s="509">
        <f>IF(AW$2=1,Reported!AW92,Reported!AW92-Reported!AV92)</f>
        <v/>
      </c>
      <c r="AX24" s="509">
        <f>IF(AX$2=1,Reported!AX92,Reported!AX92-Reported!AW92)</f>
        <v/>
      </c>
      <c r="AY24" s="509">
        <f>IF(AY$2=1,Reported!AY92,Reported!AY92-Reported!AX92)</f>
        <v/>
      </c>
      <c r="AZ24" s="509">
        <f>IF(AZ$2=1,Reported!AZ92,Reported!AZ92-Reported!AY92)</f>
        <v/>
      </c>
      <c r="BA24" s="509">
        <f>IF(BA$2=1,Reported!BA92,Reported!BA92-Reported!AZ92)</f>
        <v/>
      </c>
      <c r="BB24" s="509">
        <f>IF(BB$2=1,Reported!BB92,Reported!BB92-Reported!BA92)</f>
        <v/>
      </c>
      <c r="BC24" s="509">
        <f>IF(BC$2=1,Reported!BC92,Reported!BC92-Reported!BB92)</f>
        <v/>
      </c>
      <c r="BD24" s="509">
        <f>IF(BD$2=1,Reported!BD92,Reported!BD92-Reported!BC92)</f>
        <v/>
      </c>
      <c r="BE24" s="509">
        <f>IF(BE$2=1,Reported!BE92,Reported!BE92-Reported!BD92)</f>
        <v/>
      </c>
      <c r="BF24" s="509">
        <f>IF(BF$2=1,Reported!BF92,Reported!BF92-Reported!BE92)</f>
        <v/>
      </c>
      <c r="BG24" s="509">
        <f>IF(BG$2=1,Reported!BG92,Reported!BG92-Reported!BF92)</f>
        <v/>
      </c>
      <c r="BH24" s="509">
        <f>IF(BH$2=1,Reported!BH92,Reported!BH92-Reported!BG92)</f>
        <v/>
      </c>
      <c r="BI24" s="509">
        <f>IF(BI$2=1,Reported!BI92,Reported!BI92-Reported!BH92)</f>
        <v/>
      </c>
      <c r="BJ24" s="509">
        <f>IF(BJ$2=1,Reported!BJ92,Reported!BJ92-Reported!BI92)</f>
        <v/>
      </c>
      <c r="BK24" s="509">
        <f>IF(BK$2=1,Reported!BK92,Reported!BK92-Reported!BJ92)</f>
        <v/>
      </c>
      <c r="BL24" s="509">
        <f>IF(BL$2=1,Reported!BL92,Reported!BL92-Reported!BK92)</f>
        <v/>
      </c>
      <c r="BM24" s="509">
        <f>IF(BM$2=1,Reported!BM92,Reported!BM92-Reported!BL92)</f>
        <v/>
      </c>
      <c r="BN24" s="509">
        <f>IF(BN$2=1,Reported!BN92,Reported!BN92-Reported!BM92)</f>
        <v/>
      </c>
      <c r="BO24" s="509">
        <f>IF(BO$2=1,Reported!BO92,Reported!BO92-Reported!BN92)</f>
        <v/>
      </c>
      <c r="BP24" s="509">
        <f>IF(BP$2=1,Reported!BP92,Reported!BP92-Reported!BO92)</f>
        <v/>
      </c>
      <c r="BQ24" s="509">
        <f>IF(BQ$2=1,Reported!BQ92,Reported!BQ92-Reported!BP92)</f>
        <v/>
      </c>
      <c r="BR24" s="509">
        <f>IF(BR$2=1,Reported!BR92,Reported!BR92-Reported!BQ92)</f>
        <v/>
      </c>
      <c r="BS24" s="517">
        <f>Assumption!BS101</f>
        <v/>
      </c>
      <c r="BT24" s="517">
        <f>Assumption!BT101</f>
        <v/>
      </c>
      <c r="BU24" s="517">
        <f>Assumption!BU101</f>
        <v/>
      </c>
      <c r="BV24" s="517">
        <f>Assumption!BV101</f>
        <v/>
      </c>
      <c r="BW24" s="517">
        <f>Assumption!BW101</f>
        <v/>
      </c>
      <c r="BX24" s="517">
        <f>Assumption!BX101</f>
        <v/>
      </c>
      <c r="BY24" s="517">
        <f>Assumption!BY101</f>
        <v/>
      </c>
      <c r="BZ24" s="517">
        <f>Assumption!BZ101</f>
        <v/>
      </c>
      <c r="CA24" s="517">
        <f>Assumption!CA101</f>
        <v/>
      </c>
      <c r="CB24" s="517">
        <f>Assumption!CB101</f>
        <v/>
      </c>
      <c r="CC24" s="517">
        <f>Assumption!CC101</f>
        <v/>
      </c>
      <c r="CD24" s="517">
        <f>Assumption!CD101</f>
        <v/>
      </c>
      <c r="CE24" s="517">
        <f>Assumption!CE101</f>
        <v/>
      </c>
      <c r="CF24" s="517">
        <f>Assumption!CF101</f>
        <v/>
      </c>
      <c r="CG24" s="517">
        <f>Assumption!CG101</f>
        <v/>
      </c>
      <c r="CH24" s="517">
        <f>Assumption!CH101</f>
        <v/>
      </c>
      <c r="CI24" s="517">
        <f>Assumption!CI101</f>
        <v/>
      </c>
      <c r="CJ24" s="517">
        <f>Assumption!CJ101</f>
        <v/>
      </c>
      <c r="CK24" s="517">
        <f>Assumption!CK101</f>
        <v/>
      </c>
    </row>
    <row r="25">
      <c r="A25" s="40" t="inlineStr">
        <is>
          <t>Net income</t>
        </is>
      </c>
      <c r="B25" s="133" t="n"/>
      <c r="C25" s="133" t="n"/>
      <c r="D25" s="133" t="n"/>
      <c r="E25" s="133" t="n"/>
      <c r="F25" s="133" t="n"/>
      <c r="G25" s="133" t="n"/>
      <c r="H25" s="133" t="n"/>
      <c r="I25" s="133" t="n"/>
      <c r="J25" s="133" t="n"/>
      <c r="K25" s="133" t="n"/>
      <c r="L25" s="133" t="n"/>
      <c r="M25" s="133" t="n"/>
      <c r="N25" s="671">
        <f>IF(N$2=1,Reported!N93,Reported!N93-Reported!M93)</f>
        <v/>
      </c>
      <c r="O25" s="671">
        <f>IF(O$2=1,Reported!O93,Reported!O93-Reported!N93)</f>
        <v/>
      </c>
      <c r="P25" s="671">
        <f>IF(P$2=1,Reported!P93,Reported!P93-Reported!O93)</f>
        <v/>
      </c>
      <c r="Q25" s="671">
        <f>IF(Q$2=1,Reported!Q93,Reported!Q93-Reported!P93)</f>
        <v/>
      </c>
      <c r="R25" s="671">
        <f>IF(R$2=1,Reported!R93,Reported!R93-Reported!Q93)</f>
        <v/>
      </c>
      <c r="S25" s="671">
        <f>IF(S$2=1,Reported!S93,Reported!S93-Reported!R93)</f>
        <v/>
      </c>
      <c r="T25" s="671">
        <f>IF(T$2=1,Reported!T93,Reported!T93-Reported!S93)</f>
        <v/>
      </c>
      <c r="U25" s="671">
        <f>IF(U$2=1,Reported!U93,Reported!U93-Reported!T93)</f>
        <v/>
      </c>
      <c r="V25" s="671">
        <f>IF(V$2=1,Reported!V93,Reported!V93-Reported!U93)</f>
        <v/>
      </c>
      <c r="W25" s="671">
        <f>IF(W$2=1,Reported!W93,Reported!W93-Reported!V93)</f>
        <v/>
      </c>
      <c r="X25" s="671">
        <f>IF(X$2=1,Reported!X93,Reported!X93-Reported!W93)</f>
        <v/>
      </c>
      <c r="Y25" s="671">
        <f>IF(Y$2=1,Reported!Y93,Reported!Y93-Reported!X93)</f>
        <v/>
      </c>
      <c r="Z25" s="671">
        <f>IF(Z$2=1,Reported!Z93,Reported!Z93-Reported!Y93)</f>
        <v/>
      </c>
      <c r="AA25" s="671">
        <f>IF(AA$2=1,Reported!AA93,Reported!AA93-Reported!Z93)</f>
        <v/>
      </c>
      <c r="AB25" s="671">
        <f>IF(AB$2=1,Reported!AB93,Reported!AB93-Reported!AA93)</f>
        <v/>
      </c>
      <c r="AC25" s="671">
        <f>IF(AC$2=1,Reported!AC93,Reported!AC93-Reported!AB93)</f>
        <v/>
      </c>
      <c r="AD25" s="671">
        <f>IF(AD$2=1,Reported!AD93,Reported!AD93-Reported!AC93)</f>
        <v/>
      </c>
      <c r="AE25" s="671">
        <f>IF(AE$2=1,Reported!AE93,Reported!AE93-Reported!AD93)</f>
        <v/>
      </c>
      <c r="AF25" s="671">
        <f>IF(AF$2=1,Reported!AF93,Reported!AF93-Reported!AE93)</f>
        <v/>
      </c>
      <c r="AG25" s="671">
        <f>IF(AG$2=1,Reported!AG93,Reported!AG93-Reported!AF93)</f>
        <v/>
      </c>
      <c r="AH25" s="671">
        <f>IF(AH$2=1,Reported!AH93,Reported!AH93-Reported!AG93)</f>
        <v/>
      </c>
      <c r="AI25" s="671">
        <f>IF(AI$2=1,Reported!AI93,Reported!AI93-Reported!AH93)</f>
        <v/>
      </c>
      <c r="AJ25" s="671">
        <f>IF(AJ$2=1,Reported!AJ93,Reported!AJ93-Reported!AI93)</f>
        <v/>
      </c>
      <c r="AK25" s="671">
        <f>IF(AK$2=1,Reported!AK93,Reported!AK93-Reported!AJ93)</f>
        <v/>
      </c>
      <c r="AL25" s="671">
        <f>IF(AL$2=1,Reported!AL93,Reported!AL93-Reported!AK93)</f>
        <v/>
      </c>
      <c r="AM25" s="671">
        <f>IF(AM$2=1,Reported!AM93,Reported!AM93-Reported!AL93)</f>
        <v/>
      </c>
      <c r="AN25" s="671">
        <f>IF(AN$2=1,Reported!AN93,Reported!AN93-Reported!AM93)</f>
        <v/>
      </c>
      <c r="AO25" s="671">
        <f>IF(AO$2=1,Reported!AO93,Reported!AO93-Reported!AN93)</f>
        <v/>
      </c>
      <c r="AP25" s="671">
        <f>IF(AP$2=1,Reported!AP93,Reported!AP93-Reported!AO93)</f>
        <v/>
      </c>
      <c r="AQ25" s="671">
        <f>IF(AQ$2=1,Reported!AQ93,Reported!AQ93-Reported!AP93)</f>
        <v/>
      </c>
      <c r="AR25" s="671">
        <f>IF(AR$2=1,Reported!AR93,Reported!AR93-Reported!AQ93)</f>
        <v/>
      </c>
      <c r="AS25" s="671">
        <f>IF(AS$2=1,Reported!AS93,Reported!AS93-Reported!AR93)</f>
        <v/>
      </c>
      <c r="AT25" s="671">
        <f>IF(AT$2=1,Reported!AT93,Reported!AT93-Reported!AS93)</f>
        <v/>
      </c>
      <c r="AU25" s="671">
        <f>IF(AU$2=1,Reported!AU93,Reported!AU93-Reported!AT93)</f>
        <v/>
      </c>
      <c r="AV25" s="671">
        <f>IF(AV$2=1,Reported!AV93,Reported!AV93-Reported!AU93)</f>
        <v/>
      </c>
      <c r="AW25" s="671">
        <f>IF(AW$2=1,Reported!AW93,Reported!AW93-Reported!AV93)</f>
        <v/>
      </c>
      <c r="AX25" s="671">
        <f>IF(AX$2=1,Reported!AX93,Reported!AX93-Reported!AW93)</f>
        <v/>
      </c>
      <c r="AY25" s="671">
        <f>IF(AY$2=1,Reported!AY93,Reported!AY93-Reported!AX93)</f>
        <v/>
      </c>
      <c r="AZ25" s="671">
        <f>IF(AZ$2=1,Reported!AZ93,Reported!AZ93-Reported!AY93)</f>
        <v/>
      </c>
      <c r="BA25" s="671">
        <f>IF(BA$2=1,Reported!BA93,Reported!BA93-Reported!AZ93)</f>
        <v/>
      </c>
      <c r="BB25" s="671">
        <f>IF(BB$2=1,Reported!BB93,Reported!BB93-Reported!BA93)</f>
        <v/>
      </c>
      <c r="BC25" s="671">
        <f>IF(BC$2=1,Reported!BC93,Reported!BC93-Reported!BB93)</f>
        <v/>
      </c>
      <c r="BD25" s="671">
        <f>IF(BD$2=1,Reported!BD93,Reported!BD93-Reported!BC93)</f>
        <v/>
      </c>
      <c r="BE25" s="671">
        <f>IF(BE$2=1,Reported!BE93,Reported!BE93-Reported!BD93)</f>
        <v/>
      </c>
      <c r="BF25" s="671">
        <f>IF(BF$2=1,Reported!BF93,Reported!BF93-Reported!BE93)</f>
        <v/>
      </c>
      <c r="BG25" s="671">
        <f>IF(BG$2=1,Reported!BG93,Reported!BG93-Reported!BF93)</f>
        <v/>
      </c>
      <c r="BH25" s="671">
        <f>IF(BH$2=1,Reported!BH93,Reported!BH93-Reported!BG93)</f>
        <v/>
      </c>
      <c r="BI25" s="671">
        <f>IF(BI$2=1,Reported!BI93,Reported!BI93-Reported!BH93)</f>
        <v/>
      </c>
      <c r="BJ25" s="671">
        <f>IF(BJ$2=1,Reported!BJ93,Reported!BJ93-Reported!BI93)</f>
        <v/>
      </c>
      <c r="BK25" s="671">
        <f>IF(BK$2=1,Reported!BK93,Reported!BK93-Reported!BJ93)</f>
        <v/>
      </c>
      <c r="BL25" s="671">
        <f>IF(BL$2=1,Reported!BL93,Reported!BL93-Reported!BK93)</f>
        <v/>
      </c>
      <c r="BM25" s="671">
        <f>IF(BM$2=1,Reported!BM93,Reported!BM93-Reported!BL93)</f>
        <v/>
      </c>
      <c r="BN25" s="671">
        <f>IF(BN$2=1,Reported!BN93,Reported!BN93-Reported!BM93)</f>
        <v/>
      </c>
      <c r="BO25" s="671">
        <f>IF(BO$2=1,Reported!BO93,Reported!BO93-Reported!BN93)</f>
        <v/>
      </c>
      <c r="BP25" s="671">
        <f>IF(BP$2=1,Reported!BP93,Reported!BP93-Reported!BO93)</f>
        <v/>
      </c>
      <c r="BQ25" s="671">
        <f>IF(BQ$2=1,Reported!BQ93,Reported!BQ93-Reported!BP93)</f>
        <v/>
      </c>
      <c r="BR25" s="671">
        <f>IF(BR$2=1,Reported!BR93,Reported!BR93-Reported!BQ93)</f>
        <v/>
      </c>
      <c r="BS25" s="519">
        <f>Assumption!BS108</f>
        <v/>
      </c>
      <c r="BT25" s="519">
        <f>Assumption!BT108</f>
        <v/>
      </c>
      <c r="BU25" s="519">
        <f>Assumption!BU108</f>
        <v/>
      </c>
      <c r="BV25" s="519">
        <f>Assumption!BV108</f>
        <v/>
      </c>
      <c r="BW25" s="519">
        <f>Assumption!BW108</f>
        <v/>
      </c>
      <c r="BX25" s="519">
        <f>Assumption!BX108</f>
        <v/>
      </c>
      <c r="BY25" s="519">
        <f>Assumption!BY108</f>
        <v/>
      </c>
      <c r="BZ25" s="519">
        <f>Assumption!BZ108</f>
        <v/>
      </c>
      <c r="CA25" s="519">
        <f>Assumption!CA108</f>
        <v/>
      </c>
      <c r="CB25" s="519">
        <f>Assumption!CB108</f>
        <v/>
      </c>
      <c r="CC25" s="519">
        <f>Assumption!CC108</f>
        <v/>
      </c>
      <c r="CD25" s="519">
        <f>Assumption!CD108</f>
        <v/>
      </c>
      <c r="CE25" s="519">
        <f>Assumption!CE108</f>
        <v/>
      </c>
      <c r="CF25" s="519">
        <f>Assumption!CF108</f>
        <v/>
      </c>
      <c r="CG25" s="519">
        <f>Assumption!CG108</f>
        <v/>
      </c>
      <c r="CH25" s="519">
        <f>Assumption!CH108</f>
        <v/>
      </c>
      <c r="CI25" s="519">
        <f>Assumption!CI108</f>
        <v/>
      </c>
      <c r="CJ25" s="519">
        <f>Assumption!CJ108</f>
        <v/>
      </c>
      <c r="CK25" s="519">
        <f>Assumption!CK108</f>
        <v/>
      </c>
    </row>
    <row r="26">
      <c r="A26" s="74" t="inlineStr">
        <is>
          <t>Less: Net loss attributable to noncontrolling interests</t>
        </is>
      </c>
      <c r="B26" s="145" t="n"/>
      <c r="C26" s="145" t="n"/>
      <c r="D26" s="145" t="n"/>
      <c r="E26" s="145" t="n"/>
      <c r="F26" s="145" t="n"/>
      <c r="G26" s="145" t="n"/>
      <c r="H26" s="145" t="n"/>
      <c r="I26" s="145" t="n"/>
      <c r="J26" s="145" t="n"/>
      <c r="K26" s="145" t="n"/>
      <c r="L26" s="145" t="n"/>
      <c r="M26" s="145" t="n"/>
      <c r="N26" s="509">
        <f>IF(N$2=1,Reported!N94,Reported!N94-Reported!M94)</f>
        <v/>
      </c>
      <c r="O26" s="509">
        <f>IF(O$2=1,Reported!O94,Reported!O94-Reported!N94)</f>
        <v/>
      </c>
      <c r="P26" s="509">
        <f>IF(P$2=1,Reported!P94,Reported!P94-Reported!O94)</f>
        <v/>
      </c>
      <c r="Q26" s="509">
        <f>IF(Q$2=1,Reported!Q94,Reported!Q94-Reported!P94)</f>
        <v/>
      </c>
      <c r="R26" s="509">
        <f>IF(R$2=1,Reported!R94,Reported!R94-Reported!Q94)</f>
        <v/>
      </c>
      <c r="S26" s="509">
        <f>IF(S$2=1,Reported!S94,Reported!S94-Reported!R94)</f>
        <v/>
      </c>
      <c r="T26" s="509">
        <f>IF(T$2=1,Reported!T94,Reported!T94-Reported!S94)</f>
        <v/>
      </c>
      <c r="U26" s="509">
        <f>IF(U$2=1,Reported!U94,Reported!U94-Reported!T94)</f>
        <v/>
      </c>
      <c r="V26" s="509">
        <f>IF(V$2=1,Reported!V94,Reported!V94-Reported!U94)</f>
        <v/>
      </c>
      <c r="W26" s="509">
        <f>IF(W$2=1,Reported!W94,Reported!W94-Reported!V94)</f>
        <v/>
      </c>
      <c r="X26" s="509">
        <f>IF(X$2=1,Reported!X94,Reported!X94-Reported!W94)</f>
        <v/>
      </c>
      <c r="Y26" s="509">
        <f>IF(Y$2=1,Reported!Y94,Reported!Y94-Reported!X94)</f>
        <v/>
      </c>
      <c r="Z26" s="509">
        <f>IF(Z$2=1,Reported!Z94,Reported!Z94-Reported!Y94)</f>
        <v/>
      </c>
      <c r="AA26" s="509">
        <f>IF(AA$2=1,Reported!AA94,Reported!AA94-Reported!Z94)</f>
        <v/>
      </c>
      <c r="AB26" s="509">
        <f>IF(AB$2=1,Reported!AB94,Reported!AB94-Reported!AA94)</f>
        <v/>
      </c>
      <c r="AC26" s="509">
        <f>IF(AC$2=1,Reported!AC94,Reported!AC94-Reported!AB94)</f>
        <v/>
      </c>
      <c r="AD26" s="509">
        <f>IF(AD$2=1,Reported!AD94,Reported!AD94-Reported!AC94)</f>
        <v/>
      </c>
      <c r="AE26" s="509">
        <f>IF(AE$2=1,Reported!AE94,Reported!AE94-Reported!AD94)</f>
        <v/>
      </c>
      <c r="AF26" s="509">
        <f>IF(AF$2=1,Reported!AF94,Reported!AF94-Reported!AE94)</f>
        <v/>
      </c>
      <c r="AG26" s="509">
        <f>IF(AG$2=1,Reported!AG94,Reported!AG94-Reported!AF94)</f>
        <v/>
      </c>
      <c r="AH26" s="509">
        <f>IF(AH$2=1,Reported!AH94,Reported!AH94-Reported!AG94)</f>
        <v/>
      </c>
      <c r="AI26" s="509">
        <f>IF(AI$2=1,Reported!AI94,Reported!AI94-Reported!AH94)</f>
        <v/>
      </c>
      <c r="AJ26" s="509">
        <f>IF(AJ$2=1,Reported!AJ94,Reported!AJ94-Reported!AI94)</f>
        <v/>
      </c>
      <c r="AK26" s="509">
        <f>IF(AK$2=1,Reported!AK94,Reported!AK94-Reported!AJ94)</f>
        <v/>
      </c>
      <c r="AL26" s="509">
        <f>IF(AL$2=1,Reported!AL94,Reported!AL94-Reported!AK94)</f>
        <v/>
      </c>
      <c r="AM26" s="509">
        <f>IF(AM$2=1,Reported!AM94,Reported!AM94-Reported!AL94)</f>
        <v/>
      </c>
      <c r="AN26" s="509">
        <f>IF(AN$2=1,Reported!AN94,Reported!AN94-Reported!AM94)</f>
        <v/>
      </c>
      <c r="AO26" s="509">
        <f>IF(AO$2=1,Reported!AO94,Reported!AO94-Reported!AN94)</f>
        <v/>
      </c>
      <c r="AP26" s="509">
        <f>IF(AP$2=1,Reported!AP94,Reported!AP94-Reported!AO94)</f>
        <v/>
      </c>
      <c r="AQ26" s="509">
        <f>IF(AQ$2=1,Reported!AQ94,Reported!AQ94-Reported!AP94)</f>
        <v/>
      </c>
      <c r="AR26" s="509">
        <f>IF(AR$2=1,Reported!AR94,Reported!AR94-Reported!AQ94)</f>
        <v/>
      </c>
      <c r="AS26" s="509">
        <f>IF(AS$2=1,Reported!AS94,Reported!AS94-Reported!AR94)</f>
        <v/>
      </c>
      <c r="AT26" s="509">
        <f>IF(AT$2=1,Reported!AT94,Reported!AT94-Reported!AS94)</f>
        <v/>
      </c>
      <c r="AU26" s="509">
        <f>IF(AU$2=1,Reported!AU94,Reported!AU94-Reported!AT94)</f>
        <v/>
      </c>
      <c r="AV26" s="509">
        <f>IF(AV$2=1,Reported!AV94,Reported!AV94-Reported!AU94)</f>
        <v/>
      </c>
      <c r="AW26" s="509">
        <f>IF(AW$2=1,Reported!AW94,Reported!AW94-Reported!AV94)</f>
        <v/>
      </c>
      <c r="AX26" s="509">
        <f>IF(AX$2=1,Reported!AX94,Reported!AX94-Reported!AW94)</f>
        <v/>
      </c>
      <c r="AY26" s="509">
        <f>IF(AY$2=1,Reported!AY94,Reported!AY94-Reported!AX94)</f>
        <v/>
      </c>
      <c r="AZ26" s="509">
        <f>IF(AZ$2=1,Reported!AZ94,Reported!AZ94-Reported!AY94)</f>
        <v/>
      </c>
      <c r="BA26" s="509">
        <f>IF(BA$2=1,Reported!BA94,Reported!BA94-Reported!AZ94)</f>
        <v/>
      </c>
      <c r="BB26" s="509">
        <f>IF(BB$2=1,Reported!BB94,Reported!BB94-Reported!BA94)</f>
        <v/>
      </c>
      <c r="BC26" s="509">
        <f>IF(BC$2=1,Reported!BC94,Reported!BC94-Reported!BB94)</f>
        <v/>
      </c>
      <c r="BD26" s="509">
        <f>IF(BD$2=1,Reported!BD94,Reported!BD94-Reported!BC94)</f>
        <v/>
      </c>
      <c r="BE26" s="509">
        <f>IF(BE$2=1,Reported!BE94,Reported!BE94-Reported!BD94)</f>
        <v/>
      </c>
      <c r="BF26" s="509">
        <f>IF(BF$2=1,Reported!BF94,Reported!BF94-Reported!BE94)</f>
        <v/>
      </c>
      <c r="BG26" s="509">
        <f>IF(BG$2=1,Reported!BG94,Reported!BG94-Reported!BF94)</f>
        <v/>
      </c>
      <c r="BH26" s="509">
        <f>IF(BH$2=1,Reported!BH94,Reported!BH94-Reported!BG94)</f>
        <v/>
      </c>
      <c r="BI26" s="509">
        <f>IF(BI$2=1,Reported!BI94,Reported!BI94-Reported!BH94)</f>
        <v/>
      </c>
      <c r="BJ26" s="509">
        <f>IF(BJ$2=1,Reported!BJ94,Reported!BJ94-Reported!BI94)</f>
        <v/>
      </c>
      <c r="BK26" s="509">
        <f>IF(BK$2=1,Reported!BK94,Reported!BK94-Reported!BJ94)</f>
        <v/>
      </c>
      <c r="BL26" s="509">
        <f>IF(BL$2=1,Reported!BL94,Reported!BL94-Reported!BK94)</f>
        <v/>
      </c>
      <c r="BM26" s="509">
        <f>IF(BM$2=1,Reported!BM94,Reported!BM94-Reported!BL94)</f>
        <v/>
      </c>
      <c r="BN26" s="509">
        <f>IF(BN$2=1,Reported!BN94,Reported!BN94-Reported!BM94)</f>
        <v/>
      </c>
      <c r="BO26" s="509">
        <f>IF(BO$2=1,Reported!BO94,Reported!BO94-Reported!BN94)</f>
        <v/>
      </c>
      <c r="BP26" s="509">
        <f>IF(BP$2=1,Reported!BP94,Reported!BP94-Reported!BO94)</f>
        <v/>
      </c>
      <c r="BQ26" s="509">
        <f>IF(BQ$2=1,Reported!BQ94,Reported!BQ94-Reported!BP94)</f>
        <v/>
      </c>
      <c r="BR26" s="509">
        <f>IF(BR$2=1,Reported!BR94,Reported!BR94-Reported!BQ94)</f>
        <v/>
      </c>
      <c r="BS26" s="517">
        <f>Assumption!BS114</f>
        <v/>
      </c>
      <c r="BT26" s="517">
        <f>Assumption!BT114</f>
        <v/>
      </c>
      <c r="BU26" s="517">
        <f>Assumption!BU114</f>
        <v/>
      </c>
      <c r="BV26" s="517">
        <f>Assumption!BV114</f>
        <v/>
      </c>
      <c r="BW26" s="517">
        <f>Assumption!BW114</f>
        <v/>
      </c>
      <c r="BX26" s="517">
        <f>Assumption!BX114</f>
        <v/>
      </c>
      <c r="BY26" s="517">
        <f>Assumption!BY114</f>
        <v/>
      </c>
      <c r="BZ26" s="517">
        <f>Assumption!BZ114</f>
        <v/>
      </c>
      <c r="CA26" s="517">
        <f>Assumption!CA114</f>
        <v/>
      </c>
      <c r="CB26" s="517">
        <f>Assumption!CB114</f>
        <v/>
      </c>
      <c r="CC26" s="517">
        <f>Assumption!CC114</f>
        <v/>
      </c>
      <c r="CD26" s="517">
        <f>Assumption!CD114</f>
        <v/>
      </c>
      <c r="CE26" s="517">
        <f>Assumption!CE114</f>
        <v/>
      </c>
      <c r="CF26" s="517">
        <f>Assumption!CF114</f>
        <v/>
      </c>
      <c r="CG26" s="517">
        <f>Assumption!CG114</f>
        <v/>
      </c>
      <c r="CH26" s="517">
        <f>Assumption!CH114</f>
        <v/>
      </c>
      <c r="CI26" s="517">
        <f>Assumption!CI114</f>
        <v/>
      </c>
      <c r="CJ26" s="517">
        <f>Assumption!CJ114</f>
        <v/>
      </c>
      <c r="CK26" s="517">
        <f>Assumption!CK114</f>
        <v/>
      </c>
    </row>
    <row r="27">
      <c r="A27" s="22" t="inlineStr">
        <is>
          <t>Net income attributable to IPG Photonics Corporation</t>
        </is>
      </c>
      <c r="B27" s="133" t="n"/>
      <c r="C27" s="133" t="n"/>
      <c r="D27" s="133" t="n"/>
      <c r="E27" s="133" t="n"/>
      <c r="F27" s="133" t="n"/>
      <c r="G27" s="133" t="n"/>
      <c r="H27" s="133" t="n"/>
      <c r="I27" s="133" t="n"/>
      <c r="J27" s="133" t="n"/>
      <c r="K27" s="133" t="n"/>
      <c r="L27" s="133" t="n"/>
      <c r="M27" s="133" t="n"/>
      <c r="N27" s="671">
        <f>IF(N$2=1,Reported!N95,Reported!N95-Reported!M95)</f>
        <v/>
      </c>
      <c r="O27" s="671">
        <f>IF(O$2=1,Reported!O95,Reported!O95-Reported!N95)</f>
        <v/>
      </c>
      <c r="P27" s="671">
        <f>IF(P$2=1,Reported!P95,Reported!P95-Reported!O95)</f>
        <v/>
      </c>
      <c r="Q27" s="671">
        <f>IF(Q$2=1,Reported!Q95,Reported!Q95-Reported!P95)</f>
        <v/>
      </c>
      <c r="R27" s="671">
        <f>IF(R$2=1,Reported!R95,Reported!R95-Reported!Q95)</f>
        <v/>
      </c>
      <c r="S27" s="671">
        <f>IF(S$2=1,Reported!S95,Reported!S95-Reported!R95)</f>
        <v/>
      </c>
      <c r="T27" s="671">
        <f>IF(T$2=1,Reported!T95,Reported!T95-Reported!S95)</f>
        <v/>
      </c>
      <c r="U27" s="671">
        <f>IF(U$2=1,Reported!U95,Reported!U95-Reported!T95)</f>
        <v/>
      </c>
      <c r="V27" s="671">
        <f>IF(V$2=1,Reported!V95,Reported!V95-Reported!U95)</f>
        <v/>
      </c>
      <c r="W27" s="671">
        <f>IF(W$2=1,Reported!W95,Reported!W95-Reported!V95)</f>
        <v/>
      </c>
      <c r="X27" s="671">
        <f>IF(X$2=1,Reported!X95,Reported!X95-Reported!W95)</f>
        <v/>
      </c>
      <c r="Y27" s="671">
        <f>IF(Y$2=1,Reported!Y95,Reported!Y95-Reported!X95)</f>
        <v/>
      </c>
      <c r="Z27" s="671">
        <f>IF(Z$2=1,Reported!Z95,Reported!Z95-Reported!Y95)</f>
        <v/>
      </c>
      <c r="AA27" s="671">
        <f>IF(AA$2=1,Reported!AA95,Reported!AA95-Reported!Z95)</f>
        <v/>
      </c>
      <c r="AB27" s="671">
        <f>IF(AB$2=1,Reported!AB95,Reported!AB95-Reported!AA95)</f>
        <v/>
      </c>
      <c r="AC27" s="671">
        <f>IF(AC$2=1,Reported!AC95,Reported!AC95-Reported!AB95)</f>
        <v/>
      </c>
      <c r="AD27" s="671">
        <f>IF(AD$2=1,Reported!AD95,Reported!AD95-Reported!AC95)</f>
        <v/>
      </c>
      <c r="AE27" s="671">
        <f>IF(AE$2=1,Reported!AE95,Reported!AE95-Reported!AD95)</f>
        <v/>
      </c>
      <c r="AF27" s="671">
        <f>IF(AF$2=1,Reported!AF95,Reported!AF95-Reported!AE95)</f>
        <v/>
      </c>
      <c r="AG27" s="671">
        <f>IF(AG$2=1,Reported!AG95,Reported!AG95-Reported!AF95)</f>
        <v/>
      </c>
      <c r="AH27" s="671">
        <f>IF(AH$2=1,Reported!AH95,Reported!AH95-Reported!AG95)</f>
        <v/>
      </c>
      <c r="AI27" s="671">
        <f>IF(AI$2=1,Reported!AI95,Reported!AI95-Reported!AH95)</f>
        <v/>
      </c>
      <c r="AJ27" s="671">
        <f>IF(AJ$2=1,Reported!AJ95,Reported!AJ95-Reported!AI95)</f>
        <v/>
      </c>
      <c r="AK27" s="671">
        <f>IF(AK$2=1,Reported!AK95,Reported!AK95-Reported!AJ95)</f>
        <v/>
      </c>
      <c r="AL27" s="671">
        <f>IF(AL$2=1,Reported!AL95,Reported!AL95-Reported!AK95)</f>
        <v/>
      </c>
      <c r="AM27" s="671">
        <f>IF(AM$2=1,Reported!AM95,Reported!AM95-Reported!AL95)</f>
        <v/>
      </c>
      <c r="AN27" s="671">
        <f>IF(AN$2=1,Reported!AN95,Reported!AN95-Reported!AM95)</f>
        <v/>
      </c>
      <c r="AO27" s="671">
        <f>IF(AO$2=1,Reported!AO95,Reported!AO95-Reported!AN95)</f>
        <v/>
      </c>
      <c r="AP27" s="671">
        <f>IF(AP$2=1,Reported!AP95,Reported!AP95-Reported!AO95)</f>
        <v/>
      </c>
      <c r="AQ27" s="671">
        <f>IF(AQ$2=1,Reported!AQ95,Reported!AQ95-Reported!AP95)</f>
        <v/>
      </c>
      <c r="AR27" s="671">
        <f>IF(AR$2=1,Reported!AR95,Reported!AR95-Reported!AQ95)</f>
        <v/>
      </c>
      <c r="AS27" s="671">
        <f>IF(AS$2=1,Reported!AS95,Reported!AS95-Reported!AR95)</f>
        <v/>
      </c>
      <c r="AT27" s="671">
        <f>IF(AT$2=1,Reported!AT95,Reported!AT95-Reported!AS95)</f>
        <v/>
      </c>
      <c r="AU27" s="671">
        <f>IF(AU$2=1,Reported!AU95,Reported!AU95-Reported!AT95)</f>
        <v/>
      </c>
      <c r="AV27" s="671">
        <f>IF(AV$2=1,Reported!AV95,Reported!AV95-Reported!AU95)</f>
        <v/>
      </c>
      <c r="AW27" s="671">
        <f>IF(AW$2=1,Reported!AW95,Reported!AW95-Reported!AV95)</f>
        <v/>
      </c>
      <c r="AX27" s="671">
        <f>IF(AX$2=1,Reported!AX95,Reported!AX95-Reported!AW95)</f>
        <v/>
      </c>
      <c r="AY27" s="671">
        <f>IF(AY$2=1,Reported!AY95,Reported!AY95-Reported!AX95)</f>
        <v/>
      </c>
      <c r="AZ27" s="671">
        <f>IF(AZ$2=1,Reported!AZ95,Reported!AZ95-Reported!AY95)</f>
        <v/>
      </c>
      <c r="BA27" s="671">
        <f>IF(BA$2=1,Reported!BA95,Reported!BA95-Reported!AZ95)</f>
        <v/>
      </c>
      <c r="BB27" s="671">
        <f>IF(BB$2=1,Reported!BB95,Reported!BB95-Reported!BA95)</f>
        <v/>
      </c>
      <c r="BC27" s="671">
        <f>IF(BC$2=1,Reported!BC95,Reported!BC95-Reported!BB95)</f>
        <v/>
      </c>
      <c r="BD27" s="671">
        <f>IF(BD$2=1,Reported!BD95,Reported!BD95-Reported!BC95)</f>
        <v/>
      </c>
      <c r="BE27" s="671">
        <f>IF(BE$2=1,Reported!BE95,Reported!BE95-Reported!BD95)</f>
        <v/>
      </c>
      <c r="BF27" s="671">
        <f>IF(BF$2=1,Reported!BF95,Reported!BF95-Reported!BE95)</f>
        <v/>
      </c>
      <c r="BG27" s="671">
        <f>IF(BG$2=1,Reported!BG95,Reported!BG95-Reported!BF95)</f>
        <v/>
      </c>
      <c r="BH27" s="671">
        <f>IF(BH$2=1,Reported!BH95,Reported!BH95-Reported!BG95)</f>
        <v/>
      </c>
      <c r="BI27" s="671">
        <f>IF(BI$2=1,Reported!BI95,Reported!BI95-Reported!BH95)</f>
        <v/>
      </c>
      <c r="BJ27" s="671">
        <f>IF(BJ$2=1,Reported!BJ95,Reported!BJ95-Reported!BI95)</f>
        <v/>
      </c>
      <c r="BK27" s="671">
        <f>IF(BK$2=1,Reported!BK95,Reported!BK95-Reported!BJ95)</f>
        <v/>
      </c>
      <c r="BL27" s="671">
        <f>IF(BL$2=1,Reported!BL95,Reported!BL95-Reported!BK95)</f>
        <v/>
      </c>
      <c r="BM27" s="671">
        <f>IF(BM$2=1,Reported!BM95,Reported!BM95-Reported!BL95)</f>
        <v/>
      </c>
      <c r="BN27" s="671">
        <f>IF(BN$2=1,Reported!BN95,Reported!BN95-Reported!BM95)</f>
        <v/>
      </c>
      <c r="BO27" s="671">
        <f>IF(BO$2=1,Reported!BO95,Reported!BO95-Reported!BN95)</f>
        <v/>
      </c>
      <c r="BP27" s="671">
        <f>IF(BP$2=1,Reported!BP95,Reported!BP95-Reported!BO95)</f>
        <v/>
      </c>
      <c r="BQ27" s="671">
        <f>IF(BQ$2=1,Reported!BQ95,Reported!BQ95-Reported!BP95)</f>
        <v/>
      </c>
      <c r="BR27" s="671">
        <f>IF(BR$2=1,Reported!BR95,Reported!BR95-Reported!BQ95)</f>
        <v/>
      </c>
      <c r="BS27" s="519">
        <f>BS25-BS26</f>
        <v/>
      </c>
      <c r="BT27" s="519">
        <f>BT25-BT26</f>
        <v/>
      </c>
      <c r="BU27" s="519">
        <f>BU25-BU26</f>
        <v/>
      </c>
      <c r="BV27" s="519">
        <f>BV25-BV26</f>
        <v/>
      </c>
      <c r="BW27" s="519">
        <f>BW25-BW26</f>
        <v/>
      </c>
      <c r="BX27" s="519">
        <f>BX25-BX26</f>
        <v/>
      </c>
      <c r="BY27" s="519">
        <f>BY25-BY26</f>
        <v/>
      </c>
      <c r="BZ27" s="519">
        <f>BZ25-BZ26</f>
        <v/>
      </c>
      <c r="CA27" s="519">
        <f>CA25-CA26</f>
        <v/>
      </c>
      <c r="CB27" s="519">
        <f>CB25-CB26</f>
        <v/>
      </c>
      <c r="CC27" s="519">
        <f>CC25-CC26</f>
        <v/>
      </c>
      <c r="CD27" s="519">
        <f>CD25-CD26</f>
        <v/>
      </c>
      <c r="CE27" s="519">
        <f>CE25-CE26</f>
        <v/>
      </c>
      <c r="CF27" s="519">
        <f>CF25-CF26</f>
        <v/>
      </c>
      <c r="CG27" s="519">
        <f>CG25-CG26</f>
        <v/>
      </c>
      <c r="CH27" s="519">
        <f>CH25-CH26</f>
        <v/>
      </c>
      <c r="CI27" s="519">
        <f>CI25-CI26</f>
        <v/>
      </c>
      <c r="CJ27" s="519">
        <f>CJ25-CJ26</f>
        <v/>
      </c>
      <c r="CK27" s="519">
        <f>CK25-CK26</f>
        <v/>
      </c>
    </row>
    <row r="28">
      <c r="A28" s="22" t="inlineStr">
        <is>
          <t>Net income attributable to IPG Photonics Corporation per share</t>
        </is>
      </c>
      <c r="B28" s="145" t="n"/>
      <c r="C28" s="145" t="n"/>
      <c r="D28" s="145" t="n"/>
      <c r="E28" s="145" t="n"/>
      <c r="F28" s="145" t="n"/>
      <c r="G28" s="145" t="n"/>
      <c r="H28" s="145" t="n"/>
      <c r="I28" s="145" t="n"/>
      <c r="J28" s="145" t="n"/>
      <c r="K28" s="145" t="n"/>
      <c r="L28" s="145" t="n"/>
      <c r="M28" s="145" t="n"/>
      <c r="N28" s="509" t="n"/>
      <c r="O28" s="509" t="n"/>
      <c r="P28" s="509" t="n"/>
      <c r="Q28" s="509" t="n"/>
      <c r="R28" s="509" t="n"/>
      <c r="S28" s="509" t="n"/>
      <c r="T28" s="509" t="n"/>
      <c r="U28" s="509" t="n"/>
      <c r="V28" s="509" t="n"/>
      <c r="W28" s="509" t="n"/>
      <c r="X28" s="509" t="n"/>
      <c r="Y28" s="509" t="n"/>
      <c r="Z28" s="509" t="n"/>
      <c r="AA28" s="509" t="n"/>
      <c r="AB28" s="509" t="n"/>
      <c r="AC28" s="509" t="n"/>
      <c r="AD28" s="509" t="n"/>
      <c r="AE28" s="509" t="n"/>
      <c r="AF28" s="509" t="n"/>
      <c r="AG28" s="509" t="n"/>
      <c r="AH28" s="509" t="n"/>
      <c r="AI28" s="509" t="n"/>
      <c r="AJ28" s="509" t="n"/>
      <c r="AK28" s="509" t="n"/>
      <c r="AL28" s="509" t="n"/>
      <c r="AM28" s="509" t="n"/>
      <c r="AN28" s="509" t="n"/>
      <c r="AO28" s="509" t="n"/>
      <c r="AP28" s="509" t="n"/>
      <c r="AQ28" s="509" t="n"/>
      <c r="AR28" s="509" t="n"/>
      <c r="AS28" s="509" t="n"/>
      <c r="AT28" s="509" t="n"/>
      <c r="AU28" s="509" t="n"/>
      <c r="AV28" s="509" t="n"/>
      <c r="AW28" s="509" t="n"/>
      <c r="AX28" s="509" t="n"/>
      <c r="AY28" s="509" t="n"/>
      <c r="AZ28" s="509" t="n"/>
      <c r="BA28" s="509" t="n"/>
      <c r="BB28" s="509" t="n"/>
      <c r="BC28" s="509" t="n"/>
      <c r="BD28" s="509" t="n"/>
      <c r="BE28" s="509" t="n"/>
      <c r="BF28" s="509" t="n"/>
      <c r="BG28" s="509" t="n"/>
      <c r="BH28" s="509" t="n"/>
      <c r="BI28" s="509" t="n"/>
      <c r="BJ28" s="509" t="n"/>
      <c r="BK28" s="509" t="n"/>
      <c r="BL28" s="509" t="n"/>
      <c r="BM28" s="509" t="n"/>
      <c r="BN28" s="509" t="n"/>
      <c r="BO28" s="509" t="n"/>
      <c r="BP28" s="509" t="n"/>
      <c r="BQ28" s="509" t="n"/>
      <c r="BR28" s="509" t="n"/>
    </row>
    <row r="29">
      <c r="A29" s="74" t="inlineStr">
        <is>
          <t>Basic</t>
        </is>
      </c>
      <c r="B29" s="670" t="n"/>
      <c r="C29" s="670" t="n"/>
      <c r="D29" s="670" t="n"/>
      <c r="E29" s="670" t="n"/>
      <c r="F29" s="670" t="n"/>
      <c r="G29" s="670" t="n"/>
      <c r="H29" s="670" t="n"/>
      <c r="I29" s="670" t="n"/>
      <c r="J29" s="670" t="n"/>
      <c r="K29" s="670" t="n"/>
      <c r="L29" s="670" t="n"/>
      <c r="M29" s="670" t="n"/>
      <c r="N29" s="510">
        <f>IF(N$2=1,Reported!N97,Reported!N97-Reported!M97)</f>
        <v/>
      </c>
      <c r="O29" s="510">
        <f>IF(O$2=1,Reported!O97,Reported!O97-Reported!N97)</f>
        <v/>
      </c>
      <c r="P29" s="510">
        <f>IF(P$2=1,Reported!P97,Reported!P97-Reported!O97)</f>
        <v/>
      </c>
      <c r="Q29" s="510">
        <f>IF(Q$2=1,Reported!Q97,Reported!Q97-Reported!P97)</f>
        <v/>
      </c>
      <c r="R29" s="510">
        <f>IF(R$2=1,Reported!R97,Reported!R97-Reported!Q97)</f>
        <v/>
      </c>
      <c r="S29" s="510">
        <f>IF(S$2=1,Reported!S97,Reported!S97-Reported!R97)</f>
        <v/>
      </c>
      <c r="T29" s="510">
        <f>IF(T$2=1,Reported!T97,Reported!T97-Reported!S97)</f>
        <v/>
      </c>
      <c r="U29" s="510">
        <f>IF(U$2=1,Reported!U97,Reported!U97-Reported!T97)</f>
        <v/>
      </c>
      <c r="V29" s="510">
        <f>IF(V$2=1,Reported!V97,Reported!V97-Reported!U97)</f>
        <v/>
      </c>
      <c r="W29" s="510">
        <f>IF(W$2=1,Reported!W97,Reported!W97-Reported!V97)</f>
        <v/>
      </c>
      <c r="X29" s="510">
        <f>IF(X$2=1,Reported!X97,Reported!X97-Reported!W97)</f>
        <v/>
      </c>
      <c r="Y29" s="510">
        <f>IF(Y$2=1,Reported!Y97,Reported!Y97-Reported!X97)</f>
        <v/>
      </c>
      <c r="Z29" s="510">
        <f>IF(Z$2=1,Reported!Z97,Reported!Z97-Reported!Y97)</f>
        <v/>
      </c>
      <c r="AA29" s="510">
        <f>IF(AA$2=1,Reported!AA97,Reported!AA97-Reported!Z97)</f>
        <v/>
      </c>
      <c r="AB29" s="510">
        <f>IF(AB$2=1,Reported!AB97,Reported!AB97-Reported!AA97)</f>
        <v/>
      </c>
      <c r="AC29" s="510">
        <f>IF(AC$2=1,Reported!AC97,Reported!AC97-Reported!AB97)</f>
        <v/>
      </c>
      <c r="AD29" s="510">
        <f>IF(AD$2=1,Reported!AD97,Reported!AD97-Reported!AC97)</f>
        <v/>
      </c>
      <c r="AE29" s="510">
        <f>IF(AE$2=1,Reported!AE97,Reported!AE97-Reported!AD97)</f>
        <v/>
      </c>
      <c r="AF29" s="510">
        <f>IF(AF$2=1,Reported!AF97,Reported!AF97-Reported!AE97)</f>
        <v/>
      </c>
      <c r="AG29" s="510">
        <f>IF(AG$2=1,Reported!AG97,Reported!AG97-Reported!AF97)</f>
        <v/>
      </c>
      <c r="AH29" s="510">
        <f>IF(AH$2=1,Reported!AH97,Reported!AH97-Reported!AG97)</f>
        <v/>
      </c>
      <c r="AI29" s="510">
        <f>IF(AI$2=1,Reported!AI97,Reported!AI97-Reported!AH97)</f>
        <v/>
      </c>
      <c r="AJ29" s="510">
        <f>IF(AJ$2=1,Reported!AJ97,Reported!AJ97-Reported!AI97)</f>
        <v/>
      </c>
      <c r="AK29" s="510">
        <f>IF(AK$2=1,Reported!AK97,Reported!AK97-Reported!AJ97)</f>
        <v/>
      </c>
      <c r="AL29" s="510">
        <f>IF(AL$2=1,Reported!AL97,Reported!AL97-Reported!AK97)</f>
        <v/>
      </c>
      <c r="AM29" s="510">
        <f>IF(AM$2=1,Reported!AM97,Reported!AM97-Reported!AL97)</f>
        <v/>
      </c>
      <c r="AN29" s="510">
        <f>IF(AN$2=1,Reported!AN97,Reported!AN97-Reported!AM97)</f>
        <v/>
      </c>
      <c r="AO29" s="510">
        <f>IF(AO$2=1,Reported!AO97,Reported!AO97-Reported!AN97)</f>
        <v/>
      </c>
      <c r="AP29" s="510">
        <f>IF(AP$2=1,Reported!AP97,Reported!AP97-Reported!AO97)</f>
        <v/>
      </c>
      <c r="AQ29" s="510">
        <f>IF(AQ$2=1,Reported!AQ97,Reported!AQ97-Reported!AP97)</f>
        <v/>
      </c>
      <c r="AR29" s="510">
        <f>IF(AR$2=1,Reported!AR97,Reported!AR97-Reported!AQ97)</f>
        <v/>
      </c>
      <c r="AS29" s="510">
        <f>IF(AS$2=1,Reported!AS97,Reported!AS97-Reported!AR97)</f>
        <v/>
      </c>
      <c r="AT29" s="510">
        <f>IF(AT$2=1,Reported!AT97,Reported!AT97-Reported!AS97)</f>
        <v/>
      </c>
      <c r="AU29" s="510">
        <f>IF(AU$2=1,Reported!AU97,Reported!AU97-Reported!AT97)</f>
        <v/>
      </c>
      <c r="AV29" s="510">
        <f>IF(AV$2=1,Reported!AV97,Reported!AV97-Reported!AU97)</f>
        <v/>
      </c>
      <c r="AW29" s="510">
        <f>IF(AW$2=1,Reported!AW97,Reported!AW97-Reported!AV97)</f>
        <v/>
      </c>
      <c r="AX29" s="510">
        <f>IF(AX$2=1,Reported!AX97,Reported!AX97-Reported!AW97)</f>
        <v/>
      </c>
      <c r="AY29" s="510">
        <f>IF(AY$2=1,Reported!AY97,Reported!AY97-Reported!AX97)</f>
        <v/>
      </c>
      <c r="AZ29" s="510">
        <f>IF(AZ$2=1,Reported!AZ97,Reported!AZ97-Reported!AY97)</f>
        <v/>
      </c>
      <c r="BA29" s="510">
        <f>IF(BA$2=1,Reported!BA97,Reported!BA97-Reported!AZ97)</f>
        <v/>
      </c>
      <c r="BB29" s="510">
        <f>IF(BB$2=1,Reported!BB97,Reported!BB97-Reported!BA97)</f>
        <v/>
      </c>
      <c r="BC29" s="510">
        <f>IF(BC$2=1,Reported!BC97,Reported!BC97-Reported!BB97)</f>
        <v/>
      </c>
      <c r="BD29" s="510">
        <f>IF(BD$2=1,Reported!BD97,Reported!BD97-Reported!BC97)</f>
        <v/>
      </c>
      <c r="BE29" s="510">
        <f>IF(BE$2=1,Reported!BE97,Reported!BE97-Reported!BD97)</f>
        <v/>
      </c>
      <c r="BF29" s="510">
        <f>IF(BF$2=1,Reported!BF97,Reported!BF97-Reported!BE97)</f>
        <v/>
      </c>
      <c r="BG29" s="510">
        <f>IF(BG$2=1,Reported!BG97,Reported!BG97-Reported!BF97)</f>
        <v/>
      </c>
      <c r="BH29" s="510">
        <f>IF(BH$2=1,Reported!BH97,Reported!BH97-Reported!BG97)</f>
        <v/>
      </c>
      <c r="BI29" s="510">
        <f>IF(BI$2=1,Reported!BI97,Reported!BI97-Reported!BH97)</f>
        <v/>
      </c>
      <c r="BJ29" s="510">
        <f>IF(BJ$2=1,Reported!BJ97,Reported!BJ97-Reported!BI97)</f>
        <v/>
      </c>
      <c r="BK29" s="510">
        <f>IF(BK$2=1,Reported!BK97,Reported!BK97-Reported!BJ97)</f>
        <v/>
      </c>
      <c r="BL29" s="510">
        <f>IF(BL$2=1,Reported!BL97,Reported!BL97-Reported!BK97)</f>
        <v/>
      </c>
      <c r="BM29" s="510">
        <f>IF(BM$2=1,Reported!BM97,Reported!BM97-Reported!BL97)</f>
        <v/>
      </c>
      <c r="BN29" s="510">
        <f>IF(BN$2=1,Reported!BN97,Reported!BN97-Reported!BM97)</f>
        <v/>
      </c>
      <c r="BO29" s="510">
        <f>IF(BO$2=1,Reported!BO97,Reported!BO97-Reported!BN97)</f>
        <v/>
      </c>
      <c r="BP29" s="510">
        <f>IF(BP$2=1,Reported!BP97,Reported!BP97-Reported!BO97)</f>
        <v/>
      </c>
      <c r="BQ29" s="510">
        <f>IF(BQ$2=1,Reported!BQ97,Reported!BQ97-Reported!BP97)</f>
        <v/>
      </c>
      <c r="BR29" s="510">
        <f>IF(BR$2=1,Reported!BR97,Reported!BR97-Reported!BQ97)</f>
        <v/>
      </c>
      <c r="BS29" s="760">
        <f>BS$27/BS32</f>
        <v/>
      </c>
      <c r="BT29" s="542">
        <f>BT$27/BT32</f>
        <v/>
      </c>
      <c r="BU29" s="542">
        <f>BU$27/BU32</f>
        <v/>
      </c>
      <c r="BV29" s="542">
        <f>BV$27/BV32</f>
        <v/>
      </c>
      <c r="BW29" s="542">
        <f>BW$27/BW32</f>
        <v/>
      </c>
      <c r="BX29" s="542">
        <f>BX$27/BX32</f>
        <v/>
      </c>
      <c r="BY29" s="542">
        <f>BY$27/BY32</f>
        <v/>
      </c>
      <c r="BZ29" s="542">
        <f>BZ$27/BZ32</f>
        <v/>
      </c>
      <c r="CA29" s="542">
        <f>CA$27/CA32</f>
        <v/>
      </c>
      <c r="CB29" s="542">
        <f>CB$27/CB32</f>
        <v/>
      </c>
      <c r="CC29" s="542">
        <f>CC$27/CC32</f>
        <v/>
      </c>
      <c r="CD29" s="542">
        <f>CD$27/CD32</f>
        <v/>
      </c>
      <c r="CE29" s="542">
        <f>CE$27/CE32</f>
        <v/>
      </c>
      <c r="CF29" s="542">
        <f>CF$27/CF32</f>
        <v/>
      </c>
      <c r="CG29" s="542">
        <f>CG$27/CG32</f>
        <v/>
      </c>
      <c r="CH29" s="542">
        <f>CH$27/CH32</f>
        <v/>
      </c>
      <c r="CI29" s="542">
        <f>CI$27/CI32</f>
        <v/>
      </c>
      <c r="CJ29" s="542">
        <f>CJ$27/CJ32</f>
        <v/>
      </c>
      <c r="CK29" s="542">
        <f>CK$27/CK32</f>
        <v/>
      </c>
    </row>
    <row r="30">
      <c r="A30" s="74" t="inlineStr">
        <is>
          <t>Diluted</t>
        </is>
      </c>
      <c r="B30" s="670" t="n"/>
      <c r="C30" s="670" t="n"/>
      <c r="D30" s="670" t="n"/>
      <c r="E30" s="670" t="n"/>
      <c r="F30" s="670" t="n"/>
      <c r="G30" s="670" t="n"/>
      <c r="H30" s="670" t="n"/>
      <c r="I30" s="670" t="n"/>
      <c r="J30" s="670" t="n"/>
      <c r="K30" s="670" t="n"/>
      <c r="L30" s="670" t="n"/>
      <c r="M30" s="670" t="n"/>
      <c r="N30" s="510">
        <f>IF(N$2=1,Reported!N98,Reported!N98-Reported!M98)</f>
        <v/>
      </c>
      <c r="O30" s="510">
        <f>IF(O$2=1,Reported!O98,Reported!O98-Reported!N98)</f>
        <v/>
      </c>
      <c r="P30" s="510">
        <f>IF(P$2=1,Reported!P98,Reported!P98-Reported!O98)</f>
        <v/>
      </c>
      <c r="Q30" s="510">
        <f>IF(Q$2=1,Reported!Q98,Reported!Q98-Reported!P98)</f>
        <v/>
      </c>
      <c r="R30" s="510">
        <f>IF(R$2=1,Reported!R98,Reported!R98-Reported!Q98)</f>
        <v/>
      </c>
      <c r="S30" s="510">
        <f>IF(S$2=1,Reported!S98,Reported!S98-Reported!R98)</f>
        <v/>
      </c>
      <c r="T30" s="510">
        <f>IF(T$2=1,Reported!T98,Reported!T98-Reported!S98)</f>
        <v/>
      </c>
      <c r="U30" s="510">
        <f>IF(U$2=1,Reported!U98,Reported!U98-Reported!T98)</f>
        <v/>
      </c>
      <c r="V30" s="510">
        <f>IF(V$2=1,Reported!V98,Reported!V98-Reported!U98)</f>
        <v/>
      </c>
      <c r="W30" s="510">
        <f>IF(W$2=1,Reported!W98,Reported!W98-Reported!V98)</f>
        <v/>
      </c>
      <c r="X30" s="510">
        <f>IF(X$2=1,Reported!X98,Reported!X98-Reported!W98)</f>
        <v/>
      </c>
      <c r="Y30" s="510">
        <f>IF(Y$2=1,Reported!Y98,Reported!Y98-Reported!X98)</f>
        <v/>
      </c>
      <c r="Z30" s="510">
        <f>IF(Z$2=1,Reported!Z98,Reported!Z98-Reported!Y98)</f>
        <v/>
      </c>
      <c r="AA30" s="510">
        <f>IF(AA$2=1,Reported!AA98,Reported!AA98-Reported!Z98)</f>
        <v/>
      </c>
      <c r="AB30" s="510">
        <f>IF(AB$2=1,Reported!AB98,Reported!AB98-Reported!AA98)</f>
        <v/>
      </c>
      <c r="AC30" s="510">
        <f>IF(AC$2=1,Reported!AC98,Reported!AC98-Reported!AB98)</f>
        <v/>
      </c>
      <c r="AD30" s="510">
        <f>IF(AD$2=1,Reported!AD98,Reported!AD98-Reported!AC98)</f>
        <v/>
      </c>
      <c r="AE30" s="510">
        <f>IF(AE$2=1,Reported!AE98,Reported!AE98-Reported!AD98)</f>
        <v/>
      </c>
      <c r="AF30" s="510">
        <f>IF(AF$2=1,Reported!AF98,Reported!AF98-Reported!AE98)</f>
        <v/>
      </c>
      <c r="AG30" s="510">
        <f>IF(AG$2=1,Reported!AG98,Reported!AG98-Reported!AF98)</f>
        <v/>
      </c>
      <c r="AH30" s="510">
        <f>IF(AH$2=1,Reported!AH98,Reported!AH98-Reported!AG98)</f>
        <v/>
      </c>
      <c r="AI30" s="510">
        <f>IF(AI$2=1,Reported!AI98,Reported!AI98-Reported!AH98)</f>
        <v/>
      </c>
      <c r="AJ30" s="510">
        <f>IF(AJ$2=1,Reported!AJ98,Reported!AJ98-Reported!AI98)</f>
        <v/>
      </c>
      <c r="AK30" s="510">
        <f>IF(AK$2=1,Reported!AK98,Reported!AK98-Reported!AJ98)</f>
        <v/>
      </c>
      <c r="AL30" s="510">
        <f>IF(AL$2=1,Reported!AL98,Reported!AL98-Reported!AK98)</f>
        <v/>
      </c>
      <c r="AM30" s="510">
        <f>IF(AM$2=1,Reported!AM98,Reported!AM98-Reported!AL98)</f>
        <v/>
      </c>
      <c r="AN30" s="510">
        <f>IF(AN$2=1,Reported!AN98,Reported!AN98-Reported!AM98)</f>
        <v/>
      </c>
      <c r="AO30" s="510">
        <f>IF(AO$2=1,Reported!AO98,Reported!AO98-Reported!AN98)</f>
        <v/>
      </c>
      <c r="AP30" s="510">
        <f>IF(AP$2=1,Reported!AP98,Reported!AP98-Reported!AO98)</f>
        <v/>
      </c>
      <c r="AQ30" s="510">
        <f>IF(AQ$2=1,Reported!AQ98,Reported!AQ98-Reported!AP98)</f>
        <v/>
      </c>
      <c r="AR30" s="510">
        <f>IF(AR$2=1,Reported!AR98,Reported!AR98-Reported!AQ98)</f>
        <v/>
      </c>
      <c r="AS30" s="510">
        <f>IF(AS$2=1,Reported!AS98,Reported!AS98-Reported!AR98)</f>
        <v/>
      </c>
      <c r="AT30" s="510">
        <f>IF(AT$2=1,Reported!AT98,Reported!AT98-Reported!AS98)</f>
        <v/>
      </c>
      <c r="AU30" s="510">
        <f>IF(AU$2=1,Reported!AU98,Reported!AU98-Reported!AT98)</f>
        <v/>
      </c>
      <c r="AV30" s="510">
        <f>IF(AV$2=1,Reported!AV98,Reported!AV98-Reported!AU98)</f>
        <v/>
      </c>
      <c r="AW30" s="510">
        <f>IF(AW$2=1,Reported!AW98,Reported!AW98-Reported!AV98)</f>
        <v/>
      </c>
      <c r="AX30" s="510">
        <f>IF(AX$2=1,Reported!AX98,Reported!AX98-Reported!AW98)</f>
        <v/>
      </c>
      <c r="AY30" s="510">
        <f>IF(AY$2=1,Reported!AY98,Reported!AY98-Reported!AX98)</f>
        <v/>
      </c>
      <c r="AZ30" s="510">
        <f>IF(AZ$2=1,Reported!AZ98,Reported!AZ98-Reported!AY98)</f>
        <v/>
      </c>
      <c r="BA30" s="510">
        <f>IF(BA$2=1,Reported!BA98,Reported!BA98-Reported!AZ98)</f>
        <v/>
      </c>
      <c r="BB30" s="510">
        <f>IF(BB$2=1,Reported!BB98,Reported!BB98-Reported!BA98)</f>
        <v/>
      </c>
      <c r="BC30" s="510">
        <f>IF(BC$2=1,Reported!BC98,Reported!BC98-Reported!BB98)</f>
        <v/>
      </c>
      <c r="BD30" s="510">
        <f>IF(BD$2=1,Reported!BD98,Reported!BD98-Reported!BC98)</f>
        <v/>
      </c>
      <c r="BE30" s="510">
        <f>IF(BE$2=1,Reported!BE98,Reported!BE98-Reported!BD98)</f>
        <v/>
      </c>
      <c r="BF30" s="510">
        <f>IF(BF$2=1,Reported!BF98,Reported!BF98-Reported!BE98)</f>
        <v/>
      </c>
      <c r="BG30" s="510">
        <f>IF(BG$2=1,Reported!BG98,Reported!BG98-Reported!BF98)</f>
        <v/>
      </c>
      <c r="BH30" s="510">
        <f>IF(BH$2=1,Reported!BH98,Reported!BH98-Reported!BG98)</f>
        <v/>
      </c>
      <c r="BI30" s="510">
        <f>IF(BI$2=1,Reported!BI98,Reported!BI98-Reported!BH98)</f>
        <v/>
      </c>
      <c r="BJ30" s="510">
        <f>IF(BJ$2=1,Reported!BJ98,Reported!BJ98-Reported!BI98)</f>
        <v/>
      </c>
      <c r="BK30" s="510">
        <f>IF(BK$2=1,Reported!BK98,Reported!BK98-Reported!BJ98)</f>
        <v/>
      </c>
      <c r="BL30" s="510">
        <f>IF(BL$2=1,Reported!BL98,Reported!BL98-Reported!BK98)</f>
        <v/>
      </c>
      <c r="BM30" s="510">
        <f>IF(BM$2=1,Reported!BM98,Reported!BM98-Reported!BL98)</f>
        <v/>
      </c>
      <c r="BN30" s="510">
        <f>IF(BN$2=1,Reported!BN98,Reported!BN98-Reported!BM98)</f>
        <v/>
      </c>
      <c r="BO30" s="510">
        <f>IF(BO$2=1,Reported!BO98,Reported!BO98-Reported!BN98)</f>
        <v/>
      </c>
      <c r="BP30" s="510">
        <f>IF(BP$2=1,Reported!BP98,Reported!BP98-Reported!BO98)</f>
        <v/>
      </c>
      <c r="BQ30" s="510">
        <f>IF(BQ$2=1,Reported!BQ98,Reported!BQ98-Reported!BP98)</f>
        <v/>
      </c>
      <c r="BR30" s="510">
        <f>IF(BR$2=1,Reported!BR98,Reported!BR98-Reported!BQ98)</f>
        <v/>
      </c>
      <c r="BS30" s="760">
        <f>BS$27/BS33</f>
        <v/>
      </c>
      <c r="BT30" s="542">
        <f>BT$27/BT33</f>
        <v/>
      </c>
      <c r="BU30" s="542">
        <f>BU$27/BU33</f>
        <v/>
      </c>
      <c r="BV30" s="542">
        <f>BV$27/BV33</f>
        <v/>
      </c>
      <c r="BW30" s="542">
        <f>BW$27/BW33</f>
        <v/>
      </c>
      <c r="BX30" s="542">
        <f>BX$27/BX33</f>
        <v/>
      </c>
      <c r="BY30" s="542">
        <f>BY$27/BY33</f>
        <v/>
      </c>
      <c r="BZ30" s="542">
        <f>BZ$27/BZ33</f>
        <v/>
      </c>
      <c r="CA30" s="542">
        <f>CA$27/CA33</f>
        <v/>
      </c>
      <c r="CB30" s="542">
        <f>CB$27/CB33</f>
        <v/>
      </c>
      <c r="CC30" s="542">
        <f>CC$27/CC33</f>
        <v/>
      </c>
      <c r="CD30" s="542">
        <f>CD$27/CD33</f>
        <v/>
      </c>
      <c r="CE30" s="542">
        <f>CE$27/CE33</f>
        <v/>
      </c>
      <c r="CF30" s="542">
        <f>CF$27/CF33</f>
        <v/>
      </c>
      <c r="CG30" s="542">
        <f>CG$27/CG33</f>
        <v/>
      </c>
      <c r="CH30" s="542">
        <f>CH$27/CH33</f>
        <v/>
      </c>
      <c r="CI30" s="542">
        <f>CI$27/CI33</f>
        <v/>
      </c>
      <c r="CJ30" s="542">
        <f>CJ$27/CJ33</f>
        <v/>
      </c>
      <c r="CK30" s="542">
        <f>CK$27/CK33</f>
        <v/>
      </c>
    </row>
    <row r="31">
      <c r="A31" s="22" t="inlineStr">
        <is>
          <t>Weighted average share outstanding</t>
        </is>
      </c>
      <c r="B31" s="145" t="n"/>
      <c r="C31" s="145" t="n"/>
      <c r="D31" s="145" t="n"/>
      <c r="E31" s="145" t="n"/>
      <c r="F31" s="145" t="n"/>
      <c r="G31" s="145" t="n"/>
      <c r="H31" s="145" t="n"/>
      <c r="I31" s="145" t="n"/>
      <c r="J31" s="145" t="n"/>
      <c r="K31" s="145" t="n"/>
      <c r="L31" s="145" t="n"/>
      <c r="M31" s="145" t="n"/>
      <c r="N31" s="509">
        <f>IF(N$2=1,Reported!N99,Reported!N99-Reported!M99)</f>
        <v/>
      </c>
      <c r="O31" s="509">
        <f>IF(O$2=1,Reported!O99,Reported!O99-Reported!N99)</f>
        <v/>
      </c>
      <c r="P31" s="509">
        <f>IF(P$2=1,Reported!P99,Reported!P99-Reported!O99)</f>
        <v/>
      </c>
      <c r="Q31" s="509">
        <f>IF(Q$2=1,Reported!Q99,Reported!Q99-Reported!P99)</f>
        <v/>
      </c>
      <c r="R31" s="509">
        <f>IF(R$2=1,Reported!R99,Reported!R99-Reported!Q99)</f>
        <v/>
      </c>
      <c r="S31" s="509">
        <f>IF(S$2=1,Reported!S99,Reported!S99-Reported!R99)</f>
        <v/>
      </c>
      <c r="T31" s="509">
        <f>IF(T$2=1,Reported!T99,Reported!T99-Reported!S99)</f>
        <v/>
      </c>
      <c r="U31" s="509">
        <f>IF(U$2=1,Reported!U99,Reported!U99-Reported!T99)</f>
        <v/>
      </c>
      <c r="V31" s="509">
        <f>IF(V$2=1,Reported!V99,Reported!V99-Reported!U99)</f>
        <v/>
      </c>
      <c r="W31" s="509">
        <f>IF(W$2=1,Reported!W99,Reported!W99-Reported!V99)</f>
        <v/>
      </c>
      <c r="X31" s="509">
        <f>IF(X$2=1,Reported!X99,Reported!X99-Reported!W99)</f>
        <v/>
      </c>
      <c r="Y31" s="509">
        <f>IF(Y$2=1,Reported!Y99,Reported!Y99-Reported!X99)</f>
        <v/>
      </c>
      <c r="Z31" s="509">
        <f>IF(Z$2=1,Reported!Z99,Reported!Z99-Reported!Y99)</f>
        <v/>
      </c>
      <c r="AA31" s="509">
        <f>IF(AA$2=1,Reported!AA99,Reported!AA99-Reported!Z99)</f>
        <v/>
      </c>
      <c r="AB31" s="509">
        <f>IF(AB$2=1,Reported!AB99,Reported!AB99-Reported!AA99)</f>
        <v/>
      </c>
      <c r="AC31" s="509">
        <f>IF(AC$2=1,Reported!AC99,Reported!AC99-Reported!AB99)</f>
        <v/>
      </c>
      <c r="AD31" s="509">
        <f>IF(AD$2=1,Reported!AD99,Reported!AD99-Reported!AC99)</f>
        <v/>
      </c>
      <c r="AE31" s="509">
        <f>IF(AE$2=1,Reported!AE99,Reported!AE99-Reported!AD99)</f>
        <v/>
      </c>
      <c r="AF31" s="509">
        <f>IF(AF$2=1,Reported!AF99,Reported!AF99-Reported!AE99)</f>
        <v/>
      </c>
      <c r="AG31" s="509">
        <f>IF(AG$2=1,Reported!AG99,Reported!AG99-Reported!AF99)</f>
        <v/>
      </c>
      <c r="AH31" s="509">
        <f>IF(AH$2=1,Reported!AH99,Reported!AH99-Reported!AG99)</f>
        <v/>
      </c>
      <c r="AI31" s="509">
        <f>IF(AI$2=1,Reported!AI99,Reported!AI99-Reported!AH99)</f>
        <v/>
      </c>
      <c r="AJ31" s="509">
        <f>IF(AJ$2=1,Reported!AJ99,Reported!AJ99-Reported!AI99)</f>
        <v/>
      </c>
      <c r="AK31" s="509">
        <f>IF(AK$2=1,Reported!AK99,Reported!AK99-Reported!AJ99)</f>
        <v/>
      </c>
      <c r="AL31" s="509">
        <f>IF(AL$2=1,Reported!AL99,Reported!AL99-Reported!AK99)</f>
        <v/>
      </c>
      <c r="AM31" s="509">
        <f>IF(AM$2=1,Reported!AM99,Reported!AM99-Reported!AL99)</f>
        <v/>
      </c>
      <c r="AN31" s="509">
        <f>IF(AN$2=1,Reported!AN99,Reported!AN99-Reported!AM99)</f>
        <v/>
      </c>
      <c r="AO31" s="509">
        <f>IF(AO$2=1,Reported!AO99,Reported!AO99-Reported!AN99)</f>
        <v/>
      </c>
      <c r="AP31" s="509">
        <f>IF(AP$2=1,Reported!AP99,Reported!AP99-Reported!AO99)</f>
        <v/>
      </c>
      <c r="AQ31" s="509">
        <f>IF(AQ$2=1,Reported!AQ99,Reported!AQ99-Reported!AP99)</f>
        <v/>
      </c>
      <c r="AR31" s="509">
        <f>IF(AR$2=1,Reported!AR99,Reported!AR99-Reported!AQ99)</f>
        <v/>
      </c>
      <c r="AS31" s="509">
        <f>IF(AS$2=1,Reported!AS99,Reported!AS99-Reported!AR99)</f>
        <v/>
      </c>
      <c r="AT31" s="509">
        <f>IF(AT$2=1,Reported!AT99,Reported!AT99-Reported!AS99)</f>
        <v/>
      </c>
      <c r="AU31" s="509">
        <f>IF(AU$2=1,Reported!AU99,Reported!AU99-Reported!AT99)</f>
        <v/>
      </c>
      <c r="AV31" s="509">
        <f>IF(AV$2=1,Reported!AV99,Reported!AV99-Reported!AU99)</f>
        <v/>
      </c>
      <c r="AW31" s="509">
        <f>IF(AW$2=1,Reported!AW99,Reported!AW99-Reported!AV99)</f>
        <v/>
      </c>
      <c r="AX31" s="509">
        <f>IF(AX$2=1,Reported!AX99,Reported!AX99-Reported!AW99)</f>
        <v/>
      </c>
      <c r="AY31" s="509">
        <f>IF(AY$2=1,Reported!AY99,Reported!AY99-Reported!AX99)</f>
        <v/>
      </c>
      <c r="AZ31" s="509">
        <f>IF(AZ$2=1,Reported!AZ99,Reported!AZ99-Reported!AY99)</f>
        <v/>
      </c>
      <c r="BA31" s="509">
        <f>IF(BA$2=1,Reported!BA99,Reported!BA99-Reported!AZ99)</f>
        <v/>
      </c>
      <c r="BB31" s="509">
        <f>IF(BB$2=1,Reported!BB99,Reported!BB99-Reported!BA99)</f>
        <v/>
      </c>
      <c r="BC31" s="509">
        <f>IF(BC$2=1,Reported!BC99,Reported!BC99-Reported!BB99)</f>
        <v/>
      </c>
      <c r="BD31" s="509">
        <f>IF(BD$2=1,Reported!BD99,Reported!BD99-Reported!BC99)</f>
        <v/>
      </c>
      <c r="BE31" s="509">
        <f>IF(BE$2=1,Reported!BE99,Reported!BE99-Reported!BD99)</f>
        <v/>
      </c>
      <c r="BF31" s="509">
        <f>IF(BF$2=1,Reported!BF99,Reported!BF99-Reported!BE99)</f>
        <v/>
      </c>
      <c r="BG31" s="509">
        <f>IF(BG$2=1,Reported!BG99,Reported!BG99-Reported!BF99)</f>
        <v/>
      </c>
      <c r="BH31" s="509">
        <f>IF(BH$2=1,Reported!BH99,Reported!BH99-Reported!BG99)</f>
        <v/>
      </c>
      <c r="BI31" s="509">
        <f>IF(BI$2=1,Reported!BI99,Reported!BI99-Reported!BH99)</f>
        <v/>
      </c>
      <c r="BJ31" s="509">
        <f>IF(BJ$2=1,Reported!BJ99,Reported!BJ99-Reported!BI99)</f>
        <v/>
      </c>
      <c r="BK31" s="509">
        <f>IF(BK$2=1,Reported!BK99,Reported!BK99-Reported!BJ99)</f>
        <v/>
      </c>
      <c r="BL31" s="509">
        <f>IF(BL$2=1,Reported!BL99,Reported!BL99-Reported!BK99)</f>
        <v/>
      </c>
      <c r="BM31" s="509">
        <f>IF(BM$2=1,Reported!BM99,Reported!BM99-Reported!BL99)</f>
        <v/>
      </c>
      <c r="BN31" s="509">
        <f>IF(BN$2=1,Reported!BN99,Reported!BN99-Reported!BM99)</f>
        <v/>
      </c>
      <c r="BO31" s="509">
        <f>IF(BO$2=1,Reported!BO99,Reported!BO99-Reported!BN99)</f>
        <v/>
      </c>
      <c r="BP31" s="509">
        <f>IF(BP$2=1,Reported!BP99,Reported!BP99-Reported!BO99)</f>
        <v/>
      </c>
      <c r="BQ31" s="509">
        <f>IF(BQ$2=1,Reported!BQ99,Reported!BQ99-Reported!BP99)</f>
        <v/>
      </c>
      <c r="BR31" s="509">
        <f>IF(BR$2=1,Reported!BR99,Reported!BR99-Reported!BQ99)</f>
        <v/>
      </c>
    </row>
    <row r="32">
      <c r="A32" s="74" t="inlineStr">
        <is>
          <t>Basic</t>
        </is>
      </c>
      <c r="B32" s="145" t="n"/>
      <c r="C32" s="145" t="n"/>
      <c r="D32" s="145" t="n"/>
      <c r="E32" s="145" t="n"/>
      <c r="F32" s="145" t="n"/>
      <c r="G32" s="145" t="n"/>
      <c r="H32" s="145" t="n"/>
      <c r="I32" s="145" t="n"/>
      <c r="J32" s="145" t="n"/>
      <c r="K32" s="145" t="n"/>
      <c r="L32" s="145" t="n"/>
      <c r="M32" s="145" t="n"/>
      <c r="N32" s="509">
        <f>Reported!N100</f>
        <v/>
      </c>
      <c r="O32" s="509">
        <f>Reported!O100</f>
        <v/>
      </c>
      <c r="P32" s="509">
        <f>Reported!P100</f>
        <v/>
      </c>
      <c r="Q32" s="509">
        <f>Reported!Q100</f>
        <v/>
      </c>
      <c r="R32" s="509">
        <f>Reported!R100</f>
        <v/>
      </c>
      <c r="S32" s="509">
        <f>Reported!S100</f>
        <v/>
      </c>
      <c r="T32" s="509">
        <f>Reported!T100</f>
        <v/>
      </c>
      <c r="U32" s="509">
        <f>Reported!U100</f>
        <v/>
      </c>
      <c r="V32" s="509">
        <f>Reported!V100</f>
        <v/>
      </c>
      <c r="W32" s="509">
        <f>Reported!W100</f>
        <v/>
      </c>
      <c r="X32" s="509">
        <f>Reported!X100</f>
        <v/>
      </c>
      <c r="Y32" s="509">
        <f>Reported!Y100</f>
        <v/>
      </c>
      <c r="Z32" s="509">
        <f>Reported!Z100</f>
        <v/>
      </c>
      <c r="AA32" s="509">
        <f>Reported!AA100</f>
        <v/>
      </c>
      <c r="AB32" s="509">
        <f>Reported!AB100</f>
        <v/>
      </c>
      <c r="AC32" s="509">
        <f>Reported!AC100</f>
        <v/>
      </c>
      <c r="AD32" s="509">
        <f>Reported!AD100</f>
        <v/>
      </c>
      <c r="AE32" s="509">
        <f>Reported!AE100</f>
        <v/>
      </c>
      <c r="AF32" s="509">
        <f>Reported!AF100</f>
        <v/>
      </c>
      <c r="AG32" s="509">
        <f>Reported!AG100</f>
        <v/>
      </c>
      <c r="AH32" s="509">
        <f>Reported!AH100</f>
        <v/>
      </c>
      <c r="AI32" s="509">
        <f>Reported!AI100</f>
        <v/>
      </c>
      <c r="AJ32" s="509">
        <f>Reported!AJ100</f>
        <v/>
      </c>
      <c r="AK32" s="509">
        <f>Reported!AK100</f>
        <v/>
      </c>
      <c r="AL32" s="509">
        <f>Reported!AL100</f>
        <v/>
      </c>
      <c r="AM32" s="509">
        <f>Reported!AM100</f>
        <v/>
      </c>
      <c r="AN32" s="509">
        <f>Reported!AN100</f>
        <v/>
      </c>
      <c r="AO32" s="509">
        <f>Reported!AO100</f>
        <v/>
      </c>
      <c r="AP32" s="509">
        <f>Reported!AP100</f>
        <v/>
      </c>
      <c r="AQ32" s="509">
        <f>Reported!AQ100</f>
        <v/>
      </c>
      <c r="AR32" s="509">
        <f>Reported!AR100</f>
        <v/>
      </c>
      <c r="AS32" s="509">
        <f>Reported!AS100</f>
        <v/>
      </c>
      <c r="AT32" s="509">
        <f>Reported!AT100</f>
        <v/>
      </c>
      <c r="AU32" s="509">
        <f>Reported!AU100</f>
        <v/>
      </c>
      <c r="AV32" s="509">
        <f>Reported!AV100</f>
        <v/>
      </c>
      <c r="AW32" s="509">
        <f>Reported!AW100</f>
        <v/>
      </c>
      <c r="AX32" s="509">
        <f>Reported!AX100</f>
        <v/>
      </c>
      <c r="AY32" s="509">
        <f>Reported!AY100</f>
        <v/>
      </c>
      <c r="AZ32" s="509">
        <f>Reported!AZ100</f>
        <v/>
      </c>
      <c r="BA32" s="509">
        <f>Reported!BA100</f>
        <v/>
      </c>
      <c r="BB32" s="509">
        <f>Reported!BB100</f>
        <v/>
      </c>
      <c r="BC32" s="509">
        <f>Reported!BC100</f>
        <v/>
      </c>
      <c r="BD32" s="509">
        <f>Reported!BD100</f>
        <v/>
      </c>
      <c r="BE32" s="509">
        <f>Reported!BE100</f>
        <v/>
      </c>
      <c r="BF32" s="509">
        <f>Reported!BF100</f>
        <v/>
      </c>
      <c r="BG32" s="509">
        <f>Reported!BG100</f>
        <v/>
      </c>
      <c r="BH32" s="509">
        <f>Reported!BH100</f>
        <v/>
      </c>
      <c r="BI32" s="509">
        <f>Reported!BI100</f>
        <v/>
      </c>
      <c r="BJ32" s="509">
        <f>Reported!BJ100</f>
        <v/>
      </c>
      <c r="BK32" s="509">
        <f>Reported!BK100</f>
        <v/>
      </c>
      <c r="BL32" s="509">
        <f>Reported!BL100</f>
        <v/>
      </c>
      <c r="BM32" s="509">
        <f>Reported!BM100</f>
        <v/>
      </c>
      <c r="BN32" s="509">
        <f>Reported!BN100</f>
        <v/>
      </c>
      <c r="BO32" s="509">
        <f>Reported!BO100</f>
        <v/>
      </c>
      <c r="BP32" s="509">
        <f>Reported!BP100</f>
        <v/>
      </c>
      <c r="BQ32" s="509">
        <f>Reported!BQ100</f>
        <v/>
      </c>
      <c r="BR32" s="509">
        <f>Reported!BR100</f>
        <v/>
      </c>
      <c r="BS32" s="517">
        <f>Assumption!BS232</f>
        <v/>
      </c>
      <c r="BT32" s="517">
        <f>Assumption!BT232</f>
        <v/>
      </c>
      <c r="BU32" s="517">
        <f>Assumption!BU232</f>
        <v/>
      </c>
      <c r="BV32" s="517">
        <f>Assumption!BV232</f>
        <v/>
      </c>
      <c r="BW32" s="517">
        <f>Assumption!BW232</f>
        <v/>
      </c>
      <c r="BX32" s="517">
        <f>Assumption!BX232</f>
        <v/>
      </c>
      <c r="BY32" s="517">
        <f>Assumption!BY232</f>
        <v/>
      </c>
      <c r="BZ32" s="517">
        <f>Assumption!BZ232</f>
        <v/>
      </c>
      <c r="CA32" s="517">
        <f>Assumption!CA232</f>
        <v/>
      </c>
      <c r="CB32" s="517">
        <f>Assumption!CB232</f>
        <v/>
      </c>
      <c r="CC32" s="517">
        <f>Assumption!CC232</f>
        <v/>
      </c>
      <c r="CD32" s="517">
        <f>Assumption!CD232</f>
        <v/>
      </c>
      <c r="CE32" s="517">
        <f>Assumption!CE232</f>
        <v/>
      </c>
      <c r="CF32" s="517">
        <f>Assumption!CF232</f>
        <v/>
      </c>
      <c r="CG32" s="517">
        <f>Assumption!CG232</f>
        <v/>
      </c>
      <c r="CH32" s="517">
        <f>Assumption!CH232</f>
        <v/>
      </c>
      <c r="CI32" s="517">
        <f>Assumption!CI232</f>
        <v/>
      </c>
      <c r="CJ32" s="517">
        <f>Assumption!CJ232</f>
        <v/>
      </c>
      <c r="CK32" s="517">
        <f>Assumption!CK232</f>
        <v/>
      </c>
    </row>
    <row r="33">
      <c r="A33" s="74" t="inlineStr">
        <is>
          <t>Diluted</t>
        </is>
      </c>
      <c r="B33" s="145" t="n"/>
      <c r="C33" s="145" t="n"/>
      <c r="D33" s="145" t="n"/>
      <c r="E33" s="145" t="n"/>
      <c r="F33" s="145" t="n"/>
      <c r="G33" s="145" t="n"/>
      <c r="H33" s="145" t="n"/>
      <c r="I33" s="145" t="n"/>
      <c r="J33" s="145" t="n"/>
      <c r="K33" s="145" t="n"/>
      <c r="L33" s="145" t="n"/>
      <c r="M33" s="145" t="n"/>
      <c r="N33" s="509">
        <f>Reported!N101</f>
        <v/>
      </c>
      <c r="O33" s="509">
        <f>Reported!O101</f>
        <v/>
      </c>
      <c r="P33" s="509">
        <f>Reported!P101</f>
        <v/>
      </c>
      <c r="Q33" s="509">
        <f>Reported!Q101</f>
        <v/>
      </c>
      <c r="R33" s="509">
        <f>Reported!R101</f>
        <v/>
      </c>
      <c r="S33" s="509">
        <f>Reported!S101</f>
        <v/>
      </c>
      <c r="T33" s="509">
        <f>Reported!T101</f>
        <v/>
      </c>
      <c r="U33" s="509">
        <f>Reported!U101</f>
        <v/>
      </c>
      <c r="V33" s="509">
        <f>Reported!V101</f>
        <v/>
      </c>
      <c r="W33" s="509">
        <f>Reported!W101</f>
        <v/>
      </c>
      <c r="X33" s="509">
        <f>Reported!X101</f>
        <v/>
      </c>
      <c r="Y33" s="509">
        <f>Reported!Y101</f>
        <v/>
      </c>
      <c r="Z33" s="509">
        <f>Reported!Z101</f>
        <v/>
      </c>
      <c r="AA33" s="509">
        <f>Reported!AA101</f>
        <v/>
      </c>
      <c r="AB33" s="509">
        <f>Reported!AB101</f>
        <v/>
      </c>
      <c r="AC33" s="509">
        <f>Reported!AC101</f>
        <v/>
      </c>
      <c r="AD33" s="509">
        <f>Reported!AD101</f>
        <v/>
      </c>
      <c r="AE33" s="509">
        <f>Reported!AE101</f>
        <v/>
      </c>
      <c r="AF33" s="509">
        <f>Reported!AF101</f>
        <v/>
      </c>
      <c r="AG33" s="509">
        <f>Reported!AG101</f>
        <v/>
      </c>
      <c r="AH33" s="509">
        <f>Reported!AH101</f>
        <v/>
      </c>
      <c r="AI33" s="509">
        <f>Reported!AI101</f>
        <v/>
      </c>
      <c r="AJ33" s="509">
        <f>Reported!AJ101</f>
        <v/>
      </c>
      <c r="AK33" s="509">
        <f>Reported!AK101</f>
        <v/>
      </c>
      <c r="AL33" s="509">
        <f>Reported!AL101</f>
        <v/>
      </c>
      <c r="AM33" s="509">
        <f>Reported!AM101</f>
        <v/>
      </c>
      <c r="AN33" s="509">
        <f>Reported!AN101</f>
        <v/>
      </c>
      <c r="AO33" s="509">
        <f>Reported!AO101</f>
        <v/>
      </c>
      <c r="AP33" s="509">
        <f>Reported!AP101</f>
        <v/>
      </c>
      <c r="AQ33" s="509">
        <f>Reported!AQ101</f>
        <v/>
      </c>
      <c r="AR33" s="509">
        <f>Reported!AR101</f>
        <v/>
      </c>
      <c r="AS33" s="509">
        <f>Reported!AS101</f>
        <v/>
      </c>
      <c r="AT33" s="509">
        <f>Reported!AT101</f>
        <v/>
      </c>
      <c r="AU33" s="509">
        <f>Reported!AU101</f>
        <v/>
      </c>
      <c r="AV33" s="509">
        <f>Reported!AV101</f>
        <v/>
      </c>
      <c r="AW33" s="509">
        <f>Reported!AW101</f>
        <v/>
      </c>
      <c r="AX33" s="509">
        <f>Reported!AX101</f>
        <v/>
      </c>
      <c r="AY33" s="509">
        <f>Reported!AY101</f>
        <v/>
      </c>
      <c r="AZ33" s="509">
        <f>Reported!AZ101</f>
        <v/>
      </c>
      <c r="BA33" s="509">
        <f>Reported!BA101</f>
        <v/>
      </c>
      <c r="BB33" s="509">
        <f>Reported!BB101</f>
        <v/>
      </c>
      <c r="BC33" s="509">
        <f>Reported!BC101</f>
        <v/>
      </c>
      <c r="BD33" s="509">
        <f>Reported!BD101</f>
        <v/>
      </c>
      <c r="BE33" s="509">
        <f>Reported!BE101</f>
        <v/>
      </c>
      <c r="BF33" s="509">
        <f>Reported!BF101</f>
        <v/>
      </c>
      <c r="BG33" s="509">
        <f>Reported!BG101</f>
        <v/>
      </c>
      <c r="BH33" s="509">
        <f>Reported!BH101</f>
        <v/>
      </c>
      <c r="BI33" s="509">
        <f>Reported!BI101</f>
        <v/>
      </c>
      <c r="BJ33" s="509">
        <f>Reported!BJ101</f>
        <v/>
      </c>
      <c r="BK33" s="509">
        <f>Reported!BK101</f>
        <v/>
      </c>
      <c r="BL33" s="509">
        <f>Reported!BL101</f>
        <v/>
      </c>
      <c r="BM33" s="509">
        <f>Reported!BM101</f>
        <v/>
      </c>
      <c r="BN33" s="509">
        <f>Reported!BN101</f>
        <v/>
      </c>
      <c r="BO33" s="509">
        <f>Reported!BO101</f>
        <v/>
      </c>
      <c r="BP33" s="509">
        <f>Reported!BP101</f>
        <v/>
      </c>
      <c r="BQ33" s="509">
        <f>Reported!BQ101</f>
        <v/>
      </c>
      <c r="BR33" s="509">
        <f>Reported!BR101</f>
        <v/>
      </c>
      <c r="BS33" s="517">
        <f>Assumption!BS237</f>
        <v/>
      </c>
      <c r="BT33" s="517">
        <f>Assumption!BT237</f>
        <v/>
      </c>
      <c r="BU33" s="517">
        <f>Assumption!BU237</f>
        <v/>
      </c>
      <c r="BV33" s="517">
        <f>Assumption!BV237</f>
        <v/>
      </c>
      <c r="BW33" s="517">
        <f>Assumption!BW237</f>
        <v/>
      </c>
      <c r="BX33" s="517">
        <f>Assumption!BX237</f>
        <v/>
      </c>
      <c r="BY33" s="517">
        <f>Assumption!BY237</f>
        <v/>
      </c>
      <c r="BZ33" s="517">
        <f>Assumption!BZ237</f>
        <v/>
      </c>
      <c r="CA33" s="517">
        <f>Assumption!CA237</f>
        <v/>
      </c>
      <c r="CB33" s="517">
        <f>Assumption!CB237</f>
        <v/>
      </c>
      <c r="CC33" s="517">
        <f>Assumption!CC237</f>
        <v/>
      </c>
      <c r="CD33" s="517">
        <f>Assumption!CD237</f>
        <v/>
      </c>
      <c r="CE33" s="517">
        <f>Assumption!CE237</f>
        <v/>
      </c>
      <c r="CF33" s="517">
        <f>Assumption!CF237</f>
        <v/>
      </c>
      <c r="CG33" s="517">
        <f>Assumption!CG237</f>
        <v/>
      </c>
      <c r="CH33" s="517">
        <f>Assumption!CH237</f>
        <v/>
      </c>
      <c r="CI33" s="517">
        <f>Assumption!CI237</f>
        <v/>
      </c>
      <c r="CJ33" s="517">
        <f>Assumption!CJ237</f>
        <v/>
      </c>
      <c r="CK33" s="517">
        <f>Assumption!CK237</f>
        <v/>
      </c>
    </row>
    <row r="34">
      <c r="A34" s="40" t="n"/>
      <c r="B34" s="145" t="n"/>
      <c r="C34" s="145" t="n"/>
      <c r="D34" s="145" t="n"/>
      <c r="E34" s="145" t="n"/>
      <c r="F34" s="145" t="n"/>
      <c r="G34" s="145" t="n"/>
      <c r="H34" s="145" t="n"/>
      <c r="I34" s="145" t="n"/>
      <c r="J34" s="145" t="n"/>
      <c r="K34" s="145" t="n"/>
      <c r="L34" s="145" t="n"/>
      <c r="M34" s="145" t="n"/>
      <c r="N34" s="145" t="n"/>
      <c r="O34" s="145" t="n"/>
      <c r="P34" s="145" t="n"/>
      <c r="Q34" s="145" t="n"/>
      <c r="R34" s="145" t="n"/>
      <c r="S34" s="145" t="n"/>
      <c r="T34" s="145" t="n"/>
      <c r="U34" s="145" t="n"/>
      <c r="V34" s="145" t="n"/>
      <c r="W34" s="145" t="n"/>
      <c r="X34" s="145" t="n"/>
      <c r="Y34" s="145" t="n"/>
      <c r="Z34" s="145" t="n"/>
      <c r="AA34" s="145" t="n"/>
      <c r="AB34" s="145" t="n"/>
      <c r="AC34" s="145" t="n"/>
      <c r="AD34" s="145" t="n"/>
      <c r="AE34" s="145" t="n"/>
      <c r="AF34" s="145" t="n"/>
      <c r="AG34" s="145" t="n"/>
      <c r="AH34" s="145" t="n"/>
      <c r="AI34" s="145" t="n"/>
      <c r="AJ34" s="145" t="n"/>
      <c r="AK34" s="145" t="n"/>
      <c r="AL34" s="145" t="n"/>
      <c r="AM34" s="145" t="n"/>
      <c r="AN34" s="145" t="n"/>
      <c r="AO34" s="145" t="n"/>
      <c r="AP34" s="145" t="n"/>
      <c r="AQ34" s="145" t="n"/>
      <c r="AR34" s="145" t="n"/>
      <c r="AS34" s="145" t="n"/>
    </row>
    <row r="35">
      <c r="A35" s="455" t="inlineStr">
        <is>
          <t>Check</t>
        </is>
      </c>
      <c r="B35" s="400" t="n"/>
      <c r="C35" s="400" t="n"/>
      <c r="D35" s="400" t="n"/>
      <c r="E35" s="400" t="n"/>
      <c r="F35" s="400" t="n"/>
      <c r="G35" s="400" t="n"/>
      <c r="H35" s="400" t="n"/>
      <c r="I35" s="400" t="n"/>
      <c r="J35" s="400" t="n"/>
      <c r="K35" s="400" t="n"/>
      <c r="L35" s="400" t="n"/>
      <c r="M35" s="400" t="n"/>
      <c r="N35" s="400">
        <f>N11-N12-SUM(N14:N17)-N19</f>
        <v/>
      </c>
      <c r="O35" s="400">
        <f>O11-O12-SUM(O14:O17)-O19</f>
        <v/>
      </c>
      <c r="P35" s="400">
        <f>P11-P12-SUM(P14:P17)-P19</f>
        <v/>
      </c>
      <c r="Q35" s="400">
        <f>Q11-Q12-SUM(Q14:Q17)-Q19</f>
        <v/>
      </c>
      <c r="R35" s="400">
        <f>R11-R12-SUM(R14:R17)-R19</f>
        <v/>
      </c>
      <c r="S35" s="400">
        <f>S11-S12-SUM(S14:S17)-S19</f>
        <v/>
      </c>
      <c r="T35" s="400">
        <f>T11-T12-SUM(T14:T17)-T19</f>
        <v/>
      </c>
      <c r="U35" s="400">
        <f>U11-U12-SUM(U14:U17)-U19</f>
        <v/>
      </c>
      <c r="V35" s="400">
        <f>V11-V12-SUM(V14:V17)-V19</f>
        <v/>
      </c>
      <c r="W35" s="400">
        <f>W11-W12-SUM(W14:W17)-W19</f>
        <v/>
      </c>
      <c r="X35" s="400">
        <f>X11-X12-SUM(X14:X17)-X19</f>
        <v/>
      </c>
      <c r="Y35" s="400">
        <f>Y11-Y12-SUM(Y14:Y17)-Y19</f>
        <v/>
      </c>
      <c r="Z35" s="400">
        <f>Z11-Z12-SUM(Z14:Z17)-Z19</f>
        <v/>
      </c>
      <c r="AA35" s="400">
        <f>AA11-AA12-SUM(AA14:AA17)-AA19</f>
        <v/>
      </c>
      <c r="AB35" s="400">
        <f>AB11-AB12-SUM(AB14:AB17)-AB19</f>
        <v/>
      </c>
      <c r="AC35" s="400">
        <f>AC11-AC12-SUM(AC14:AC17)-AC19</f>
        <v/>
      </c>
      <c r="AD35" s="400">
        <f>AD11-AD12-SUM(AD14:AD17)-AD19</f>
        <v/>
      </c>
      <c r="AE35" s="400">
        <f>AE11-AE12-SUM(AE14:AE17)-AE19</f>
        <v/>
      </c>
      <c r="AF35" s="400">
        <f>AF11-AF12-SUM(AF14:AF17)-AF19</f>
        <v/>
      </c>
      <c r="AG35" s="400">
        <f>AG11-AG12-SUM(AG14:AG17)-AG19</f>
        <v/>
      </c>
      <c r="AH35" s="400">
        <f>AH11-AH12-SUM(AH14:AH17)-AH19</f>
        <v/>
      </c>
      <c r="AI35" s="400">
        <f>AI11-AI12-SUM(AI14:AI17)-AI19</f>
        <v/>
      </c>
      <c r="AJ35" s="400">
        <f>AJ11-AJ12-SUM(AJ14:AJ17)-AJ19</f>
        <v/>
      </c>
      <c r="AK35" s="400">
        <f>AK11-AK12-SUM(AK14:AK17)-AK19</f>
        <v/>
      </c>
      <c r="AL35" s="400">
        <f>AL11-AL12-SUM(AL14:AL17)-AL19</f>
        <v/>
      </c>
      <c r="AM35" s="400">
        <f>AM11-AM12-SUM(AM14:AM17)-AM19</f>
        <v/>
      </c>
      <c r="AN35" s="400">
        <f>AN11-AN12-SUM(AN14:AN17)-AN19</f>
        <v/>
      </c>
      <c r="AO35" s="400">
        <f>AO11-AO12-SUM(AO14:AO17)-AO19</f>
        <v/>
      </c>
      <c r="AP35" s="400">
        <f>AP11-AP12-SUM(AP14:AP17)-AP19</f>
        <v/>
      </c>
      <c r="AQ35" s="400">
        <f>AQ11-AQ12-SUM(AQ14:AQ17)-AQ19</f>
        <v/>
      </c>
      <c r="AR35" s="400">
        <f>AR11-AR12-SUM(AR14:AR17)-AR19</f>
        <v/>
      </c>
      <c r="AS35" s="400">
        <f>AS11-AS12-SUM(AS14:AS17)-AS19</f>
        <v/>
      </c>
      <c r="AT35" s="400">
        <f>AT11-AT12-SUM(AT14:AT17)-AT19</f>
        <v/>
      </c>
      <c r="AU35" s="400">
        <f>AU11-AU12-SUM(AU14:AU17)-AU19</f>
        <v/>
      </c>
      <c r="AV35" s="400">
        <f>AV11-AV12-SUM(AV14:AV17)-AV19</f>
        <v/>
      </c>
      <c r="AW35" s="400">
        <f>AW11-AW12-SUM(AW14:AW17)-AW19</f>
        <v/>
      </c>
      <c r="AX35" s="400">
        <f>AX11-AX12-SUM(AX14:AX17)-AX19</f>
        <v/>
      </c>
      <c r="AY35" s="400">
        <f>AY11-AY12-SUM(AY14:AY17)-AY19</f>
        <v/>
      </c>
      <c r="AZ35" s="400">
        <f>AZ11-AZ12-SUM(AZ14:AZ17)-AZ19</f>
        <v/>
      </c>
      <c r="BA35" s="400">
        <f>BA11-BA12-SUM(BA14:BA17)-BA19</f>
        <v/>
      </c>
      <c r="BB35" s="400">
        <f>BB11-BB12-SUM(BB14:BB17)-BB19</f>
        <v/>
      </c>
      <c r="BC35" s="400">
        <f>BC11-BC12-SUM(BC14:BC17)-BC19</f>
        <v/>
      </c>
      <c r="BD35" s="400">
        <f>BD11-BD12-SUM(BD14:BD17)-BD19</f>
        <v/>
      </c>
      <c r="BE35" s="400">
        <f>BE11-BE12-SUM(BE14:BE17)-BE19</f>
        <v/>
      </c>
      <c r="BF35" s="400">
        <f>BF11-BF12-SUM(BF14:BF17)-BF19</f>
        <v/>
      </c>
      <c r="BG35" s="400">
        <f>BG11-BG12-SUM(BG14:BG17)-BG19</f>
        <v/>
      </c>
      <c r="BH35" s="400">
        <f>BH11-BH12-SUM(BH14:BH17)-BH19</f>
        <v/>
      </c>
      <c r="BI35" s="400">
        <f>BI11-BI12-SUM(BI14:BI17)-BI19</f>
        <v/>
      </c>
      <c r="BJ35" s="400">
        <f>BJ11-BJ12-SUM(BJ14:BJ17)-BJ19</f>
        <v/>
      </c>
      <c r="BK35" s="400">
        <f>BK11-BK12-SUM(BK14:BK17)-BK19</f>
        <v/>
      </c>
      <c r="BL35" s="400">
        <f>BL11-BL12-SUM(BL14:BL17)-BL19</f>
        <v/>
      </c>
      <c r="BM35" s="400">
        <f>BM11-BM12-SUM(BM14:BM17)-BM19</f>
        <v/>
      </c>
      <c r="BN35" s="400">
        <f>BN11-BN12-SUM(BN14:BN17)-BN19</f>
        <v/>
      </c>
      <c r="BO35" s="400">
        <f>BO11-BO12-SUM(BO14:BO17)-BO19</f>
        <v/>
      </c>
      <c r="BP35" s="400">
        <f>BP11-BP12-SUM(BP14:BP17)-BP19</f>
        <v/>
      </c>
      <c r="BQ35" s="400">
        <f>BQ11-BQ12-SUM(BQ14:BQ17)-BQ19</f>
        <v/>
      </c>
      <c r="BR35" s="400">
        <f>BR11-BR12-SUM(BR14:BR17)-BR19</f>
        <v/>
      </c>
      <c r="BS35" s="400">
        <f>BS11-BS12-SUM(BS14:BS17)-BS19</f>
        <v/>
      </c>
      <c r="BT35" s="400">
        <f>BT11-BT12-SUM(BT14:BT17)-BT19</f>
        <v/>
      </c>
      <c r="BU35" s="400">
        <f>BU11-BU12-SUM(BU14:BU17)-BU19</f>
        <v/>
      </c>
      <c r="BV35" s="400">
        <f>BV11-BV12-SUM(BV14:BV17)-BV19</f>
        <v/>
      </c>
      <c r="BW35" s="400">
        <f>BW11-BW12-SUM(BW14:BW17)-BW19</f>
        <v/>
      </c>
      <c r="BX35" s="400">
        <f>BX11-BX12-SUM(BX14:BX17)-BX19</f>
        <v/>
      </c>
      <c r="BY35" s="400">
        <f>BY11-BY12-SUM(BY14:BY17)-BY19</f>
        <v/>
      </c>
      <c r="BZ35" s="400">
        <f>BZ11-BZ12-SUM(BZ14:BZ17)-BZ19</f>
        <v/>
      </c>
      <c r="CA35" s="400">
        <f>CA11-CA12-SUM(CA14:CA17)-CA19</f>
        <v/>
      </c>
      <c r="CB35" s="400">
        <f>CB11-CB12-SUM(CB14:CB17)-CB19</f>
        <v/>
      </c>
      <c r="CC35" s="400">
        <f>CC11-CC12-SUM(CC14:CC17)-CC19</f>
        <v/>
      </c>
      <c r="CD35" s="400">
        <f>CD11-CD12-SUM(CD14:CD17)-CD19</f>
        <v/>
      </c>
      <c r="CE35" s="400">
        <f>CE11-CE12-SUM(CE14:CE17)-CE19</f>
        <v/>
      </c>
      <c r="CF35" s="400">
        <f>CF11-CF12-SUM(CF14:CF17)-CF19</f>
        <v/>
      </c>
      <c r="CG35" s="400">
        <f>CG11-CG12-SUM(CG14:CG17)-CG19</f>
        <v/>
      </c>
      <c r="CH35" s="400">
        <f>CH11-CH12-SUM(CH14:CH17)-CH19</f>
        <v/>
      </c>
      <c r="CI35" s="400">
        <f>CI11-CI12-SUM(CI14:CI17)-CI19</f>
        <v/>
      </c>
      <c r="CJ35" s="400">
        <f>CJ11-CJ12-SUM(CJ14:CJ17)-CJ19</f>
        <v/>
      </c>
      <c r="CK35" s="400">
        <f>CK11-CK12-SUM(CK14:CK17)-CK19</f>
        <v/>
      </c>
    </row>
    <row r="36">
      <c r="A36" s="455">
        <f>A35</f>
        <v/>
      </c>
      <c r="B36" s="400" t="n"/>
      <c r="C36" s="400" t="n"/>
      <c r="D36" s="400" t="n"/>
      <c r="E36" s="400" t="n"/>
      <c r="F36" s="400" t="n"/>
      <c r="G36" s="400" t="n"/>
      <c r="H36" s="400" t="n"/>
      <c r="I36" s="400" t="n"/>
      <c r="J36" s="400" t="n"/>
      <c r="K36" s="400" t="n"/>
      <c r="L36" s="400" t="n"/>
      <c r="M36" s="400" t="n"/>
      <c r="N36" s="400">
        <f>N19+SUM(N20:N21)+N24-N26-N27</f>
        <v/>
      </c>
      <c r="O36" s="400">
        <f>O19+SUM(O20:O21)+O24-O26-O27</f>
        <v/>
      </c>
      <c r="P36" s="400">
        <f>P19+SUM(P20:P21)+P24-P26-P27</f>
        <v/>
      </c>
      <c r="Q36" s="400">
        <f>Q19+SUM(Q20:Q21)+Q24-Q26-Q27</f>
        <v/>
      </c>
      <c r="R36" s="400">
        <f>R19+SUM(R20:R21)+R24-R26-R27</f>
        <v/>
      </c>
      <c r="S36" s="400">
        <f>S19+SUM(S20:S21)+S24-S26-S27</f>
        <v/>
      </c>
      <c r="T36" s="400">
        <f>T19+SUM(T20:T21)+T24-T26-T27</f>
        <v/>
      </c>
      <c r="U36" s="400">
        <f>U19+SUM(U20:U21)+U24-U26-U27</f>
        <v/>
      </c>
      <c r="V36" s="400">
        <f>V19+SUM(V20:V21)+V24-V26-V27</f>
        <v/>
      </c>
      <c r="W36" s="400">
        <f>W19+SUM(W20:W21)+W24-W26-W27</f>
        <v/>
      </c>
      <c r="X36" s="400">
        <f>X19+SUM(X20:X21)+X24-X26-X27</f>
        <v/>
      </c>
      <c r="Y36" s="400">
        <f>Y19+SUM(Y20:Y21)+Y24-Y26-Y27</f>
        <v/>
      </c>
      <c r="Z36" s="400">
        <f>Z19+SUM(Z20:Z21)+Z24-Z26-Z27</f>
        <v/>
      </c>
      <c r="AA36" s="400">
        <f>AA19+SUM(AA20:AA21)+AA24-AA26-AA27</f>
        <v/>
      </c>
      <c r="AB36" s="400">
        <f>AB19+SUM(AB20:AB21)+AB24-AB26-AB27</f>
        <v/>
      </c>
      <c r="AC36" s="400">
        <f>AC19+SUM(AC20:AC21)+AC24-AC26-AC27</f>
        <v/>
      </c>
      <c r="AD36" s="400">
        <f>AD19+SUM(AD20:AD21)+AD24-AD26-AD27</f>
        <v/>
      </c>
      <c r="AE36" s="400">
        <f>AE19+SUM(AE20:AE21)+AE24-AE26-AE27</f>
        <v/>
      </c>
      <c r="AF36" s="400">
        <f>AF19+SUM(AF20:AF21)+AF24-AF26-AF27</f>
        <v/>
      </c>
      <c r="AG36" s="400">
        <f>AG19+SUM(AG20:AG21)+AG24-AG26-AG27</f>
        <v/>
      </c>
      <c r="AH36" s="400">
        <f>AH19+SUM(AH20:AH21)+AH24-AH26-AH27</f>
        <v/>
      </c>
      <c r="AI36" s="400">
        <f>AI19+SUM(AI20:AI21)+AI24-AI26-AI27</f>
        <v/>
      </c>
      <c r="AJ36" s="400">
        <f>AJ19+SUM(AJ20:AJ21)+AJ24-AJ26-AJ27</f>
        <v/>
      </c>
      <c r="AK36" s="400">
        <f>AK19+SUM(AK20:AK21)+AK24-AK26-AK27</f>
        <v/>
      </c>
      <c r="AL36" s="400">
        <f>AL19+SUM(AL20:AL21)+AL24-AL26-AL27</f>
        <v/>
      </c>
      <c r="AM36" s="400">
        <f>AM19+SUM(AM20:AM21)+AM24-AM26-AM27</f>
        <v/>
      </c>
      <c r="AN36" s="400">
        <f>AN19+SUM(AN20:AN21)+AN24-AN26-AN27</f>
        <v/>
      </c>
      <c r="AO36" s="400">
        <f>AO19+SUM(AO20:AO21)+AO24-AO26-AO27</f>
        <v/>
      </c>
      <c r="AP36" s="400">
        <f>AP19+SUM(AP20:AP21)+AP24-AP26-AP27</f>
        <v/>
      </c>
      <c r="AQ36" s="400">
        <f>AQ19+SUM(AQ20:AQ21)+AQ24-AQ26-AQ27</f>
        <v/>
      </c>
      <c r="AR36" s="400">
        <f>AR19+SUM(AR20:AR21)+AR24-AR26-AR27</f>
        <v/>
      </c>
      <c r="AS36" s="400">
        <f>AS19+SUM(AS20:AS21)+AS24-AS26-AS27</f>
        <v/>
      </c>
      <c r="AT36" s="400">
        <f>AT19+SUM(AT20:AT21)+AT24-AT26-AT27</f>
        <v/>
      </c>
      <c r="AU36" s="400">
        <f>AU19+SUM(AU20:AU21)+AU24-AU26-AU27</f>
        <v/>
      </c>
      <c r="AV36" s="400">
        <f>AV19+SUM(AV20:AV21)+AV24-AV26-AV27</f>
        <v/>
      </c>
      <c r="AW36" s="400">
        <f>AW19+SUM(AW20:AW21)+AW24-AW26-AW27</f>
        <v/>
      </c>
      <c r="AX36" s="400">
        <f>AX19+SUM(AX20:AX21)+AX24-AX26-AX27</f>
        <v/>
      </c>
      <c r="AY36" s="400">
        <f>AY19+SUM(AY20:AY21)+AY24-AY26-AY27</f>
        <v/>
      </c>
      <c r="AZ36" s="400">
        <f>AZ19+SUM(AZ20:AZ21)+AZ24-AZ26-AZ27</f>
        <v/>
      </c>
      <c r="BA36" s="400">
        <f>BA19+SUM(BA20:BA21)+BA24-BA26-BA27</f>
        <v/>
      </c>
      <c r="BB36" s="400">
        <f>BB19+SUM(BB20:BB21)+BB24-BB26-BB27</f>
        <v/>
      </c>
      <c r="BC36" s="400">
        <f>BC19+SUM(BC20:BC21)+BC24-BC26-BC27</f>
        <v/>
      </c>
      <c r="BD36" s="400">
        <f>BD19+SUM(BD20:BD21)+BD24-BD26-BD27</f>
        <v/>
      </c>
      <c r="BE36" s="400">
        <f>BE19+SUM(BE20:BE21)+BE24-BE26-BE27</f>
        <v/>
      </c>
      <c r="BF36" s="400">
        <f>BF19+SUM(BF20:BF21)+BF24-BF26-BF27</f>
        <v/>
      </c>
      <c r="BG36" s="400">
        <f>BG19+SUM(BG20:BG21)+BG24-BG26-BG27</f>
        <v/>
      </c>
      <c r="BH36" s="400">
        <f>BH19+SUM(BH20:BH21)+BH24-BH26-BH27</f>
        <v/>
      </c>
      <c r="BI36" s="400">
        <f>BI19+SUM(BI20:BI21)+BI24-BI26-BI27</f>
        <v/>
      </c>
      <c r="BJ36" s="400">
        <f>BJ19+SUM(BJ20:BJ21)+BJ24-BJ26-BJ27</f>
        <v/>
      </c>
      <c r="BK36" s="400">
        <f>BK19+SUM(BK20:BK21)+BK24-BK26-BK27</f>
        <v/>
      </c>
      <c r="BL36" s="400">
        <f>BL19+SUM(BL20:BL21)+BL24-BL26-BL27</f>
        <v/>
      </c>
      <c r="BM36" s="400">
        <f>BM19+SUM(BM20:BM21)+BM24-BM26-BM27</f>
        <v/>
      </c>
      <c r="BN36" s="400">
        <f>BN19+SUM(BN20:BN21)+BN24-BN26-BN27</f>
        <v/>
      </c>
      <c r="BO36" s="400">
        <f>BO19+SUM(BO20:BO21)+BO24-BO26-BO27</f>
        <v/>
      </c>
      <c r="BP36" s="400">
        <f>BP19+SUM(BP20:BP21)+BP24-BP26-BP27</f>
        <v/>
      </c>
      <c r="BQ36" s="400">
        <f>BQ19+SUM(BQ20:BQ21)+BQ24-BQ26-BQ27</f>
        <v/>
      </c>
      <c r="BR36" s="400">
        <f>BR19+SUM(BR20:BR21)+BR24-BR26-BR27</f>
        <v/>
      </c>
      <c r="BS36" s="400">
        <f>BS19+SUM(BS20:BS21)+BS24-BS26-BS27</f>
        <v/>
      </c>
      <c r="BT36" s="400">
        <f>BT19+SUM(BT20:BT21)+BT24-BT26-BT27</f>
        <v/>
      </c>
      <c r="BU36" s="400">
        <f>BU19+SUM(BU20:BU21)+BU24-BU26-BU27</f>
        <v/>
      </c>
      <c r="BV36" s="400">
        <f>BV19+SUM(BV20:BV21)+BV24-BV26-BV27</f>
        <v/>
      </c>
      <c r="BW36" s="400">
        <f>BW19+SUM(BW20:BW21)+BW24-BW26-BW27</f>
        <v/>
      </c>
      <c r="BX36" s="400">
        <f>BX19+SUM(BX20:BX21)+BX24-BX26-BX27</f>
        <v/>
      </c>
      <c r="BY36" s="400">
        <f>BY19+SUM(BY20:BY21)+BY24-BY26-BY27</f>
        <v/>
      </c>
      <c r="BZ36" s="400">
        <f>BZ19+SUM(BZ20:BZ21)+BZ24-BZ26-BZ27</f>
        <v/>
      </c>
      <c r="CA36" s="400">
        <f>CA19+SUM(CA20:CA21)+CA24-CA26-CA27</f>
        <v/>
      </c>
      <c r="CB36" s="400">
        <f>CB19+SUM(CB20:CB21)+CB24-CB26-CB27</f>
        <v/>
      </c>
      <c r="CC36" s="400">
        <f>CC19+SUM(CC20:CC21)+CC24-CC26-CC27</f>
        <v/>
      </c>
      <c r="CD36" s="400">
        <f>CD19+SUM(CD20:CD21)+CD24-CD26-CD27</f>
        <v/>
      </c>
      <c r="CE36" s="400">
        <f>CE19+SUM(CE20:CE21)+CE24-CE26-CE27</f>
        <v/>
      </c>
      <c r="CF36" s="400">
        <f>CF19+SUM(CF20:CF21)+CF24-CF26-CF27</f>
        <v/>
      </c>
      <c r="CG36" s="400">
        <f>CG19+SUM(CG20:CG21)+CG24-CG26-CG27</f>
        <v/>
      </c>
      <c r="CH36" s="400">
        <f>CH19+SUM(CH20:CH21)+CH24-CH26-CH27</f>
        <v/>
      </c>
      <c r="CI36" s="400">
        <f>CI19+SUM(CI20:CI21)+CI24-CI26-CI27</f>
        <v/>
      </c>
      <c r="CJ36" s="400">
        <f>CJ19+SUM(CJ20:CJ21)+CJ24-CJ26-CJ27</f>
        <v/>
      </c>
      <c r="CK36" s="400">
        <f>CK19+SUM(CK20:CK21)+CK24-CK26-CK27</f>
        <v/>
      </c>
    </row>
    <row r="37">
      <c r="A37" s="455">
        <f>A36</f>
        <v/>
      </c>
      <c r="B37" s="400" t="n"/>
      <c r="C37" s="400" t="n"/>
      <c r="D37" s="400" t="n"/>
      <c r="E37" s="400" t="n"/>
      <c r="F37" s="400" t="n"/>
      <c r="G37" s="400" t="n"/>
      <c r="H37" s="400" t="n"/>
      <c r="I37" s="400" t="n"/>
      <c r="J37" s="400" t="n"/>
      <c r="K37" s="400" t="n"/>
      <c r="L37" s="400" t="n"/>
      <c r="M37" s="400" t="n"/>
      <c r="N37" s="400">
        <f>ROUND(N27/N32-N29,2)</f>
        <v/>
      </c>
      <c r="O37" s="400">
        <f>ROUND(O27/O32-O29,2)</f>
        <v/>
      </c>
      <c r="P37" s="400">
        <f>ROUND(P27/P32-P29,2)</f>
        <v/>
      </c>
      <c r="Q37" s="400">
        <f>ROUND(Q27/Q32-Q29,2)</f>
        <v/>
      </c>
      <c r="R37" s="400">
        <f>ROUND(R27/R32-R29,2)</f>
        <v/>
      </c>
      <c r="S37" s="400">
        <f>ROUND(S27/S32-S29,2)</f>
        <v/>
      </c>
      <c r="T37" s="400">
        <f>ROUND(T27/T32-T29,2)</f>
        <v/>
      </c>
      <c r="U37" s="400">
        <f>ROUND(U27/U32-U29,2)</f>
        <v/>
      </c>
      <c r="V37" s="400">
        <f>ROUND(V27/V32-V29,2)</f>
        <v/>
      </c>
      <c r="W37" s="400">
        <f>ROUND(W27/W32-W29,2)</f>
        <v/>
      </c>
      <c r="X37" s="400">
        <f>ROUND(X27/X32-X29,2)</f>
        <v/>
      </c>
      <c r="Y37" s="400">
        <f>ROUND(Y27/Y32-Y29,2)</f>
        <v/>
      </c>
      <c r="Z37" s="400">
        <f>ROUND(Z27/Z32-Z29,2)</f>
        <v/>
      </c>
      <c r="AA37" s="400">
        <f>ROUND(AA27/AA32-AA29,2)</f>
        <v/>
      </c>
      <c r="AB37" s="400">
        <f>ROUND(AB27/AB32-AB29,2)</f>
        <v/>
      </c>
      <c r="AC37" s="400">
        <f>ROUND(AC27/AC32-AC29,2)</f>
        <v/>
      </c>
      <c r="AD37" s="400">
        <f>ROUND(AD27/AD32-AD29,2)</f>
        <v/>
      </c>
      <c r="AE37" s="400">
        <f>ROUND(AE27/AE32-AE29,2)</f>
        <v/>
      </c>
      <c r="AF37" s="400">
        <f>ROUND(AF27/AF32-AF29,2)</f>
        <v/>
      </c>
      <c r="AG37" s="400">
        <f>ROUND(AG27/AG32-AG29,2)</f>
        <v/>
      </c>
      <c r="AH37" s="400">
        <f>ROUND(AH27/AH32-AH29,2)</f>
        <v/>
      </c>
      <c r="AI37" s="400">
        <f>ROUND(AI27/AI32-AI29,2)</f>
        <v/>
      </c>
      <c r="AJ37" s="400">
        <f>ROUND(AJ27/AJ32-AJ29,2)</f>
        <v/>
      </c>
      <c r="AK37" s="400">
        <f>ROUND(AK27/AK32-AK29,2)</f>
        <v/>
      </c>
      <c r="AL37" s="400">
        <f>ROUND(AL27/AL32-AL29,2)</f>
        <v/>
      </c>
      <c r="AM37" s="400">
        <f>ROUND(AM27/AM32-AM29,2)</f>
        <v/>
      </c>
      <c r="AN37" s="400">
        <f>ROUND(AN27/AN32-AN29,2)</f>
        <v/>
      </c>
      <c r="AO37" s="400">
        <f>ROUND(AO27/AO32-AO29,2)</f>
        <v/>
      </c>
      <c r="AP37" s="400">
        <f>ROUND(AP27/AP32-AP29,2)</f>
        <v/>
      </c>
      <c r="AQ37" s="400">
        <f>ROUND(AQ27/AQ32-AQ29,2)</f>
        <v/>
      </c>
      <c r="AR37" s="400">
        <f>ROUND(AR27/AR32-AR29,2)</f>
        <v/>
      </c>
      <c r="AS37" s="400">
        <f>ROUND(AS27/AS32-AS29,2)</f>
        <v/>
      </c>
      <c r="AT37" s="400">
        <f>ROUND(AT27/AT32-AT29,2)</f>
        <v/>
      </c>
      <c r="AU37" s="400">
        <f>ROUND(AU27/AU32-AU29,2)</f>
        <v/>
      </c>
      <c r="AV37" s="400">
        <f>ROUND(AV27/AV32-AV29,2)</f>
        <v/>
      </c>
      <c r="AW37" s="400">
        <f>ROUND(AW27/AW32-AW29,2)</f>
        <v/>
      </c>
      <c r="AX37" s="400">
        <f>ROUND(AX27/AX32-AX29,2)</f>
        <v/>
      </c>
      <c r="AY37" s="400">
        <f>ROUND(AY27/AY32-AY29,2)</f>
        <v/>
      </c>
      <c r="AZ37" s="400">
        <f>ROUND(AZ27/AZ32-AZ29,2)</f>
        <v/>
      </c>
      <c r="BA37" s="400">
        <f>ROUND(BA27/BA32-BA29,2)</f>
        <v/>
      </c>
      <c r="BB37" s="400">
        <f>ROUND(BB27/BB32-BB29,2)</f>
        <v/>
      </c>
      <c r="BC37" s="400">
        <f>ROUND(BC27/BC32-BC29,2)</f>
        <v/>
      </c>
      <c r="BD37" s="400">
        <f>ROUND(BD27/BD32-BD29,2)</f>
        <v/>
      </c>
      <c r="BE37" s="400">
        <f>ROUND(BE27/BE32-BE29,2)</f>
        <v/>
      </c>
      <c r="BF37" s="400">
        <f>ROUND(BF27/BF32-BF29,2)</f>
        <v/>
      </c>
      <c r="BG37" s="400">
        <f>ROUND(BG27/BG32-BG29,2)</f>
        <v/>
      </c>
      <c r="BH37" s="400">
        <f>ROUND(BH27/BH32-BH29,2)</f>
        <v/>
      </c>
      <c r="BI37" s="400">
        <f>ROUND(BI27/BI32-BI29,2)</f>
        <v/>
      </c>
      <c r="BJ37" s="400">
        <f>ROUND(BJ27/BJ32-BJ29,2)</f>
        <v/>
      </c>
      <c r="BK37" s="400">
        <f>ROUND(BK27/BK32-BK29,2)</f>
        <v/>
      </c>
      <c r="BL37" s="400">
        <f>ROUND(BL27/BL32-BL29,2)</f>
        <v/>
      </c>
      <c r="BM37" s="400">
        <f>ROUND(BM27/BM32-BM29,2)</f>
        <v/>
      </c>
      <c r="BN37" s="400">
        <f>ROUND(BN27/BN32-BN29,2)</f>
        <v/>
      </c>
      <c r="BO37" s="400">
        <f>ROUND(BO27/BO32-BO29,2)</f>
        <v/>
      </c>
      <c r="BP37" s="400">
        <f>ROUND(BP27/BP32-BP29,2)</f>
        <v/>
      </c>
      <c r="BQ37" s="400">
        <f>ROUND(BQ27/BQ32-BQ29,2)</f>
        <v/>
      </c>
      <c r="BR37" s="400">
        <f>ROUND(BR27/BR32-BR29,2)</f>
        <v/>
      </c>
      <c r="BS37" s="400">
        <f>ROUND(BS27/BS32-BS29,2)</f>
        <v/>
      </c>
      <c r="BT37" s="400">
        <f>ROUND(BT27/BT32-BT29,2)</f>
        <v/>
      </c>
      <c r="BU37" s="400">
        <f>ROUND(BU27/BU32-BU29,2)</f>
        <v/>
      </c>
      <c r="BV37" s="400">
        <f>ROUND(BV27/BV32-BV29,2)</f>
        <v/>
      </c>
      <c r="BW37" s="400">
        <f>ROUND(BW27/BW32-BW29,2)</f>
        <v/>
      </c>
      <c r="BX37" s="400">
        <f>ROUND(BX27/BX32-BX29,2)</f>
        <v/>
      </c>
      <c r="BY37" s="400">
        <f>ROUND(BY27/BY32-BY29,2)</f>
        <v/>
      </c>
      <c r="BZ37" s="400">
        <f>ROUND(BZ27/BZ32-BZ29,2)</f>
        <v/>
      </c>
      <c r="CA37" s="400">
        <f>ROUND(CA27/CA32-CA29,2)</f>
        <v/>
      </c>
      <c r="CB37" s="400">
        <f>ROUND(CB27/CB32-CB29,2)</f>
        <v/>
      </c>
      <c r="CC37" s="400">
        <f>ROUND(CC27/CC32-CC29,2)</f>
        <v/>
      </c>
      <c r="CD37" s="400">
        <f>ROUND(CD27/CD32-CD29,2)</f>
        <v/>
      </c>
      <c r="CE37" s="400">
        <f>ROUND(CE27/CE32-CE29,2)</f>
        <v/>
      </c>
      <c r="CF37" s="400">
        <f>ROUND(CF27/CF32-CF29,2)</f>
        <v/>
      </c>
      <c r="CG37" s="400">
        <f>ROUND(CG27/CG32-CG29,2)</f>
        <v/>
      </c>
      <c r="CH37" s="400">
        <f>ROUND(CH27/CH32-CH29,2)</f>
        <v/>
      </c>
      <c r="CI37" s="400">
        <f>ROUND(CI27/CI32-CI29,2)</f>
        <v/>
      </c>
      <c r="CJ37" s="400">
        <f>ROUND(CJ27/CJ32-CJ29,2)</f>
        <v/>
      </c>
      <c r="CK37" s="400">
        <f>ROUND(CK27/CK32-CK29,2)</f>
        <v/>
      </c>
    </row>
    <row r="38">
      <c r="A38" s="455" t="n"/>
      <c r="B38" s="400" t="n"/>
      <c r="C38" s="400" t="n"/>
      <c r="D38" s="400" t="n"/>
      <c r="E38" s="400" t="n"/>
      <c r="F38" s="400" t="n"/>
      <c r="G38" s="400" t="n"/>
      <c r="H38" s="400" t="n"/>
      <c r="I38" s="400" t="n"/>
      <c r="J38" s="400" t="n"/>
      <c r="K38" s="400" t="n"/>
      <c r="L38" s="400" t="n"/>
      <c r="M38" s="400" t="n"/>
      <c r="N38" s="400" t="n"/>
      <c r="O38" s="400" t="n"/>
      <c r="P38" s="400" t="n"/>
      <c r="Q38" s="400" t="n"/>
      <c r="R38" s="400" t="n"/>
      <c r="S38" s="400" t="n"/>
      <c r="T38" s="400" t="n"/>
      <c r="U38" s="400" t="n"/>
      <c r="V38" s="400" t="n"/>
      <c r="W38" s="400" t="n"/>
      <c r="X38" s="400" t="n"/>
      <c r="Y38" s="400" t="n"/>
      <c r="Z38" s="400" t="n"/>
      <c r="AA38" s="400" t="n"/>
      <c r="AB38" s="400" t="n"/>
      <c r="AC38" s="400" t="n"/>
      <c r="AD38" s="400" t="n"/>
      <c r="AE38" s="400" t="n"/>
      <c r="AF38" s="400" t="n"/>
      <c r="AG38" s="400" t="n"/>
      <c r="AH38" s="400" t="n"/>
      <c r="AI38" s="400" t="n"/>
      <c r="AJ38" s="400" t="n"/>
      <c r="AK38" s="400" t="n"/>
      <c r="AL38" s="400" t="n"/>
      <c r="AM38" s="400" t="n"/>
      <c r="AN38" s="400" t="n"/>
      <c r="AO38" s="400" t="n"/>
      <c r="AP38" s="400" t="n"/>
      <c r="AQ38" s="400" t="n"/>
      <c r="AR38" s="400" t="n"/>
    </row>
    <row r="39">
      <c r="A39" s="455" t="n"/>
      <c r="B39" s="400" t="n"/>
      <c r="C39" s="400" t="n"/>
      <c r="D39" s="400" t="n"/>
      <c r="E39" s="400" t="n"/>
      <c r="F39" s="400" t="n"/>
      <c r="G39" s="400" t="n"/>
      <c r="H39" s="400" t="n"/>
      <c r="I39" s="400" t="n"/>
      <c r="J39" s="400" t="n"/>
      <c r="K39" s="400" t="n"/>
      <c r="L39" s="400" t="n"/>
      <c r="M39" s="400" t="n"/>
      <c r="N39" s="400" t="n"/>
      <c r="O39" s="400" t="n"/>
      <c r="P39" s="400" t="n"/>
      <c r="Q39" s="400" t="n"/>
      <c r="R39" s="400" t="n"/>
      <c r="S39" s="400" t="n"/>
      <c r="T39" s="400" t="n"/>
      <c r="U39" s="400" t="n"/>
      <c r="V39" s="400" t="n"/>
      <c r="W39" s="400" t="n"/>
      <c r="X39" s="400" t="n"/>
      <c r="Y39" s="400" t="n"/>
      <c r="Z39" s="400" t="n"/>
      <c r="AA39" s="400" t="n"/>
      <c r="AB39" s="400" t="n"/>
      <c r="AC39" s="400" t="n"/>
      <c r="AD39" s="400" t="n"/>
      <c r="AE39" s="400" t="n"/>
      <c r="AF39" s="400" t="n"/>
      <c r="AG39" s="400" t="n"/>
      <c r="AH39" s="400" t="n"/>
      <c r="AI39" s="400" t="n"/>
      <c r="AJ39" s="400" t="n"/>
      <c r="AK39" s="400" t="n"/>
      <c r="AL39" s="400" t="n"/>
      <c r="AM39" s="400" t="n"/>
      <c r="AN39" s="400" t="n"/>
      <c r="AO39" s="400" t="n"/>
      <c r="AP39" s="400" t="n"/>
      <c r="AQ39" s="400" t="n"/>
      <c r="AR39" s="400" t="n"/>
      <c r="BD39" s="110" t="n"/>
      <c r="BE39" s="110" t="n"/>
    </row>
    <row r="40">
      <c r="A40" s="455" t="n"/>
      <c r="B40" s="400" t="n"/>
      <c r="C40" s="400" t="n"/>
      <c r="D40" s="400" t="n"/>
      <c r="E40" s="400" t="n"/>
      <c r="F40" s="400" t="n"/>
      <c r="G40" s="400" t="n"/>
      <c r="H40" s="400" t="n"/>
      <c r="I40" s="400" t="n"/>
      <c r="J40" s="400" t="n"/>
      <c r="K40" s="400" t="n"/>
      <c r="L40" s="400" t="n"/>
      <c r="M40" s="400" t="n"/>
      <c r="N40" s="400" t="n"/>
      <c r="O40" s="400" t="n"/>
      <c r="P40" s="400" t="n"/>
      <c r="Q40" s="400" t="n"/>
      <c r="R40" s="400" t="n"/>
      <c r="S40" s="400" t="n"/>
      <c r="T40" s="400" t="n"/>
      <c r="U40" s="400" t="n"/>
      <c r="V40" s="400" t="n"/>
      <c r="W40" s="400" t="n"/>
      <c r="X40" s="400" t="n"/>
      <c r="Y40" s="400" t="n"/>
      <c r="Z40" s="400" t="n"/>
      <c r="AA40" s="400" t="n"/>
      <c r="AB40" s="400" t="n"/>
      <c r="AC40" s="400" t="n"/>
      <c r="AD40" s="400" t="n"/>
      <c r="AE40" s="400" t="n"/>
      <c r="AF40" s="400" t="n"/>
      <c r="AG40" s="400" t="n"/>
      <c r="AH40" s="400" t="n"/>
      <c r="AI40" s="400" t="n"/>
      <c r="AJ40" s="400" t="n"/>
      <c r="AK40" s="400" t="n"/>
      <c r="AL40" s="400" t="n"/>
      <c r="AM40" s="400" t="n"/>
      <c r="AN40" s="400" t="n"/>
      <c r="AO40" s="400" t="n"/>
      <c r="AP40" s="400" t="n"/>
      <c r="AQ40" s="400" t="n"/>
      <c r="AR40" s="400" t="n"/>
      <c r="AV40" s="110" t="n"/>
    </row>
    <row r="41">
      <c r="B41" s="145" t="n"/>
      <c r="C41" s="145" t="n"/>
      <c r="D41" s="145" t="n"/>
      <c r="E41" s="145" t="n"/>
      <c r="F41" s="145" t="n"/>
      <c r="G41" s="145" t="n"/>
      <c r="H41" s="145" t="n"/>
      <c r="I41" s="145" t="n"/>
      <c r="J41" s="145" t="n"/>
      <c r="K41" s="145" t="n"/>
      <c r="L41" s="145" t="n"/>
      <c r="M41" s="145" t="n"/>
      <c r="N41" s="145" t="n"/>
      <c r="O41" s="145" t="n"/>
      <c r="P41" s="145" t="n"/>
      <c r="Q41" s="145" t="n"/>
      <c r="R41" s="145" t="n"/>
      <c r="S41" s="145" t="n"/>
      <c r="T41" s="145" t="n"/>
      <c r="U41" s="145" t="n"/>
      <c r="V41" s="145" t="n"/>
      <c r="W41" s="145" t="n"/>
      <c r="X41" s="145" t="n"/>
      <c r="Y41" s="145" t="n"/>
      <c r="Z41" s="145" t="n"/>
      <c r="AA41" s="145" t="n"/>
      <c r="AB41" s="145" t="n"/>
      <c r="AC41" s="145" t="n"/>
      <c r="AD41" s="145" t="n"/>
      <c r="AE41" s="145" t="n"/>
      <c r="AF41" s="145" t="n"/>
    </row>
    <row r="42">
      <c r="A42" s="81" t="inlineStr">
        <is>
          <t>CONSOLIDATED BALANCE SHEET (in '000 USD)</t>
        </is>
      </c>
      <c r="B42" s="145" t="n"/>
      <c r="C42" s="145" t="n"/>
      <c r="D42" s="145" t="n"/>
      <c r="E42" s="145" t="n"/>
      <c r="F42" s="145" t="n"/>
      <c r="G42" s="145" t="n"/>
      <c r="H42" s="145" t="n"/>
      <c r="I42" s="145" t="n"/>
      <c r="J42" s="145" t="n"/>
      <c r="K42" s="145" t="n"/>
      <c r="L42" s="145" t="n"/>
      <c r="M42" s="145" t="n"/>
      <c r="N42" s="145" t="n"/>
      <c r="O42" s="145" t="n"/>
      <c r="P42" s="145" t="n"/>
      <c r="Q42" s="145" t="n"/>
      <c r="R42" s="145" t="n"/>
      <c r="S42" s="145" t="n"/>
      <c r="T42" s="145" t="n"/>
      <c r="U42" s="145" t="n"/>
      <c r="V42" s="145" t="n"/>
      <c r="W42" s="145" t="n"/>
      <c r="X42" s="145" t="n"/>
      <c r="Y42" s="145" t="n"/>
      <c r="Z42" s="145" t="n"/>
      <c r="AA42" s="145" t="n"/>
      <c r="AB42" s="145" t="n"/>
      <c r="AC42" s="145" t="n"/>
      <c r="AD42" s="145" t="n"/>
      <c r="AE42" s="145" t="n"/>
    </row>
    <row r="43">
      <c r="B43" s="145" t="n"/>
      <c r="C43" s="145" t="n"/>
      <c r="D43" s="145" t="n"/>
      <c r="E43" s="145" t="n"/>
      <c r="F43" s="145" t="n"/>
      <c r="G43" s="145" t="n"/>
      <c r="H43" s="145" t="n"/>
      <c r="I43" s="145" t="n"/>
      <c r="J43" s="145" t="n"/>
      <c r="K43" s="145" t="n"/>
      <c r="L43" s="145" t="n"/>
      <c r="M43" s="145" t="n"/>
      <c r="N43" s="145" t="n"/>
      <c r="O43" s="145" t="n"/>
      <c r="P43" s="145" t="n"/>
      <c r="Q43" s="145" t="n"/>
      <c r="R43" s="145" t="n"/>
      <c r="S43" s="145" t="n"/>
      <c r="T43" s="145" t="n"/>
      <c r="U43" s="145" t="n"/>
      <c r="V43" s="145" t="n"/>
      <c r="W43" s="145" t="n"/>
      <c r="X43" s="145" t="n"/>
      <c r="Y43" s="145" t="n"/>
      <c r="Z43" s="145" t="n"/>
      <c r="AA43" s="145" t="n"/>
      <c r="AB43" s="145" t="n"/>
      <c r="AC43" s="145" t="n"/>
      <c r="AD43" s="145" t="n"/>
      <c r="AE43" s="145" t="n"/>
    </row>
    <row r="44">
      <c r="A44" s="74" t="inlineStr">
        <is>
          <t>Cash and cash equivalents</t>
        </is>
      </c>
      <c r="B44" s="145" t="n"/>
      <c r="C44" s="145" t="n"/>
      <c r="D44" s="145" t="n"/>
      <c r="E44" s="145" t="n"/>
      <c r="F44" s="145" t="n"/>
      <c r="G44" s="145" t="n"/>
      <c r="H44" s="145" t="n"/>
      <c r="I44" s="145" t="n"/>
      <c r="J44" s="145" t="n"/>
      <c r="K44" s="145" t="n"/>
      <c r="L44" s="145" t="n"/>
      <c r="M44" s="145" t="n"/>
      <c r="N44" s="509">
        <f>Reported!N123</f>
        <v/>
      </c>
      <c r="O44" s="509">
        <f>Reported!O123</f>
        <v/>
      </c>
      <c r="P44" s="509">
        <f>Reported!P123</f>
        <v/>
      </c>
      <c r="Q44" s="509">
        <f>Reported!Q123</f>
        <v/>
      </c>
      <c r="R44" s="509">
        <f>Reported!R123</f>
        <v/>
      </c>
      <c r="S44" s="509">
        <f>Reported!S123</f>
        <v/>
      </c>
      <c r="T44" s="509">
        <f>Reported!T123</f>
        <v/>
      </c>
      <c r="U44" s="509">
        <f>Reported!U123</f>
        <v/>
      </c>
      <c r="V44" s="509">
        <f>Reported!V123</f>
        <v/>
      </c>
      <c r="W44" s="509">
        <f>Reported!W123</f>
        <v/>
      </c>
      <c r="X44" s="509">
        <f>Reported!X123</f>
        <v/>
      </c>
      <c r="Y44" s="509">
        <f>Reported!Y123</f>
        <v/>
      </c>
      <c r="Z44" s="509">
        <f>Reported!Z123</f>
        <v/>
      </c>
      <c r="AA44" s="509">
        <f>Reported!AA123</f>
        <v/>
      </c>
      <c r="AB44" s="509">
        <f>Reported!AB123</f>
        <v/>
      </c>
      <c r="AC44" s="509">
        <f>Reported!AC123</f>
        <v/>
      </c>
      <c r="AD44" s="509">
        <f>Reported!AD123</f>
        <v/>
      </c>
      <c r="AE44" s="509">
        <f>Reported!AE123</f>
        <v/>
      </c>
      <c r="AF44" s="509">
        <f>Reported!AF123</f>
        <v/>
      </c>
      <c r="AG44" s="509">
        <f>Reported!AG123</f>
        <v/>
      </c>
      <c r="AH44" s="509">
        <f>Reported!AH123</f>
        <v/>
      </c>
      <c r="AI44" s="509">
        <f>Reported!AI123</f>
        <v/>
      </c>
      <c r="AJ44" s="509">
        <f>Reported!AJ123</f>
        <v/>
      </c>
      <c r="AK44" s="509">
        <f>Reported!AK123</f>
        <v/>
      </c>
      <c r="AL44" s="509">
        <f>Reported!AL123</f>
        <v/>
      </c>
      <c r="AM44" s="509">
        <f>Reported!AM123</f>
        <v/>
      </c>
      <c r="AN44" s="509">
        <f>Reported!AN123</f>
        <v/>
      </c>
      <c r="AO44" s="509">
        <f>Reported!AO123</f>
        <v/>
      </c>
      <c r="AP44" s="509">
        <f>Reported!AP123</f>
        <v/>
      </c>
      <c r="AQ44" s="509">
        <f>Reported!AQ123</f>
        <v/>
      </c>
      <c r="AR44" s="509">
        <f>Reported!AR123</f>
        <v/>
      </c>
      <c r="AS44" s="509">
        <f>Reported!AS123</f>
        <v/>
      </c>
      <c r="AT44" s="509">
        <f>Reported!AT123</f>
        <v/>
      </c>
      <c r="AU44" s="509">
        <f>Reported!AU123</f>
        <v/>
      </c>
      <c r="AV44" s="509">
        <f>Reported!AV123</f>
        <v/>
      </c>
      <c r="AW44" s="509">
        <f>Reported!AW123</f>
        <v/>
      </c>
      <c r="AX44" s="509">
        <f>Reported!AX123</f>
        <v/>
      </c>
      <c r="AY44" s="509">
        <f>Reported!AY123</f>
        <v/>
      </c>
      <c r="AZ44" s="509">
        <f>Reported!AZ123</f>
        <v/>
      </c>
      <c r="BA44" s="509">
        <f>Reported!BA123</f>
        <v/>
      </c>
      <c r="BB44" s="509">
        <f>Reported!BB123</f>
        <v/>
      </c>
      <c r="BC44" s="509">
        <f>Reported!BC123</f>
        <v/>
      </c>
      <c r="BD44" s="509">
        <f>Reported!BD123</f>
        <v/>
      </c>
      <c r="BE44" s="509">
        <f>Reported!BE123</f>
        <v/>
      </c>
      <c r="BF44" s="509">
        <f>Reported!BF123</f>
        <v/>
      </c>
      <c r="BG44" s="509">
        <f>Reported!BG123</f>
        <v/>
      </c>
      <c r="BH44" s="509">
        <f>Reported!BH123</f>
        <v/>
      </c>
      <c r="BI44" s="509">
        <f>Reported!BI123</f>
        <v/>
      </c>
      <c r="BJ44" s="509">
        <f>Reported!BJ123</f>
        <v/>
      </c>
      <c r="BK44" s="509">
        <f>Reported!BK123</f>
        <v/>
      </c>
      <c r="BL44" s="509">
        <f>Reported!BL123</f>
        <v/>
      </c>
      <c r="BM44" s="509">
        <f>Reported!BM123</f>
        <v/>
      </c>
      <c r="BN44" s="509">
        <f>Reported!BN123</f>
        <v/>
      </c>
      <c r="BO44" s="509">
        <f>Reported!BO123</f>
        <v/>
      </c>
      <c r="BP44" s="509">
        <f>Reported!BP123</f>
        <v/>
      </c>
      <c r="BQ44" s="509">
        <f>Reported!BQ123</f>
        <v/>
      </c>
      <c r="BR44" s="509">
        <f>Reported!BR123</f>
        <v/>
      </c>
      <c r="BS44" s="108">
        <f>BS120</f>
        <v/>
      </c>
      <c r="BT44" s="108">
        <f>BT120</f>
        <v/>
      </c>
      <c r="BU44" s="108">
        <f>BU120</f>
        <v/>
      </c>
      <c r="BV44" s="108">
        <f>BV120</f>
        <v/>
      </c>
      <c r="BW44" s="108">
        <f>BW120</f>
        <v/>
      </c>
      <c r="BX44" s="108">
        <f>BX120</f>
        <v/>
      </c>
      <c r="BY44" s="108">
        <f>BY120</f>
        <v/>
      </c>
      <c r="BZ44" s="108">
        <f>BZ120</f>
        <v/>
      </c>
      <c r="CA44" s="108">
        <f>CA120</f>
        <v/>
      </c>
      <c r="CB44" s="108">
        <f>CB120</f>
        <v/>
      </c>
      <c r="CC44" s="108">
        <f>CC120</f>
        <v/>
      </c>
      <c r="CD44" s="108">
        <f>CD120</f>
        <v/>
      </c>
      <c r="CE44" s="108">
        <f>CE120</f>
        <v/>
      </c>
      <c r="CF44" s="108">
        <f>CF120</f>
        <v/>
      </c>
      <c r="CG44" s="108">
        <f>CG120</f>
        <v/>
      </c>
      <c r="CH44" s="108">
        <f>CH120</f>
        <v/>
      </c>
      <c r="CI44" s="108">
        <f>CI120</f>
        <v/>
      </c>
      <c r="CJ44" s="108">
        <f>CJ120</f>
        <v/>
      </c>
      <c r="CK44" s="108">
        <f>CK120</f>
        <v/>
      </c>
    </row>
    <row r="45">
      <c r="A45" s="74" t="inlineStr">
        <is>
          <t>Short-term investments</t>
        </is>
      </c>
      <c r="B45" s="145" t="n"/>
      <c r="C45" s="145" t="n"/>
      <c r="D45" s="145" t="n"/>
      <c r="E45" s="145" t="n"/>
      <c r="F45" s="145" t="n"/>
      <c r="G45" s="145" t="n"/>
      <c r="H45" s="145" t="n"/>
      <c r="I45" s="145" t="n"/>
      <c r="J45" s="145" t="n"/>
      <c r="K45" s="145" t="n"/>
      <c r="L45" s="145" t="n"/>
      <c r="M45" s="145" t="n"/>
      <c r="N45" s="509">
        <f>Reported!N124</f>
        <v/>
      </c>
      <c r="O45" s="509">
        <f>Reported!O124</f>
        <v/>
      </c>
      <c r="P45" s="509">
        <f>Reported!P124</f>
        <v/>
      </c>
      <c r="Q45" s="509">
        <f>Reported!Q124</f>
        <v/>
      </c>
      <c r="R45" s="509">
        <f>Reported!R124</f>
        <v/>
      </c>
      <c r="S45" s="509">
        <f>Reported!S124</f>
        <v/>
      </c>
      <c r="T45" s="509">
        <f>Reported!T124</f>
        <v/>
      </c>
      <c r="U45" s="509">
        <f>Reported!U124</f>
        <v/>
      </c>
      <c r="V45" s="509">
        <f>Reported!V124</f>
        <v/>
      </c>
      <c r="W45" s="509">
        <f>Reported!W124</f>
        <v/>
      </c>
      <c r="X45" s="509">
        <f>Reported!X124</f>
        <v/>
      </c>
      <c r="Y45" s="509">
        <f>Reported!Y124</f>
        <v/>
      </c>
      <c r="Z45" s="509">
        <f>Reported!Z124</f>
        <v/>
      </c>
      <c r="AA45" s="509">
        <f>Reported!AA124</f>
        <v/>
      </c>
      <c r="AB45" s="509">
        <f>Reported!AB124</f>
        <v/>
      </c>
      <c r="AC45" s="509">
        <f>Reported!AC124</f>
        <v/>
      </c>
      <c r="AD45" s="509">
        <f>Reported!AD124</f>
        <v/>
      </c>
      <c r="AE45" s="509">
        <f>Reported!AE124</f>
        <v/>
      </c>
      <c r="AF45" s="509">
        <f>Reported!AF124</f>
        <v/>
      </c>
      <c r="AG45" s="509">
        <f>Reported!AG124</f>
        <v/>
      </c>
      <c r="AH45" s="509">
        <f>Reported!AH124</f>
        <v/>
      </c>
      <c r="AI45" s="509">
        <f>Reported!AI124</f>
        <v/>
      </c>
      <c r="AJ45" s="509">
        <f>Reported!AJ124</f>
        <v/>
      </c>
      <c r="AK45" s="509">
        <f>Reported!AK124</f>
        <v/>
      </c>
      <c r="AL45" s="509">
        <f>Reported!AL124</f>
        <v/>
      </c>
      <c r="AM45" s="509">
        <f>Reported!AM124</f>
        <v/>
      </c>
      <c r="AN45" s="509">
        <f>Reported!AN124</f>
        <v/>
      </c>
      <c r="AO45" s="509">
        <f>Reported!AO124</f>
        <v/>
      </c>
      <c r="AP45" s="509">
        <f>Reported!AP124</f>
        <v/>
      </c>
      <c r="AQ45" s="509">
        <f>Reported!AQ124</f>
        <v/>
      </c>
      <c r="AR45" s="509">
        <f>Reported!AR124</f>
        <v/>
      </c>
      <c r="AS45" s="509">
        <f>Reported!AS124</f>
        <v/>
      </c>
      <c r="AT45" s="509">
        <f>Reported!AT124</f>
        <v/>
      </c>
      <c r="AU45" s="509">
        <f>Reported!AU124</f>
        <v/>
      </c>
      <c r="AV45" s="509">
        <f>Reported!AV124</f>
        <v/>
      </c>
      <c r="AW45" s="509">
        <f>Reported!AW124</f>
        <v/>
      </c>
      <c r="AX45" s="509">
        <f>Reported!AX124</f>
        <v/>
      </c>
      <c r="AY45" s="509">
        <f>Reported!AY124</f>
        <v/>
      </c>
      <c r="AZ45" s="509">
        <f>Reported!AZ124</f>
        <v/>
      </c>
      <c r="BA45" s="509">
        <f>Reported!BA124</f>
        <v/>
      </c>
      <c r="BB45" s="509">
        <f>Reported!BB124</f>
        <v/>
      </c>
      <c r="BC45" s="509">
        <f>Reported!BC124</f>
        <v/>
      </c>
      <c r="BD45" s="509">
        <f>Reported!BD124</f>
        <v/>
      </c>
      <c r="BE45" s="509">
        <f>Reported!BE124</f>
        <v/>
      </c>
      <c r="BF45" s="509">
        <f>Reported!BF124</f>
        <v/>
      </c>
      <c r="BG45" s="509">
        <f>Reported!BG124</f>
        <v/>
      </c>
      <c r="BH45" s="509">
        <f>Reported!BH124</f>
        <v/>
      </c>
      <c r="BI45" s="509">
        <f>Reported!BI124</f>
        <v/>
      </c>
      <c r="BJ45" s="509">
        <f>Reported!BJ124</f>
        <v/>
      </c>
      <c r="BK45" s="509">
        <f>Reported!BK124</f>
        <v/>
      </c>
      <c r="BL45" s="509">
        <f>Reported!BL124</f>
        <v/>
      </c>
      <c r="BM45" s="509">
        <f>Reported!BM124</f>
        <v/>
      </c>
      <c r="BN45" s="509">
        <f>Reported!BN124</f>
        <v/>
      </c>
      <c r="BO45" s="509">
        <f>Reported!BO124</f>
        <v/>
      </c>
      <c r="BP45" s="509">
        <f>Reported!BP124</f>
        <v/>
      </c>
      <c r="BQ45" s="509">
        <f>Reported!BQ124</f>
        <v/>
      </c>
      <c r="BR45" s="509">
        <f>Reported!BR124</f>
        <v/>
      </c>
      <c r="BS45" s="517">
        <f>Assumption!BS171</f>
        <v/>
      </c>
      <c r="BT45" s="517">
        <f>Assumption!BT171</f>
        <v/>
      </c>
      <c r="BU45" s="517">
        <f>Assumption!BU171</f>
        <v/>
      </c>
      <c r="BV45" s="517">
        <f>Assumption!BV171</f>
        <v/>
      </c>
      <c r="BW45" s="517">
        <f>Assumption!BW171</f>
        <v/>
      </c>
      <c r="BX45" s="517">
        <f>Assumption!BX171</f>
        <v/>
      </c>
      <c r="BY45" s="517">
        <f>Assumption!BY171</f>
        <v/>
      </c>
      <c r="BZ45" s="517">
        <f>Assumption!BZ171</f>
        <v/>
      </c>
      <c r="CA45" s="517">
        <f>Assumption!CA171</f>
        <v/>
      </c>
      <c r="CB45" s="517">
        <f>Assumption!CB171</f>
        <v/>
      </c>
      <c r="CC45" s="517">
        <f>Assumption!CC171</f>
        <v/>
      </c>
      <c r="CD45" s="517">
        <f>Assumption!CD171</f>
        <v/>
      </c>
      <c r="CE45" s="517">
        <f>Assumption!CE171</f>
        <v/>
      </c>
      <c r="CF45" s="517">
        <f>Assumption!CF171</f>
        <v/>
      </c>
      <c r="CG45" s="517">
        <f>Assumption!CG171</f>
        <v/>
      </c>
      <c r="CH45" s="517">
        <f>Assumption!CH171</f>
        <v/>
      </c>
      <c r="CI45" s="517">
        <f>Assumption!CI171</f>
        <v/>
      </c>
      <c r="CJ45" s="517">
        <f>Assumption!CJ171</f>
        <v/>
      </c>
      <c r="CK45" s="517">
        <f>Assumption!CK171</f>
        <v/>
      </c>
    </row>
    <row r="46">
      <c r="A46" s="74" t="inlineStr">
        <is>
          <t>Accounts receivable, net</t>
        </is>
      </c>
      <c r="B46" s="145" t="n"/>
      <c r="C46" s="145" t="n"/>
      <c r="D46" s="145" t="n"/>
      <c r="E46" s="145" t="n"/>
      <c r="F46" s="145" t="n"/>
      <c r="G46" s="145" t="n"/>
      <c r="H46" s="145" t="n"/>
      <c r="I46" s="145" t="n"/>
      <c r="J46" s="145" t="n"/>
      <c r="K46" s="145" t="n"/>
      <c r="L46" s="145" t="n"/>
      <c r="M46" s="145" t="n"/>
      <c r="N46" s="509">
        <f>Reported!N125</f>
        <v/>
      </c>
      <c r="O46" s="509">
        <f>Reported!O125</f>
        <v/>
      </c>
      <c r="P46" s="509">
        <f>Reported!P125</f>
        <v/>
      </c>
      <c r="Q46" s="509">
        <f>Reported!Q125</f>
        <v/>
      </c>
      <c r="R46" s="509">
        <f>Reported!R125</f>
        <v/>
      </c>
      <c r="S46" s="509">
        <f>Reported!S125</f>
        <v/>
      </c>
      <c r="T46" s="509">
        <f>Reported!T125</f>
        <v/>
      </c>
      <c r="U46" s="509">
        <f>Reported!U125</f>
        <v/>
      </c>
      <c r="V46" s="509">
        <f>Reported!V125</f>
        <v/>
      </c>
      <c r="W46" s="509">
        <f>Reported!W125</f>
        <v/>
      </c>
      <c r="X46" s="509">
        <f>Reported!X125</f>
        <v/>
      </c>
      <c r="Y46" s="509">
        <f>Reported!Y125</f>
        <v/>
      </c>
      <c r="Z46" s="509">
        <f>Reported!Z125</f>
        <v/>
      </c>
      <c r="AA46" s="509">
        <f>Reported!AA125</f>
        <v/>
      </c>
      <c r="AB46" s="509">
        <f>Reported!AB125</f>
        <v/>
      </c>
      <c r="AC46" s="509">
        <f>Reported!AC125</f>
        <v/>
      </c>
      <c r="AD46" s="509">
        <f>Reported!AD125</f>
        <v/>
      </c>
      <c r="AE46" s="509">
        <f>Reported!AE125</f>
        <v/>
      </c>
      <c r="AF46" s="509">
        <f>Reported!AF125</f>
        <v/>
      </c>
      <c r="AG46" s="509">
        <f>Reported!AG125</f>
        <v/>
      </c>
      <c r="AH46" s="509">
        <f>Reported!AH125</f>
        <v/>
      </c>
      <c r="AI46" s="509">
        <f>Reported!AI125</f>
        <v/>
      </c>
      <c r="AJ46" s="509">
        <f>Reported!AJ125</f>
        <v/>
      </c>
      <c r="AK46" s="509">
        <f>Reported!AK125</f>
        <v/>
      </c>
      <c r="AL46" s="509">
        <f>Reported!AL125</f>
        <v/>
      </c>
      <c r="AM46" s="509">
        <f>Reported!AM125</f>
        <v/>
      </c>
      <c r="AN46" s="509">
        <f>Reported!AN125</f>
        <v/>
      </c>
      <c r="AO46" s="509">
        <f>Reported!AO125</f>
        <v/>
      </c>
      <c r="AP46" s="509">
        <f>Reported!AP125</f>
        <v/>
      </c>
      <c r="AQ46" s="509">
        <f>Reported!AQ125</f>
        <v/>
      </c>
      <c r="AR46" s="509">
        <f>Reported!AR125</f>
        <v/>
      </c>
      <c r="AS46" s="509">
        <f>Reported!AS125</f>
        <v/>
      </c>
      <c r="AT46" s="509">
        <f>Reported!AT125</f>
        <v/>
      </c>
      <c r="AU46" s="509">
        <f>Reported!AU125</f>
        <v/>
      </c>
      <c r="AV46" s="509">
        <f>Reported!AV125</f>
        <v/>
      </c>
      <c r="AW46" s="509">
        <f>Reported!AW125</f>
        <v/>
      </c>
      <c r="AX46" s="509">
        <f>Reported!AX125</f>
        <v/>
      </c>
      <c r="AY46" s="509">
        <f>Reported!AY125</f>
        <v/>
      </c>
      <c r="AZ46" s="509">
        <f>Reported!AZ125</f>
        <v/>
      </c>
      <c r="BA46" s="509">
        <f>Reported!BA125</f>
        <v/>
      </c>
      <c r="BB46" s="509">
        <f>Reported!BB125</f>
        <v/>
      </c>
      <c r="BC46" s="509">
        <f>Reported!BC125</f>
        <v/>
      </c>
      <c r="BD46" s="509">
        <f>Reported!BD125</f>
        <v/>
      </c>
      <c r="BE46" s="509">
        <f>Reported!BE125</f>
        <v/>
      </c>
      <c r="BF46" s="509">
        <f>Reported!BF125</f>
        <v/>
      </c>
      <c r="BG46" s="509">
        <f>Reported!BG125</f>
        <v/>
      </c>
      <c r="BH46" s="509">
        <f>Reported!BH125</f>
        <v/>
      </c>
      <c r="BI46" s="509">
        <f>Reported!BI125</f>
        <v/>
      </c>
      <c r="BJ46" s="509">
        <f>Reported!BJ125</f>
        <v/>
      </c>
      <c r="BK46" s="509">
        <f>Reported!BK125</f>
        <v/>
      </c>
      <c r="BL46" s="509">
        <f>Reported!BL125</f>
        <v/>
      </c>
      <c r="BM46" s="509">
        <f>Reported!BM125</f>
        <v/>
      </c>
      <c r="BN46" s="509">
        <f>Reported!BN125</f>
        <v/>
      </c>
      <c r="BO46" s="509">
        <f>Reported!BO125</f>
        <v/>
      </c>
      <c r="BP46" s="509">
        <f>Reported!BP125</f>
        <v/>
      </c>
      <c r="BQ46" s="509">
        <f>Reported!BQ125</f>
        <v/>
      </c>
      <c r="BR46" s="509">
        <f>Reported!BR125</f>
        <v/>
      </c>
      <c r="BS46" s="517">
        <f>Assumption!BS157</f>
        <v/>
      </c>
      <c r="BT46" s="517">
        <f>Assumption!BT157</f>
        <v/>
      </c>
      <c r="BU46" s="517">
        <f>Assumption!BU157</f>
        <v/>
      </c>
      <c r="BV46" s="517">
        <f>Assumption!BV157</f>
        <v/>
      </c>
      <c r="BW46" s="517">
        <f>Assumption!BW157</f>
        <v/>
      </c>
      <c r="BX46" s="517">
        <f>Assumption!BX157</f>
        <v/>
      </c>
      <c r="BY46" s="517">
        <f>Assumption!BY157</f>
        <v/>
      </c>
      <c r="BZ46" s="517">
        <f>Assumption!BZ157</f>
        <v/>
      </c>
      <c r="CA46" s="517">
        <f>Assumption!CA157</f>
        <v/>
      </c>
      <c r="CB46" s="517">
        <f>Assumption!CB157</f>
        <v/>
      </c>
      <c r="CC46" s="517">
        <f>Assumption!CC157</f>
        <v/>
      </c>
      <c r="CD46" s="517">
        <f>Assumption!CD157</f>
        <v/>
      </c>
      <c r="CE46" s="517">
        <f>Assumption!CE157</f>
        <v/>
      </c>
      <c r="CF46" s="517">
        <f>Assumption!CF157</f>
        <v/>
      </c>
      <c r="CG46" s="517">
        <f>Assumption!CG157</f>
        <v/>
      </c>
      <c r="CH46" s="517">
        <f>Assumption!CH157</f>
        <v/>
      </c>
      <c r="CI46" s="517">
        <f>Assumption!CI157</f>
        <v/>
      </c>
      <c r="CJ46" s="517">
        <f>Assumption!CJ157</f>
        <v/>
      </c>
      <c r="CK46" s="517">
        <f>Assumption!CK157</f>
        <v/>
      </c>
    </row>
    <row r="47">
      <c r="A47" s="74" t="inlineStr">
        <is>
          <t>Inventories</t>
        </is>
      </c>
      <c r="B47" s="145" t="n"/>
      <c r="C47" s="145" t="n"/>
      <c r="D47" s="145" t="n"/>
      <c r="E47" s="145" t="n"/>
      <c r="F47" s="145" t="n"/>
      <c r="G47" s="145" t="n"/>
      <c r="H47" s="145" t="n"/>
      <c r="I47" s="145" t="n"/>
      <c r="J47" s="145" t="n"/>
      <c r="K47" s="145" t="n"/>
      <c r="L47" s="145" t="n"/>
      <c r="M47" s="145" t="n"/>
      <c r="N47" s="509">
        <f>Reported!N126</f>
        <v/>
      </c>
      <c r="O47" s="509">
        <f>Reported!O126</f>
        <v/>
      </c>
      <c r="P47" s="509">
        <f>Reported!P126</f>
        <v/>
      </c>
      <c r="Q47" s="509">
        <f>Reported!Q126</f>
        <v/>
      </c>
      <c r="R47" s="509">
        <f>Reported!R126</f>
        <v/>
      </c>
      <c r="S47" s="509">
        <f>Reported!S126</f>
        <v/>
      </c>
      <c r="T47" s="509">
        <f>Reported!T126</f>
        <v/>
      </c>
      <c r="U47" s="509">
        <f>Reported!U126</f>
        <v/>
      </c>
      <c r="V47" s="509">
        <f>Reported!V126</f>
        <v/>
      </c>
      <c r="W47" s="509">
        <f>Reported!W126</f>
        <v/>
      </c>
      <c r="X47" s="509">
        <f>Reported!X126</f>
        <v/>
      </c>
      <c r="Y47" s="509">
        <f>Reported!Y126</f>
        <v/>
      </c>
      <c r="Z47" s="509">
        <f>Reported!Z126</f>
        <v/>
      </c>
      <c r="AA47" s="509">
        <f>Reported!AA126</f>
        <v/>
      </c>
      <c r="AB47" s="509">
        <f>Reported!AB126</f>
        <v/>
      </c>
      <c r="AC47" s="509">
        <f>Reported!AC126</f>
        <v/>
      </c>
      <c r="AD47" s="509">
        <f>Reported!AD126</f>
        <v/>
      </c>
      <c r="AE47" s="509">
        <f>Reported!AE126</f>
        <v/>
      </c>
      <c r="AF47" s="509">
        <f>Reported!AF126</f>
        <v/>
      </c>
      <c r="AG47" s="509">
        <f>Reported!AG126</f>
        <v/>
      </c>
      <c r="AH47" s="509">
        <f>Reported!AH126</f>
        <v/>
      </c>
      <c r="AI47" s="509">
        <f>Reported!AI126</f>
        <v/>
      </c>
      <c r="AJ47" s="509">
        <f>Reported!AJ126</f>
        <v/>
      </c>
      <c r="AK47" s="509">
        <f>Reported!AK126</f>
        <v/>
      </c>
      <c r="AL47" s="509">
        <f>Reported!AL126</f>
        <v/>
      </c>
      <c r="AM47" s="509">
        <f>Reported!AM126</f>
        <v/>
      </c>
      <c r="AN47" s="509">
        <f>Reported!AN126</f>
        <v/>
      </c>
      <c r="AO47" s="509">
        <f>Reported!AO126</f>
        <v/>
      </c>
      <c r="AP47" s="509">
        <f>Reported!AP126</f>
        <v/>
      </c>
      <c r="AQ47" s="509">
        <f>Reported!AQ126</f>
        <v/>
      </c>
      <c r="AR47" s="509">
        <f>Reported!AR126</f>
        <v/>
      </c>
      <c r="AS47" s="509">
        <f>Reported!AS126</f>
        <v/>
      </c>
      <c r="AT47" s="509">
        <f>Reported!AT126</f>
        <v/>
      </c>
      <c r="AU47" s="509">
        <f>Reported!AU126</f>
        <v/>
      </c>
      <c r="AV47" s="509">
        <f>Reported!AV126</f>
        <v/>
      </c>
      <c r="AW47" s="509">
        <f>Reported!AW126</f>
        <v/>
      </c>
      <c r="AX47" s="509">
        <f>Reported!AX126</f>
        <v/>
      </c>
      <c r="AY47" s="509">
        <f>Reported!AY126</f>
        <v/>
      </c>
      <c r="AZ47" s="509">
        <f>Reported!AZ126</f>
        <v/>
      </c>
      <c r="BA47" s="509">
        <f>Reported!BA126</f>
        <v/>
      </c>
      <c r="BB47" s="509">
        <f>Reported!BB126</f>
        <v/>
      </c>
      <c r="BC47" s="509">
        <f>Reported!BC126</f>
        <v/>
      </c>
      <c r="BD47" s="509">
        <f>Reported!BD126</f>
        <v/>
      </c>
      <c r="BE47" s="509">
        <f>Reported!BE126</f>
        <v/>
      </c>
      <c r="BF47" s="509">
        <f>Reported!BF126</f>
        <v/>
      </c>
      <c r="BG47" s="509">
        <f>Reported!BG126</f>
        <v/>
      </c>
      <c r="BH47" s="509">
        <f>Reported!BH126</f>
        <v/>
      </c>
      <c r="BI47" s="509">
        <f>Reported!BI126</f>
        <v/>
      </c>
      <c r="BJ47" s="509">
        <f>Reported!BJ126</f>
        <v/>
      </c>
      <c r="BK47" s="509">
        <f>Reported!BK126</f>
        <v/>
      </c>
      <c r="BL47" s="509">
        <f>Reported!BL126</f>
        <v/>
      </c>
      <c r="BM47" s="509">
        <f>Reported!BM126</f>
        <v/>
      </c>
      <c r="BN47" s="509">
        <f>Reported!BN126</f>
        <v/>
      </c>
      <c r="BO47" s="509">
        <f>Reported!BO126</f>
        <v/>
      </c>
      <c r="BP47" s="509">
        <f>Reported!BP126</f>
        <v/>
      </c>
      <c r="BQ47" s="509">
        <f>Reported!BQ126</f>
        <v/>
      </c>
      <c r="BR47" s="509">
        <f>Reported!BR126</f>
        <v/>
      </c>
      <c r="BS47" s="517">
        <f>Assumption!BS158</f>
        <v/>
      </c>
      <c r="BT47" s="517">
        <f>Assumption!BT158</f>
        <v/>
      </c>
      <c r="BU47" s="517">
        <f>Assumption!BU158</f>
        <v/>
      </c>
      <c r="BV47" s="517">
        <f>Assumption!BV158</f>
        <v/>
      </c>
      <c r="BW47" s="517">
        <f>Assumption!BW158</f>
        <v/>
      </c>
      <c r="BX47" s="517">
        <f>Assumption!BX158</f>
        <v/>
      </c>
      <c r="BY47" s="517">
        <f>Assumption!BY158</f>
        <v/>
      </c>
      <c r="BZ47" s="517">
        <f>Assumption!BZ158</f>
        <v/>
      </c>
      <c r="CA47" s="517">
        <f>Assumption!CA158</f>
        <v/>
      </c>
      <c r="CB47" s="517">
        <f>Assumption!CB158</f>
        <v/>
      </c>
      <c r="CC47" s="517">
        <f>Assumption!CC158</f>
        <v/>
      </c>
      <c r="CD47" s="517">
        <f>Assumption!CD158</f>
        <v/>
      </c>
      <c r="CE47" s="517">
        <f>Assumption!CE158</f>
        <v/>
      </c>
      <c r="CF47" s="517">
        <f>Assumption!CF158</f>
        <v/>
      </c>
      <c r="CG47" s="517">
        <f>Assumption!CG158</f>
        <v/>
      </c>
      <c r="CH47" s="517">
        <f>Assumption!CH158</f>
        <v/>
      </c>
      <c r="CI47" s="517">
        <f>Assumption!CI158</f>
        <v/>
      </c>
      <c r="CJ47" s="517">
        <f>Assumption!CJ158</f>
        <v/>
      </c>
      <c r="CK47" s="517">
        <f>Assumption!CK158</f>
        <v/>
      </c>
    </row>
    <row r="48">
      <c r="A48" s="74" t="inlineStr">
        <is>
          <t>Prepaid income taxes</t>
        </is>
      </c>
      <c r="B48" s="145" t="n"/>
      <c r="C48" s="145" t="n"/>
      <c r="D48" s="145" t="n"/>
      <c r="E48" s="145" t="n"/>
      <c r="F48" s="145" t="n"/>
      <c r="G48" s="145" t="n"/>
      <c r="H48" s="145" t="n"/>
      <c r="I48" s="145" t="n"/>
      <c r="J48" s="145" t="n"/>
      <c r="K48" s="145" t="n"/>
      <c r="L48" s="145" t="n"/>
      <c r="M48" s="145" t="n"/>
      <c r="N48" s="509">
        <f>Reported!N127</f>
        <v/>
      </c>
      <c r="O48" s="509">
        <f>Reported!O127</f>
        <v/>
      </c>
      <c r="P48" s="509">
        <f>Reported!P127</f>
        <v/>
      </c>
      <c r="Q48" s="509">
        <f>Reported!Q127</f>
        <v/>
      </c>
      <c r="R48" s="509">
        <f>Reported!R127</f>
        <v/>
      </c>
      <c r="S48" s="509">
        <f>Reported!S127</f>
        <v/>
      </c>
      <c r="T48" s="509">
        <f>Reported!T127</f>
        <v/>
      </c>
      <c r="U48" s="509">
        <f>Reported!U127</f>
        <v/>
      </c>
      <c r="V48" s="509">
        <f>Reported!V127</f>
        <v/>
      </c>
      <c r="W48" s="509">
        <f>Reported!W127</f>
        <v/>
      </c>
      <c r="X48" s="509">
        <f>Reported!X127</f>
        <v/>
      </c>
      <c r="Y48" s="509">
        <f>Reported!Y127</f>
        <v/>
      </c>
      <c r="Z48" s="509">
        <f>Reported!Z127</f>
        <v/>
      </c>
      <c r="AA48" s="509">
        <f>Reported!AA127</f>
        <v/>
      </c>
      <c r="AB48" s="509">
        <f>Reported!AB127</f>
        <v/>
      </c>
      <c r="AC48" s="509">
        <f>Reported!AC127</f>
        <v/>
      </c>
      <c r="AD48" s="509">
        <f>Reported!AD127</f>
        <v/>
      </c>
      <c r="AE48" s="509">
        <f>Reported!AE127</f>
        <v/>
      </c>
      <c r="AF48" s="509">
        <f>Reported!AF127</f>
        <v/>
      </c>
      <c r="AG48" s="509">
        <f>Reported!AG127</f>
        <v/>
      </c>
      <c r="AH48" s="509">
        <f>Reported!AH127</f>
        <v/>
      </c>
      <c r="AI48" s="509">
        <f>Reported!AI127</f>
        <v/>
      </c>
      <c r="AJ48" s="509">
        <f>Reported!AJ127</f>
        <v/>
      </c>
      <c r="AK48" s="509">
        <f>Reported!AK127</f>
        <v/>
      </c>
      <c r="AL48" s="509">
        <f>Reported!AL127</f>
        <v/>
      </c>
      <c r="AM48" s="509">
        <f>Reported!AM127</f>
        <v/>
      </c>
      <c r="AN48" s="509">
        <f>Reported!AN127</f>
        <v/>
      </c>
      <c r="AO48" s="509">
        <f>Reported!AO127</f>
        <v/>
      </c>
      <c r="AP48" s="509">
        <f>Reported!AP127</f>
        <v/>
      </c>
      <c r="AQ48" s="509">
        <f>Reported!AQ127</f>
        <v/>
      </c>
      <c r="AR48" s="509">
        <f>Reported!AR127</f>
        <v/>
      </c>
      <c r="AS48" s="509">
        <f>Reported!AS127</f>
        <v/>
      </c>
      <c r="AT48" s="509">
        <f>Reported!AT127</f>
        <v/>
      </c>
      <c r="AU48" s="509">
        <f>Reported!AU127</f>
        <v/>
      </c>
      <c r="AV48" s="509">
        <f>Reported!AV127</f>
        <v/>
      </c>
      <c r="AW48" s="509">
        <f>Reported!AW127</f>
        <v/>
      </c>
      <c r="AX48" s="509">
        <f>Reported!AX127</f>
        <v/>
      </c>
      <c r="AY48" s="509">
        <f>Reported!AY127</f>
        <v/>
      </c>
      <c r="AZ48" s="509">
        <f>Reported!AZ127</f>
        <v/>
      </c>
      <c r="BA48" s="509">
        <f>Reported!BA127</f>
        <v/>
      </c>
      <c r="BB48" s="509">
        <f>Reported!BB127</f>
        <v/>
      </c>
      <c r="BC48" s="509">
        <f>Reported!BC127</f>
        <v/>
      </c>
      <c r="BD48" s="509">
        <f>Reported!BD127</f>
        <v/>
      </c>
      <c r="BE48" s="509">
        <f>Reported!BE127</f>
        <v/>
      </c>
      <c r="BF48" s="509">
        <f>Reported!BF127</f>
        <v/>
      </c>
      <c r="BG48" s="509">
        <f>Reported!BG127</f>
        <v/>
      </c>
      <c r="BH48" s="509">
        <f>Reported!BH127</f>
        <v/>
      </c>
      <c r="BI48" s="509">
        <f>Reported!BI127</f>
        <v/>
      </c>
      <c r="BJ48" s="509">
        <f>Reported!BJ127</f>
        <v/>
      </c>
      <c r="BK48" s="509">
        <f>Reported!BK127</f>
        <v/>
      </c>
      <c r="BL48" s="509">
        <f>Reported!BL127</f>
        <v/>
      </c>
      <c r="BM48" s="509">
        <f>Reported!BM127</f>
        <v/>
      </c>
      <c r="BN48" s="509">
        <f>Reported!BN127</f>
        <v/>
      </c>
      <c r="BO48" s="509">
        <f>Reported!BO127</f>
        <v/>
      </c>
      <c r="BP48" s="509">
        <f>Reported!BP127</f>
        <v/>
      </c>
      <c r="BQ48" s="509">
        <f>Reported!BQ127</f>
        <v/>
      </c>
      <c r="BR48" s="509">
        <f>Reported!BR127</f>
        <v/>
      </c>
      <c r="BS48" s="517">
        <f>Assumption!BS159</f>
        <v/>
      </c>
      <c r="BT48" s="517">
        <f>Assumption!BT159</f>
        <v/>
      </c>
      <c r="BU48" s="517">
        <f>Assumption!BU159</f>
        <v/>
      </c>
      <c r="BV48" s="517">
        <f>Assumption!BV159</f>
        <v/>
      </c>
      <c r="BW48" s="517">
        <f>Assumption!BW159</f>
        <v/>
      </c>
      <c r="BX48" s="517">
        <f>Assumption!BX159</f>
        <v/>
      </c>
      <c r="BY48" s="517">
        <f>Assumption!BY159</f>
        <v/>
      </c>
      <c r="BZ48" s="517">
        <f>Assumption!BZ159</f>
        <v/>
      </c>
      <c r="CA48" s="517">
        <f>Assumption!CA159</f>
        <v/>
      </c>
      <c r="CB48" s="517">
        <f>Assumption!CB159</f>
        <v/>
      </c>
      <c r="CC48" s="517">
        <f>Assumption!CC159</f>
        <v/>
      </c>
      <c r="CD48" s="517">
        <f>Assumption!CD159</f>
        <v/>
      </c>
      <c r="CE48" s="517">
        <f>Assumption!CE159</f>
        <v/>
      </c>
      <c r="CF48" s="517">
        <f>Assumption!CF159</f>
        <v/>
      </c>
      <c r="CG48" s="517">
        <f>Assumption!CG159</f>
        <v/>
      </c>
      <c r="CH48" s="517">
        <f>Assumption!CH159</f>
        <v/>
      </c>
      <c r="CI48" s="517">
        <f>Assumption!CI159</f>
        <v/>
      </c>
      <c r="CJ48" s="517">
        <f>Assumption!CJ159</f>
        <v/>
      </c>
      <c r="CK48" s="517">
        <f>Assumption!CK159</f>
        <v/>
      </c>
    </row>
    <row r="49">
      <c r="A49" s="74" t="inlineStr">
        <is>
          <t>Prepaid expenses and others</t>
        </is>
      </c>
      <c r="B49" s="145" t="n"/>
      <c r="C49" s="145" t="n"/>
      <c r="D49" s="145" t="n"/>
      <c r="E49" s="145" t="n"/>
      <c r="F49" s="145" t="n"/>
      <c r="G49" s="145" t="n"/>
      <c r="H49" s="145" t="n"/>
      <c r="I49" s="145" t="n"/>
      <c r="J49" s="145" t="n"/>
      <c r="K49" s="145" t="n"/>
      <c r="L49" s="145" t="n"/>
      <c r="M49" s="145" t="n"/>
      <c r="N49" s="509">
        <f>Reported!N128</f>
        <v/>
      </c>
      <c r="O49" s="509">
        <f>Reported!O128</f>
        <v/>
      </c>
      <c r="P49" s="509">
        <f>Reported!P128</f>
        <v/>
      </c>
      <c r="Q49" s="509">
        <f>Reported!Q128</f>
        <v/>
      </c>
      <c r="R49" s="509">
        <f>Reported!R128</f>
        <v/>
      </c>
      <c r="S49" s="509">
        <f>Reported!S128</f>
        <v/>
      </c>
      <c r="T49" s="509">
        <f>Reported!T128</f>
        <v/>
      </c>
      <c r="U49" s="509">
        <f>Reported!U128</f>
        <v/>
      </c>
      <c r="V49" s="509">
        <f>Reported!V128</f>
        <v/>
      </c>
      <c r="W49" s="509">
        <f>Reported!W128</f>
        <v/>
      </c>
      <c r="X49" s="509">
        <f>Reported!X128</f>
        <v/>
      </c>
      <c r="Y49" s="509">
        <f>Reported!Y128</f>
        <v/>
      </c>
      <c r="Z49" s="509">
        <f>Reported!Z128</f>
        <v/>
      </c>
      <c r="AA49" s="509">
        <f>Reported!AA128</f>
        <v/>
      </c>
      <c r="AB49" s="509">
        <f>Reported!AB128</f>
        <v/>
      </c>
      <c r="AC49" s="509">
        <f>Reported!AC128</f>
        <v/>
      </c>
      <c r="AD49" s="509">
        <f>Reported!AD128</f>
        <v/>
      </c>
      <c r="AE49" s="509">
        <f>Reported!AE128</f>
        <v/>
      </c>
      <c r="AF49" s="509">
        <f>Reported!AF128</f>
        <v/>
      </c>
      <c r="AG49" s="509">
        <f>Reported!AG128</f>
        <v/>
      </c>
      <c r="AH49" s="509">
        <f>Reported!AH128</f>
        <v/>
      </c>
      <c r="AI49" s="509">
        <f>Reported!AI128</f>
        <v/>
      </c>
      <c r="AJ49" s="509">
        <f>Reported!AJ128</f>
        <v/>
      </c>
      <c r="AK49" s="509">
        <f>Reported!AK128</f>
        <v/>
      </c>
      <c r="AL49" s="509">
        <f>Reported!AL128</f>
        <v/>
      </c>
      <c r="AM49" s="509">
        <f>Reported!AM128</f>
        <v/>
      </c>
      <c r="AN49" s="509">
        <f>Reported!AN128</f>
        <v/>
      </c>
      <c r="AO49" s="509">
        <f>Reported!AO128</f>
        <v/>
      </c>
      <c r="AP49" s="509">
        <f>Reported!AP128</f>
        <v/>
      </c>
      <c r="AQ49" s="509">
        <f>Reported!AQ128</f>
        <v/>
      </c>
      <c r="AR49" s="509">
        <f>Reported!AR128</f>
        <v/>
      </c>
      <c r="AS49" s="509">
        <f>Reported!AS128</f>
        <v/>
      </c>
      <c r="AT49" s="509">
        <f>Reported!AT128</f>
        <v/>
      </c>
      <c r="AU49" s="509">
        <f>Reported!AU128</f>
        <v/>
      </c>
      <c r="AV49" s="509">
        <f>Reported!AV128</f>
        <v/>
      </c>
      <c r="AW49" s="509">
        <f>Reported!AW128</f>
        <v/>
      </c>
      <c r="AX49" s="509">
        <f>Reported!AX128</f>
        <v/>
      </c>
      <c r="AY49" s="509">
        <f>Reported!AY128</f>
        <v/>
      </c>
      <c r="AZ49" s="509">
        <f>Reported!AZ128</f>
        <v/>
      </c>
      <c r="BA49" s="509">
        <f>Reported!BA128</f>
        <v/>
      </c>
      <c r="BB49" s="509">
        <f>Reported!BB128</f>
        <v/>
      </c>
      <c r="BC49" s="509">
        <f>Reported!BC128</f>
        <v/>
      </c>
      <c r="BD49" s="509">
        <f>Reported!BD128</f>
        <v/>
      </c>
      <c r="BE49" s="509">
        <f>Reported!BE128</f>
        <v/>
      </c>
      <c r="BF49" s="509">
        <f>Reported!BF128</f>
        <v/>
      </c>
      <c r="BG49" s="509">
        <f>Reported!BG128</f>
        <v/>
      </c>
      <c r="BH49" s="509">
        <f>Reported!BH128</f>
        <v/>
      </c>
      <c r="BI49" s="509">
        <f>Reported!BI128</f>
        <v/>
      </c>
      <c r="BJ49" s="509">
        <f>Reported!BJ128</f>
        <v/>
      </c>
      <c r="BK49" s="509">
        <f>Reported!BK128</f>
        <v/>
      </c>
      <c r="BL49" s="509">
        <f>Reported!BL128</f>
        <v/>
      </c>
      <c r="BM49" s="509">
        <f>Reported!BM128</f>
        <v/>
      </c>
      <c r="BN49" s="509">
        <f>Reported!BN128</f>
        <v/>
      </c>
      <c r="BO49" s="509">
        <f>Reported!BO128</f>
        <v/>
      </c>
      <c r="BP49" s="509">
        <f>Reported!BP128</f>
        <v/>
      </c>
      <c r="BQ49" s="509">
        <f>Reported!BQ128</f>
        <v/>
      </c>
      <c r="BR49" s="509">
        <f>Reported!BR128</f>
        <v/>
      </c>
      <c r="BS49" s="517">
        <f>Assumption!BS160</f>
        <v/>
      </c>
      <c r="BT49" s="517">
        <f>Assumption!BT160</f>
        <v/>
      </c>
      <c r="BU49" s="517">
        <f>Assumption!BU160</f>
        <v/>
      </c>
      <c r="BV49" s="517">
        <f>Assumption!BV160</f>
        <v/>
      </c>
      <c r="BW49" s="517">
        <f>Assumption!BW160</f>
        <v/>
      </c>
      <c r="BX49" s="517">
        <f>Assumption!BX160</f>
        <v/>
      </c>
      <c r="BY49" s="517">
        <f>Assumption!BY160</f>
        <v/>
      </c>
      <c r="BZ49" s="517">
        <f>Assumption!BZ160</f>
        <v/>
      </c>
      <c r="CA49" s="517">
        <f>Assumption!CA160</f>
        <v/>
      </c>
      <c r="CB49" s="517">
        <f>Assumption!CB160</f>
        <v/>
      </c>
      <c r="CC49" s="517">
        <f>Assumption!CC160</f>
        <v/>
      </c>
      <c r="CD49" s="517">
        <f>Assumption!CD160</f>
        <v/>
      </c>
      <c r="CE49" s="517">
        <f>Assumption!CE160</f>
        <v/>
      </c>
      <c r="CF49" s="517">
        <f>Assumption!CF160</f>
        <v/>
      </c>
      <c r="CG49" s="517">
        <f>Assumption!CG160</f>
        <v/>
      </c>
      <c r="CH49" s="517">
        <f>Assumption!CH160</f>
        <v/>
      </c>
      <c r="CI49" s="517">
        <f>Assumption!CI160</f>
        <v/>
      </c>
      <c r="CJ49" s="517">
        <f>Assumption!CJ160</f>
        <v/>
      </c>
      <c r="CK49" s="517">
        <f>Assumption!CK160</f>
        <v/>
      </c>
    </row>
    <row r="50">
      <c r="A50" s="74" t="inlineStr">
        <is>
          <t>Other current assets</t>
        </is>
      </c>
      <c r="B50" s="145" t="n"/>
      <c r="C50" s="145" t="n"/>
      <c r="D50" s="145" t="n"/>
      <c r="E50" s="145" t="n"/>
      <c r="F50" s="145" t="n"/>
      <c r="G50" s="145" t="n"/>
      <c r="H50" s="145" t="n"/>
      <c r="I50" s="145" t="n"/>
      <c r="J50" s="145" t="n"/>
      <c r="K50" s="145" t="n"/>
      <c r="L50" s="145" t="n"/>
      <c r="M50" s="145" t="n"/>
      <c r="N50" s="509">
        <f>Reported!N129</f>
        <v/>
      </c>
      <c r="O50" s="509">
        <f>Reported!O129</f>
        <v/>
      </c>
      <c r="P50" s="509">
        <f>Reported!P129</f>
        <v/>
      </c>
      <c r="Q50" s="509">
        <f>Reported!Q129</f>
        <v/>
      </c>
      <c r="R50" s="509">
        <f>Reported!R129</f>
        <v/>
      </c>
      <c r="S50" s="509">
        <f>Reported!S129</f>
        <v/>
      </c>
      <c r="T50" s="509">
        <f>Reported!T129</f>
        <v/>
      </c>
      <c r="U50" s="509">
        <f>Reported!U129</f>
        <v/>
      </c>
      <c r="V50" s="509">
        <f>Reported!V129</f>
        <v/>
      </c>
      <c r="W50" s="509">
        <f>Reported!W129</f>
        <v/>
      </c>
      <c r="X50" s="509">
        <f>Reported!X129</f>
        <v/>
      </c>
      <c r="Y50" s="509">
        <f>Reported!Y129</f>
        <v/>
      </c>
      <c r="Z50" s="509">
        <f>Reported!Z129</f>
        <v/>
      </c>
      <c r="AA50" s="509">
        <f>Reported!AA129</f>
        <v/>
      </c>
      <c r="AB50" s="509">
        <f>Reported!AB129</f>
        <v/>
      </c>
      <c r="AC50" s="509">
        <f>Reported!AC129</f>
        <v/>
      </c>
      <c r="AD50" s="509">
        <f>Reported!AD129</f>
        <v/>
      </c>
      <c r="AE50" s="509">
        <f>Reported!AE129</f>
        <v/>
      </c>
      <c r="AF50" s="509">
        <f>Reported!AF129</f>
        <v/>
      </c>
      <c r="AG50" s="509">
        <f>Reported!AG129</f>
        <v/>
      </c>
      <c r="AH50" s="509">
        <f>Reported!AH129</f>
        <v/>
      </c>
      <c r="AI50" s="509">
        <f>Reported!AI129</f>
        <v/>
      </c>
      <c r="AJ50" s="509">
        <f>Reported!AJ129</f>
        <v/>
      </c>
      <c r="AK50" s="509">
        <f>Reported!AK129</f>
        <v/>
      </c>
      <c r="AL50" s="509">
        <f>Reported!AL129</f>
        <v/>
      </c>
      <c r="AM50" s="509">
        <f>Reported!AM129</f>
        <v/>
      </c>
      <c r="AN50" s="509">
        <f>Reported!AN129</f>
        <v/>
      </c>
      <c r="AO50" s="509">
        <f>Reported!AO129</f>
        <v/>
      </c>
      <c r="AP50" s="509">
        <f>Reported!AP129</f>
        <v/>
      </c>
      <c r="AQ50" s="509">
        <f>Reported!AQ129</f>
        <v/>
      </c>
      <c r="AR50" s="509">
        <f>Reported!AR129</f>
        <v/>
      </c>
      <c r="AS50" s="509">
        <f>Reported!AS129</f>
        <v/>
      </c>
      <c r="AT50" s="509">
        <f>Reported!AT129</f>
        <v/>
      </c>
      <c r="AU50" s="509">
        <f>Reported!AU129</f>
        <v/>
      </c>
      <c r="AV50" s="509">
        <f>Reported!AV129</f>
        <v/>
      </c>
      <c r="AW50" s="509">
        <f>Reported!AW129</f>
        <v/>
      </c>
      <c r="AX50" s="509">
        <f>Reported!AX129</f>
        <v/>
      </c>
      <c r="AY50" s="509">
        <f>Reported!AY129</f>
        <v/>
      </c>
      <c r="AZ50" s="509">
        <f>Reported!AZ129</f>
        <v/>
      </c>
      <c r="BA50" s="509">
        <f>Reported!BA129</f>
        <v/>
      </c>
      <c r="BB50" s="509">
        <f>Reported!BB129</f>
        <v/>
      </c>
      <c r="BC50" s="509">
        <f>Reported!BC129</f>
        <v/>
      </c>
      <c r="BD50" s="509">
        <f>Reported!BD129</f>
        <v/>
      </c>
      <c r="BE50" s="509">
        <f>Reported!BE129</f>
        <v/>
      </c>
      <c r="BF50" s="509">
        <f>Reported!BF129</f>
        <v/>
      </c>
      <c r="BG50" s="509">
        <f>Reported!BG129</f>
        <v/>
      </c>
      <c r="BH50" s="509">
        <f>Reported!BH129</f>
        <v/>
      </c>
      <c r="BI50" s="509">
        <f>Reported!BI129</f>
        <v/>
      </c>
      <c r="BJ50" s="509">
        <f>Reported!BJ129</f>
        <v/>
      </c>
      <c r="BK50" s="509">
        <f>Reported!BK129</f>
        <v/>
      </c>
      <c r="BL50" s="509">
        <f>Reported!BL129</f>
        <v/>
      </c>
      <c r="BM50" s="509">
        <f>Reported!BM129</f>
        <v/>
      </c>
      <c r="BN50" s="509">
        <f>Reported!BN129</f>
        <v/>
      </c>
      <c r="BO50" s="509">
        <f>Reported!BO129</f>
        <v/>
      </c>
      <c r="BP50" s="509">
        <f>Reported!BP129</f>
        <v/>
      </c>
      <c r="BQ50" s="509">
        <f>Reported!BQ129</f>
        <v/>
      </c>
      <c r="BR50" s="509">
        <f>Reported!BR129</f>
        <v/>
      </c>
      <c r="BS50" s="517">
        <f>Assumption!BS161</f>
        <v/>
      </c>
      <c r="BT50" s="517">
        <f>Assumption!BT161</f>
        <v/>
      </c>
      <c r="BU50" s="517">
        <f>Assumption!BU161</f>
        <v/>
      </c>
      <c r="BV50" s="517">
        <f>Assumption!BV161</f>
        <v/>
      </c>
      <c r="BW50" s="517">
        <f>Assumption!BW161</f>
        <v/>
      </c>
      <c r="BX50" s="517">
        <f>Assumption!BX161</f>
        <v/>
      </c>
      <c r="BY50" s="517">
        <f>Assumption!BY161</f>
        <v/>
      </c>
      <c r="BZ50" s="517">
        <f>Assumption!BZ161</f>
        <v/>
      </c>
      <c r="CA50" s="517">
        <f>Assumption!CA161</f>
        <v/>
      </c>
      <c r="CB50" s="517">
        <f>Assumption!CB161</f>
        <v/>
      </c>
      <c r="CC50" s="517">
        <f>Assumption!CC161</f>
        <v/>
      </c>
      <c r="CD50" s="517">
        <f>Assumption!CD161</f>
        <v/>
      </c>
      <c r="CE50" s="517">
        <f>Assumption!CE161</f>
        <v/>
      </c>
      <c r="CF50" s="517">
        <f>Assumption!CF161</f>
        <v/>
      </c>
      <c r="CG50" s="517">
        <f>Assumption!CG161</f>
        <v/>
      </c>
      <c r="CH50" s="517">
        <f>Assumption!CH161</f>
        <v/>
      </c>
      <c r="CI50" s="517">
        <f>Assumption!CI161</f>
        <v/>
      </c>
      <c r="CJ50" s="517">
        <f>Assumption!CJ161</f>
        <v/>
      </c>
      <c r="CK50" s="517">
        <f>Assumption!CK161</f>
        <v/>
      </c>
    </row>
    <row r="51">
      <c r="A51" s="40" t="inlineStr">
        <is>
          <t>Total current assets</t>
        </is>
      </c>
      <c r="B51" s="133" t="n"/>
      <c r="C51" s="133" t="n"/>
      <c r="D51" s="133" t="n"/>
      <c r="E51" s="133" t="n"/>
      <c r="F51" s="133" t="n"/>
      <c r="G51" s="133" t="n"/>
      <c r="H51" s="133" t="n"/>
      <c r="I51" s="133" t="n"/>
      <c r="J51" s="133" t="n"/>
      <c r="K51" s="133" t="n"/>
      <c r="L51" s="133" t="n"/>
      <c r="M51" s="133" t="n"/>
      <c r="N51" s="671">
        <f>Reported!N130</f>
        <v/>
      </c>
      <c r="O51" s="671">
        <f>Reported!O130</f>
        <v/>
      </c>
      <c r="P51" s="671">
        <f>Reported!P130</f>
        <v/>
      </c>
      <c r="Q51" s="671">
        <f>Reported!Q130</f>
        <v/>
      </c>
      <c r="R51" s="671">
        <f>Reported!R130</f>
        <v/>
      </c>
      <c r="S51" s="671">
        <f>Reported!S130</f>
        <v/>
      </c>
      <c r="T51" s="671">
        <f>Reported!T130</f>
        <v/>
      </c>
      <c r="U51" s="671">
        <f>Reported!U130</f>
        <v/>
      </c>
      <c r="V51" s="671">
        <f>Reported!V130</f>
        <v/>
      </c>
      <c r="W51" s="671">
        <f>Reported!W130</f>
        <v/>
      </c>
      <c r="X51" s="671">
        <f>Reported!X130</f>
        <v/>
      </c>
      <c r="Y51" s="671">
        <f>Reported!Y130</f>
        <v/>
      </c>
      <c r="Z51" s="671">
        <f>Reported!Z130</f>
        <v/>
      </c>
      <c r="AA51" s="671">
        <f>Reported!AA130</f>
        <v/>
      </c>
      <c r="AB51" s="671">
        <f>Reported!AB130</f>
        <v/>
      </c>
      <c r="AC51" s="671">
        <f>Reported!AC130</f>
        <v/>
      </c>
      <c r="AD51" s="671">
        <f>Reported!AD130</f>
        <v/>
      </c>
      <c r="AE51" s="671">
        <f>Reported!AE130</f>
        <v/>
      </c>
      <c r="AF51" s="671">
        <f>Reported!AF130</f>
        <v/>
      </c>
      <c r="AG51" s="671">
        <f>Reported!AG130</f>
        <v/>
      </c>
      <c r="AH51" s="671">
        <f>Reported!AH130</f>
        <v/>
      </c>
      <c r="AI51" s="671">
        <f>Reported!AI130</f>
        <v/>
      </c>
      <c r="AJ51" s="671">
        <f>Reported!AJ130</f>
        <v/>
      </c>
      <c r="AK51" s="671">
        <f>Reported!AK130</f>
        <v/>
      </c>
      <c r="AL51" s="671">
        <f>Reported!AL130</f>
        <v/>
      </c>
      <c r="AM51" s="671">
        <f>Reported!AM130</f>
        <v/>
      </c>
      <c r="AN51" s="671">
        <f>Reported!AN130</f>
        <v/>
      </c>
      <c r="AO51" s="671">
        <f>Reported!AO130</f>
        <v/>
      </c>
      <c r="AP51" s="671">
        <f>Reported!AP130</f>
        <v/>
      </c>
      <c r="AQ51" s="671">
        <f>Reported!AQ130</f>
        <v/>
      </c>
      <c r="AR51" s="671">
        <f>Reported!AR130</f>
        <v/>
      </c>
      <c r="AS51" s="671">
        <f>Reported!AS130</f>
        <v/>
      </c>
      <c r="AT51" s="671">
        <f>Reported!AT130</f>
        <v/>
      </c>
      <c r="AU51" s="671">
        <f>Reported!AU130</f>
        <v/>
      </c>
      <c r="AV51" s="671">
        <f>Reported!AV130</f>
        <v/>
      </c>
      <c r="AW51" s="671">
        <f>Reported!AW130</f>
        <v/>
      </c>
      <c r="AX51" s="671">
        <f>Reported!AX130</f>
        <v/>
      </c>
      <c r="AY51" s="671">
        <f>Reported!AY130</f>
        <v/>
      </c>
      <c r="AZ51" s="671">
        <f>Reported!AZ130</f>
        <v/>
      </c>
      <c r="BA51" s="671">
        <f>Reported!BA130</f>
        <v/>
      </c>
      <c r="BB51" s="671">
        <f>Reported!BB130</f>
        <v/>
      </c>
      <c r="BC51" s="671">
        <f>Reported!BC130</f>
        <v/>
      </c>
      <c r="BD51" s="671">
        <f>Reported!BD130</f>
        <v/>
      </c>
      <c r="BE51" s="671">
        <f>Reported!BE130</f>
        <v/>
      </c>
      <c r="BF51" s="671">
        <f>Reported!BF130</f>
        <v/>
      </c>
      <c r="BG51" s="671">
        <f>Reported!BG130</f>
        <v/>
      </c>
      <c r="BH51" s="671">
        <f>Reported!BH130</f>
        <v/>
      </c>
      <c r="BI51" s="671">
        <f>Reported!BI130</f>
        <v/>
      </c>
      <c r="BJ51" s="671">
        <f>Reported!BJ130</f>
        <v/>
      </c>
      <c r="BK51" s="671">
        <f>Reported!BK130</f>
        <v/>
      </c>
      <c r="BL51" s="671">
        <f>Reported!BL130</f>
        <v/>
      </c>
      <c r="BM51" s="671">
        <f>Reported!BM130</f>
        <v/>
      </c>
      <c r="BN51" s="671">
        <f>Reported!BN130</f>
        <v/>
      </c>
      <c r="BO51" s="671">
        <f>Reported!BO130</f>
        <v/>
      </c>
      <c r="BP51" s="671">
        <f>Reported!BP130</f>
        <v/>
      </c>
      <c r="BQ51" s="671">
        <f>Reported!BQ130</f>
        <v/>
      </c>
      <c r="BR51" s="671">
        <f>Reported!BR130</f>
        <v/>
      </c>
      <c r="BS51" s="519">
        <f>SUM(BS44:BS50)</f>
        <v/>
      </c>
      <c r="BT51" s="519">
        <f>SUM(BT44:BT50)</f>
        <v/>
      </c>
      <c r="BU51" s="519">
        <f>SUM(BU44:BU50)</f>
        <v/>
      </c>
      <c r="BV51" s="519">
        <f>SUM(BV44:BV50)</f>
        <v/>
      </c>
      <c r="BW51" s="519">
        <f>SUM(BW44:BW50)</f>
        <v/>
      </c>
      <c r="BX51" s="519">
        <f>SUM(BX44:BX50)</f>
        <v/>
      </c>
      <c r="BY51" s="519">
        <f>SUM(BY44:BY50)</f>
        <v/>
      </c>
      <c r="BZ51" s="519">
        <f>SUM(BZ44:BZ50)</f>
        <v/>
      </c>
      <c r="CA51" s="519">
        <f>SUM(CA44:CA50)</f>
        <v/>
      </c>
      <c r="CB51" s="519">
        <f>SUM(CB44:CB50)</f>
        <v/>
      </c>
      <c r="CC51" s="519">
        <f>SUM(CC44:CC50)</f>
        <v/>
      </c>
      <c r="CD51" s="519">
        <f>SUM(CD44:CD50)</f>
        <v/>
      </c>
      <c r="CE51" s="519">
        <f>SUM(CE44:CE50)</f>
        <v/>
      </c>
      <c r="CF51" s="519">
        <f>SUM(CF44:CF50)</f>
        <v/>
      </c>
      <c r="CG51" s="519">
        <f>SUM(CG44:CG50)</f>
        <v/>
      </c>
      <c r="CH51" s="519">
        <f>SUM(CH44:CH50)</f>
        <v/>
      </c>
      <c r="CI51" s="519">
        <f>SUM(CI44:CI50)</f>
        <v/>
      </c>
      <c r="CJ51" s="519">
        <f>SUM(CJ44:CJ50)</f>
        <v/>
      </c>
      <c r="CK51" s="519">
        <f>SUM(CK44:CK50)</f>
        <v/>
      </c>
    </row>
    <row r="52">
      <c r="A52" s="74" t="inlineStr">
        <is>
          <t>Deferred income taxes, net</t>
        </is>
      </c>
      <c r="B52" s="145" t="n"/>
      <c r="C52" s="145" t="n"/>
      <c r="D52" s="145" t="n"/>
      <c r="E52" s="145" t="n"/>
      <c r="F52" s="145" t="n"/>
      <c r="G52" s="145" t="n"/>
      <c r="H52" s="145" t="n"/>
      <c r="I52" s="145" t="n"/>
      <c r="J52" s="145" t="n"/>
      <c r="K52" s="145" t="n"/>
      <c r="L52" s="145" t="n"/>
      <c r="M52" s="145" t="n"/>
      <c r="N52" s="509">
        <f>Reported!N131</f>
        <v/>
      </c>
      <c r="O52" s="509">
        <f>Reported!O131</f>
        <v/>
      </c>
      <c r="P52" s="509">
        <f>Reported!P131</f>
        <v/>
      </c>
      <c r="Q52" s="509">
        <f>Reported!Q131</f>
        <v/>
      </c>
      <c r="R52" s="509">
        <f>Reported!R131</f>
        <v/>
      </c>
      <c r="S52" s="509">
        <f>Reported!S131</f>
        <v/>
      </c>
      <c r="T52" s="509">
        <f>Reported!T131</f>
        <v/>
      </c>
      <c r="U52" s="509">
        <f>Reported!U131</f>
        <v/>
      </c>
      <c r="V52" s="509">
        <f>Reported!V131</f>
        <v/>
      </c>
      <c r="W52" s="509">
        <f>Reported!W131</f>
        <v/>
      </c>
      <c r="X52" s="509">
        <f>Reported!X131</f>
        <v/>
      </c>
      <c r="Y52" s="509">
        <f>Reported!Y131</f>
        <v/>
      </c>
      <c r="Z52" s="509">
        <f>Reported!Z131</f>
        <v/>
      </c>
      <c r="AA52" s="509">
        <f>Reported!AA131</f>
        <v/>
      </c>
      <c r="AB52" s="509">
        <f>Reported!AB131</f>
        <v/>
      </c>
      <c r="AC52" s="509">
        <f>Reported!AC131</f>
        <v/>
      </c>
      <c r="AD52" s="509">
        <f>Reported!AD131</f>
        <v/>
      </c>
      <c r="AE52" s="509">
        <f>Reported!AE131</f>
        <v/>
      </c>
      <c r="AF52" s="509">
        <f>Reported!AF131</f>
        <v/>
      </c>
      <c r="AG52" s="509">
        <f>Reported!AG131</f>
        <v/>
      </c>
      <c r="AH52" s="509">
        <f>Reported!AH131</f>
        <v/>
      </c>
      <c r="AI52" s="509">
        <f>Reported!AI131</f>
        <v/>
      </c>
      <c r="AJ52" s="509">
        <f>Reported!AJ131</f>
        <v/>
      </c>
      <c r="AK52" s="509">
        <f>Reported!AK131</f>
        <v/>
      </c>
      <c r="AL52" s="509">
        <f>Reported!AL131</f>
        <v/>
      </c>
      <c r="AM52" s="509">
        <f>Reported!AM131</f>
        <v/>
      </c>
      <c r="AN52" s="509">
        <f>Reported!AN131</f>
        <v/>
      </c>
      <c r="AO52" s="509">
        <f>Reported!AO131</f>
        <v/>
      </c>
      <c r="AP52" s="509">
        <f>Reported!AP131</f>
        <v/>
      </c>
      <c r="AQ52" s="509">
        <f>Reported!AQ131</f>
        <v/>
      </c>
      <c r="AR52" s="509">
        <f>Reported!AR131</f>
        <v/>
      </c>
      <c r="AS52" s="509">
        <f>Reported!AS131</f>
        <v/>
      </c>
      <c r="AT52" s="509">
        <f>Reported!AT131</f>
        <v/>
      </c>
      <c r="AU52" s="509">
        <f>Reported!AU131</f>
        <v/>
      </c>
      <c r="AV52" s="509">
        <f>Reported!AV131</f>
        <v/>
      </c>
      <c r="AW52" s="509">
        <f>Reported!AW131</f>
        <v/>
      </c>
      <c r="AX52" s="509">
        <f>Reported!AX131</f>
        <v/>
      </c>
      <c r="AY52" s="509">
        <f>Reported!AY131</f>
        <v/>
      </c>
      <c r="AZ52" s="509">
        <f>Reported!AZ131</f>
        <v/>
      </c>
      <c r="BA52" s="509">
        <f>Reported!BA131</f>
        <v/>
      </c>
      <c r="BB52" s="509">
        <f>Reported!BB131</f>
        <v/>
      </c>
      <c r="BC52" s="509">
        <f>Reported!BC131</f>
        <v/>
      </c>
      <c r="BD52" s="509">
        <f>Reported!BD131</f>
        <v/>
      </c>
      <c r="BE52" s="509">
        <f>Reported!BE131</f>
        <v/>
      </c>
      <c r="BF52" s="509">
        <f>Reported!BF131</f>
        <v/>
      </c>
      <c r="BG52" s="509">
        <f>Reported!BG131</f>
        <v/>
      </c>
      <c r="BH52" s="509">
        <f>Reported!BH131</f>
        <v/>
      </c>
      <c r="BI52" s="509">
        <f>Reported!BI131</f>
        <v/>
      </c>
      <c r="BJ52" s="509">
        <f>Reported!BJ131</f>
        <v/>
      </c>
      <c r="BK52" s="509">
        <f>Reported!BK131</f>
        <v/>
      </c>
      <c r="BL52" s="509">
        <f>Reported!BL131</f>
        <v/>
      </c>
      <c r="BM52" s="509">
        <f>Reported!BM131</f>
        <v/>
      </c>
      <c r="BN52" s="509">
        <f>Reported!BN131</f>
        <v/>
      </c>
      <c r="BO52" s="509">
        <f>Reported!BO131</f>
        <v/>
      </c>
      <c r="BP52" s="509">
        <f>Reported!BP131</f>
        <v/>
      </c>
      <c r="BQ52" s="509">
        <f>Reported!BQ131</f>
        <v/>
      </c>
      <c r="BR52" s="509">
        <f>Reported!BR131</f>
        <v/>
      </c>
      <c r="BS52" s="517">
        <f>Assumption!BS191</f>
        <v/>
      </c>
      <c r="BT52" s="517">
        <f>Assumption!BT191</f>
        <v/>
      </c>
      <c r="BU52" s="517">
        <f>Assumption!BU191</f>
        <v/>
      </c>
      <c r="BV52" s="517">
        <f>Assumption!BV191</f>
        <v/>
      </c>
      <c r="BW52" s="517">
        <f>Assumption!BW191</f>
        <v/>
      </c>
      <c r="BX52" s="517">
        <f>Assumption!BX191</f>
        <v/>
      </c>
      <c r="BY52" s="517">
        <f>Assumption!BY191</f>
        <v/>
      </c>
      <c r="BZ52" s="517">
        <f>Assumption!BZ191</f>
        <v/>
      </c>
      <c r="CA52" s="517">
        <f>Assumption!CA191</f>
        <v/>
      </c>
      <c r="CB52" s="517">
        <f>Assumption!CB191</f>
        <v/>
      </c>
      <c r="CC52" s="517">
        <f>Assumption!CC191</f>
        <v/>
      </c>
      <c r="CD52" s="517">
        <f>Assumption!CD191</f>
        <v/>
      </c>
      <c r="CE52" s="517">
        <f>Assumption!CE191</f>
        <v/>
      </c>
      <c r="CF52" s="517">
        <f>Assumption!CF191</f>
        <v/>
      </c>
      <c r="CG52" s="517">
        <f>Assumption!CG191</f>
        <v/>
      </c>
      <c r="CH52" s="517">
        <f>Assumption!CH191</f>
        <v/>
      </c>
      <c r="CI52" s="517">
        <f>Assumption!CI191</f>
        <v/>
      </c>
      <c r="CJ52" s="517">
        <f>Assumption!CJ191</f>
        <v/>
      </c>
      <c r="CK52" s="517">
        <f>Assumption!CK191</f>
        <v/>
      </c>
    </row>
    <row r="53">
      <c r="A53" s="74" t="inlineStr">
        <is>
          <t>Goodwill</t>
        </is>
      </c>
      <c r="B53" s="145" t="n"/>
      <c r="C53" s="145" t="n"/>
      <c r="D53" s="145" t="n"/>
      <c r="E53" s="145" t="n"/>
      <c r="F53" s="145" t="n"/>
      <c r="G53" s="145" t="n"/>
      <c r="H53" s="145" t="n"/>
      <c r="I53" s="145" t="n"/>
      <c r="J53" s="145" t="n"/>
      <c r="K53" s="145" t="n"/>
      <c r="L53" s="145" t="n"/>
      <c r="M53" s="145" t="n"/>
      <c r="N53" s="509">
        <f>Reported!N132</f>
        <v/>
      </c>
      <c r="O53" s="509">
        <f>Reported!O132</f>
        <v/>
      </c>
      <c r="P53" s="509">
        <f>Reported!P132</f>
        <v/>
      </c>
      <c r="Q53" s="509">
        <f>Reported!Q132</f>
        <v/>
      </c>
      <c r="R53" s="509">
        <f>Reported!R132</f>
        <v/>
      </c>
      <c r="S53" s="509">
        <f>Reported!S132</f>
        <v/>
      </c>
      <c r="T53" s="509">
        <f>Reported!T132</f>
        <v/>
      </c>
      <c r="U53" s="509">
        <f>Reported!U132</f>
        <v/>
      </c>
      <c r="V53" s="509">
        <f>Reported!V132</f>
        <v/>
      </c>
      <c r="W53" s="509">
        <f>Reported!W132</f>
        <v/>
      </c>
      <c r="X53" s="509">
        <f>Reported!X132</f>
        <v/>
      </c>
      <c r="Y53" s="509">
        <f>Reported!Y132</f>
        <v/>
      </c>
      <c r="Z53" s="509">
        <f>Reported!Z132</f>
        <v/>
      </c>
      <c r="AA53" s="509">
        <f>Reported!AA132</f>
        <v/>
      </c>
      <c r="AB53" s="509">
        <f>Reported!AB132</f>
        <v/>
      </c>
      <c r="AC53" s="509">
        <f>Reported!AC132</f>
        <v/>
      </c>
      <c r="AD53" s="509">
        <f>Reported!AD132</f>
        <v/>
      </c>
      <c r="AE53" s="509">
        <f>Reported!AE132</f>
        <v/>
      </c>
      <c r="AF53" s="509">
        <f>Reported!AF132</f>
        <v/>
      </c>
      <c r="AG53" s="509">
        <f>Reported!AG132</f>
        <v/>
      </c>
      <c r="AH53" s="509">
        <f>Reported!AH132</f>
        <v/>
      </c>
      <c r="AI53" s="509">
        <f>Reported!AI132</f>
        <v/>
      </c>
      <c r="AJ53" s="509">
        <f>Reported!AJ132</f>
        <v/>
      </c>
      <c r="AK53" s="509">
        <f>Reported!AK132</f>
        <v/>
      </c>
      <c r="AL53" s="509">
        <f>Reported!AL132</f>
        <v/>
      </c>
      <c r="AM53" s="509">
        <f>Reported!AM132</f>
        <v/>
      </c>
      <c r="AN53" s="509">
        <f>Reported!AN132</f>
        <v/>
      </c>
      <c r="AO53" s="509">
        <f>Reported!AO132</f>
        <v/>
      </c>
      <c r="AP53" s="509">
        <f>Reported!AP132</f>
        <v/>
      </c>
      <c r="AQ53" s="509">
        <f>Reported!AQ132</f>
        <v/>
      </c>
      <c r="AR53" s="509">
        <f>Reported!AR132</f>
        <v/>
      </c>
      <c r="AS53" s="509">
        <f>Reported!AS132</f>
        <v/>
      </c>
      <c r="AT53" s="509">
        <f>Reported!AT132</f>
        <v/>
      </c>
      <c r="AU53" s="509">
        <f>Reported!AU132</f>
        <v/>
      </c>
      <c r="AV53" s="509">
        <f>Reported!AV132</f>
        <v/>
      </c>
      <c r="AW53" s="509">
        <f>Reported!AW132</f>
        <v/>
      </c>
      <c r="AX53" s="509">
        <f>Reported!AX132</f>
        <v/>
      </c>
      <c r="AY53" s="509">
        <f>Reported!AY132</f>
        <v/>
      </c>
      <c r="AZ53" s="509">
        <f>Reported!AZ132</f>
        <v/>
      </c>
      <c r="BA53" s="509">
        <f>Reported!BA132</f>
        <v/>
      </c>
      <c r="BB53" s="509">
        <f>Reported!BB132</f>
        <v/>
      </c>
      <c r="BC53" s="509">
        <f>Reported!BC132</f>
        <v/>
      </c>
      <c r="BD53" s="509">
        <f>Reported!BD132</f>
        <v/>
      </c>
      <c r="BE53" s="509">
        <f>Reported!BE132</f>
        <v/>
      </c>
      <c r="BF53" s="509">
        <f>Reported!BF132</f>
        <v/>
      </c>
      <c r="BG53" s="509">
        <f>Reported!BG132</f>
        <v/>
      </c>
      <c r="BH53" s="509">
        <f>Reported!BH132</f>
        <v/>
      </c>
      <c r="BI53" s="509">
        <f>Reported!BI132</f>
        <v/>
      </c>
      <c r="BJ53" s="509">
        <f>Reported!BJ132</f>
        <v/>
      </c>
      <c r="BK53" s="509">
        <f>Reported!BK132</f>
        <v/>
      </c>
      <c r="BL53" s="509">
        <f>Reported!BL132</f>
        <v/>
      </c>
      <c r="BM53" s="509">
        <f>Reported!BM132</f>
        <v/>
      </c>
      <c r="BN53" s="509">
        <f>Reported!BN132</f>
        <v/>
      </c>
      <c r="BO53" s="509">
        <f>Reported!BO132</f>
        <v/>
      </c>
      <c r="BP53" s="509">
        <f>Reported!BP132</f>
        <v/>
      </c>
      <c r="BQ53" s="509">
        <f>Reported!BQ132</f>
        <v/>
      </c>
      <c r="BR53" s="509">
        <f>Reported!BR132</f>
        <v/>
      </c>
      <c r="BS53" s="517">
        <f>Assumption!BS194</f>
        <v/>
      </c>
      <c r="BT53" s="517">
        <f>Assumption!BT194</f>
        <v/>
      </c>
      <c r="BU53" s="517">
        <f>Assumption!BU194</f>
        <v/>
      </c>
      <c r="BV53" s="517">
        <f>Assumption!BV194</f>
        <v/>
      </c>
      <c r="BW53" s="517">
        <f>Assumption!BW194</f>
        <v/>
      </c>
      <c r="BX53" s="517">
        <f>Assumption!BX194</f>
        <v/>
      </c>
      <c r="BY53" s="517">
        <f>Assumption!BY194</f>
        <v/>
      </c>
      <c r="BZ53" s="517">
        <f>Assumption!BZ194</f>
        <v/>
      </c>
      <c r="CA53" s="517">
        <f>Assumption!CA194</f>
        <v/>
      </c>
      <c r="CB53" s="517">
        <f>Assumption!CB194</f>
        <v/>
      </c>
      <c r="CC53" s="517">
        <f>Assumption!CC194</f>
        <v/>
      </c>
      <c r="CD53" s="517">
        <f>Assumption!CD194</f>
        <v/>
      </c>
      <c r="CE53" s="517">
        <f>Assumption!CE194</f>
        <v/>
      </c>
      <c r="CF53" s="517">
        <f>Assumption!CF194</f>
        <v/>
      </c>
      <c r="CG53" s="517">
        <f>Assumption!CG194</f>
        <v/>
      </c>
      <c r="CH53" s="517">
        <f>Assumption!CH194</f>
        <v/>
      </c>
      <c r="CI53" s="517">
        <f>Assumption!CI194</f>
        <v/>
      </c>
      <c r="CJ53" s="517">
        <f>Assumption!CJ194</f>
        <v/>
      </c>
      <c r="CK53" s="517">
        <f>Assumption!CK194</f>
        <v/>
      </c>
    </row>
    <row r="54">
      <c r="A54" s="74" t="inlineStr">
        <is>
          <t>PP&amp;E and intangible assets, net</t>
        </is>
      </c>
      <c r="B54" s="145" t="n"/>
      <c r="C54" s="145" t="n"/>
      <c r="D54" s="145" t="n"/>
      <c r="E54" s="145" t="n"/>
      <c r="F54" s="145" t="n"/>
      <c r="G54" s="145" t="n"/>
      <c r="H54" s="145" t="n"/>
      <c r="I54" s="145" t="n"/>
      <c r="J54" s="145" t="n"/>
      <c r="K54" s="145" t="n"/>
      <c r="L54" s="145" t="n"/>
      <c r="M54" s="145" t="n"/>
      <c r="N54" s="143">
        <f>Reported!N133+Reported!N134</f>
        <v/>
      </c>
      <c r="O54" s="143">
        <f>Reported!O133+Reported!O134</f>
        <v/>
      </c>
      <c r="P54" s="143">
        <f>Reported!P133+Reported!P134</f>
        <v/>
      </c>
      <c r="Q54" s="143">
        <f>Reported!Q133+Reported!Q134</f>
        <v/>
      </c>
      <c r="R54" s="143">
        <f>Reported!R133+Reported!R134</f>
        <v/>
      </c>
      <c r="S54" s="143">
        <f>Reported!S133+Reported!S134</f>
        <v/>
      </c>
      <c r="T54" s="143">
        <f>Reported!T133+Reported!T134</f>
        <v/>
      </c>
      <c r="U54" s="143">
        <f>Reported!U133+Reported!U134</f>
        <v/>
      </c>
      <c r="V54" s="143">
        <f>Reported!V133+Reported!V134</f>
        <v/>
      </c>
      <c r="W54" s="143">
        <f>Reported!W133+Reported!W134</f>
        <v/>
      </c>
      <c r="X54" s="143">
        <f>Reported!X133+Reported!X134</f>
        <v/>
      </c>
      <c r="Y54" s="143">
        <f>Reported!Y133+Reported!Y134</f>
        <v/>
      </c>
      <c r="Z54" s="143">
        <f>Reported!Z133+Reported!Z134</f>
        <v/>
      </c>
      <c r="AA54" s="143">
        <f>Reported!AA133+Reported!AA134</f>
        <v/>
      </c>
      <c r="AB54" s="143">
        <f>Reported!AB133+Reported!AB134</f>
        <v/>
      </c>
      <c r="AC54" s="143">
        <f>Reported!AC133+Reported!AC134</f>
        <v/>
      </c>
      <c r="AD54" s="143">
        <f>Reported!AD133+Reported!AD134</f>
        <v/>
      </c>
      <c r="AE54" s="143">
        <f>Reported!AE133+Reported!AE134</f>
        <v/>
      </c>
      <c r="AF54" s="143">
        <f>Reported!AF133+Reported!AF134</f>
        <v/>
      </c>
      <c r="AG54" s="143">
        <f>Reported!AG133+Reported!AG134</f>
        <v/>
      </c>
      <c r="AH54" s="143">
        <f>Reported!AH133+Reported!AH134</f>
        <v/>
      </c>
      <c r="AI54" s="143">
        <f>Reported!AI133+Reported!AI134</f>
        <v/>
      </c>
      <c r="AJ54" s="143">
        <f>Reported!AJ133+Reported!AJ134</f>
        <v/>
      </c>
      <c r="AK54" s="143">
        <f>Reported!AK133+Reported!AK134</f>
        <v/>
      </c>
      <c r="AL54" s="143">
        <f>Reported!AL133+Reported!AL134</f>
        <v/>
      </c>
      <c r="AM54" s="143">
        <f>Reported!AM133+Reported!AM134</f>
        <v/>
      </c>
      <c r="AN54" s="143">
        <f>Reported!AN133+Reported!AN134</f>
        <v/>
      </c>
      <c r="AO54" s="143">
        <f>Reported!AO133+Reported!AO134</f>
        <v/>
      </c>
      <c r="AP54" s="143">
        <f>Reported!AP133+Reported!AP134</f>
        <v/>
      </c>
      <c r="AQ54" s="143">
        <f>Reported!AQ133+Reported!AQ134</f>
        <v/>
      </c>
      <c r="AR54" s="143">
        <f>Reported!AR133+Reported!AR134</f>
        <v/>
      </c>
      <c r="AS54" s="143">
        <f>Reported!AS133+Reported!AS134</f>
        <v/>
      </c>
      <c r="AT54" s="143">
        <f>Reported!AT133+Reported!AT134</f>
        <v/>
      </c>
      <c r="AU54" s="143">
        <f>Reported!AU133+Reported!AU134</f>
        <v/>
      </c>
      <c r="AV54" s="143">
        <f>Reported!AV133+Reported!AV134</f>
        <v/>
      </c>
      <c r="AW54" s="143">
        <f>Reported!AW133+Reported!AW134</f>
        <v/>
      </c>
      <c r="AX54" s="143">
        <f>Reported!AX133+Reported!AX134</f>
        <v/>
      </c>
      <c r="AY54" s="143">
        <f>Reported!AY133+Reported!AY134</f>
        <v/>
      </c>
      <c r="AZ54" s="143">
        <f>Reported!AZ133+Reported!AZ134</f>
        <v/>
      </c>
      <c r="BA54" s="143">
        <f>Reported!BA133+Reported!BA134</f>
        <v/>
      </c>
      <c r="BB54" s="143">
        <f>Reported!BB133+Reported!BB134</f>
        <v/>
      </c>
      <c r="BC54" s="143">
        <f>Reported!BC133+Reported!BC134</f>
        <v/>
      </c>
      <c r="BD54" s="143">
        <f>Reported!BD133+Reported!BD134</f>
        <v/>
      </c>
      <c r="BE54" s="143">
        <f>Reported!BE133+Reported!BE134</f>
        <v/>
      </c>
      <c r="BF54" s="143">
        <f>Reported!BF133+Reported!BF134</f>
        <v/>
      </c>
      <c r="BG54" s="143">
        <f>Reported!BG133+Reported!BG134</f>
        <v/>
      </c>
      <c r="BH54" s="143">
        <f>Reported!BH133+Reported!BH134</f>
        <v/>
      </c>
      <c r="BI54" s="143">
        <f>Reported!BI133+Reported!BI134</f>
        <v/>
      </c>
      <c r="BJ54" s="143">
        <f>Reported!BJ133+Reported!BJ134</f>
        <v/>
      </c>
      <c r="BK54" s="143">
        <f>Reported!BK133+Reported!BK134</f>
        <v/>
      </c>
      <c r="BL54" s="143">
        <f>Reported!BL133+Reported!BL134</f>
        <v/>
      </c>
      <c r="BM54" s="143">
        <f>Reported!BM133+Reported!BM134</f>
        <v/>
      </c>
      <c r="BN54" s="143">
        <f>Reported!BN133+Reported!BN134</f>
        <v/>
      </c>
      <c r="BO54" s="143">
        <f>Reported!BO133+Reported!BO134</f>
        <v/>
      </c>
      <c r="BP54" s="143">
        <f>Reported!BP133+Reported!BP134</f>
        <v/>
      </c>
      <c r="BQ54" s="143">
        <f>Reported!BQ133+Reported!BQ134</f>
        <v/>
      </c>
      <c r="BR54" s="143">
        <f>Reported!BR133+Reported!BR134</f>
        <v/>
      </c>
      <c r="BS54" s="517">
        <f>Assumption!BS180</f>
        <v/>
      </c>
      <c r="BT54" s="517">
        <f>Assumption!BT180</f>
        <v/>
      </c>
      <c r="BU54" s="517">
        <f>Assumption!BU180</f>
        <v/>
      </c>
      <c r="BV54" s="517">
        <f>Assumption!BV180</f>
        <v/>
      </c>
      <c r="BW54" s="517">
        <f>Assumption!BW180</f>
        <v/>
      </c>
      <c r="BX54" s="517">
        <f>Assumption!BX180</f>
        <v/>
      </c>
      <c r="BY54" s="517">
        <f>Assumption!BY180</f>
        <v/>
      </c>
      <c r="BZ54" s="517">
        <f>Assumption!BZ180</f>
        <v/>
      </c>
      <c r="CA54" s="517">
        <f>Assumption!CA180</f>
        <v/>
      </c>
      <c r="CB54" s="517">
        <f>Assumption!CB180</f>
        <v/>
      </c>
      <c r="CC54" s="517">
        <f>Assumption!CC180</f>
        <v/>
      </c>
      <c r="CD54" s="517">
        <f>Assumption!CD180</f>
        <v/>
      </c>
      <c r="CE54" s="517">
        <f>Assumption!CE180</f>
        <v/>
      </c>
      <c r="CF54" s="517">
        <f>Assumption!CF180</f>
        <v/>
      </c>
      <c r="CG54" s="517">
        <f>Assumption!CG180</f>
        <v/>
      </c>
      <c r="CH54" s="517">
        <f>Assumption!CH180</f>
        <v/>
      </c>
      <c r="CI54" s="517">
        <f>Assumption!CI180</f>
        <v/>
      </c>
      <c r="CJ54" s="517">
        <f>Assumption!CJ180</f>
        <v/>
      </c>
      <c r="CK54" s="517">
        <f>Assumption!CK180</f>
        <v/>
      </c>
    </row>
    <row r="55">
      <c r="A55" s="74" t="inlineStr">
        <is>
          <t>Other non-current assets</t>
        </is>
      </c>
      <c r="B55" s="145" t="n"/>
      <c r="C55" s="145" t="n"/>
      <c r="D55" s="145" t="n"/>
      <c r="E55" s="145" t="n"/>
      <c r="F55" s="145" t="n"/>
      <c r="G55" s="145" t="n"/>
      <c r="H55" s="145" t="n"/>
      <c r="I55" s="145" t="n"/>
      <c r="J55" s="145" t="n"/>
      <c r="K55" s="145" t="n"/>
      <c r="L55" s="145" t="n"/>
      <c r="M55" s="145" t="n"/>
      <c r="N55" s="509">
        <f>Reported!N135</f>
        <v/>
      </c>
      <c r="O55" s="509">
        <f>Reported!O135</f>
        <v/>
      </c>
      <c r="P55" s="509">
        <f>Reported!P135</f>
        <v/>
      </c>
      <c r="Q55" s="509">
        <f>Reported!Q135</f>
        <v/>
      </c>
      <c r="R55" s="509">
        <f>Reported!R135</f>
        <v/>
      </c>
      <c r="S55" s="509">
        <f>Reported!S135</f>
        <v/>
      </c>
      <c r="T55" s="509">
        <f>Reported!T135</f>
        <v/>
      </c>
      <c r="U55" s="509">
        <f>Reported!U135</f>
        <v/>
      </c>
      <c r="V55" s="509">
        <f>Reported!V135</f>
        <v/>
      </c>
      <c r="W55" s="509">
        <f>Reported!W135</f>
        <v/>
      </c>
      <c r="X55" s="509">
        <f>Reported!X135</f>
        <v/>
      </c>
      <c r="Y55" s="509">
        <f>Reported!Y135</f>
        <v/>
      </c>
      <c r="Z55" s="509">
        <f>Reported!Z135</f>
        <v/>
      </c>
      <c r="AA55" s="509">
        <f>Reported!AA135</f>
        <v/>
      </c>
      <c r="AB55" s="509">
        <f>Reported!AB135</f>
        <v/>
      </c>
      <c r="AC55" s="509">
        <f>Reported!AC135</f>
        <v/>
      </c>
      <c r="AD55" s="509">
        <f>Reported!AD135</f>
        <v/>
      </c>
      <c r="AE55" s="509">
        <f>Reported!AE135</f>
        <v/>
      </c>
      <c r="AF55" s="509">
        <f>Reported!AF135</f>
        <v/>
      </c>
      <c r="AG55" s="509">
        <f>Reported!AG135</f>
        <v/>
      </c>
      <c r="AH55" s="509">
        <f>Reported!AH135</f>
        <v/>
      </c>
      <c r="AI55" s="509">
        <f>Reported!AI135</f>
        <v/>
      </c>
      <c r="AJ55" s="509">
        <f>Reported!AJ135</f>
        <v/>
      </c>
      <c r="AK55" s="509">
        <f>Reported!AK135</f>
        <v/>
      </c>
      <c r="AL55" s="509">
        <f>Reported!AL135</f>
        <v/>
      </c>
      <c r="AM55" s="509">
        <f>Reported!AM135</f>
        <v/>
      </c>
      <c r="AN55" s="509">
        <f>Reported!AN135</f>
        <v/>
      </c>
      <c r="AO55" s="509">
        <f>Reported!AO135</f>
        <v/>
      </c>
      <c r="AP55" s="509">
        <f>Reported!AP135</f>
        <v/>
      </c>
      <c r="AQ55" s="509">
        <f>Reported!AQ135</f>
        <v/>
      </c>
      <c r="AR55" s="509">
        <f>Reported!AR135</f>
        <v/>
      </c>
      <c r="AS55" s="509">
        <f>Reported!AS135</f>
        <v/>
      </c>
      <c r="AT55" s="509">
        <f>Reported!AT135</f>
        <v/>
      </c>
      <c r="AU55" s="509">
        <f>Reported!AU135</f>
        <v/>
      </c>
      <c r="AV55" s="509">
        <f>Reported!AV135</f>
        <v/>
      </c>
      <c r="AW55" s="509">
        <f>Reported!AW135</f>
        <v/>
      </c>
      <c r="AX55" s="509">
        <f>Reported!AX135</f>
        <v/>
      </c>
      <c r="AY55" s="509">
        <f>Reported!AY135</f>
        <v/>
      </c>
      <c r="AZ55" s="509">
        <f>Reported!AZ135</f>
        <v/>
      </c>
      <c r="BA55" s="509">
        <f>Reported!BA135</f>
        <v/>
      </c>
      <c r="BB55" s="509">
        <f>Reported!BB135</f>
        <v/>
      </c>
      <c r="BC55" s="509">
        <f>Reported!BC135</f>
        <v/>
      </c>
      <c r="BD55" s="509">
        <f>Reported!BD135</f>
        <v/>
      </c>
      <c r="BE55" s="509">
        <f>Reported!BE135</f>
        <v/>
      </c>
      <c r="BF55" s="509">
        <f>Reported!BF135</f>
        <v/>
      </c>
      <c r="BG55" s="509">
        <f>Reported!BG135</f>
        <v/>
      </c>
      <c r="BH55" s="509">
        <f>Reported!BH135</f>
        <v/>
      </c>
      <c r="BI55" s="509">
        <f>Reported!BI135</f>
        <v/>
      </c>
      <c r="BJ55" s="509">
        <f>Reported!BJ135</f>
        <v/>
      </c>
      <c r="BK55" s="509">
        <f>Reported!BK135</f>
        <v/>
      </c>
      <c r="BL55" s="509">
        <f>Reported!BL135</f>
        <v/>
      </c>
      <c r="BM55" s="509">
        <f>Reported!BM135</f>
        <v/>
      </c>
      <c r="BN55" s="509">
        <f>Reported!BN135</f>
        <v/>
      </c>
      <c r="BO55" s="509">
        <f>Reported!BO135</f>
        <v/>
      </c>
      <c r="BP55" s="509">
        <f>Reported!BP135</f>
        <v/>
      </c>
      <c r="BQ55" s="509">
        <f>Reported!BQ135</f>
        <v/>
      </c>
      <c r="BR55" s="509">
        <f>Reported!BR135</f>
        <v/>
      </c>
      <c r="BS55" s="517">
        <f>Assumption!BS195</f>
        <v/>
      </c>
      <c r="BT55" s="517">
        <f>Assumption!BT195</f>
        <v/>
      </c>
      <c r="BU55" s="517">
        <f>Assumption!BU195</f>
        <v/>
      </c>
      <c r="BV55" s="517">
        <f>Assumption!BV195</f>
        <v/>
      </c>
      <c r="BW55" s="517">
        <f>Assumption!BW195</f>
        <v/>
      </c>
      <c r="BX55" s="517">
        <f>Assumption!BX195</f>
        <v/>
      </c>
      <c r="BY55" s="517">
        <f>Assumption!BY195</f>
        <v/>
      </c>
      <c r="BZ55" s="517">
        <f>Assumption!BZ195</f>
        <v/>
      </c>
      <c r="CA55" s="517">
        <f>Assumption!CA195</f>
        <v/>
      </c>
      <c r="CB55" s="517">
        <f>Assumption!CB195</f>
        <v/>
      </c>
      <c r="CC55" s="517">
        <f>Assumption!CC195</f>
        <v/>
      </c>
      <c r="CD55" s="517">
        <f>Assumption!CD195</f>
        <v/>
      </c>
      <c r="CE55" s="517">
        <f>Assumption!CE195</f>
        <v/>
      </c>
      <c r="CF55" s="517">
        <f>Assumption!CF195</f>
        <v/>
      </c>
      <c r="CG55" s="517">
        <f>Assumption!CG195</f>
        <v/>
      </c>
      <c r="CH55" s="517">
        <f>Assumption!CH195</f>
        <v/>
      </c>
      <c r="CI55" s="517">
        <f>Assumption!CI195</f>
        <v/>
      </c>
      <c r="CJ55" s="517">
        <f>Assumption!CJ195</f>
        <v/>
      </c>
      <c r="CK55" s="517">
        <f>Assumption!CK195</f>
        <v/>
      </c>
    </row>
    <row r="56">
      <c r="A56" s="22" t="inlineStr">
        <is>
          <t>Total assets</t>
        </is>
      </c>
      <c r="B56" s="133" t="n"/>
      <c r="C56" s="133" t="n"/>
      <c r="D56" s="133" t="n"/>
      <c r="E56" s="133" t="n"/>
      <c r="F56" s="133" t="n"/>
      <c r="G56" s="133" t="n"/>
      <c r="H56" s="133" t="n"/>
      <c r="I56" s="133" t="n"/>
      <c r="J56" s="133" t="n"/>
      <c r="K56" s="133" t="n"/>
      <c r="L56" s="133" t="n"/>
      <c r="M56" s="133" t="n"/>
      <c r="N56" s="671">
        <f>Reported!N136</f>
        <v/>
      </c>
      <c r="O56" s="671">
        <f>Reported!O136</f>
        <v/>
      </c>
      <c r="P56" s="671">
        <f>Reported!P136</f>
        <v/>
      </c>
      <c r="Q56" s="671">
        <f>Reported!Q136</f>
        <v/>
      </c>
      <c r="R56" s="671">
        <f>Reported!R136</f>
        <v/>
      </c>
      <c r="S56" s="671">
        <f>Reported!S136</f>
        <v/>
      </c>
      <c r="T56" s="671">
        <f>Reported!T136</f>
        <v/>
      </c>
      <c r="U56" s="671">
        <f>Reported!U136</f>
        <v/>
      </c>
      <c r="V56" s="671">
        <f>Reported!V136</f>
        <v/>
      </c>
      <c r="W56" s="671">
        <f>Reported!W136</f>
        <v/>
      </c>
      <c r="X56" s="671">
        <f>Reported!X136</f>
        <v/>
      </c>
      <c r="Y56" s="671">
        <f>Reported!Y136</f>
        <v/>
      </c>
      <c r="Z56" s="671">
        <f>Reported!Z136</f>
        <v/>
      </c>
      <c r="AA56" s="671">
        <f>Reported!AA136</f>
        <v/>
      </c>
      <c r="AB56" s="671">
        <f>Reported!AB136</f>
        <v/>
      </c>
      <c r="AC56" s="671">
        <f>Reported!AC136</f>
        <v/>
      </c>
      <c r="AD56" s="671">
        <f>Reported!AD136</f>
        <v/>
      </c>
      <c r="AE56" s="671">
        <f>Reported!AE136</f>
        <v/>
      </c>
      <c r="AF56" s="671">
        <f>Reported!AF136</f>
        <v/>
      </c>
      <c r="AG56" s="671">
        <f>Reported!AG136</f>
        <v/>
      </c>
      <c r="AH56" s="671">
        <f>Reported!AH136</f>
        <v/>
      </c>
      <c r="AI56" s="671">
        <f>Reported!AI136</f>
        <v/>
      </c>
      <c r="AJ56" s="671">
        <f>Reported!AJ136</f>
        <v/>
      </c>
      <c r="AK56" s="671">
        <f>Reported!AK136</f>
        <v/>
      </c>
      <c r="AL56" s="671">
        <f>Reported!AL136</f>
        <v/>
      </c>
      <c r="AM56" s="671">
        <f>Reported!AM136</f>
        <v/>
      </c>
      <c r="AN56" s="671">
        <f>Reported!AN136</f>
        <v/>
      </c>
      <c r="AO56" s="671">
        <f>Reported!AO136</f>
        <v/>
      </c>
      <c r="AP56" s="671">
        <f>Reported!AP136</f>
        <v/>
      </c>
      <c r="AQ56" s="671">
        <f>Reported!AQ136</f>
        <v/>
      </c>
      <c r="AR56" s="671">
        <f>Reported!AR136</f>
        <v/>
      </c>
      <c r="AS56" s="671">
        <f>Reported!AS136</f>
        <v/>
      </c>
      <c r="AT56" s="671">
        <f>Reported!AT136</f>
        <v/>
      </c>
      <c r="AU56" s="671">
        <f>Reported!AU136</f>
        <v/>
      </c>
      <c r="AV56" s="671">
        <f>Reported!AV136</f>
        <v/>
      </c>
      <c r="AW56" s="671">
        <f>Reported!AW136</f>
        <v/>
      </c>
      <c r="AX56" s="671">
        <f>Reported!AX136</f>
        <v/>
      </c>
      <c r="AY56" s="671">
        <f>Reported!AY136</f>
        <v/>
      </c>
      <c r="AZ56" s="671">
        <f>Reported!AZ136</f>
        <v/>
      </c>
      <c r="BA56" s="671">
        <f>Reported!BA136</f>
        <v/>
      </c>
      <c r="BB56" s="671">
        <f>Reported!BB136</f>
        <v/>
      </c>
      <c r="BC56" s="671">
        <f>Reported!BC136</f>
        <v/>
      </c>
      <c r="BD56" s="671">
        <f>Reported!BD136</f>
        <v/>
      </c>
      <c r="BE56" s="671">
        <f>Reported!BE136</f>
        <v/>
      </c>
      <c r="BF56" s="671">
        <f>Reported!BF136</f>
        <v/>
      </c>
      <c r="BG56" s="671">
        <f>Reported!BG136</f>
        <v/>
      </c>
      <c r="BH56" s="671">
        <f>Reported!BH136</f>
        <v/>
      </c>
      <c r="BI56" s="671">
        <f>Reported!BI136</f>
        <v/>
      </c>
      <c r="BJ56" s="671">
        <f>Reported!BJ136</f>
        <v/>
      </c>
      <c r="BK56" s="671">
        <f>Reported!BK136</f>
        <v/>
      </c>
      <c r="BL56" s="671">
        <f>Reported!BL136</f>
        <v/>
      </c>
      <c r="BM56" s="671">
        <f>Reported!BM136</f>
        <v/>
      </c>
      <c r="BN56" s="671">
        <f>Reported!BN136</f>
        <v/>
      </c>
      <c r="BO56" s="671">
        <f>Reported!BO136</f>
        <v/>
      </c>
      <c r="BP56" s="671">
        <f>Reported!BP136</f>
        <v/>
      </c>
      <c r="BQ56" s="671">
        <f>Reported!BQ136</f>
        <v/>
      </c>
      <c r="BR56" s="671">
        <f>Reported!BR136</f>
        <v/>
      </c>
      <c r="BS56" s="519">
        <f>SUM(BS51:BS55)</f>
        <v/>
      </c>
      <c r="BT56" s="519">
        <f>SUM(BT51:BT55)</f>
        <v/>
      </c>
      <c r="BU56" s="519">
        <f>SUM(BU51:BU55)</f>
        <v/>
      </c>
      <c r="BV56" s="519">
        <f>SUM(BV51:BV55)</f>
        <v/>
      </c>
      <c r="BW56" s="519">
        <f>SUM(BW51:BW55)</f>
        <v/>
      </c>
      <c r="BX56" s="519">
        <f>SUM(BX51:BX55)</f>
        <v/>
      </c>
      <c r="BY56" s="519">
        <f>SUM(BY51:BY55)</f>
        <v/>
      </c>
      <c r="BZ56" s="519">
        <f>SUM(BZ51:BZ55)</f>
        <v/>
      </c>
      <c r="CA56" s="519">
        <f>SUM(CA51:CA55)</f>
        <v/>
      </c>
      <c r="CB56" s="519">
        <f>SUM(CB51:CB55)</f>
        <v/>
      </c>
      <c r="CC56" s="519">
        <f>SUM(CC51:CC55)</f>
        <v/>
      </c>
      <c r="CD56" s="519">
        <f>SUM(CD51:CD55)</f>
        <v/>
      </c>
      <c r="CE56" s="519">
        <f>SUM(CE51:CE55)</f>
        <v/>
      </c>
      <c r="CF56" s="519">
        <f>SUM(CF51:CF55)</f>
        <v/>
      </c>
      <c r="CG56" s="519">
        <f>SUM(CG51:CG55)</f>
        <v/>
      </c>
      <c r="CH56" s="519">
        <f>SUM(CH51:CH55)</f>
        <v/>
      </c>
      <c r="CI56" s="519">
        <f>SUM(CI51:CI55)</f>
        <v/>
      </c>
      <c r="CJ56" s="519">
        <f>SUM(CJ51:CJ55)</f>
        <v/>
      </c>
      <c r="CK56" s="519">
        <f>SUM(CK51:CK55)</f>
        <v/>
      </c>
    </row>
    <row r="57">
      <c r="A57" s="455" t="n"/>
      <c r="B57" s="672" t="n"/>
      <c r="C57" s="672" t="n"/>
      <c r="D57" s="672" t="n"/>
      <c r="E57" s="672" t="n"/>
      <c r="F57" s="672" t="n"/>
      <c r="G57" s="672" t="n"/>
      <c r="H57" s="672" t="n"/>
      <c r="I57" s="672" t="n"/>
      <c r="J57" s="672" t="n"/>
      <c r="K57" s="672" t="n"/>
      <c r="L57" s="672" t="n"/>
      <c r="M57" s="672" t="n"/>
      <c r="N57" s="509" t="n"/>
      <c r="O57" s="509" t="n"/>
      <c r="P57" s="509" t="n"/>
      <c r="Q57" s="509" t="n"/>
      <c r="R57" s="509" t="n"/>
      <c r="S57" s="509" t="n"/>
      <c r="T57" s="509" t="n"/>
      <c r="U57" s="509" t="n"/>
      <c r="V57" s="509" t="n"/>
      <c r="W57" s="509" t="n"/>
      <c r="X57" s="509" t="n"/>
      <c r="Y57" s="509" t="n"/>
      <c r="Z57" s="509" t="n"/>
      <c r="AA57" s="509" t="n"/>
      <c r="AB57" s="509" t="n"/>
      <c r="AC57" s="509" t="n"/>
      <c r="AD57" s="509" t="n"/>
      <c r="AE57" s="509" t="n"/>
      <c r="AF57" s="509" t="n"/>
      <c r="AG57" s="509" t="n"/>
      <c r="AH57" s="509" t="n"/>
      <c r="AI57" s="509" t="n"/>
      <c r="AJ57" s="509" t="n"/>
      <c r="AK57" s="509" t="n"/>
      <c r="AL57" s="509" t="n"/>
      <c r="AM57" s="509" t="n"/>
      <c r="AN57" s="509" t="n"/>
      <c r="AO57" s="509" t="n"/>
      <c r="AP57" s="509" t="n"/>
      <c r="AQ57" s="509" t="n"/>
      <c r="AR57" s="509" t="n"/>
      <c r="AS57" s="509" t="n"/>
      <c r="AT57" s="509" t="n"/>
      <c r="AU57" s="509" t="n"/>
      <c r="AV57" s="509" t="n"/>
      <c r="AW57" s="509" t="n"/>
      <c r="AX57" s="509" t="n"/>
      <c r="AY57" s="509" t="n"/>
      <c r="AZ57" s="509" t="n"/>
      <c r="BA57" s="509" t="n"/>
      <c r="BB57" s="509" t="n"/>
      <c r="BC57" s="509" t="n"/>
      <c r="BD57" s="509" t="n"/>
      <c r="BE57" s="509" t="n"/>
      <c r="BF57" s="509" t="n"/>
      <c r="BG57" s="509" t="n"/>
      <c r="BH57" s="509" t="n"/>
      <c r="BI57" s="509" t="n"/>
      <c r="BJ57" s="509" t="n"/>
      <c r="BK57" s="509" t="n"/>
      <c r="BL57" s="509" t="n"/>
      <c r="BM57" s="509" t="n"/>
      <c r="BN57" s="509" t="n"/>
      <c r="BO57" s="509" t="n"/>
      <c r="BP57" s="509" t="n"/>
    </row>
    <row r="58">
      <c r="A58" s="74" t="inlineStr">
        <is>
          <t>Current portion of long-term debt</t>
        </is>
      </c>
      <c r="B58" s="145" t="n"/>
      <c r="C58" s="145" t="n"/>
      <c r="D58" s="145" t="n"/>
      <c r="E58" s="145" t="n"/>
      <c r="F58" s="145" t="n"/>
      <c r="G58" s="145" t="n"/>
      <c r="H58" s="145" t="n"/>
      <c r="I58" s="145" t="n"/>
      <c r="J58" s="145" t="n"/>
      <c r="K58" s="145" t="n"/>
      <c r="L58" s="145" t="n"/>
      <c r="M58" s="145" t="n"/>
      <c r="N58" s="509">
        <f>Reported!N138</f>
        <v/>
      </c>
      <c r="O58" s="509">
        <f>Reported!O138</f>
        <v/>
      </c>
      <c r="P58" s="509">
        <f>Reported!P138</f>
        <v/>
      </c>
      <c r="Q58" s="509">
        <f>Reported!Q138</f>
        <v/>
      </c>
      <c r="R58" s="509">
        <f>Reported!R138</f>
        <v/>
      </c>
      <c r="S58" s="509">
        <f>Reported!S138</f>
        <v/>
      </c>
      <c r="T58" s="509">
        <f>Reported!T138</f>
        <v/>
      </c>
      <c r="U58" s="509">
        <f>Reported!U138</f>
        <v/>
      </c>
      <c r="V58" s="509">
        <f>Reported!V138</f>
        <v/>
      </c>
      <c r="W58" s="509">
        <f>Reported!W138</f>
        <v/>
      </c>
      <c r="X58" s="509">
        <f>Reported!X138</f>
        <v/>
      </c>
      <c r="Y58" s="509">
        <f>Reported!Y138</f>
        <v/>
      </c>
      <c r="Z58" s="509">
        <f>Reported!Z138</f>
        <v/>
      </c>
      <c r="AA58" s="509">
        <f>Reported!AA138</f>
        <v/>
      </c>
      <c r="AB58" s="509">
        <f>Reported!AB138</f>
        <v/>
      </c>
      <c r="AC58" s="509">
        <f>Reported!AC138</f>
        <v/>
      </c>
      <c r="AD58" s="509">
        <f>Reported!AD138</f>
        <v/>
      </c>
      <c r="AE58" s="509">
        <f>Reported!AE138</f>
        <v/>
      </c>
      <c r="AF58" s="509">
        <f>Reported!AF138</f>
        <v/>
      </c>
      <c r="AG58" s="509">
        <f>Reported!AG138</f>
        <v/>
      </c>
      <c r="AH58" s="509">
        <f>Reported!AH138</f>
        <v/>
      </c>
      <c r="AI58" s="509">
        <f>Reported!AI138</f>
        <v/>
      </c>
      <c r="AJ58" s="509">
        <f>Reported!AJ138</f>
        <v/>
      </c>
      <c r="AK58" s="509">
        <f>Reported!AK138</f>
        <v/>
      </c>
      <c r="AL58" s="509">
        <f>Reported!AL138</f>
        <v/>
      </c>
      <c r="AM58" s="509">
        <f>Reported!AM138</f>
        <v/>
      </c>
      <c r="AN58" s="509">
        <f>Reported!AN138</f>
        <v/>
      </c>
      <c r="AO58" s="509">
        <f>Reported!AO138</f>
        <v/>
      </c>
      <c r="AP58" s="509">
        <f>Reported!AP138</f>
        <v/>
      </c>
      <c r="AQ58" s="509">
        <f>Reported!AQ138</f>
        <v/>
      </c>
      <c r="AR58" s="509">
        <f>Reported!AR138</f>
        <v/>
      </c>
      <c r="AS58" s="509">
        <f>Reported!AS138</f>
        <v/>
      </c>
      <c r="AT58" s="509">
        <f>Reported!AT138</f>
        <v/>
      </c>
      <c r="AU58" s="509">
        <f>Reported!AU138</f>
        <v/>
      </c>
      <c r="AV58" s="509">
        <f>Reported!AV138</f>
        <v/>
      </c>
      <c r="AW58" s="509">
        <f>Reported!AW138</f>
        <v/>
      </c>
      <c r="AX58" s="509">
        <f>Reported!AX138</f>
        <v/>
      </c>
      <c r="AY58" s="509">
        <f>Reported!AY138</f>
        <v/>
      </c>
      <c r="AZ58" s="509">
        <f>Reported!AZ138</f>
        <v/>
      </c>
      <c r="BA58" s="509">
        <f>Reported!BA138</f>
        <v/>
      </c>
      <c r="BB58" s="509">
        <f>Reported!BB138</f>
        <v/>
      </c>
      <c r="BC58" s="509">
        <f>Reported!BC138</f>
        <v/>
      </c>
      <c r="BD58" s="509">
        <f>Reported!BD138</f>
        <v/>
      </c>
      <c r="BE58" s="509">
        <f>Reported!BE138</f>
        <v/>
      </c>
      <c r="BF58" s="509">
        <f>Reported!BF138</f>
        <v/>
      </c>
      <c r="BG58" s="509">
        <f>Reported!BG138</f>
        <v/>
      </c>
      <c r="BH58" s="509">
        <f>Reported!BH138</f>
        <v/>
      </c>
      <c r="BI58" s="509">
        <f>Reported!BI138</f>
        <v/>
      </c>
      <c r="BJ58" s="509">
        <f>Reported!BJ138</f>
        <v/>
      </c>
      <c r="BK58" s="509">
        <f>Reported!BK138</f>
        <v/>
      </c>
      <c r="BL58" s="509">
        <f>Reported!BL138</f>
        <v/>
      </c>
      <c r="BM58" s="509">
        <f>Reported!BM138</f>
        <v/>
      </c>
      <c r="BN58" s="509">
        <f>Reported!BN138</f>
        <v/>
      </c>
      <c r="BO58" s="509">
        <f>Reported!BO138</f>
        <v/>
      </c>
      <c r="BP58" s="509">
        <f>Reported!BP138</f>
        <v/>
      </c>
      <c r="BQ58" s="509">
        <f>Reported!BQ138</f>
        <v/>
      </c>
      <c r="BR58" s="509">
        <f>Reported!BR138</f>
        <v/>
      </c>
      <c r="BS58" s="517">
        <f>Assumption!BS203</f>
        <v/>
      </c>
      <c r="BT58" s="517">
        <f>Assumption!BT203</f>
        <v/>
      </c>
      <c r="BU58" s="517">
        <f>Assumption!BU203</f>
        <v/>
      </c>
      <c r="BV58" s="517">
        <f>Assumption!BV203</f>
        <v/>
      </c>
      <c r="BW58" s="517">
        <f>Assumption!BW203</f>
        <v/>
      </c>
      <c r="BX58" s="517">
        <f>Assumption!BX203</f>
        <v/>
      </c>
      <c r="BY58" s="517">
        <f>Assumption!BY203</f>
        <v/>
      </c>
      <c r="BZ58" s="517">
        <f>Assumption!BZ203</f>
        <v/>
      </c>
      <c r="CA58" s="517">
        <f>Assumption!CA203</f>
        <v/>
      </c>
      <c r="CB58" s="517">
        <f>Assumption!CB203</f>
        <v/>
      </c>
      <c r="CC58" s="517">
        <f>Assumption!CC203</f>
        <v/>
      </c>
      <c r="CD58" s="517">
        <f>Assumption!CD203</f>
        <v/>
      </c>
      <c r="CE58" s="517">
        <f>Assumption!CE203</f>
        <v/>
      </c>
      <c r="CF58" s="517">
        <f>Assumption!CF203</f>
        <v/>
      </c>
      <c r="CG58" s="517">
        <f>Assumption!CG203</f>
        <v/>
      </c>
      <c r="CH58" s="517">
        <f>Assumption!CH203</f>
        <v/>
      </c>
      <c r="CI58" s="517">
        <f>Assumption!CI203</f>
        <v/>
      </c>
      <c r="CJ58" s="517">
        <f>Assumption!CJ203</f>
        <v/>
      </c>
      <c r="CK58" s="517">
        <f>Assumption!CK203</f>
        <v/>
      </c>
    </row>
    <row r="59">
      <c r="A59" s="74" t="inlineStr">
        <is>
          <t>Accounts payable</t>
        </is>
      </c>
      <c r="B59" s="145" t="n"/>
      <c r="C59" s="145" t="n"/>
      <c r="D59" s="145" t="n"/>
      <c r="E59" s="145" t="n"/>
      <c r="F59" s="145" t="n"/>
      <c r="G59" s="145" t="n"/>
      <c r="H59" s="145" t="n"/>
      <c r="I59" s="145" t="n"/>
      <c r="J59" s="145" t="n"/>
      <c r="K59" s="145" t="n"/>
      <c r="L59" s="145" t="n"/>
      <c r="M59" s="145" t="n"/>
      <c r="N59" s="509">
        <f>Reported!N139</f>
        <v/>
      </c>
      <c r="O59" s="509">
        <f>Reported!O139</f>
        <v/>
      </c>
      <c r="P59" s="509">
        <f>Reported!P139</f>
        <v/>
      </c>
      <c r="Q59" s="509">
        <f>Reported!Q139</f>
        <v/>
      </c>
      <c r="R59" s="509">
        <f>Reported!R139</f>
        <v/>
      </c>
      <c r="S59" s="509">
        <f>Reported!S139</f>
        <v/>
      </c>
      <c r="T59" s="509">
        <f>Reported!T139</f>
        <v/>
      </c>
      <c r="U59" s="509">
        <f>Reported!U139</f>
        <v/>
      </c>
      <c r="V59" s="509">
        <f>Reported!V139</f>
        <v/>
      </c>
      <c r="W59" s="509">
        <f>Reported!W139</f>
        <v/>
      </c>
      <c r="X59" s="509">
        <f>Reported!X139</f>
        <v/>
      </c>
      <c r="Y59" s="509">
        <f>Reported!Y139</f>
        <v/>
      </c>
      <c r="Z59" s="509">
        <f>Reported!Z139</f>
        <v/>
      </c>
      <c r="AA59" s="509">
        <f>Reported!AA139</f>
        <v/>
      </c>
      <c r="AB59" s="509">
        <f>Reported!AB139</f>
        <v/>
      </c>
      <c r="AC59" s="509">
        <f>Reported!AC139</f>
        <v/>
      </c>
      <c r="AD59" s="509">
        <f>Reported!AD139</f>
        <v/>
      </c>
      <c r="AE59" s="509">
        <f>Reported!AE139</f>
        <v/>
      </c>
      <c r="AF59" s="509">
        <f>Reported!AF139</f>
        <v/>
      </c>
      <c r="AG59" s="509">
        <f>Reported!AG139</f>
        <v/>
      </c>
      <c r="AH59" s="509">
        <f>Reported!AH139</f>
        <v/>
      </c>
      <c r="AI59" s="509">
        <f>Reported!AI139</f>
        <v/>
      </c>
      <c r="AJ59" s="509">
        <f>Reported!AJ139</f>
        <v/>
      </c>
      <c r="AK59" s="509">
        <f>Reported!AK139</f>
        <v/>
      </c>
      <c r="AL59" s="509">
        <f>Reported!AL139</f>
        <v/>
      </c>
      <c r="AM59" s="509">
        <f>Reported!AM139</f>
        <v/>
      </c>
      <c r="AN59" s="509">
        <f>Reported!AN139</f>
        <v/>
      </c>
      <c r="AO59" s="509">
        <f>Reported!AO139</f>
        <v/>
      </c>
      <c r="AP59" s="509">
        <f>Reported!AP139</f>
        <v/>
      </c>
      <c r="AQ59" s="509">
        <f>Reported!AQ139</f>
        <v/>
      </c>
      <c r="AR59" s="509">
        <f>Reported!AR139</f>
        <v/>
      </c>
      <c r="AS59" s="509">
        <f>Reported!AS139</f>
        <v/>
      </c>
      <c r="AT59" s="509">
        <f>Reported!AT139</f>
        <v/>
      </c>
      <c r="AU59" s="509">
        <f>Reported!AU139</f>
        <v/>
      </c>
      <c r="AV59" s="509">
        <f>Reported!AV139</f>
        <v/>
      </c>
      <c r="AW59" s="509">
        <f>Reported!AW139</f>
        <v/>
      </c>
      <c r="AX59" s="509">
        <f>Reported!AX139</f>
        <v/>
      </c>
      <c r="AY59" s="509">
        <f>Reported!AY139</f>
        <v/>
      </c>
      <c r="AZ59" s="509">
        <f>Reported!AZ139</f>
        <v/>
      </c>
      <c r="BA59" s="509">
        <f>Reported!BA139</f>
        <v/>
      </c>
      <c r="BB59" s="509">
        <f>Reported!BB139</f>
        <v/>
      </c>
      <c r="BC59" s="509">
        <f>Reported!BC139</f>
        <v/>
      </c>
      <c r="BD59" s="509">
        <f>Reported!BD139</f>
        <v/>
      </c>
      <c r="BE59" s="509">
        <f>Reported!BE139</f>
        <v/>
      </c>
      <c r="BF59" s="509">
        <f>Reported!BF139</f>
        <v/>
      </c>
      <c r="BG59" s="509">
        <f>Reported!BG139</f>
        <v/>
      </c>
      <c r="BH59" s="509">
        <f>Reported!BH139</f>
        <v/>
      </c>
      <c r="BI59" s="509">
        <f>Reported!BI139</f>
        <v/>
      </c>
      <c r="BJ59" s="509">
        <f>Reported!BJ139</f>
        <v/>
      </c>
      <c r="BK59" s="509">
        <f>Reported!BK139</f>
        <v/>
      </c>
      <c r="BL59" s="509">
        <f>Reported!BL139</f>
        <v/>
      </c>
      <c r="BM59" s="509">
        <f>Reported!BM139</f>
        <v/>
      </c>
      <c r="BN59" s="509">
        <f>Reported!BN139</f>
        <v/>
      </c>
      <c r="BO59" s="509">
        <f>Reported!BO139</f>
        <v/>
      </c>
      <c r="BP59" s="509">
        <f>Reported!BP139</f>
        <v/>
      </c>
      <c r="BQ59" s="509">
        <f>Reported!BQ139</f>
        <v/>
      </c>
      <c r="BR59" s="509">
        <f>Reported!BR139</f>
        <v/>
      </c>
      <c r="BS59" s="517">
        <f>Assumption!BS164</f>
        <v/>
      </c>
      <c r="BT59" s="517">
        <f>Assumption!BT164</f>
        <v/>
      </c>
      <c r="BU59" s="517">
        <f>Assumption!BU164</f>
        <v/>
      </c>
      <c r="BV59" s="517">
        <f>Assumption!BV164</f>
        <v/>
      </c>
      <c r="BW59" s="517">
        <f>Assumption!BW164</f>
        <v/>
      </c>
      <c r="BX59" s="517">
        <f>Assumption!BX164</f>
        <v/>
      </c>
      <c r="BY59" s="517">
        <f>Assumption!BY164</f>
        <v/>
      </c>
      <c r="BZ59" s="517">
        <f>Assumption!BZ164</f>
        <v/>
      </c>
      <c r="CA59" s="517">
        <f>Assumption!CA164</f>
        <v/>
      </c>
      <c r="CB59" s="517">
        <f>Assumption!CB164</f>
        <v/>
      </c>
      <c r="CC59" s="517">
        <f>Assumption!CC164</f>
        <v/>
      </c>
      <c r="CD59" s="517">
        <f>Assumption!CD164</f>
        <v/>
      </c>
      <c r="CE59" s="517">
        <f>Assumption!CE164</f>
        <v/>
      </c>
      <c r="CF59" s="517">
        <f>Assumption!CF164</f>
        <v/>
      </c>
      <c r="CG59" s="517">
        <f>Assumption!CG164</f>
        <v/>
      </c>
      <c r="CH59" s="517">
        <f>Assumption!CH164</f>
        <v/>
      </c>
      <c r="CI59" s="517">
        <f>Assumption!CI164</f>
        <v/>
      </c>
      <c r="CJ59" s="517">
        <f>Assumption!CJ164</f>
        <v/>
      </c>
      <c r="CK59" s="517">
        <f>Assumption!CK164</f>
        <v/>
      </c>
    </row>
    <row r="60">
      <c r="A60" s="74" t="inlineStr">
        <is>
          <t>Accrued expenses and other liabilities</t>
        </is>
      </c>
      <c r="B60" s="145" t="n"/>
      <c r="C60" s="145" t="n"/>
      <c r="D60" s="145" t="n"/>
      <c r="E60" s="145" t="n"/>
      <c r="F60" s="145" t="n"/>
      <c r="G60" s="145" t="n"/>
      <c r="H60" s="145" t="n"/>
      <c r="I60" s="145" t="n"/>
      <c r="J60" s="145" t="n"/>
      <c r="K60" s="145" t="n"/>
      <c r="L60" s="145" t="n"/>
      <c r="M60" s="145" t="n"/>
      <c r="N60" s="509">
        <f>Reported!N140</f>
        <v/>
      </c>
      <c r="O60" s="509">
        <f>Reported!O140</f>
        <v/>
      </c>
      <c r="P60" s="509">
        <f>Reported!P140</f>
        <v/>
      </c>
      <c r="Q60" s="509">
        <f>Reported!Q140</f>
        <v/>
      </c>
      <c r="R60" s="509">
        <f>Reported!R140</f>
        <v/>
      </c>
      <c r="S60" s="509">
        <f>Reported!S140</f>
        <v/>
      </c>
      <c r="T60" s="509">
        <f>Reported!T140</f>
        <v/>
      </c>
      <c r="U60" s="509">
        <f>Reported!U140</f>
        <v/>
      </c>
      <c r="V60" s="509">
        <f>Reported!V140</f>
        <v/>
      </c>
      <c r="W60" s="509">
        <f>Reported!W140</f>
        <v/>
      </c>
      <c r="X60" s="509">
        <f>Reported!X140</f>
        <v/>
      </c>
      <c r="Y60" s="509">
        <f>Reported!Y140</f>
        <v/>
      </c>
      <c r="Z60" s="509">
        <f>Reported!Z140</f>
        <v/>
      </c>
      <c r="AA60" s="509">
        <f>Reported!AA140</f>
        <v/>
      </c>
      <c r="AB60" s="509">
        <f>Reported!AB140</f>
        <v/>
      </c>
      <c r="AC60" s="509">
        <f>Reported!AC140</f>
        <v/>
      </c>
      <c r="AD60" s="509">
        <f>Reported!AD140</f>
        <v/>
      </c>
      <c r="AE60" s="509">
        <f>Reported!AE140</f>
        <v/>
      </c>
      <c r="AF60" s="509">
        <f>Reported!AF140</f>
        <v/>
      </c>
      <c r="AG60" s="509">
        <f>Reported!AG140</f>
        <v/>
      </c>
      <c r="AH60" s="509">
        <f>Reported!AH140</f>
        <v/>
      </c>
      <c r="AI60" s="509">
        <f>Reported!AI140</f>
        <v/>
      </c>
      <c r="AJ60" s="509">
        <f>Reported!AJ140</f>
        <v/>
      </c>
      <c r="AK60" s="509">
        <f>Reported!AK140</f>
        <v/>
      </c>
      <c r="AL60" s="509">
        <f>Reported!AL140</f>
        <v/>
      </c>
      <c r="AM60" s="509">
        <f>Reported!AM140</f>
        <v/>
      </c>
      <c r="AN60" s="509">
        <f>Reported!AN140</f>
        <v/>
      </c>
      <c r="AO60" s="509">
        <f>Reported!AO140</f>
        <v/>
      </c>
      <c r="AP60" s="509">
        <f>Reported!AP140</f>
        <v/>
      </c>
      <c r="AQ60" s="509">
        <f>Reported!AQ140</f>
        <v/>
      </c>
      <c r="AR60" s="509">
        <f>Reported!AR140</f>
        <v/>
      </c>
      <c r="AS60" s="509">
        <f>Reported!AS140</f>
        <v/>
      </c>
      <c r="AT60" s="509">
        <f>Reported!AT140</f>
        <v/>
      </c>
      <c r="AU60" s="509">
        <f>Reported!AU140</f>
        <v/>
      </c>
      <c r="AV60" s="509">
        <f>Reported!AV140</f>
        <v/>
      </c>
      <c r="AW60" s="509">
        <f>Reported!AW140</f>
        <v/>
      </c>
      <c r="AX60" s="509">
        <f>Reported!AX140</f>
        <v/>
      </c>
      <c r="AY60" s="509">
        <f>Reported!AY140</f>
        <v/>
      </c>
      <c r="AZ60" s="509">
        <f>Reported!AZ140</f>
        <v/>
      </c>
      <c r="BA60" s="509">
        <f>Reported!BA140</f>
        <v/>
      </c>
      <c r="BB60" s="509">
        <f>Reported!BB140</f>
        <v/>
      </c>
      <c r="BC60" s="509">
        <f>Reported!BC140</f>
        <v/>
      </c>
      <c r="BD60" s="509">
        <f>Reported!BD140</f>
        <v/>
      </c>
      <c r="BE60" s="509">
        <f>Reported!BE140</f>
        <v/>
      </c>
      <c r="BF60" s="509">
        <f>Reported!BF140</f>
        <v/>
      </c>
      <c r="BG60" s="509">
        <f>Reported!BG140</f>
        <v/>
      </c>
      <c r="BH60" s="509">
        <f>Reported!BH140</f>
        <v/>
      </c>
      <c r="BI60" s="509">
        <f>Reported!BI140</f>
        <v/>
      </c>
      <c r="BJ60" s="509">
        <f>Reported!BJ140</f>
        <v/>
      </c>
      <c r="BK60" s="509">
        <f>Reported!BK140</f>
        <v/>
      </c>
      <c r="BL60" s="509">
        <f>Reported!BL140</f>
        <v/>
      </c>
      <c r="BM60" s="509">
        <f>Reported!BM140</f>
        <v/>
      </c>
      <c r="BN60" s="509">
        <f>Reported!BN140</f>
        <v/>
      </c>
      <c r="BO60" s="509">
        <f>Reported!BO140</f>
        <v/>
      </c>
      <c r="BP60" s="509">
        <f>Reported!BP140</f>
        <v/>
      </c>
      <c r="BQ60" s="509">
        <f>Reported!BQ140</f>
        <v/>
      </c>
      <c r="BR60" s="509">
        <f>Reported!BR140</f>
        <v/>
      </c>
      <c r="BS60" s="517">
        <f>Assumption!BS165</f>
        <v/>
      </c>
      <c r="BT60" s="517">
        <f>Assumption!BT165</f>
        <v/>
      </c>
      <c r="BU60" s="517">
        <f>Assumption!BU165</f>
        <v/>
      </c>
      <c r="BV60" s="517">
        <f>Assumption!BV165</f>
        <v/>
      </c>
      <c r="BW60" s="517">
        <f>Assumption!BW165</f>
        <v/>
      </c>
      <c r="BX60" s="517">
        <f>Assumption!BX165</f>
        <v/>
      </c>
      <c r="BY60" s="517">
        <f>Assumption!BY165</f>
        <v/>
      </c>
      <c r="BZ60" s="517">
        <f>Assumption!BZ165</f>
        <v/>
      </c>
      <c r="CA60" s="517">
        <f>Assumption!CA165</f>
        <v/>
      </c>
      <c r="CB60" s="517">
        <f>Assumption!CB165</f>
        <v/>
      </c>
      <c r="CC60" s="517">
        <f>Assumption!CC165</f>
        <v/>
      </c>
      <c r="CD60" s="517">
        <f>Assumption!CD165</f>
        <v/>
      </c>
      <c r="CE60" s="517">
        <f>Assumption!CE165</f>
        <v/>
      </c>
      <c r="CF60" s="517">
        <f>Assumption!CF165</f>
        <v/>
      </c>
      <c r="CG60" s="517">
        <f>Assumption!CG165</f>
        <v/>
      </c>
      <c r="CH60" s="517">
        <f>Assumption!CH165</f>
        <v/>
      </c>
      <c r="CI60" s="517">
        <f>Assumption!CI165</f>
        <v/>
      </c>
      <c r="CJ60" s="517">
        <f>Assumption!CJ165</f>
        <v/>
      </c>
      <c r="CK60" s="517">
        <f>Assumption!CK165</f>
        <v/>
      </c>
    </row>
    <row r="61">
      <c r="A61" s="74" t="inlineStr">
        <is>
          <t>Income taxes payable</t>
        </is>
      </c>
      <c r="B61" s="145" t="n"/>
      <c r="C61" s="145" t="n"/>
      <c r="D61" s="145" t="n"/>
      <c r="E61" s="145" t="n"/>
      <c r="F61" s="145" t="n"/>
      <c r="G61" s="145" t="n"/>
      <c r="H61" s="145" t="n"/>
      <c r="I61" s="145" t="n"/>
      <c r="J61" s="145" t="n"/>
      <c r="K61" s="145" t="n"/>
      <c r="L61" s="145" t="n"/>
      <c r="M61" s="145" t="n"/>
      <c r="N61" s="509">
        <f>Reported!N141</f>
        <v/>
      </c>
      <c r="O61" s="509">
        <f>Reported!O141</f>
        <v/>
      </c>
      <c r="P61" s="509">
        <f>Reported!P141</f>
        <v/>
      </c>
      <c r="Q61" s="509">
        <f>Reported!Q141</f>
        <v/>
      </c>
      <c r="R61" s="509">
        <f>Reported!R141</f>
        <v/>
      </c>
      <c r="S61" s="509">
        <f>Reported!S141</f>
        <v/>
      </c>
      <c r="T61" s="509">
        <f>Reported!T141</f>
        <v/>
      </c>
      <c r="U61" s="509">
        <f>Reported!U141</f>
        <v/>
      </c>
      <c r="V61" s="509">
        <f>Reported!V141</f>
        <v/>
      </c>
      <c r="W61" s="509">
        <f>Reported!W141</f>
        <v/>
      </c>
      <c r="X61" s="509">
        <f>Reported!X141</f>
        <v/>
      </c>
      <c r="Y61" s="509">
        <f>Reported!Y141</f>
        <v/>
      </c>
      <c r="Z61" s="509">
        <f>Reported!Z141</f>
        <v/>
      </c>
      <c r="AA61" s="509">
        <f>Reported!AA141</f>
        <v/>
      </c>
      <c r="AB61" s="509">
        <f>Reported!AB141</f>
        <v/>
      </c>
      <c r="AC61" s="509">
        <f>Reported!AC141</f>
        <v/>
      </c>
      <c r="AD61" s="509">
        <f>Reported!AD141</f>
        <v/>
      </c>
      <c r="AE61" s="509">
        <f>Reported!AE141</f>
        <v/>
      </c>
      <c r="AF61" s="509">
        <f>Reported!AF141</f>
        <v/>
      </c>
      <c r="AG61" s="509">
        <f>Reported!AG141</f>
        <v/>
      </c>
      <c r="AH61" s="509">
        <f>Reported!AH141</f>
        <v/>
      </c>
      <c r="AI61" s="509">
        <f>Reported!AI141</f>
        <v/>
      </c>
      <c r="AJ61" s="509">
        <f>Reported!AJ141</f>
        <v/>
      </c>
      <c r="AK61" s="509">
        <f>Reported!AK141</f>
        <v/>
      </c>
      <c r="AL61" s="509">
        <f>Reported!AL141</f>
        <v/>
      </c>
      <c r="AM61" s="509">
        <f>Reported!AM141</f>
        <v/>
      </c>
      <c r="AN61" s="509">
        <f>Reported!AN141</f>
        <v/>
      </c>
      <c r="AO61" s="509">
        <f>Reported!AO141</f>
        <v/>
      </c>
      <c r="AP61" s="509">
        <f>Reported!AP141</f>
        <v/>
      </c>
      <c r="AQ61" s="509">
        <f>Reported!AQ141</f>
        <v/>
      </c>
      <c r="AR61" s="509">
        <f>Reported!AR141</f>
        <v/>
      </c>
      <c r="AS61" s="509">
        <f>Reported!AS141</f>
        <v/>
      </c>
      <c r="AT61" s="509">
        <f>Reported!AT141</f>
        <v/>
      </c>
      <c r="AU61" s="509">
        <f>Reported!AU141</f>
        <v/>
      </c>
      <c r="AV61" s="509">
        <f>Reported!AV141</f>
        <v/>
      </c>
      <c r="AW61" s="509">
        <f>Reported!AW141</f>
        <v/>
      </c>
      <c r="AX61" s="509">
        <f>Reported!AX141</f>
        <v/>
      </c>
      <c r="AY61" s="509">
        <f>Reported!AY141</f>
        <v/>
      </c>
      <c r="AZ61" s="509">
        <f>Reported!AZ141</f>
        <v/>
      </c>
      <c r="BA61" s="509">
        <f>Reported!BA141</f>
        <v/>
      </c>
      <c r="BB61" s="509">
        <f>Reported!BB141</f>
        <v/>
      </c>
      <c r="BC61" s="509">
        <f>Reported!BC141</f>
        <v/>
      </c>
      <c r="BD61" s="509">
        <f>Reported!BD141</f>
        <v/>
      </c>
      <c r="BE61" s="509">
        <f>Reported!BE141</f>
        <v/>
      </c>
      <c r="BF61" s="509">
        <f>Reported!BF141</f>
        <v/>
      </c>
      <c r="BG61" s="509">
        <f>Reported!BG141</f>
        <v/>
      </c>
      <c r="BH61" s="509">
        <f>Reported!BH141</f>
        <v/>
      </c>
      <c r="BI61" s="509">
        <f>Reported!BI141</f>
        <v/>
      </c>
      <c r="BJ61" s="509">
        <f>Reported!BJ141</f>
        <v/>
      </c>
      <c r="BK61" s="509">
        <f>Reported!BK141</f>
        <v/>
      </c>
      <c r="BL61" s="509">
        <f>Reported!BL141</f>
        <v/>
      </c>
      <c r="BM61" s="509">
        <f>Reported!BM141</f>
        <v/>
      </c>
      <c r="BN61" s="509">
        <f>Reported!BN141</f>
        <v/>
      </c>
      <c r="BO61" s="509">
        <f>Reported!BO141</f>
        <v/>
      </c>
      <c r="BP61" s="509">
        <f>Reported!BP141</f>
        <v/>
      </c>
      <c r="BQ61" s="509">
        <f>Reported!BQ141</f>
        <v/>
      </c>
      <c r="BR61" s="509">
        <f>Reported!BR141</f>
        <v/>
      </c>
      <c r="BS61" s="517">
        <f>Assumption!BS166</f>
        <v/>
      </c>
      <c r="BT61" s="517">
        <f>Assumption!BT166</f>
        <v/>
      </c>
      <c r="BU61" s="517">
        <f>Assumption!BU166</f>
        <v/>
      </c>
      <c r="BV61" s="517">
        <f>Assumption!BV166</f>
        <v/>
      </c>
      <c r="BW61" s="517">
        <f>Assumption!BW166</f>
        <v/>
      </c>
      <c r="BX61" s="517">
        <f>Assumption!BX166</f>
        <v/>
      </c>
      <c r="BY61" s="517">
        <f>Assumption!BY166</f>
        <v/>
      </c>
      <c r="BZ61" s="517">
        <f>Assumption!BZ166</f>
        <v/>
      </c>
      <c r="CA61" s="517">
        <f>Assumption!CA166</f>
        <v/>
      </c>
      <c r="CB61" s="517">
        <f>Assumption!CB166</f>
        <v/>
      </c>
      <c r="CC61" s="517">
        <f>Assumption!CC166</f>
        <v/>
      </c>
      <c r="CD61" s="517">
        <f>Assumption!CD166</f>
        <v/>
      </c>
      <c r="CE61" s="517">
        <f>Assumption!CE166</f>
        <v/>
      </c>
      <c r="CF61" s="517">
        <f>Assumption!CF166</f>
        <v/>
      </c>
      <c r="CG61" s="517">
        <f>Assumption!CG166</f>
        <v/>
      </c>
      <c r="CH61" s="517">
        <f>Assumption!CH166</f>
        <v/>
      </c>
      <c r="CI61" s="517">
        <f>Assumption!CI166</f>
        <v/>
      </c>
      <c r="CJ61" s="517">
        <f>Assumption!CJ166</f>
        <v/>
      </c>
      <c r="CK61" s="517">
        <f>Assumption!CK166</f>
        <v/>
      </c>
    </row>
    <row r="62">
      <c r="A62" s="74" t="inlineStr">
        <is>
          <t>Other current liabilities</t>
        </is>
      </c>
      <c r="B62" s="145" t="n"/>
      <c r="C62" s="145" t="n"/>
      <c r="D62" s="145" t="n"/>
      <c r="E62" s="145" t="n"/>
      <c r="F62" s="145" t="n"/>
      <c r="G62" s="145" t="n"/>
      <c r="H62" s="145" t="n"/>
      <c r="I62" s="145" t="n"/>
      <c r="J62" s="145" t="n"/>
      <c r="K62" s="145" t="n"/>
      <c r="L62" s="145" t="n"/>
      <c r="M62" s="145" t="n"/>
      <c r="N62" s="509">
        <f>Reported!N142</f>
        <v/>
      </c>
      <c r="O62" s="509">
        <f>Reported!O142</f>
        <v/>
      </c>
      <c r="P62" s="509">
        <f>Reported!P142</f>
        <v/>
      </c>
      <c r="Q62" s="509">
        <f>Reported!Q142</f>
        <v/>
      </c>
      <c r="R62" s="509">
        <f>Reported!R142</f>
        <v/>
      </c>
      <c r="S62" s="509">
        <f>Reported!S142</f>
        <v/>
      </c>
      <c r="T62" s="509">
        <f>Reported!T142</f>
        <v/>
      </c>
      <c r="U62" s="509">
        <f>Reported!U142</f>
        <v/>
      </c>
      <c r="V62" s="509">
        <f>Reported!V142</f>
        <v/>
      </c>
      <c r="W62" s="509">
        <f>Reported!W142</f>
        <v/>
      </c>
      <c r="X62" s="509">
        <f>Reported!X142</f>
        <v/>
      </c>
      <c r="Y62" s="509">
        <f>Reported!Y142</f>
        <v/>
      </c>
      <c r="Z62" s="509">
        <f>Reported!Z142</f>
        <v/>
      </c>
      <c r="AA62" s="509">
        <f>Reported!AA142</f>
        <v/>
      </c>
      <c r="AB62" s="509">
        <f>Reported!AB142</f>
        <v/>
      </c>
      <c r="AC62" s="509">
        <f>Reported!AC142</f>
        <v/>
      </c>
      <c r="AD62" s="509">
        <f>Reported!AD142</f>
        <v/>
      </c>
      <c r="AE62" s="509">
        <f>Reported!AE142</f>
        <v/>
      </c>
      <c r="AF62" s="509">
        <f>Reported!AF142</f>
        <v/>
      </c>
      <c r="AG62" s="509">
        <f>Reported!AG142</f>
        <v/>
      </c>
      <c r="AH62" s="509">
        <f>Reported!AH142</f>
        <v/>
      </c>
      <c r="AI62" s="509">
        <f>Reported!AI142</f>
        <v/>
      </c>
      <c r="AJ62" s="509">
        <f>Reported!AJ142</f>
        <v/>
      </c>
      <c r="AK62" s="509">
        <f>Reported!AK142</f>
        <v/>
      </c>
      <c r="AL62" s="509">
        <f>Reported!AL142</f>
        <v/>
      </c>
      <c r="AM62" s="509">
        <f>Reported!AM142</f>
        <v/>
      </c>
      <c r="AN62" s="509">
        <f>Reported!AN142</f>
        <v/>
      </c>
      <c r="AO62" s="509">
        <f>Reported!AO142</f>
        <v/>
      </c>
      <c r="AP62" s="509">
        <f>Reported!AP142</f>
        <v/>
      </c>
      <c r="AQ62" s="509">
        <f>Reported!AQ142</f>
        <v/>
      </c>
      <c r="AR62" s="509">
        <f>Reported!AR142</f>
        <v/>
      </c>
      <c r="AS62" s="509">
        <f>Reported!AS142</f>
        <v/>
      </c>
      <c r="AT62" s="509">
        <f>Reported!AT142</f>
        <v/>
      </c>
      <c r="AU62" s="509">
        <f>Reported!AU142</f>
        <v/>
      </c>
      <c r="AV62" s="509">
        <f>Reported!AV142</f>
        <v/>
      </c>
      <c r="AW62" s="509">
        <f>Reported!AW142</f>
        <v/>
      </c>
      <c r="AX62" s="509">
        <f>Reported!AX142</f>
        <v/>
      </c>
      <c r="AY62" s="509">
        <f>Reported!AY142</f>
        <v/>
      </c>
      <c r="AZ62" s="509">
        <f>Reported!AZ142</f>
        <v/>
      </c>
      <c r="BA62" s="509">
        <f>Reported!BA142</f>
        <v/>
      </c>
      <c r="BB62" s="509">
        <f>Reported!BB142</f>
        <v/>
      </c>
      <c r="BC62" s="509">
        <f>Reported!BC142</f>
        <v/>
      </c>
      <c r="BD62" s="509">
        <f>Reported!BD142</f>
        <v/>
      </c>
      <c r="BE62" s="509">
        <f>Reported!BE142</f>
        <v/>
      </c>
      <c r="BF62" s="509">
        <f>Reported!BF142</f>
        <v/>
      </c>
      <c r="BG62" s="509">
        <f>Reported!BG142</f>
        <v/>
      </c>
      <c r="BH62" s="509">
        <f>Reported!BH142</f>
        <v/>
      </c>
      <c r="BI62" s="509">
        <f>Reported!BI142</f>
        <v/>
      </c>
      <c r="BJ62" s="509">
        <f>Reported!BJ142</f>
        <v/>
      </c>
      <c r="BK62" s="509">
        <f>Reported!BK142</f>
        <v/>
      </c>
      <c r="BL62" s="509">
        <f>Reported!BL142</f>
        <v/>
      </c>
      <c r="BM62" s="509">
        <f>Reported!BM142</f>
        <v/>
      </c>
      <c r="BN62" s="509">
        <f>Reported!BN142</f>
        <v/>
      </c>
      <c r="BO62" s="509">
        <f>Reported!BO142</f>
        <v/>
      </c>
      <c r="BP62" s="509">
        <f>Reported!BP142</f>
        <v/>
      </c>
      <c r="BQ62" s="509">
        <f>Reported!BQ142</f>
        <v/>
      </c>
      <c r="BR62" s="509">
        <f>Reported!BR142</f>
        <v/>
      </c>
      <c r="BS62" s="517">
        <f>Assumption!BS167</f>
        <v/>
      </c>
      <c r="BT62" s="517">
        <f>Assumption!BT167</f>
        <v/>
      </c>
      <c r="BU62" s="517">
        <f>Assumption!BU167</f>
        <v/>
      </c>
      <c r="BV62" s="517">
        <f>Assumption!BV167</f>
        <v/>
      </c>
      <c r="BW62" s="517">
        <f>Assumption!BW167</f>
        <v/>
      </c>
      <c r="BX62" s="517">
        <f>Assumption!BX167</f>
        <v/>
      </c>
      <c r="BY62" s="517">
        <f>Assumption!BY167</f>
        <v/>
      </c>
      <c r="BZ62" s="517">
        <f>Assumption!BZ167</f>
        <v/>
      </c>
      <c r="CA62" s="517">
        <f>Assumption!CA167</f>
        <v/>
      </c>
      <c r="CB62" s="517">
        <f>Assumption!CB167</f>
        <v/>
      </c>
      <c r="CC62" s="517">
        <f>Assumption!CC167</f>
        <v/>
      </c>
      <c r="CD62" s="517">
        <f>Assumption!CD167</f>
        <v/>
      </c>
      <c r="CE62" s="517">
        <f>Assumption!CE167</f>
        <v/>
      </c>
      <c r="CF62" s="517">
        <f>Assumption!CF167</f>
        <v/>
      </c>
      <c r="CG62" s="517">
        <f>Assumption!CG167</f>
        <v/>
      </c>
      <c r="CH62" s="517">
        <f>Assumption!CH167</f>
        <v/>
      </c>
      <c r="CI62" s="517">
        <f>Assumption!CI167</f>
        <v/>
      </c>
      <c r="CJ62" s="517">
        <f>Assumption!CJ167</f>
        <v/>
      </c>
      <c r="CK62" s="517">
        <f>Assumption!CK167</f>
        <v/>
      </c>
    </row>
    <row r="63">
      <c r="A63" s="22" t="inlineStr">
        <is>
          <t>Total current liabilities</t>
        </is>
      </c>
      <c r="B63" s="133" t="n"/>
      <c r="C63" s="133" t="n"/>
      <c r="D63" s="133" t="n"/>
      <c r="E63" s="133" t="n"/>
      <c r="F63" s="133" t="n"/>
      <c r="G63" s="133" t="n"/>
      <c r="H63" s="133" t="n"/>
      <c r="I63" s="133" t="n"/>
      <c r="J63" s="133" t="n"/>
      <c r="K63" s="133" t="n"/>
      <c r="L63" s="133" t="n"/>
      <c r="M63" s="133" t="n"/>
      <c r="N63" s="671">
        <f>Reported!N143</f>
        <v/>
      </c>
      <c r="O63" s="671">
        <f>Reported!O143</f>
        <v/>
      </c>
      <c r="P63" s="671">
        <f>Reported!P143</f>
        <v/>
      </c>
      <c r="Q63" s="671">
        <f>Reported!Q143</f>
        <v/>
      </c>
      <c r="R63" s="671">
        <f>Reported!R143</f>
        <v/>
      </c>
      <c r="S63" s="671">
        <f>Reported!S143</f>
        <v/>
      </c>
      <c r="T63" s="671">
        <f>Reported!T143</f>
        <v/>
      </c>
      <c r="U63" s="671">
        <f>Reported!U143</f>
        <v/>
      </c>
      <c r="V63" s="671">
        <f>Reported!V143</f>
        <v/>
      </c>
      <c r="W63" s="671">
        <f>Reported!W143</f>
        <v/>
      </c>
      <c r="X63" s="671">
        <f>Reported!X143</f>
        <v/>
      </c>
      <c r="Y63" s="671">
        <f>Reported!Y143</f>
        <v/>
      </c>
      <c r="Z63" s="671">
        <f>Reported!Z143</f>
        <v/>
      </c>
      <c r="AA63" s="671">
        <f>Reported!AA143</f>
        <v/>
      </c>
      <c r="AB63" s="671">
        <f>Reported!AB143</f>
        <v/>
      </c>
      <c r="AC63" s="671">
        <f>Reported!AC143</f>
        <v/>
      </c>
      <c r="AD63" s="671">
        <f>Reported!AD143</f>
        <v/>
      </c>
      <c r="AE63" s="671">
        <f>Reported!AE143</f>
        <v/>
      </c>
      <c r="AF63" s="671">
        <f>Reported!AF143</f>
        <v/>
      </c>
      <c r="AG63" s="671">
        <f>Reported!AG143</f>
        <v/>
      </c>
      <c r="AH63" s="671">
        <f>Reported!AH143</f>
        <v/>
      </c>
      <c r="AI63" s="671">
        <f>Reported!AI143</f>
        <v/>
      </c>
      <c r="AJ63" s="671">
        <f>Reported!AJ143</f>
        <v/>
      </c>
      <c r="AK63" s="671">
        <f>Reported!AK143</f>
        <v/>
      </c>
      <c r="AL63" s="671">
        <f>Reported!AL143</f>
        <v/>
      </c>
      <c r="AM63" s="671">
        <f>Reported!AM143</f>
        <v/>
      </c>
      <c r="AN63" s="671">
        <f>Reported!AN143</f>
        <v/>
      </c>
      <c r="AO63" s="671">
        <f>Reported!AO143</f>
        <v/>
      </c>
      <c r="AP63" s="671">
        <f>Reported!AP143</f>
        <v/>
      </c>
      <c r="AQ63" s="671">
        <f>Reported!AQ143</f>
        <v/>
      </c>
      <c r="AR63" s="671">
        <f>Reported!AR143</f>
        <v/>
      </c>
      <c r="AS63" s="671">
        <f>Reported!AS143</f>
        <v/>
      </c>
      <c r="AT63" s="671">
        <f>Reported!AT143</f>
        <v/>
      </c>
      <c r="AU63" s="671">
        <f>Reported!AU143</f>
        <v/>
      </c>
      <c r="AV63" s="671">
        <f>Reported!AV143</f>
        <v/>
      </c>
      <c r="AW63" s="671">
        <f>Reported!AW143</f>
        <v/>
      </c>
      <c r="AX63" s="671">
        <f>Reported!AX143</f>
        <v/>
      </c>
      <c r="AY63" s="671">
        <f>Reported!AY143</f>
        <v/>
      </c>
      <c r="AZ63" s="671">
        <f>Reported!AZ143</f>
        <v/>
      </c>
      <c r="BA63" s="671">
        <f>Reported!BA143</f>
        <v/>
      </c>
      <c r="BB63" s="671">
        <f>Reported!BB143</f>
        <v/>
      </c>
      <c r="BC63" s="671">
        <f>Reported!BC143</f>
        <v/>
      </c>
      <c r="BD63" s="671">
        <f>Reported!BD143</f>
        <v/>
      </c>
      <c r="BE63" s="671">
        <f>Reported!BE143</f>
        <v/>
      </c>
      <c r="BF63" s="671">
        <f>Reported!BF143</f>
        <v/>
      </c>
      <c r="BG63" s="671">
        <f>Reported!BG143</f>
        <v/>
      </c>
      <c r="BH63" s="671">
        <f>Reported!BH143</f>
        <v/>
      </c>
      <c r="BI63" s="671">
        <f>Reported!BI143</f>
        <v/>
      </c>
      <c r="BJ63" s="671">
        <f>Reported!BJ143</f>
        <v/>
      </c>
      <c r="BK63" s="671">
        <f>Reported!BK143</f>
        <v/>
      </c>
      <c r="BL63" s="671">
        <f>Reported!BL143</f>
        <v/>
      </c>
      <c r="BM63" s="671">
        <f>Reported!BM143</f>
        <v/>
      </c>
      <c r="BN63" s="671">
        <f>Reported!BN143</f>
        <v/>
      </c>
      <c r="BO63" s="671">
        <f>Reported!BO143</f>
        <v/>
      </c>
      <c r="BP63" s="671">
        <f>Reported!BP143</f>
        <v/>
      </c>
      <c r="BQ63" s="671">
        <f>Reported!BQ143</f>
        <v/>
      </c>
      <c r="BR63" s="671">
        <f>Reported!BR143</f>
        <v/>
      </c>
      <c r="BS63" s="519">
        <f>SUM(BS58:BS62)</f>
        <v/>
      </c>
      <c r="BT63" s="519">
        <f>SUM(BT58:BT62)</f>
        <v/>
      </c>
      <c r="BU63" s="519">
        <f>SUM(BU58:BU62)</f>
        <v/>
      </c>
      <c r="BV63" s="519">
        <f>SUM(BV58:BV62)</f>
        <v/>
      </c>
      <c r="BW63" s="519">
        <f>SUM(BW58:BW62)</f>
        <v/>
      </c>
      <c r="BX63" s="519">
        <f>SUM(BX58:BX62)</f>
        <v/>
      </c>
      <c r="BY63" s="519">
        <f>SUM(BY58:BY62)</f>
        <v/>
      </c>
      <c r="BZ63" s="519">
        <f>SUM(BZ58:BZ62)</f>
        <v/>
      </c>
      <c r="CA63" s="519">
        <f>SUM(CA58:CA62)</f>
        <v/>
      </c>
      <c r="CB63" s="519">
        <f>SUM(CB58:CB62)</f>
        <v/>
      </c>
      <c r="CC63" s="519">
        <f>SUM(CC58:CC62)</f>
        <v/>
      </c>
      <c r="CD63" s="519">
        <f>SUM(CD58:CD62)</f>
        <v/>
      </c>
      <c r="CE63" s="519">
        <f>SUM(CE58:CE62)</f>
        <v/>
      </c>
      <c r="CF63" s="519">
        <f>SUM(CF58:CF62)</f>
        <v/>
      </c>
      <c r="CG63" s="519">
        <f>SUM(CG58:CG62)</f>
        <v/>
      </c>
      <c r="CH63" s="519">
        <f>SUM(CH58:CH62)</f>
        <v/>
      </c>
      <c r="CI63" s="519">
        <f>SUM(CI58:CI62)</f>
        <v/>
      </c>
      <c r="CJ63" s="519">
        <f>SUM(CJ58:CJ62)</f>
        <v/>
      </c>
      <c r="CK63" s="519">
        <f>SUM(CK58:CK62)</f>
        <v/>
      </c>
    </row>
    <row r="64">
      <c r="A64" s="74" t="inlineStr">
        <is>
          <t>Deferred income taxes and other non-current liabilities</t>
        </is>
      </c>
      <c r="B64" s="145" t="n"/>
      <c r="C64" s="145" t="n"/>
      <c r="D64" s="145" t="n"/>
      <c r="E64" s="145" t="n"/>
      <c r="F64" s="145" t="n"/>
      <c r="G64" s="145" t="n"/>
      <c r="H64" s="145" t="n"/>
      <c r="I64" s="145" t="n"/>
      <c r="J64" s="145" t="n"/>
      <c r="K64" s="145" t="n"/>
      <c r="L64" s="145" t="n"/>
      <c r="M64" s="145" t="n"/>
      <c r="N64" s="509">
        <f>Reported!N144</f>
        <v/>
      </c>
      <c r="O64" s="509">
        <f>Reported!O144</f>
        <v/>
      </c>
      <c r="P64" s="509">
        <f>Reported!P144</f>
        <v/>
      </c>
      <c r="Q64" s="509">
        <f>Reported!Q144</f>
        <v/>
      </c>
      <c r="R64" s="509">
        <f>Reported!R144</f>
        <v/>
      </c>
      <c r="S64" s="509">
        <f>Reported!S144</f>
        <v/>
      </c>
      <c r="T64" s="509">
        <f>Reported!T144</f>
        <v/>
      </c>
      <c r="U64" s="509">
        <f>Reported!U144</f>
        <v/>
      </c>
      <c r="V64" s="509">
        <f>Reported!V144</f>
        <v/>
      </c>
      <c r="W64" s="509">
        <f>Reported!W144</f>
        <v/>
      </c>
      <c r="X64" s="509">
        <f>Reported!X144</f>
        <v/>
      </c>
      <c r="Y64" s="509">
        <f>Reported!Y144</f>
        <v/>
      </c>
      <c r="Z64" s="509">
        <f>Reported!Z144</f>
        <v/>
      </c>
      <c r="AA64" s="509">
        <f>Reported!AA144</f>
        <v/>
      </c>
      <c r="AB64" s="509">
        <f>Reported!AB144</f>
        <v/>
      </c>
      <c r="AC64" s="509">
        <f>Reported!AC144</f>
        <v/>
      </c>
      <c r="AD64" s="509">
        <f>Reported!AD144</f>
        <v/>
      </c>
      <c r="AE64" s="509">
        <f>Reported!AE144</f>
        <v/>
      </c>
      <c r="AF64" s="509">
        <f>Reported!AF144</f>
        <v/>
      </c>
      <c r="AG64" s="509">
        <f>Reported!AG144</f>
        <v/>
      </c>
      <c r="AH64" s="509">
        <f>Reported!AH144</f>
        <v/>
      </c>
      <c r="AI64" s="509">
        <f>Reported!AI144</f>
        <v/>
      </c>
      <c r="AJ64" s="509">
        <f>Reported!AJ144</f>
        <v/>
      </c>
      <c r="AK64" s="509">
        <f>Reported!AK144</f>
        <v/>
      </c>
      <c r="AL64" s="509">
        <f>Reported!AL144</f>
        <v/>
      </c>
      <c r="AM64" s="509">
        <f>Reported!AM144</f>
        <v/>
      </c>
      <c r="AN64" s="509">
        <f>Reported!AN144</f>
        <v/>
      </c>
      <c r="AO64" s="509">
        <f>Reported!AO144</f>
        <v/>
      </c>
      <c r="AP64" s="509">
        <f>Reported!AP144</f>
        <v/>
      </c>
      <c r="AQ64" s="509">
        <f>Reported!AQ144</f>
        <v/>
      </c>
      <c r="AR64" s="509">
        <f>Reported!AR144</f>
        <v/>
      </c>
      <c r="AS64" s="509">
        <f>Reported!AS144</f>
        <v/>
      </c>
      <c r="AT64" s="509">
        <f>Reported!AT144</f>
        <v/>
      </c>
      <c r="AU64" s="509">
        <f>Reported!AU144</f>
        <v/>
      </c>
      <c r="AV64" s="509">
        <f>Reported!AV144</f>
        <v/>
      </c>
      <c r="AW64" s="509">
        <f>Reported!AW144</f>
        <v/>
      </c>
      <c r="AX64" s="509">
        <f>Reported!AX144</f>
        <v/>
      </c>
      <c r="AY64" s="509">
        <f>Reported!AY144</f>
        <v/>
      </c>
      <c r="AZ64" s="509">
        <f>Reported!AZ144</f>
        <v/>
      </c>
      <c r="BA64" s="509">
        <f>Reported!BA144</f>
        <v/>
      </c>
      <c r="BB64" s="509">
        <f>Reported!BB144</f>
        <v/>
      </c>
      <c r="BC64" s="509">
        <f>Reported!BC144</f>
        <v/>
      </c>
      <c r="BD64" s="509">
        <f>Reported!BD144</f>
        <v/>
      </c>
      <c r="BE64" s="509">
        <f>Reported!BE144</f>
        <v/>
      </c>
      <c r="BF64" s="509">
        <f>Reported!BF144</f>
        <v/>
      </c>
      <c r="BG64" s="509">
        <f>Reported!BG144</f>
        <v/>
      </c>
      <c r="BH64" s="509">
        <f>Reported!BH144</f>
        <v/>
      </c>
      <c r="BI64" s="509">
        <f>Reported!BI144</f>
        <v/>
      </c>
      <c r="BJ64" s="509">
        <f>Reported!BJ144</f>
        <v/>
      </c>
      <c r="BK64" s="509">
        <f>Reported!BK144</f>
        <v/>
      </c>
      <c r="BL64" s="509">
        <f>Reported!BL144</f>
        <v/>
      </c>
      <c r="BM64" s="509">
        <f>Reported!BM144</f>
        <v/>
      </c>
      <c r="BN64" s="509">
        <f>Reported!BN144</f>
        <v/>
      </c>
      <c r="BO64" s="509">
        <f>Reported!BO144</f>
        <v/>
      </c>
      <c r="BP64" s="509">
        <f>Reported!BP144</f>
        <v/>
      </c>
      <c r="BQ64" s="509">
        <f>Reported!BQ144</f>
        <v/>
      </c>
      <c r="BR64" s="509">
        <f>Reported!BR144</f>
        <v/>
      </c>
      <c r="BS64" s="517">
        <f>Assumption!BS199</f>
        <v/>
      </c>
      <c r="BT64" s="517">
        <f>Assumption!BT199</f>
        <v/>
      </c>
      <c r="BU64" s="517">
        <f>Assumption!BU199</f>
        <v/>
      </c>
      <c r="BV64" s="517">
        <f>Assumption!BV199</f>
        <v/>
      </c>
      <c r="BW64" s="517">
        <f>Assumption!BW199</f>
        <v/>
      </c>
      <c r="BX64" s="517">
        <f>Assumption!BX199</f>
        <v/>
      </c>
      <c r="BY64" s="517">
        <f>Assumption!BY199</f>
        <v/>
      </c>
      <c r="BZ64" s="517">
        <f>Assumption!BZ199</f>
        <v/>
      </c>
      <c r="CA64" s="517">
        <f>Assumption!CA199</f>
        <v/>
      </c>
      <c r="CB64" s="517">
        <f>Assumption!CB199</f>
        <v/>
      </c>
      <c r="CC64" s="517">
        <f>Assumption!CC199</f>
        <v/>
      </c>
      <c r="CD64" s="517">
        <f>Assumption!CD199</f>
        <v/>
      </c>
      <c r="CE64" s="517">
        <f>Assumption!CE199</f>
        <v/>
      </c>
      <c r="CF64" s="517">
        <f>Assumption!CF199</f>
        <v/>
      </c>
      <c r="CG64" s="517">
        <f>Assumption!CG199</f>
        <v/>
      </c>
      <c r="CH64" s="517">
        <f>Assumption!CH199</f>
        <v/>
      </c>
      <c r="CI64" s="517">
        <f>Assumption!CI199</f>
        <v/>
      </c>
      <c r="CJ64" s="517">
        <f>Assumption!CJ199</f>
        <v/>
      </c>
      <c r="CK64" s="517">
        <f>Assumption!CK199</f>
        <v/>
      </c>
    </row>
    <row r="65">
      <c r="A65" s="74" t="inlineStr">
        <is>
          <t>Long-term debt, net of current portion</t>
        </is>
      </c>
      <c r="B65" s="145" t="n"/>
      <c r="C65" s="145" t="n"/>
      <c r="D65" s="145" t="n"/>
      <c r="E65" s="145" t="n"/>
      <c r="F65" s="145" t="n"/>
      <c r="G65" s="145" t="n"/>
      <c r="H65" s="145" t="n"/>
      <c r="I65" s="145" t="n"/>
      <c r="J65" s="145" t="n"/>
      <c r="K65" s="145" t="n"/>
      <c r="L65" s="145" t="n"/>
      <c r="M65" s="145" t="n"/>
      <c r="N65" s="509">
        <f>Reported!N145</f>
        <v/>
      </c>
      <c r="O65" s="509">
        <f>Reported!O145</f>
        <v/>
      </c>
      <c r="P65" s="509">
        <f>Reported!P145</f>
        <v/>
      </c>
      <c r="Q65" s="509">
        <f>Reported!Q145</f>
        <v/>
      </c>
      <c r="R65" s="509">
        <f>Reported!R145</f>
        <v/>
      </c>
      <c r="S65" s="509">
        <f>Reported!S145</f>
        <v/>
      </c>
      <c r="T65" s="509">
        <f>Reported!T145</f>
        <v/>
      </c>
      <c r="U65" s="509">
        <f>Reported!U145</f>
        <v/>
      </c>
      <c r="V65" s="509">
        <f>Reported!V145</f>
        <v/>
      </c>
      <c r="W65" s="509">
        <f>Reported!W145</f>
        <v/>
      </c>
      <c r="X65" s="509">
        <f>Reported!X145</f>
        <v/>
      </c>
      <c r="Y65" s="509">
        <f>Reported!Y145</f>
        <v/>
      </c>
      <c r="Z65" s="509">
        <f>Reported!Z145</f>
        <v/>
      </c>
      <c r="AA65" s="509">
        <f>Reported!AA145</f>
        <v/>
      </c>
      <c r="AB65" s="509">
        <f>Reported!AB145</f>
        <v/>
      </c>
      <c r="AC65" s="509">
        <f>Reported!AC145</f>
        <v/>
      </c>
      <c r="AD65" s="509">
        <f>Reported!AD145</f>
        <v/>
      </c>
      <c r="AE65" s="509">
        <f>Reported!AE145</f>
        <v/>
      </c>
      <c r="AF65" s="509">
        <f>Reported!AF145</f>
        <v/>
      </c>
      <c r="AG65" s="509">
        <f>Reported!AG145</f>
        <v/>
      </c>
      <c r="AH65" s="509">
        <f>Reported!AH145</f>
        <v/>
      </c>
      <c r="AI65" s="509">
        <f>Reported!AI145</f>
        <v/>
      </c>
      <c r="AJ65" s="509">
        <f>Reported!AJ145</f>
        <v/>
      </c>
      <c r="AK65" s="509">
        <f>Reported!AK145</f>
        <v/>
      </c>
      <c r="AL65" s="509">
        <f>Reported!AL145</f>
        <v/>
      </c>
      <c r="AM65" s="509">
        <f>Reported!AM145</f>
        <v/>
      </c>
      <c r="AN65" s="509">
        <f>Reported!AN145</f>
        <v/>
      </c>
      <c r="AO65" s="509">
        <f>Reported!AO145</f>
        <v/>
      </c>
      <c r="AP65" s="509">
        <f>Reported!AP145</f>
        <v/>
      </c>
      <c r="AQ65" s="509">
        <f>Reported!AQ145</f>
        <v/>
      </c>
      <c r="AR65" s="509">
        <f>Reported!AR145</f>
        <v/>
      </c>
      <c r="AS65" s="509">
        <f>Reported!AS145</f>
        <v/>
      </c>
      <c r="AT65" s="509">
        <f>Reported!AT145</f>
        <v/>
      </c>
      <c r="AU65" s="509">
        <f>Reported!AU145</f>
        <v/>
      </c>
      <c r="AV65" s="509">
        <f>Reported!AV145</f>
        <v/>
      </c>
      <c r="AW65" s="509">
        <f>Reported!AW145</f>
        <v/>
      </c>
      <c r="AX65" s="509">
        <f>Reported!AX145</f>
        <v/>
      </c>
      <c r="AY65" s="509">
        <f>Reported!AY145</f>
        <v/>
      </c>
      <c r="AZ65" s="509">
        <f>Reported!AZ145</f>
        <v/>
      </c>
      <c r="BA65" s="509">
        <f>Reported!BA145</f>
        <v/>
      </c>
      <c r="BB65" s="509">
        <f>Reported!BB145</f>
        <v/>
      </c>
      <c r="BC65" s="509">
        <f>Reported!BC145</f>
        <v/>
      </c>
      <c r="BD65" s="509">
        <f>Reported!BD145</f>
        <v/>
      </c>
      <c r="BE65" s="509">
        <f>Reported!BE145</f>
        <v/>
      </c>
      <c r="BF65" s="509">
        <f>Reported!BF145</f>
        <v/>
      </c>
      <c r="BG65" s="509">
        <f>Reported!BG145</f>
        <v/>
      </c>
      <c r="BH65" s="509">
        <f>Reported!BH145</f>
        <v/>
      </c>
      <c r="BI65" s="509">
        <f>Reported!BI145</f>
        <v/>
      </c>
      <c r="BJ65" s="509">
        <f>Reported!BJ145</f>
        <v/>
      </c>
      <c r="BK65" s="509">
        <f>Reported!BK145</f>
        <v/>
      </c>
      <c r="BL65" s="509">
        <f>Reported!BL145</f>
        <v/>
      </c>
      <c r="BM65" s="509">
        <f>Reported!BM145</f>
        <v/>
      </c>
      <c r="BN65" s="509">
        <f>Reported!BN145</f>
        <v/>
      </c>
      <c r="BO65" s="509">
        <f>Reported!BO145</f>
        <v/>
      </c>
      <c r="BP65" s="509">
        <f>Reported!BP145</f>
        <v/>
      </c>
      <c r="BQ65" s="509">
        <f>Reported!BQ145</f>
        <v/>
      </c>
      <c r="BR65" s="509">
        <f>Reported!BR145</f>
        <v/>
      </c>
      <c r="BS65" s="517">
        <f>Assumption!BS204</f>
        <v/>
      </c>
      <c r="BT65" s="517">
        <f>Assumption!BT204</f>
        <v/>
      </c>
      <c r="BU65" s="517">
        <f>Assumption!BU204</f>
        <v/>
      </c>
      <c r="BV65" s="517">
        <f>Assumption!BV204</f>
        <v/>
      </c>
      <c r="BW65" s="517">
        <f>Assumption!BW204</f>
        <v/>
      </c>
      <c r="BX65" s="517">
        <f>Assumption!BX204</f>
        <v/>
      </c>
      <c r="BY65" s="517">
        <f>Assumption!BY204</f>
        <v/>
      </c>
      <c r="BZ65" s="517">
        <f>Assumption!BZ204</f>
        <v/>
      </c>
      <c r="CA65" s="517">
        <f>Assumption!CA204</f>
        <v/>
      </c>
      <c r="CB65" s="517">
        <f>Assumption!CB204</f>
        <v/>
      </c>
      <c r="CC65" s="517">
        <f>Assumption!CC204</f>
        <v/>
      </c>
      <c r="CD65" s="517">
        <f>Assumption!CD204</f>
        <v/>
      </c>
      <c r="CE65" s="517">
        <f>Assumption!CE204</f>
        <v/>
      </c>
      <c r="CF65" s="517">
        <f>Assumption!CF204</f>
        <v/>
      </c>
      <c r="CG65" s="517">
        <f>Assumption!CG204</f>
        <v/>
      </c>
      <c r="CH65" s="517">
        <f>Assumption!CH204</f>
        <v/>
      </c>
      <c r="CI65" s="517">
        <f>Assumption!CI204</f>
        <v/>
      </c>
      <c r="CJ65" s="517">
        <f>Assumption!CJ204</f>
        <v/>
      </c>
      <c r="CK65" s="517">
        <f>Assumption!CK204</f>
        <v/>
      </c>
    </row>
    <row r="66">
      <c r="A66" s="22" t="inlineStr">
        <is>
          <t>Total liabilities</t>
        </is>
      </c>
      <c r="B66" s="133" t="n"/>
      <c r="C66" s="133" t="n"/>
      <c r="D66" s="133" t="n"/>
      <c r="E66" s="133" t="n"/>
      <c r="F66" s="133" t="n"/>
      <c r="G66" s="133" t="n"/>
      <c r="H66" s="133" t="n"/>
      <c r="I66" s="133" t="n"/>
      <c r="J66" s="133" t="n"/>
      <c r="K66" s="133" t="n"/>
      <c r="L66" s="133" t="n"/>
      <c r="M66" s="133" t="n"/>
      <c r="N66" s="671">
        <f>Reported!N146</f>
        <v/>
      </c>
      <c r="O66" s="671">
        <f>Reported!O146</f>
        <v/>
      </c>
      <c r="P66" s="671">
        <f>Reported!P146</f>
        <v/>
      </c>
      <c r="Q66" s="671">
        <f>Reported!Q146</f>
        <v/>
      </c>
      <c r="R66" s="671">
        <f>Reported!R146</f>
        <v/>
      </c>
      <c r="S66" s="671">
        <f>Reported!S146</f>
        <v/>
      </c>
      <c r="T66" s="671">
        <f>Reported!T146</f>
        <v/>
      </c>
      <c r="U66" s="671">
        <f>Reported!U146</f>
        <v/>
      </c>
      <c r="V66" s="671">
        <f>Reported!V146</f>
        <v/>
      </c>
      <c r="W66" s="671">
        <f>Reported!W146</f>
        <v/>
      </c>
      <c r="X66" s="671">
        <f>Reported!X146</f>
        <v/>
      </c>
      <c r="Y66" s="671">
        <f>Reported!Y146</f>
        <v/>
      </c>
      <c r="Z66" s="671">
        <f>Reported!Z146</f>
        <v/>
      </c>
      <c r="AA66" s="671">
        <f>Reported!AA146</f>
        <v/>
      </c>
      <c r="AB66" s="671">
        <f>Reported!AB146</f>
        <v/>
      </c>
      <c r="AC66" s="671">
        <f>Reported!AC146</f>
        <v/>
      </c>
      <c r="AD66" s="671">
        <f>Reported!AD146</f>
        <v/>
      </c>
      <c r="AE66" s="671">
        <f>Reported!AE146</f>
        <v/>
      </c>
      <c r="AF66" s="671">
        <f>Reported!AF146</f>
        <v/>
      </c>
      <c r="AG66" s="671">
        <f>Reported!AG146</f>
        <v/>
      </c>
      <c r="AH66" s="671">
        <f>Reported!AH146</f>
        <v/>
      </c>
      <c r="AI66" s="671">
        <f>Reported!AI146</f>
        <v/>
      </c>
      <c r="AJ66" s="671">
        <f>Reported!AJ146</f>
        <v/>
      </c>
      <c r="AK66" s="671">
        <f>Reported!AK146</f>
        <v/>
      </c>
      <c r="AL66" s="671">
        <f>Reported!AL146</f>
        <v/>
      </c>
      <c r="AM66" s="671">
        <f>Reported!AM146</f>
        <v/>
      </c>
      <c r="AN66" s="671">
        <f>Reported!AN146</f>
        <v/>
      </c>
      <c r="AO66" s="671">
        <f>Reported!AO146</f>
        <v/>
      </c>
      <c r="AP66" s="671">
        <f>Reported!AP146</f>
        <v/>
      </c>
      <c r="AQ66" s="671">
        <f>Reported!AQ146</f>
        <v/>
      </c>
      <c r="AR66" s="671">
        <f>Reported!AR146</f>
        <v/>
      </c>
      <c r="AS66" s="671">
        <f>Reported!AS146</f>
        <v/>
      </c>
      <c r="AT66" s="671">
        <f>Reported!AT146</f>
        <v/>
      </c>
      <c r="AU66" s="671">
        <f>Reported!AU146</f>
        <v/>
      </c>
      <c r="AV66" s="671">
        <f>Reported!AV146</f>
        <v/>
      </c>
      <c r="AW66" s="671">
        <f>Reported!AW146</f>
        <v/>
      </c>
      <c r="AX66" s="671">
        <f>Reported!AX146</f>
        <v/>
      </c>
      <c r="AY66" s="671">
        <f>Reported!AY146</f>
        <v/>
      </c>
      <c r="AZ66" s="671">
        <f>Reported!AZ146</f>
        <v/>
      </c>
      <c r="BA66" s="671">
        <f>Reported!BA146</f>
        <v/>
      </c>
      <c r="BB66" s="671">
        <f>Reported!BB146</f>
        <v/>
      </c>
      <c r="BC66" s="671">
        <f>Reported!BC146</f>
        <v/>
      </c>
      <c r="BD66" s="671">
        <f>Reported!BD146</f>
        <v/>
      </c>
      <c r="BE66" s="671">
        <f>Reported!BE146</f>
        <v/>
      </c>
      <c r="BF66" s="671">
        <f>Reported!BF146</f>
        <v/>
      </c>
      <c r="BG66" s="671">
        <f>Reported!BG146</f>
        <v/>
      </c>
      <c r="BH66" s="671">
        <f>Reported!BH146</f>
        <v/>
      </c>
      <c r="BI66" s="671">
        <f>Reported!BI146</f>
        <v/>
      </c>
      <c r="BJ66" s="671">
        <f>Reported!BJ146</f>
        <v/>
      </c>
      <c r="BK66" s="671">
        <f>Reported!BK146</f>
        <v/>
      </c>
      <c r="BL66" s="671">
        <f>Reported!BL146</f>
        <v/>
      </c>
      <c r="BM66" s="671">
        <f>Reported!BM146</f>
        <v/>
      </c>
      <c r="BN66" s="671">
        <f>Reported!BN146</f>
        <v/>
      </c>
      <c r="BO66" s="671">
        <f>Reported!BO146</f>
        <v/>
      </c>
      <c r="BP66" s="671">
        <f>Reported!BP146</f>
        <v/>
      </c>
      <c r="BQ66" s="671">
        <f>Reported!BQ146</f>
        <v/>
      </c>
      <c r="BR66" s="671">
        <f>Reported!BR146</f>
        <v/>
      </c>
      <c r="BS66" s="517">
        <f>SUM(BS63:BS65)</f>
        <v/>
      </c>
      <c r="BT66" s="517">
        <f>SUM(BT63:BT65)</f>
        <v/>
      </c>
      <c r="BU66" s="517">
        <f>SUM(BU63:BU65)</f>
        <v/>
      </c>
      <c r="BV66" s="517">
        <f>SUM(BV63:BV65)</f>
        <v/>
      </c>
      <c r="BW66" s="517">
        <f>SUM(BW63:BW65)</f>
        <v/>
      </c>
      <c r="BX66" s="517">
        <f>SUM(BX63:BX65)</f>
        <v/>
      </c>
      <c r="BY66" s="517">
        <f>SUM(BY63:BY65)</f>
        <v/>
      </c>
      <c r="BZ66" s="517">
        <f>SUM(BZ63:BZ65)</f>
        <v/>
      </c>
      <c r="CA66" s="517">
        <f>SUM(CA63:CA65)</f>
        <v/>
      </c>
      <c r="CB66" s="517">
        <f>SUM(CB63:CB65)</f>
        <v/>
      </c>
      <c r="CC66" s="517">
        <f>SUM(CC63:CC65)</f>
        <v/>
      </c>
      <c r="CD66" s="517">
        <f>SUM(CD63:CD65)</f>
        <v/>
      </c>
      <c r="CE66" s="517">
        <f>SUM(CE63:CE65)</f>
        <v/>
      </c>
      <c r="CF66" s="517">
        <f>SUM(CF63:CF65)</f>
        <v/>
      </c>
      <c r="CG66" s="517">
        <f>SUM(CG63:CG65)</f>
        <v/>
      </c>
      <c r="CH66" s="517">
        <f>SUM(CH63:CH65)</f>
        <v/>
      </c>
      <c r="CI66" s="517">
        <f>SUM(CI63:CI65)</f>
        <v/>
      </c>
      <c r="CJ66" s="517">
        <f>SUM(CJ63:CJ65)</f>
        <v/>
      </c>
      <c r="CK66" s="517">
        <f>SUM(CK63:CK65)</f>
        <v/>
      </c>
    </row>
    <row r="67">
      <c r="A67" s="22" t="n"/>
      <c r="B67" s="145" t="n"/>
      <c r="C67" s="145" t="n"/>
      <c r="D67" s="145" t="n"/>
      <c r="E67" s="145" t="n"/>
      <c r="F67" s="145" t="n"/>
      <c r="G67" s="145" t="n"/>
      <c r="H67" s="145" t="n"/>
      <c r="I67" s="145" t="n"/>
      <c r="J67" s="145" t="n"/>
      <c r="K67" s="145" t="n"/>
      <c r="L67" s="145" t="n"/>
      <c r="M67" s="145" t="n"/>
      <c r="N67" s="509" t="n"/>
      <c r="O67" s="509" t="n"/>
      <c r="P67" s="509" t="n"/>
      <c r="Q67" s="509" t="n"/>
      <c r="R67" s="509" t="n"/>
      <c r="S67" s="509" t="n"/>
      <c r="T67" s="509" t="n"/>
      <c r="U67" s="509" t="n"/>
      <c r="V67" s="509" t="n"/>
      <c r="W67" s="509" t="n"/>
      <c r="X67" s="509" t="n"/>
      <c r="Y67" s="509" t="n"/>
      <c r="Z67" s="509" t="n"/>
      <c r="AA67" s="509" t="n"/>
      <c r="AB67" s="509" t="n"/>
      <c r="AC67" s="509" t="n"/>
      <c r="AD67" s="509" t="n"/>
      <c r="AE67" s="509" t="n"/>
      <c r="AF67" s="509" t="n"/>
      <c r="AG67" s="509" t="n"/>
      <c r="AH67" s="509" t="n"/>
      <c r="AI67" s="509" t="n"/>
      <c r="AJ67" s="509" t="n"/>
      <c r="AK67" s="509" t="n"/>
      <c r="AL67" s="509" t="n"/>
      <c r="AM67" s="509" t="n"/>
      <c r="AN67" s="509" t="n"/>
      <c r="AO67" s="509" t="n"/>
      <c r="AP67" s="509" t="n"/>
      <c r="AQ67" s="509" t="n"/>
      <c r="AR67" s="509" t="n"/>
      <c r="AS67" s="509" t="n"/>
      <c r="AT67" s="509" t="n"/>
      <c r="AU67" s="509" t="n"/>
      <c r="AV67" s="509" t="n"/>
      <c r="AW67" s="509" t="n"/>
      <c r="AX67" s="509" t="n"/>
      <c r="AY67" s="509" t="n"/>
      <c r="AZ67" s="509" t="n"/>
      <c r="BA67" s="509" t="n"/>
      <c r="BB67" s="509" t="n"/>
      <c r="BC67" s="509" t="n"/>
      <c r="BD67" s="509" t="n"/>
      <c r="BE67" s="509" t="n"/>
      <c r="BF67" s="509" t="n"/>
      <c r="BG67" s="509" t="n"/>
      <c r="BH67" s="509" t="n"/>
      <c r="BI67" s="509" t="n"/>
      <c r="BJ67" s="509" t="n"/>
      <c r="BK67" s="509" t="n"/>
      <c r="BL67" s="509" t="n"/>
      <c r="BM67" s="509" t="n"/>
      <c r="BN67" s="509" t="n"/>
      <c r="BO67" s="509" t="n"/>
      <c r="BP67" s="509" t="n"/>
    </row>
    <row r="68">
      <c r="A68" s="33" t="inlineStr">
        <is>
          <t>IPG Photonics Corporation equity</t>
        </is>
      </c>
      <c r="B68" s="145" t="n"/>
      <c r="C68" s="145" t="n"/>
      <c r="D68" s="145" t="n"/>
      <c r="E68" s="145" t="n"/>
      <c r="F68" s="145" t="n"/>
      <c r="G68" s="145" t="n"/>
      <c r="H68" s="145" t="n"/>
      <c r="I68" s="145" t="n"/>
      <c r="J68" s="145" t="n"/>
      <c r="K68" s="145" t="n"/>
      <c r="L68" s="145" t="n"/>
      <c r="M68" s="145" t="n"/>
      <c r="N68" s="509">
        <f>Reported!N148</f>
        <v/>
      </c>
      <c r="O68" s="509">
        <f>Reported!O148</f>
        <v/>
      </c>
      <c r="P68" s="509">
        <f>Reported!P148</f>
        <v/>
      </c>
      <c r="Q68" s="509">
        <f>Reported!Q148</f>
        <v/>
      </c>
      <c r="R68" s="509">
        <f>Reported!R148</f>
        <v/>
      </c>
      <c r="S68" s="509">
        <f>Reported!S148</f>
        <v/>
      </c>
      <c r="T68" s="509">
        <f>Reported!T148</f>
        <v/>
      </c>
      <c r="U68" s="509">
        <f>Reported!U148</f>
        <v/>
      </c>
      <c r="V68" s="509">
        <f>Reported!V148</f>
        <v/>
      </c>
      <c r="W68" s="509">
        <f>Reported!W148</f>
        <v/>
      </c>
      <c r="X68" s="509">
        <f>Reported!X148</f>
        <v/>
      </c>
      <c r="Y68" s="509">
        <f>Reported!Y148</f>
        <v/>
      </c>
      <c r="Z68" s="509">
        <f>Reported!Z148</f>
        <v/>
      </c>
      <c r="AA68" s="509">
        <f>Reported!AA148</f>
        <v/>
      </c>
      <c r="AB68" s="509">
        <f>Reported!AB148</f>
        <v/>
      </c>
      <c r="AC68" s="509">
        <f>Reported!AC148</f>
        <v/>
      </c>
      <c r="AD68" s="509">
        <f>Reported!AD148</f>
        <v/>
      </c>
      <c r="AE68" s="509">
        <f>Reported!AE148</f>
        <v/>
      </c>
      <c r="AF68" s="509">
        <f>Reported!AF148</f>
        <v/>
      </c>
      <c r="AG68" s="509">
        <f>Reported!AG148</f>
        <v/>
      </c>
      <c r="AH68" s="509">
        <f>Reported!AH148</f>
        <v/>
      </c>
      <c r="AI68" s="509">
        <f>Reported!AI148</f>
        <v/>
      </c>
      <c r="AJ68" s="509">
        <f>Reported!AJ148</f>
        <v/>
      </c>
      <c r="AK68" s="509">
        <f>Reported!AK148</f>
        <v/>
      </c>
      <c r="AL68" s="509">
        <f>Reported!AL148</f>
        <v/>
      </c>
      <c r="AM68" s="509">
        <f>Reported!AM148</f>
        <v/>
      </c>
      <c r="AN68" s="509">
        <f>Reported!AN148</f>
        <v/>
      </c>
      <c r="AO68" s="509">
        <f>Reported!AO148</f>
        <v/>
      </c>
      <c r="AP68" s="509">
        <f>Reported!AP148</f>
        <v/>
      </c>
      <c r="AQ68" s="509">
        <f>Reported!AQ148</f>
        <v/>
      </c>
      <c r="AR68" s="509">
        <f>Reported!AR148</f>
        <v/>
      </c>
      <c r="AS68" s="509">
        <f>Reported!AS148</f>
        <v/>
      </c>
      <c r="AT68" s="509">
        <f>Reported!AT148</f>
        <v/>
      </c>
      <c r="AU68" s="509">
        <f>Reported!AU148</f>
        <v/>
      </c>
      <c r="AV68" s="509">
        <f>Reported!AV148</f>
        <v/>
      </c>
      <c r="AW68" s="509">
        <f>Reported!AW148</f>
        <v/>
      </c>
      <c r="AX68" s="509">
        <f>Reported!AX148</f>
        <v/>
      </c>
      <c r="AY68" s="509">
        <f>Reported!AY148</f>
        <v/>
      </c>
      <c r="AZ68" s="509">
        <f>Reported!AZ148</f>
        <v/>
      </c>
      <c r="BA68" s="509">
        <f>Reported!BA148</f>
        <v/>
      </c>
      <c r="BB68" s="509">
        <f>Reported!BB148</f>
        <v/>
      </c>
      <c r="BC68" s="509">
        <f>Reported!BC148</f>
        <v/>
      </c>
      <c r="BD68" s="509">
        <f>Reported!BD148</f>
        <v/>
      </c>
      <c r="BE68" s="509">
        <f>Reported!BE148</f>
        <v/>
      </c>
      <c r="BF68" s="509">
        <f>Reported!BF148</f>
        <v/>
      </c>
      <c r="BG68" s="509">
        <f>Reported!BG148</f>
        <v/>
      </c>
      <c r="BH68" s="509">
        <f>Reported!BH148</f>
        <v/>
      </c>
      <c r="BI68" s="509">
        <f>Reported!BI148</f>
        <v/>
      </c>
      <c r="BJ68" s="509">
        <f>Reported!BJ148</f>
        <v/>
      </c>
      <c r="BK68" s="509">
        <f>Reported!BK148</f>
        <v/>
      </c>
      <c r="BL68" s="509">
        <f>Reported!BL148</f>
        <v/>
      </c>
      <c r="BM68" s="509">
        <f>Reported!BM148</f>
        <v/>
      </c>
      <c r="BN68" s="509">
        <f>Reported!BN148</f>
        <v/>
      </c>
      <c r="BO68" s="509">
        <f>Reported!BO148</f>
        <v/>
      </c>
      <c r="BP68" s="509">
        <f>Reported!BP148</f>
        <v/>
      </c>
      <c r="BQ68" s="509">
        <f>Reported!BQ148</f>
        <v/>
      </c>
      <c r="BR68" s="509">
        <f>Reported!BR148</f>
        <v/>
      </c>
      <c r="BS68" s="517">
        <f>Assumption!BS215</f>
        <v/>
      </c>
      <c r="BT68" s="517">
        <f>Assumption!BT215</f>
        <v/>
      </c>
      <c r="BU68" s="517">
        <f>Assumption!BU215</f>
        <v/>
      </c>
      <c r="BV68" s="517">
        <f>Assumption!BV215</f>
        <v/>
      </c>
      <c r="BW68" s="517">
        <f>Assumption!BW215</f>
        <v/>
      </c>
      <c r="BX68" s="517">
        <f>Assumption!BX215</f>
        <v/>
      </c>
      <c r="BY68" s="517">
        <f>Assumption!BY215</f>
        <v/>
      </c>
      <c r="BZ68" s="517">
        <f>Assumption!BZ215</f>
        <v/>
      </c>
      <c r="CA68" s="517">
        <f>Assumption!CA215</f>
        <v/>
      </c>
      <c r="CB68" s="517">
        <f>Assumption!CB215</f>
        <v/>
      </c>
      <c r="CC68" s="517">
        <f>Assumption!CC215</f>
        <v/>
      </c>
      <c r="CD68" s="517">
        <f>Assumption!CD215</f>
        <v/>
      </c>
      <c r="CE68" s="517">
        <f>Assumption!CE215</f>
        <v/>
      </c>
      <c r="CF68" s="517">
        <f>Assumption!CF215</f>
        <v/>
      </c>
      <c r="CG68" s="517">
        <f>Assumption!CG215</f>
        <v/>
      </c>
      <c r="CH68" s="517">
        <f>Assumption!CH215</f>
        <v/>
      </c>
      <c r="CI68" s="517">
        <f>Assumption!CI215</f>
        <v/>
      </c>
      <c r="CJ68" s="517">
        <f>Assumption!CJ215</f>
        <v/>
      </c>
      <c r="CK68" s="517">
        <f>Assumption!CK215</f>
        <v/>
      </c>
    </row>
    <row r="69">
      <c r="A69" s="33" t="inlineStr">
        <is>
          <t>Treasury stock, at cost</t>
        </is>
      </c>
      <c r="B69" s="145" t="n"/>
      <c r="C69" s="145" t="n"/>
      <c r="D69" s="145" t="n"/>
      <c r="E69" s="145" t="n"/>
      <c r="F69" s="145" t="n"/>
      <c r="G69" s="145" t="n"/>
      <c r="H69" s="145" t="n"/>
      <c r="I69" s="145" t="n"/>
      <c r="J69" s="145" t="n"/>
      <c r="K69" s="145" t="n"/>
      <c r="L69" s="145" t="n"/>
      <c r="M69" s="145" t="n"/>
      <c r="N69" s="509">
        <f>Reported!N149</f>
        <v/>
      </c>
      <c r="O69" s="509">
        <f>Reported!O149</f>
        <v/>
      </c>
      <c r="P69" s="509">
        <f>Reported!P149</f>
        <v/>
      </c>
      <c r="Q69" s="509">
        <f>Reported!Q149</f>
        <v/>
      </c>
      <c r="R69" s="509">
        <f>Reported!R149</f>
        <v/>
      </c>
      <c r="S69" s="509">
        <f>Reported!S149</f>
        <v/>
      </c>
      <c r="T69" s="509">
        <f>Reported!T149</f>
        <v/>
      </c>
      <c r="U69" s="509">
        <f>Reported!U149</f>
        <v/>
      </c>
      <c r="V69" s="509">
        <f>Reported!V149</f>
        <v/>
      </c>
      <c r="W69" s="509">
        <f>Reported!W149</f>
        <v/>
      </c>
      <c r="X69" s="509">
        <f>Reported!X149</f>
        <v/>
      </c>
      <c r="Y69" s="509">
        <f>Reported!Y149</f>
        <v/>
      </c>
      <c r="Z69" s="509">
        <f>Reported!Z149</f>
        <v/>
      </c>
      <c r="AA69" s="509">
        <f>Reported!AA149</f>
        <v/>
      </c>
      <c r="AB69" s="509">
        <f>Reported!AB149</f>
        <v/>
      </c>
      <c r="AC69" s="509">
        <f>Reported!AC149</f>
        <v/>
      </c>
      <c r="AD69" s="509">
        <f>Reported!AD149</f>
        <v/>
      </c>
      <c r="AE69" s="509">
        <f>Reported!AE149</f>
        <v/>
      </c>
      <c r="AF69" s="509">
        <f>Reported!AF149</f>
        <v/>
      </c>
      <c r="AG69" s="509">
        <f>Reported!AG149</f>
        <v/>
      </c>
      <c r="AH69" s="509">
        <f>Reported!AH149</f>
        <v/>
      </c>
      <c r="AI69" s="509">
        <f>Reported!AI149</f>
        <v/>
      </c>
      <c r="AJ69" s="509">
        <f>Reported!AJ149</f>
        <v/>
      </c>
      <c r="AK69" s="509">
        <f>Reported!AK149</f>
        <v/>
      </c>
      <c r="AL69" s="509">
        <f>Reported!AL149</f>
        <v/>
      </c>
      <c r="AM69" s="509">
        <f>Reported!AM149</f>
        <v/>
      </c>
      <c r="AN69" s="509">
        <f>Reported!AN149</f>
        <v/>
      </c>
      <c r="AO69" s="509">
        <f>Reported!AO149</f>
        <v/>
      </c>
      <c r="AP69" s="509">
        <f>Reported!AP149</f>
        <v/>
      </c>
      <c r="AQ69" s="509">
        <f>Reported!AQ149</f>
        <v/>
      </c>
      <c r="AR69" s="509">
        <f>Reported!AR149</f>
        <v/>
      </c>
      <c r="AS69" s="509">
        <f>Reported!AS149</f>
        <v/>
      </c>
      <c r="AT69" s="509">
        <f>Reported!AT149</f>
        <v/>
      </c>
      <c r="AU69" s="509">
        <f>Reported!AU149</f>
        <v/>
      </c>
      <c r="AV69" s="509">
        <f>Reported!AV149</f>
        <v/>
      </c>
      <c r="AW69" s="509">
        <f>Reported!AW149</f>
        <v/>
      </c>
      <c r="AX69" s="509">
        <f>Reported!AX149</f>
        <v/>
      </c>
      <c r="AY69" s="509">
        <f>Reported!AY149</f>
        <v/>
      </c>
      <c r="AZ69" s="509">
        <f>Reported!AZ149</f>
        <v/>
      </c>
      <c r="BA69" s="509">
        <f>Reported!BA149</f>
        <v/>
      </c>
      <c r="BB69" s="509">
        <f>Reported!BB149</f>
        <v/>
      </c>
      <c r="BC69" s="509">
        <f>Reported!BC149</f>
        <v/>
      </c>
      <c r="BD69" s="509">
        <f>Reported!BD149</f>
        <v/>
      </c>
      <c r="BE69" s="509">
        <f>Reported!BE149</f>
        <v/>
      </c>
      <c r="BF69" s="509">
        <f>Reported!BF149</f>
        <v/>
      </c>
      <c r="BG69" s="509">
        <f>Reported!BG149</f>
        <v/>
      </c>
      <c r="BH69" s="509">
        <f>Reported!BH149</f>
        <v/>
      </c>
      <c r="BI69" s="509">
        <f>Reported!BI149</f>
        <v/>
      </c>
      <c r="BJ69" s="509">
        <f>Reported!BJ149</f>
        <v/>
      </c>
      <c r="BK69" s="509">
        <f>Reported!BK149</f>
        <v/>
      </c>
      <c r="BL69" s="509">
        <f>Reported!BL149</f>
        <v/>
      </c>
      <c r="BM69" s="509">
        <f>Reported!BM149</f>
        <v/>
      </c>
      <c r="BN69" s="509">
        <f>Reported!BN149</f>
        <v/>
      </c>
      <c r="BO69" s="509">
        <f>Reported!BO149</f>
        <v/>
      </c>
      <c r="BP69" s="509">
        <f>Reported!BP149</f>
        <v/>
      </c>
      <c r="BQ69" s="509">
        <f>Reported!BQ149</f>
        <v/>
      </c>
      <c r="BR69" s="509">
        <f>Reported!BR149</f>
        <v/>
      </c>
      <c r="BS69" s="517">
        <f>Assumption!BS216</f>
        <v/>
      </c>
      <c r="BT69" s="517">
        <f>Assumption!BT216</f>
        <v/>
      </c>
      <c r="BU69" s="517">
        <f>Assumption!BU216</f>
        <v/>
      </c>
      <c r="BV69" s="517">
        <f>Assumption!BV216</f>
        <v/>
      </c>
      <c r="BW69" s="517">
        <f>Assumption!BW216</f>
        <v/>
      </c>
      <c r="BX69" s="517">
        <f>Assumption!BX216</f>
        <v/>
      </c>
      <c r="BY69" s="517">
        <f>Assumption!BY216</f>
        <v/>
      </c>
      <c r="BZ69" s="517">
        <f>Assumption!BZ216</f>
        <v/>
      </c>
      <c r="CA69" s="517">
        <f>Assumption!CA216</f>
        <v/>
      </c>
      <c r="CB69" s="517">
        <f>Assumption!CB216</f>
        <v/>
      </c>
      <c r="CC69" s="517">
        <f>Assumption!CC216</f>
        <v/>
      </c>
      <c r="CD69" s="517">
        <f>Assumption!CD216</f>
        <v/>
      </c>
      <c r="CE69" s="517">
        <f>Assumption!CE216</f>
        <v/>
      </c>
      <c r="CF69" s="517">
        <f>Assumption!CF216</f>
        <v/>
      </c>
      <c r="CG69" s="517">
        <f>Assumption!CG216</f>
        <v/>
      </c>
      <c r="CH69" s="517">
        <f>Assumption!CH216</f>
        <v/>
      </c>
      <c r="CI69" s="517">
        <f>Assumption!CI216</f>
        <v/>
      </c>
      <c r="CJ69" s="517">
        <f>Assumption!CJ216</f>
        <v/>
      </c>
      <c r="CK69" s="517">
        <f>Assumption!CK216</f>
        <v/>
      </c>
    </row>
    <row r="70">
      <c r="A70" s="33" t="inlineStr">
        <is>
          <t>Additional paid-in capital</t>
        </is>
      </c>
      <c r="B70" s="145" t="n"/>
      <c r="C70" s="145" t="n"/>
      <c r="D70" s="145" t="n"/>
      <c r="E70" s="145" t="n"/>
      <c r="F70" s="145" t="n"/>
      <c r="G70" s="145" t="n"/>
      <c r="H70" s="145" t="n"/>
      <c r="I70" s="145" t="n"/>
      <c r="J70" s="145" t="n"/>
      <c r="K70" s="145" t="n"/>
      <c r="L70" s="145" t="n"/>
      <c r="M70" s="145" t="n"/>
      <c r="N70" s="509">
        <f>Reported!N150</f>
        <v/>
      </c>
      <c r="O70" s="509">
        <f>Reported!O150</f>
        <v/>
      </c>
      <c r="P70" s="509">
        <f>Reported!P150</f>
        <v/>
      </c>
      <c r="Q70" s="509">
        <f>Reported!Q150</f>
        <v/>
      </c>
      <c r="R70" s="509">
        <f>Reported!R150</f>
        <v/>
      </c>
      <c r="S70" s="509">
        <f>Reported!S150</f>
        <v/>
      </c>
      <c r="T70" s="509">
        <f>Reported!T150</f>
        <v/>
      </c>
      <c r="U70" s="509">
        <f>Reported!U150</f>
        <v/>
      </c>
      <c r="V70" s="509">
        <f>Reported!V150</f>
        <v/>
      </c>
      <c r="W70" s="509">
        <f>Reported!W150</f>
        <v/>
      </c>
      <c r="X70" s="509">
        <f>Reported!X150</f>
        <v/>
      </c>
      <c r="Y70" s="509">
        <f>Reported!Y150</f>
        <v/>
      </c>
      <c r="Z70" s="509">
        <f>Reported!Z150</f>
        <v/>
      </c>
      <c r="AA70" s="509">
        <f>Reported!AA150</f>
        <v/>
      </c>
      <c r="AB70" s="509">
        <f>Reported!AB150</f>
        <v/>
      </c>
      <c r="AC70" s="509">
        <f>Reported!AC150</f>
        <v/>
      </c>
      <c r="AD70" s="509">
        <f>Reported!AD150</f>
        <v/>
      </c>
      <c r="AE70" s="509">
        <f>Reported!AE150</f>
        <v/>
      </c>
      <c r="AF70" s="509">
        <f>Reported!AF150</f>
        <v/>
      </c>
      <c r="AG70" s="509">
        <f>Reported!AG150</f>
        <v/>
      </c>
      <c r="AH70" s="509">
        <f>Reported!AH150</f>
        <v/>
      </c>
      <c r="AI70" s="509">
        <f>Reported!AI150</f>
        <v/>
      </c>
      <c r="AJ70" s="509">
        <f>Reported!AJ150</f>
        <v/>
      </c>
      <c r="AK70" s="509">
        <f>Reported!AK150</f>
        <v/>
      </c>
      <c r="AL70" s="509">
        <f>Reported!AL150</f>
        <v/>
      </c>
      <c r="AM70" s="509">
        <f>Reported!AM150</f>
        <v/>
      </c>
      <c r="AN70" s="509">
        <f>Reported!AN150</f>
        <v/>
      </c>
      <c r="AO70" s="509">
        <f>Reported!AO150</f>
        <v/>
      </c>
      <c r="AP70" s="509">
        <f>Reported!AP150</f>
        <v/>
      </c>
      <c r="AQ70" s="509">
        <f>Reported!AQ150</f>
        <v/>
      </c>
      <c r="AR70" s="509">
        <f>Reported!AR150</f>
        <v/>
      </c>
      <c r="AS70" s="509">
        <f>Reported!AS150</f>
        <v/>
      </c>
      <c r="AT70" s="509">
        <f>Reported!AT150</f>
        <v/>
      </c>
      <c r="AU70" s="509">
        <f>Reported!AU150</f>
        <v/>
      </c>
      <c r="AV70" s="509">
        <f>Reported!AV150</f>
        <v/>
      </c>
      <c r="AW70" s="509">
        <f>Reported!AW150</f>
        <v/>
      </c>
      <c r="AX70" s="509">
        <f>Reported!AX150</f>
        <v/>
      </c>
      <c r="AY70" s="509">
        <f>Reported!AY150</f>
        <v/>
      </c>
      <c r="AZ70" s="509">
        <f>Reported!AZ150</f>
        <v/>
      </c>
      <c r="BA70" s="509">
        <f>Reported!BA150</f>
        <v/>
      </c>
      <c r="BB70" s="509">
        <f>Reported!BB150</f>
        <v/>
      </c>
      <c r="BC70" s="509">
        <f>Reported!BC150</f>
        <v/>
      </c>
      <c r="BD70" s="509">
        <f>Reported!BD150</f>
        <v/>
      </c>
      <c r="BE70" s="509">
        <f>Reported!BE150</f>
        <v/>
      </c>
      <c r="BF70" s="509">
        <f>Reported!BF150</f>
        <v/>
      </c>
      <c r="BG70" s="509">
        <f>Reported!BG150</f>
        <v/>
      </c>
      <c r="BH70" s="509">
        <f>Reported!BH150</f>
        <v/>
      </c>
      <c r="BI70" s="509">
        <f>Reported!BI150</f>
        <v/>
      </c>
      <c r="BJ70" s="509">
        <f>Reported!BJ150</f>
        <v/>
      </c>
      <c r="BK70" s="509">
        <f>Reported!BK150</f>
        <v/>
      </c>
      <c r="BL70" s="509">
        <f>Reported!BL150</f>
        <v/>
      </c>
      <c r="BM70" s="509">
        <f>Reported!BM150</f>
        <v/>
      </c>
      <c r="BN70" s="509">
        <f>Reported!BN150</f>
        <v/>
      </c>
      <c r="BO70" s="509">
        <f>Reported!BO150</f>
        <v/>
      </c>
      <c r="BP70" s="509">
        <f>Reported!BP150</f>
        <v/>
      </c>
      <c r="BQ70" s="509">
        <f>Reported!BQ150</f>
        <v/>
      </c>
      <c r="BR70" s="509">
        <f>Reported!BR150</f>
        <v/>
      </c>
      <c r="BS70" s="517">
        <f>Assumption!BS217</f>
        <v/>
      </c>
      <c r="BT70" s="517">
        <f>Assumption!BT217</f>
        <v/>
      </c>
      <c r="BU70" s="517">
        <f>Assumption!BU217</f>
        <v/>
      </c>
      <c r="BV70" s="517">
        <f>Assumption!BV217</f>
        <v/>
      </c>
      <c r="BW70" s="517">
        <f>Assumption!BW217</f>
        <v/>
      </c>
      <c r="BX70" s="517">
        <f>Assumption!BX217</f>
        <v/>
      </c>
      <c r="BY70" s="517">
        <f>Assumption!BY217</f>
        <v/>
      </c>
      <c r="BZ70" s="517">
        <f>Assumption!BZ217</f>
        <v/>
      </c>
      <c r="CA70" s="517">
        <f>Assumption!CA217</f>
        <v/>
      </c>
      <c r="CB70" s="517">
        <f>Assumption!CB217</f>
        <v/>
      </c>
      <c r="CC70" s="517">
        <f>Assumption!CC217</f>
        <v/>
      </c>
      <c r="CD70" s="517">
        <f>Assumption!CD217</f>
        <v/>
      </c>
      <c r="CE70" s="517">
        <f>Assumption!CE217</f>
        <v/>
      </c>
      <c r="CF70" s="517">
        <f>Assumption!CF217</f>
        <v/>
      </c>
      <c r="CG70" s="517">
        <f>Assumption!CG217</f>
        <v/>
      </c>
      <c r="CH70" s="517">
        <f>Assumption!CH217</f>
        <v/>
      </c>
      <c r="CI70" s="517">
        <f>Assumption!CI217</f>
        <v/>
      </c>
      <c r="CJ70" s="517">
        <f>Assumption!CJ217</f>
        <v/>
      </c>
      <c r="CK70" s="517">
        <f>Assumption!CK217</f>
        <v/>
      </c>
    </row>
    <row r="71">
      <c r="A71" s="33" t="inlineStr">
        <is>
          <t>Retained earnings</t>
        </is>
      </c>
      <c r="B71" s="145" t="n"/>
      <c r="C71" s="145" t="n"/>
      <c r="D71" s="145" t="n"/>
      <c r="E71" s="145" t="n"/>
      <c r="F71" s="145" t="n"/>
      <c r="G71" s="145" t="n"/>
      <c r="H71" s="145" t="n"/>
      <c r="I71" s="145" t="n"/>
      <c r="J71" s="145" t="n"/>
      <c r="K71" s="145" t="n"/>
      <c r="L71" s="145" t="n"/>
      <c r="M71" s="145" t="n"/>
      <c r="N71" s="509">
        <f>Reported!N151</f>
        <v/>
      </c>
      <c r="O71" s="509">
        <f>Reported!O151</f>
        <v/>
      </c>
      <c r="P71" s="509">
        <f>Reported!P151</f>
        <v/>
      </c>
      <c r="Q71" s="509">
        <f>Reported!Q151</f>
        <v/>
      </c>
      <c r="R71" s="509">
        <f>Reported!R151</f>
        <v/>
      </c>
      <c r="S71" s="509">
        <f>Reported!S151</f>
        <v/>
      </c>
      <c r="T71" s="509">
        <f>Reported!T151</f>
        <v/>
      </c>
      <c r="U71" s="509">
        <f>Reported!U151</f>
        <v/>
      </c>
      <c r="V71" s="509">
        <f>Reported!V151</f>
        <v/>
      </c>
      <c r="W71" s="509">
        <f>Reported!W151</f>
        <v/>
      </c>
      <c r="X71" s="509">
        <f>Reported!X151</f>
        <v/>
      </c>
      <c r="Y71" s="509">
        <f>Reported!Y151</f>
        <v/>
      </c>
      <c r="Z71" s="509">
        <f>Reported!Z151</f>
        <v/>
      </c>
      <c r="AA71" s="509">
        <f>Reported!AA151</f>
        <v/>
      </c>
      <c r="AB71" s="509">
        <f>Reported!AB151</f>
        <v/>
      </c>
      <c r="AC71" s="509">
        <f>Reported!AC151</f>
        <v/>
      </c>
      <c r="AD71" s="509">
        <f>Reported!AD151</f>
        <v/>
      </c>
      <c r="AE71" s="509">
        <f>Reported!AE151</f>
        <v/>
      </c>
      <c r="AF71" s="509">
        <f>Reported!AF151</f>
        <v/>
      </c>
      <c r="AG71" s="509">
        <f>Reported!AG151</f>
        <v/>
      </c>
      <c r="AH71" s="509">
        <f>Reported!AH151</f>
        <v/>
      </c>
      <c r="AI71" s="509">
        <f>Reported!AI151</f>
        <v/>
      </c>
      <c r="AJ71" s="509">
        <f>Reported!AJ151</f>
        <v/>
      </c>
      <c r="AK71" s="509">
        <f>Reported!AK151</f>
        <v/>
      </c>
      <c r="AL71" s="509">
        <f>Reported!AL151</f>
        <v/>
      </c>
      <c r="AM71" s="509">
        <f>Reported!AM151</f>
        <v/>
      </c>
      <c r="AN71" s="509">
        <f>Reported!AN151</f>
        <v/>
      </c>
      <c r="AO71" s="509">
        <f>Reported!AO151</f>
        <v/>
      </c>
      <c r="AP71" s="509">
        <f>Reported!AP151</f>
        <v/>
      </c>
      <c r="AQ71" s="509">
        <f>Reported!AQ151</f>
        <v/>
      </c>
      <c r="AR71" s="509">
        <f>Reported!AR151</f>
        <v/>
      </c>
      <c r="AS71" s="509">
        <f>Reported!AS151</f>
        <v/>
      </c>
      <c r="AT71" s="509">
        <f>Reported!AT151</f>
        <v/>
      </c>
      <c r="AU71" s="509">
        <f>Reported!AU151</f>
        <v/>
      </c>
      <c r="AV71" s="509">
        <f>Reported!AV151</f>
        <v/>
      </c>
      <c r="AW71" s="509">
        <f>Reported!AW151</f>
        <v/>
      </c>
      <c r="AX71" s="509">
        <f>Reported!AX151</f>
        <v/>
      </c>
      <c r="AY71" s="509">
        <f>Reported!AY151</f>
        <v/>
      </c>
      <c r="AZ71" s="509">
        <f>Reported!AZ151</f>
        <v/>
      </c>
      <c r="BA71" s="509">
        <f>Reported!BA151</f>
        <v/>
      </c>
      <c r="BB71" s="509">
        <f>Reported!BB151</f>
        <v/>
      </c>
      <c r="BC71" s="509">
        <f>Reported!BC151</f>
        <v/>
      </c>
      <c r="BD71" s="509">
        <f>Reported!BD151</f>
        <v/>
      </c>
      <c r="BE71" s="509">
        <f>Reported!BE151</f>
        <v/>
      </c>
      <c r="BF71" s="509">
        <f>Reported!BF151</f>
        <v/>
      </c>
      <c r="BG71" s="509">
        <f>Reported!BG151</f>
        <v/>
      </c>
      <c r="BH71" s="509">
        <f>Reported!BH151</f>
        <v/>
      </c>
      <c r="BI71" s="509">
        <f>Reported!BI151</f>
        <v/>
      </c>
      <c r="BJ71" s="509">
        <f>Reported!BJ151</f>
        <v/>
      </c>
      <c r="BK71" s="509">
        <f>Reported!BK151</f>
        <v/>
      </c>
      <c r="BL71" s="509">
        <f>Reported!BL151</f>
        <v/>
      </c>
      <c r="BM71" s="509">
        <f>Reported!BM151</f>
        <v/>
      </c>
      <c r="BN71" s="509">
        <f>Reported!BN151</f>
        <v/>
      </c>
      <c r="BO71" s="509">
        <f>Reported!BO151</f>
        <v/>
      </c>
      <c r="BP71" s="509">
        <f>Reported!BP151</f>
        <v/>
      </c>
      <c r="BQ71" s="509">
        <f>Reported!BQ151</f>
        <v/>
      </c>
      <c r="BR71" s="509">
        <f>Reported!BR151</f>
        <v/>
      </c>
      <c r="BS71" s="517">
        <f>Assumption!BS224</f>
        <v/>
      </c>
      <c r="BT71" s="517">
        <f>Assumption!BT224</f>
        <v/>
      </c>
      <c r="BU71" s="517">
        <f>Assumption!BU224</f>
        <v/>
      </c>
      <c r="BV71" s="517">
        <f>Assumption!BV224</f>
        <v/>
      </c>
      <c r="BW71" s="517">
        <f>Assumption!BW224</f>
        <v/>
      </c>
      <c r="BX71" s="517">
        <f>Assumption!BX224</f>
        <v/>
      </c>
      <c r="BY71" s="517">
        <f>Assumption!BY224</f>
        <v/>
      </c>
      <c r="BZ71" s="517">
        <f>Assumption!BZ224</f>
        <v/>
      </c>
      <c r="CA71" s="517">
        <f>Assumption!CA224</f>
        <v/>
      </c>
      <c r="CB71" s="517">
        <f>Assumption!CB224</f>
        <v/>
      </c>
      <c r="CC71" s="517">
        <f>Assumption!CC224</f>
        <v/>
      </c>
      <c r="CD71" s="517">
        <f>Assumption!CD224</f>
        <v/>
      </c>
      <c r="CE71" s="517">
        <f>Assumption!CE224</f>
        <v/>
      </c>
      <c r="CF71" s="517">
        <f>Assumption!CF224</f>
        <v/>
      </c>
      <c r="CG71" s="517">
        <f>Assumption!CG224</f>
        <v/>
      </c>
      <c r="CH71" s="517">
        <f>Assumption!CH224</f>
        <v/>
      </c>
      <c r="CI71" s="517">
        <f>Assumption!CI224</f>
        <v/>
      </c>
      <c r="CJ71" s="517">
        <f>Assumption!CJ224</f>
        <v/>
      </c>
      <c r="CK71" s="517">
        <f>Assumption!CK224</f>
        <v/>
      </c>
    </row>
    <row r="72">
      <c r="A72" s="33" t="inlineStr">
        <is>
          <t>Accumulated other comprehensive loss</t>
        </is>
      </c>
      <c r="B72" s="145" t="n"/>
      <c r="C72" s="145" t="n"/>
      <c r="D72" s="145" t="n"/>
      <c r="E72" s="145" t="n"/>
      <c r="F72" s="145" t="n"/>
      <c r="G72" s="145" t="n"/>
      <c r="H72" s="145" t="n"/>
      <c r="I72" s="145" t="n"/>
      <c r="J72" s="145" t="n"/>
      <c r="K72" s="145" t="n"/>
      <c r="L72" s="145" t="n"/>
      <c r="M72" s="145" t="n"/>
      <c r="N72" s="509">
        <f>Reported!N152</f>
        <v/>
      </c>
      <c r="O72" s="509">
        <f>Reported!O152</f>
        <v/>
      </c>
      <c r="P72" s="509">
        <f>Reported!P152</f>
        <v/>
      </c>
      <c r="Q72" s="509">
        <f>Reported!Q152</f>
        <v/>
      </c>
      <c r="R72" s="509">
        <f>Reported!R152</f>
        <v/>
      </c>
      <c r="S72" s="509">
        <f>Reported!S152</f>
        <v/>
      </c>
      <c r="T72" s="509">
        <f>Reported!T152</f>
        <v/>
      </c>
      <c r="U72" s="509">
        <f>Reported!U152</f>
        <v/>
      </c>
      <c r="V72" s="509">
        <f>Reported!V152</f>
        <v/>
      </c>
      <c r="W72" s="509">
        <f>Reported!W152</f>
        <v/>
      </c>
      <c r="X72" s="509">
        <f>Reported!X152</f>
        <v/>
      </c>
      <c r="Y72" s="509">
        <f>Reported!Y152</f>
        <v/>
      </c>
      <c r="Z72" s="509">
        <f>Reported!Z152</f>
        <v/>
      </c>
      <c r="AA72" s="509">
        <f>Reported!AA152</f>
        <v/>
      </c>
      <c r="AB72" s="509">
        <f>Reported!AB152</f>
        <v/>
      </c>
      <c r="AC72" s="509">
        <f>Reported!AC152</f>
        <v/>
      </c>
      <c r="AD72" s="509">
        <f>Reported!AD152</f>
        <v/>
      </c>
      <c r="AE72" s="509">
        <f>Reported!AE152</f>
        <v/>
      </c>
      <c r="AF72" s="509">
        <f>Reported!AF152</f>
        <v/>
      </c>
      <c r="AG72" s="509">
        <f>Reported!AG152</f>
        <v/>
      </c>
      <c r="AH72" s="509">
        <f>Reported!AH152</f>
        <v/>
      </c>
      <c r="AI72" s="509">
        <f>Reported!AI152</f>
        <v/>
      </c>
      <c r="AJ72" s="509">
        <f>Reported!AJ152</f>
        <v/>
      </c>
      <c r="AK72" s="509">
        <f>Reported!AK152</f>
        <v/>
      </c>
      <c r="AL72" s="509">
        <f>Reported!AL152</f>
        <v/>
      </c>
      <c r="AM72" s="509">
        <f>Reported!AM152</f>
        <v/>
      </c>
      <c r="AN72" s="509">
        <f>Reported!AN152</f>
        <v/>
      </c>
      <c r="AO72" s="509">
        <f>Reported!AO152</f>
        <v/>
      </c>
      <c r="AP72" s="509">
        <f>Reported!AP152</f>
        <v/>
      </c>
      <c r="AQ72" s="509">
        <f>Reported!AQ152</f>
        <v/>
      </c>
      <c r="AR72" s="509">
        <f>Reported!AR152</f>
        <v/>
      </c>
      <c r="AS72" s="509">
        <f>Reported!AS152</f>
        <v/>
      </c>
      <c r="AT72" s="509">
        <f>Reported!AT152</f>
        <v/>
      </c>
      <c r="AU72" s="509">
        <f>Reported!AU152</f>
        <v/>
      </c>
      <c r="AV72" s="509">
        <f>Reported!AV152</f>
        <v/>
      </c>
      <c r="AW72" s="509">
        <f>Reported!AW152</f>
        <v/>
      </c>
      <c r="AX72" s="509">
        <f>Reported!AX152</f>
        <v/>
      </c>
      <c r="AY72" s="509">
        <f>Reported!AY152</f>
        <v/>
      </c>
      <c r="AZ72" s="509">
        <f>Reported!AZ152</f>
        <v/>
      </c>
      <c r="BA72" s="509">
        <f>Reported!BA152</f>
        <v/>
      </c>
      <c r="BB72" s="509">
        <f>Reported!BB152</f>
        <v/>
      </c>
      <c r="BC72" s="509">
        <f>Reported!BC152</f>
        <v/>
      </c>
      <c r="BD72" s="509">
        <f>Reported!BD152</f>
        <v/>
      </c>
      <c r="BE72" s="509">
        <f>Reported!BE152</f>
        <v/>
      </c>
      <c r="BF72" s="509">
        <f>Reported!BF152</f>
        <v/>
      </c>
      <c r="BG72" s="509">
        <f>Reported!BG152</f>
        <v/>
      </c>
      <c r="BH72" s="509">
        <f>Reported!BH152</f>
        <v/>
      </c>
      <c r="BI72" s="509">
        <f>Reported!BI152</f>
        <v/>
      </c>
      <c r="BJ72" s="509">
        <f>Reported!BJ152</f>
        <v/>
      </c>
      <c r="BK72" s="509">
        <f>Reported!BK152</f>
        <v/>
      </c>
      <c r="BL72" s="509">
        <f>Reported!BL152</f>
        <v/>
      </c>
      <c r="BM72" s="509">
        <f>Reported!BM152</f>
        <v/>
      </c>
      <c r="BN72" s="509">
        <f>Reported!BN152</f>
        <v/>
      </c>
      <c r="BO72" s="509">
        <f>Reported!BO152</f>
        <v/>
      </c>
      <c r="BP72" s="509">
        <f>Reported!BP152</f>
        <v/>
      </c>
      <c r="BQ72" s="509">
        <f>Reported!BQ152</f>
        <v/>
      </c>
      <c r="BR72" s="509">
        <f>Reported!BR152</f>
        <v/>
      </c>
      <c r="BS72" s="517">
        <f>Assumption!BS226</f>
        <v/>
      </c>
      <c r="BT72" s="517">
        <f>Assumption!BT226</f>
        <v/>
      </c>
      <c r="BU72" s="517">
        <f>Assumption!BU226</f>
        <v/>
      </c>
      <c r="BV72" s="517">
        <f>Assumption!BV226</f>
        <v/>
      </c>
      <c r="BW72" s="517">
        <f>Assumption!BW226</f>
        <v/>
      </c>
      <c r="BX72" s="517">
        <f>Assumption!BX226</f>
        <v/>
      </c>
      <c r="BY72" s="517">
        <f>Assumption!BY226</f>
        <v/>
      </c>
      <c r="BZ72" s="517">
        <f>Assumption!BZ226</f>
        <v/>
      </c>
      <c r="CA72" s="517">
        <f>Assumption!CA226</f>
        <v/>
      </c>
      <c r="CB72" s="517">
        <f>Assumption!CB226</f>
        <v/>
      </c>
      <c r="CC72" s="517">
        <f>Assumption!CC226</f>
        <v/>
      </c>
      <c r="CD72" s="517">
        <f>Assumption!CD226</f>
        <v/>
      </c>
      <c r="CE72" s="517">
        <f>Assumption!CE226</f>
        <v/>
      </c>
      <c r="CF72" s="517">
        <f>Assumption!CF226</f>
        <v/>
      </c>
      <c r="CG72" s="517">
        <f>Assumption!CG226</f>
        <v/>
      </c>
      <c r="CH72" s="517">
        <f>Assumption!CH226</f>
        <v/>
      </c>
      <c r="CI72" s="517">
        <f>Assumption!CI226</f>
        <v/>
      </c>
      <c r="CJ72" s="517">
        <f>Assumption!CJ226</f>
        <v/>
      </c>
      <c r="CK72" s="517">
        <f>Assumption!CK226</f>
        <v/>
      </c>
    </row>
    <row r="73">
      <c r="A73" s="74" t="inlineStr">
        <is>
          <t>Total IPG Photonics Corporation equity</t>
        </is>
      </c>
      <c r="B73" s="145" t="n"/>
      <c r="C73" s="145" t="n"/>
      <c r="D73" s="145" t="n"/>
      <c r="E73" s="145" t="n"/>
      <c r="F73" s="145" t="n"/>
      <c r="G73" s="145" t="n"/>
      <c r="H73" s="145" t="n"/>
      <c r="I73" s="145" t="n"/>
      <c r="J73" s="145" t="n"/>
      <c r="K73" s="145" t="n"/>
      <c r="L73" s="145" t="n"/>
      <c r="M73" s="145" t="n"/>
      <c r="N73" s="509">
        <f>Reported!N153</f>
        <v/>
      </c>
      <c r="O73" s="509">
        <f>Reported!O153</f>
        <v/>
      </c>
      <c r="P73" s="509">
        <f>Reported!P153</f>
        <v/>
      </c>
      <c r="Q73" s="509">
        <f>Reported!Q153</f>
        <v/>
      </c>
      <c r="R73" s="509">
        <f>Reported!R153</f>
        <v/>
      </c>
      <c r="S73" s="509">
        <f>Reported!S153</f>
        <v/>
      </c>
      <c r="T73" s="509">
        <f>Reported!T153</f>
        <v/>
      </c>
      <c r="U73" s="509">
        <f>Reported!U153</f>
        <v/>
      </c>
      <c r="V73" s="509">
        <f>Reported!V153</f>
        <v/>
      </c>
      <c r="W73" s="509">
        <f>Reported!W153</f>
        <v/>
      </c>
      <c r="X73" s="509">
        <f>Reported!X153</f>
        <v/>
      </c>
      <c r="Y73" s="509">
        <f>Reported!Y153</f>
        <v/>
      </c>
      <c r="Z73" s="509">
        <f>Reported!Z153</f>
        <v/>
      </c>
      <c r="AA73" s="509">
        <f>Reported!AA153</f>
        <v/>
      </c>
      <c r="AB73" s="509">
        <f>Reported!AB153</f>
        <v/>
      </c>
      <c r="AC73" s="509">
        <f>Reported!AC153</f>
        <v/>
      </c>
      <c r="AD73" s="509">
        <f>Reported!AD153</f>
        <v/>
      </c>
      <c r="AE73" s="509">
        <f>Reported!AE153</f>
        <v/>
      </c>
      <c r="AF73" s="509">
        <f>Reported!AF153</f>
        <v/>
      </c>
      <c r="AG73" s="509">
        <f>Reported!AG153</f>
        <v/>
      </c>
      <c r="AH73" s="509">
        <f>Reported!AH153</f>
        <v/>
      </c>
      <c r="AI73" s="509">
        <f>Reported!AI153</f>
        <v/>
      </c>
      <c r="AJ73" s="509">
        <f>Reported!AJ153</f>
        <v/>
      </c>
      <c r="AK73" s="509">
        <f>Reported!AK153</f>
        <v/>
      </c>
      <c r="AL73" s="509">
        <f>Reported!AL153</f>
        <v/>
      </c>
      <c r="AM73" s="509">
        <f>Reported!AM153</f>
        <v/>
      </c>
      <c r="AN73" s="509">
        <f>Reported!AN153</f>
        <v/>
      </c>
      <c r="AO73" s="509">
        <f>Reported!AO153</f>
        <v/>
      </c>
      <c r="AP73" s="509">
        <f>Reported!AP153</f>
        <v/>
      </c>
      <c r="AQ73" s="509">
        <f>Reported!AQ153</f>
        <v/>
      </c>
      <c r="AR73" s="509">
        <f>Reported!AR153</f>
        <v/>
      </c>
      <c r="AS73" s="509">
        <f>Reported!AS153</f>
        <v/>
      </c>
      <c r="AT73" s="509">
        <f>Reported!AT153</f>
        <v/>
      </c>
      <c r="AU73" s="509">
        <f>Reported!AU153</f>
        <v/>
      </c>
      <c r="AV73" s="509">
        <f>Reported!AV153</f>
        <v/>
      </c>
      <c r="AW73" s="509">
        <f>Reported!AW153</f>
        <v/>
      </c>
      <c r="AX73" s="509">
        <f>Reported!AX153</f>
        <v/>
      </c>
      <c r="AY73" s="509">
        <f>Reported!AY153</f>
        <v/>
      </c>
      <c r="AZ73" s="509">
        <f>Reported!AZ153</f>
        <v/>
      </c>
      <c r="BA73" s="509">
        <f>Reported!BA153</f>
        <v/>
      </c>
      <c r="BB73" s="509">
        <f>Reported!BB153</f>
        <v/>
      </c>
      <c r="BC73" s="509">
        <f>Reported!BC153</f>
        <v/>
      </c>
      <c r="BD73" s="509">
        <f>Reported!BD153</f>
        <v/>
      </c>
      <c r="BE73" s="509">
        <f>Reported!BE153</f>
        <v/>
      </c>
      <c r="BF73" s="509">
        <f>Reported!BF153</f>
        <v/>
      </c>
      <c r="BG73" s="509">
        <f>Reported!BG153</f>
        <v/>
      </c>
      <c r="BH73" s="509">
        <f>Reported!BH153</f>
        <v/>
      </c>
      <c r="BI73" s="509">
        <f>Reported!BI153</f>
        <v/>
      </c>
      <c r="BJ73" s="509">
        <f>Reported!BJ153</f>
        <v/>
      </c>
      <c r="BK73" s="509">
        <f>Reported!BK153</f>
        <v/>
      </c>
      <c r="BL73" s="509">
        <f>Reported!BL153</f>
        <v/>
      </c>
      <c r="BM73" s="509">
        <f>Reported!BM153</f>
        <v/>
      </c>
      <c r="BN73" s="509">
        <f>Reported!BN153</f>
        <v/>
      </c>
      <c r="BO73" s="509">
        <f>Reported!BO153</f>
        <v/>
      </c>
      <c r="BP73" s="509">
        <f>Reported!BP153</f>
        <v/>
      </c>
      <c r="BQ73" s="509">
        <f>Reported!BQ153</f>
        <v/>
      </c>
      <c r="BR73" s="509">
        <f>Reported!BR153</f>
        <v/>
      </c>
      <c r="BS73" s="517">
        <f>SUM(BS68:BS72)</f>
        <v/>
      </c>
      <c r="BT73" s="517">
        <f>SUM(BT68:BT72)</f>
        <v/>
      </c>
      <c r="BU73" s="517">
        <f>SUM(BU68:BU72)</f>
        <v/>
      </c>
      <c r="BV73" s="517">
        <f>SUM(BV68:BV72)</f>
        <v/>
      </c>
      <c r="BW73" s="517">
        <f>SUM(BW68:BW72)</f>
        <v/>
      </c>
      <c r="BX73" s="517">
        <f>SUM(BX68:BX72)</f>
        <v/>
      </c>
      <c r="BY73" s="517">
        <f>SUM(BY68:BY72)</f>
        <v/>
      </c>
      <c r="BZ73" s="517">
        <f>SUM(BZ68:BZ72)</f>
        <v/>
      </c>
      <c r="CA73" s="517">
        <f>SUM(CA68:CA72)</f>
        <v/>
      </c>
      <c r="CB73" s="517">
        <f>SUM(CB68:CB72)</f>
        <v/>
      </c>
      <c r="CC73" s="517">
        <f>SUM(CC68:CC72)</f>
        <v/>
      </c>
      <c r="CD73" s="517">
        <f>SUM(CD68:CD72)</f>
        <v/>
      </c>
      <c r="CE73" s="517">
        <f>SUM(CE68:CE72)</f>
        <v/>
      </c>
      <c r="CF73" s="517">
        <f>SUM(CF68:CF72)</f>
        <v/>
      </c>
      <c r="CG73" s="517">
        <f>SUM(CG68:CG72)</f>
        <v/>
      </c>
      <c r="CH73" s="517">
        <f>SUM(CH68:CH72)</f>
        <v/>
      </c>
      <c r="CI73" s="517">
        <f>SUM(CI68:CI72)</f>
        <v/>
      </c>
      <c r="CJ73" s="517">
        <f>SUM(CJ68:CJ72)</f>
        <v/>
      </c>
      <c r="CK73" s="517">
        <f>SUM(CK68:CK72)</f>
        <v/>
      </c>
    </row>
    <row r="74">
      <c r="A74" s="74" t="inlineStr">
        <is>
          <t>Noncontrolling interests</t>
        </is>
      </c>
      <c r="B74" s="145" t="n"/>
      <c r="C74" s="145" t="n"/>
      <c r="D74" s="145" t="n"/>
      <c r="E74" s="145" t="n"/>
      <c r="F74" s="145" t="n"/>
      <c r="G74" s="145" t="n"/>
      <c r="H74" s="145" t="n"/>
      <c r="I74" s="145" t="n"/>
      <c r="J74" s="145" t="n"/>
      <c r="K74" s="145" t="n"/>
      <c r="L74" s="145" t="n"/>
      <c r="M74" s="145" t="n"/>
      <c r="N74" s="509">
        <f>Reported!N154</f>
        <v/>
      </c>
      <c r="O74" s="509">
        <f>Reported!O154</f>
        <v/>
      </c>
      <c r="P74" s="509">
        <f>Reported!P154</f>
        <v/>
      </c>
      <c r="Q74" s="509">
        <f>Reported!Q154</f>
        <v/>
      </c>
      <c r="R74" s="509">
        <f>Reported!R154</f>
        <v/>
      </c>
      <c r="S74" s="509">
        <f>Reported!S154</f>
        <v/>
      </c>
      <c r="T74" s="509">
        <f>Reported!T154</f>
        <v/>
      </c>
      <c r="U74" s="509">
        <f>Reported!U154</f>
        <v/>
      </c>
      <c r="V74" s="509">
        <f>Reported!V154</f>
        <v/>
      </c>
      <c r="W74" s="509">
        <f>Reported!W154</f>
        <v/>
      </c>
      <c r="X74" s="509">
        <f>Reported!X154</f>
        <v/>
      </c>
      <c r="Y74" s="509">
        <f>Reported!Y154</f>
        <v/>
      </c>
      <c r="Z74" s="509">
        <f>Reported!Z154</f>
        <v/>
      </c>
      <c r="AA74" s="509">
        <f>Reported!AA154</f>
        <v/>
      </c>
      <c r="AB74" s="509">
        <f>Reported!AB154</f>
        <v/>
      </c>
      <c r="AC74" s="509">
        <f>Reported!AC154</f>
        <v/>
      </c>
      <c r="AD74" s="509">
        <f>Reported!AD154</f>
        <v/>
      </c>
      <c r="AE74" s="509">
        <f>Reported!AE154</f>
        <v/>
      </c>
      <c r="AF74" s="509">
        <f>Reported!AF154</f>
        <v/>
      </c>
      <c r="AG74" s="509">
        <f>Reported!AG154</f>
        <v/>
      </c>
      <c r="AH74" s="509">
        <f>Reported!AH154</f>
        <v/>
      </c>
      <c r="AI74" s="509">
        <f>Reported!AI154</f>
        <v/>
      </c>
      <c r="AJ74" s="509">
        <f>Reported!AJ154</f>
        <v/>
      </c>
      <c r="AK74" s="509">
        <f>Reported!AK154</f>
        <v/>
      </c>
      <c r="AL74" s="509">
        <f>Reported!AL154</f>
        <v/>
      </c>
      <c r="AM74" s="509">
        <f>Reported!AM154</f>
        <v/>
      </c>
      <c r="AN74" s="509">
        <f>Reported!AN154</f>
        <v/>
      </c>
      <c r="AO74" s="509">
        <f>Reported!AO154</f>
        <v/>
      </c>
      <c r="AP74" s="509">
        <f>Reported!AP154</f>
        <v/>
      </c>
      <c r="AQ74" s="509">
        <f>Reported!AQ154</f>
        <v/>
      </c>
      <c r="AR74" s="509">
        <f>Reported!AR154</f>
        <v/>
      </c>
      <c r="AS74" s="509">
        <f>Reported!AS154</f>
        <v/>
      </c>
      <c r="AT74" s="509">
        <f>Reported!AT154</f>
        <v/>
      </c>
      <c r="AU74" s="509">
        <f>Reported!AU154</f>
        <v/>
      </c>
      <c r="AV74" s="509">
        <f>Reported!AV154</f>
        <v/>
      </c>
      <c r="AW74" s="509">
        <f>Reported!AW154</f>
        <v/>
      </c>
      <c r="AX74" s="509">
        <f>Reported!AX154</f>
        <v/>
      </c>
      <c r="AY74" s="509">
        <f>Reported!AY154</f>
        <v/>
      </c>
      <c r="AZ74" s="509">
        <f>Reported!AZ154</f>
        <v/>
      </c>
      <c r="BA74" s="509">
        <f>Reported!BA154</f>
        <v/>
      </c>
      <c r="BB74" s="509">
        <f>Reported!BB154</f>
        <v/>
      </c>
      <c r="BC74" s="509">
        <f>Reported!BC154</f>
        <v/>
      </c>
      <c r="BD74" s="509">
        <f>Reported!BD154</f>
        <v/>
      </c>
      <c r="BE74" s="509">
        <f>Reported!BE154</f>
        <v/>
      </c>
      <c r="BF74" s="509">
        <f>Reported!BF154</f>
        <v/>
      </c>
      <c r="BG74" s="509">
        <f>Reported!BG154</f>
        <v/>
      </c>
      <c r="BH74" s="509">
        <f>Reported!BH154</f>
        <v/>
      </c>
      <c r="BI74" s="509">
        <f>Reported!BI154</f>
        <v/>
      </c>
      <c r="BJ74" s="509">
        <f>Reported!BJ154</f>
        <v/>
      </c>
      <c r="BK74" s="509">
        <f>Reported!BK154</f>
        <v/>
      </c>
      <c r="BL74" s="509">
        <f>Reported!BL154</f>
        <v/>
      </c>
      <c r="BM74" s="509">
        <f>Reported!BM154</f>
        <v/>
      </c>
      <c r="BN74" s="509">
        <f>Reported!BN154</f>
        <v/>
      </c>
      <c r="BO74" s="509">
        <f>Reported!BO154</f>
        <v/>
      </c>
      <c r="BP74" s="509">
        <f>Reported!BP154</f>
        <v/>
      </c>
      <c r="BQ74" s="509">
        <f>Reported!BQ154</f>
        <v/>
      </c>
      <c r="BR74" s="509">
        <f>Reported!BR154</f>
        <v/>
      </c>
      <c r="BS74" s="517">
        <f>Assumption!BS228</f>
        <v/>
      </c>
      <c r="BT74" s="517">
        <f>Assumption!BT228</f>
        <v/>
      </c>
      <c r="BU74" s="517">
        <f>Assumption!BU228</f>
        <v/>
      </c>
      <c r="BV74" s="517">
        <f>Assumption!BV228</f>
        <v/>
      </c>
      <c r="BW74" s="517">
        <f>Assumption!BW228</f>
        <v/>
      </c>
      <c r="BX74" s="517">
        <f>Assumption!BX228</f>
        <v/>
      </c>
      <c r="BY74" s="517">
        <f>Assumption!BY228</f>
        <v/>
      </c>
      <c r="BZ74" s="517">
        <f>Assumption!BZ228</f>
        <v/>
      </c>
      <c r="CA74" s="517">
        <f>Assumption!CA228</f>
        <v/>
      </c>
      <c r="CB74" s="517">
        <f>Assumption!CB228</f>
        <v/>
      </c>
      <c r="CC74" s="517">
        <f>Assumption!CC228</f>
        <v/>
      </c>
      <c r="CD74" s="517">
        <f>Assumption!CD228</f>
        <v/>
      </c>
      <c r="CE74" s="517">
        <f>Assumption!CE228</f>
        <v/>
      </c>
      <c r="CF74" s="517">
        <f>Assumption!CF228</f>
        <v/>
      </c>
      <c r="CG74" s="517">
        <f>Assumption!CG228</f>
        <v/>
      </c>
      <c r="CH74" s="517">
        <f>Assumption!CH228</f>
        <v/>
      </c>
      <c r="CI74" s="517">
        <f>Assumption!CI228</f>
        <v/>
      </c>
      <c r="CJ74" s="517">
        <f>Assumption!CJ228</f>
        <v/>
      </c>
      <c r="CK74" s="517">
        <f>Assumption!CK228</f>
        <v/>
      </c>
    </row>
    <row r="75">
      <c r="A75" s="22" t="inlineStr">
        <is>
          <t>Total equity</t>
        </is>
      </c>
      <c r="B75" s="133" t="n"/>
      <c r="C75" s="133" t="n"/>
      <c r="D75" s="133" t="n"/>
      <c r="E75" s="133" t="n"/>
      <c r="F75" s="133" t="n"/>
      <c r="G75" s="133" t="n"/>
      <c r="H75" s="133" t="n"/>
      <c r="I75" s="133" t="n"/>
      <c r="J75" s="133" t="n"/>
      <c r="K75" s="133" t="n"/>
      <c r="L75" s="133" t="n"/>
      <c r="M75" s="133" t="n"/>
      <c r="N75" s="671">
        <f>Reported!N155</f>
        <v/>
      </c>
      <c r="O75" s="671">
        <f>Reported!O155</f>
        <v/>
      </c>
      <c r="P75" s="671">
        <f>Reported!P155</f>
        <v/>
      </c>
      <c r="Q75" s="671">
        <f>Reported!Q155</f>
        <v/>
      </c>
      <c r="R75" s="671">
        <f>Reported!R155</f>
        <v/>
      </c>
      <c r="S75" s="671">
        <f>Reported!S155</f>
        <v/>
      </c>
      <c r="T75" s="671">
        <f>Reported!T155</f>
        <v/>
      </c>
      <c r="U75" s="671">
        <f>Reported!U155</f>
        <v/>
      </c>
      <c r="V75" s="671">
        <f>Reported!V155</f>
        <v/>
      </c>
      <c r="W75" s="671">
        <f>Reported!W155</f>
        <v/>
      </c>
      <c r="X75" s="671">
        <f>Reported!X155</f>
        <v/>
      </c>
      <c r="Y75" s="671">
        <f>Reported!Y155</f>
        <v/>
      </c>
      <c r="Z75" s="671">
        <f>Reported!Z155</f>
        <v/>
      </c>
      <c r="AA75" s="671">
        <f>Reported!AA155</f>
        <v/>
      </c>
      <c r="AB75" s="671">
        <f>Reported!AB155</f>
        <v/>
      </c>
      <c r="AC75" s="671">
        <f>Reported!AC155</f>
        <v/>
      </c>
      <c r="AD75" s="671">
        <f>Reported!AD155</f>
        <v/>
      </c>
      <c r="AE75" s="671">
        <f>Reported!AE155</f>
        <v/>
      </c>
      <c r="AF75" s="671">
        <f>Reported!AF155</f>
        <v/>
      </c>
      <c r="AG75" s="671">
        <f>Reported!AG155</f>
        <v/>
      </c>
      <c r="AH75" s="671">
        <f>Reported!AH155</f>
        <v/>
      </c>
      <c r="AI75" s="671">
        <f>Reported!AI155</f>
        <v/>
      </c>
      <c r="AJ75" s="671">
        <f>Reported!AJ155</f>
        <v/>
      </c>
      <c r="AK75" s="671">
        <f>Reported!AK155</f>
        <v/>
      </c>
      <c r="AL75" s="671">
        <f>Reported!AL155</f>
        <v/>
      </c>
      <c r="AM75" s="671">
        <f>Reported!AM155</f>
        <v/>
      </c>
      <c r="AN75" s="671">
        <f>Reported!AN155</f>
        <v/>
      </c>
      <c r="AO75" s="671">
        <f>Reported!AO155</f>
        <v/>
      </c>
      <c r="AP75" s="671">
        <f>Reported!AP155</f>
        <v/>
      </c>
      <c r="AQ75" s="671">
        <f>Reported!AQ155</f>
        <v/>
      </c>
      <c r="AR75" s="671">
        <f>Reported!AR155</f>
        <v/>
      </c>
      <c r="AS75" s="671">
        <f>Reported!AS155</f>
        <v/>
      </c>
      <c r="AT75" s="671">
        <f>Reported!AT155</f>
        <v/>
      </c>
      <c r="AU75" s="671">
        <f>Reported!AU155</f>
        <v/>
      </c>
      <c r="AV75" s="671">
        <f>Reported!AV155</f>
        <v/>
      </c>
      <c r="AW75" s="671">
        <f>Reported!AW155</f>
        <v/>
      </c>
      <c r="AX75" s="671">
        <f>Reported!AX155</f>
        <v/>
      </c>
      <c r="AY75" s="671">
        <f>Reported!AY155</f>
        <v/>
      </c>
      <c r="AZ75" s="671">
        <f>Reported!AZ155</f>
        <v/>
      </c>
      <c r="BA75" s="671">
        <f>Reported!BA155</f>
        <v/>
      </c>
      <c r="BB75" s="671">
        <f>Reported!BB155</f>
        <v/>
      </c>
      <c r="BC75" s="671">
        <f>Reported!BC155</f>
        <v/>
      </c>
      <c r="BD75" s="671">
        <f>Reported!BD155</f>
        <v/>
      </c>
      <c r="BE75" s="671">
        <f>Reported!BE155</f>
        <v/>
      </c>
      <c r="BF75" s="671">
        <f>Reported!BF155</f>
        <v/>
      </c>
      <c r="BG75" s="671">
        <f>Reported!BG155</f>
        <v/>
      </c>
      <c r="BH75" s="671">
        <f>Reported!BH155</f>
        <v/>
      </c>
      <c r="BI75" s="671">
        <f>Reported!BI155</f>
        <v/>
      </c>
      <c r="BJ75" s="671">
        <f>Reported!BJ155</f>
        <v/>
      </c>
      <c r="BK75" s="671">
        <f>Reported!BK155</f>
        <v/>
      </c>
      <c r="BL75" s="671">
        <f>Reported!BL155</f>
        <v/>
      </c>
      <c r="BM75" s="671">
        <f>Reported!BM155</f>
        <v/>
      </c>
      <c r="BN75" s="671">
        <f>Reported!BN155</f>
        <v/>
      </c>
      <c r="BO75" s="671">
        <f>Reported!BO155</f>
        <v/>
      </c>
      <c r="BP75" s="671">
        <f>Reported!BP155</f>
        <v/>
      </c>
      <c r="BQ75" s="671">
        <f>Reported!BQ155</f>
        <v/>
      </c>
      <c r="BR75" s="671">
        <f>Reported!BR155</f>
        <v/>
      </c>
      <c r="BS75" s="519">
        <f>SUM(BS73:BS74)</f>
        <v/>
      </c>
      <c r="BT75" s="519">
        <f>SUM(BT73:BT74)</f>
        <v/>
      </c>
      <c r="BU75" s="519">
        <f>SUM(BU73:BU74)</f>
        <v/>
      </c>
      <c r="BV75" s="519">
        <f>SUM(BV73:BV74)</f>
        <v/>
      </c>
      <c r="BW75" s="519">
        <f>SUM(BW73:BW74)</f>
        <v/>
      </c>
      <c r="BX75" s="519">
        <f>SUM(BX73:BX74)</f>
        <v/>
      </c>
      <c r="BY75" s="519">
        <f>SUM(BY73:BY74)</f>
        <v/>
      </c>
      <c r="BZ75" s="519">
        <f>SUM(BZ73:BZ74)</f>
        <v/>
      </c>
      <c r="CA75" s="519">
        <f>SUM(CA73:CA74)</f>
        <v/>
      </c>
      <c r="CB75" s="519">
        <f>SUM(CB73:CB74)</f>
        <v/>
      </c>
      <c r="CC75" s="519">
        <f>SUM(CC73:CC74)</f>
        <v/>
      </c>
      <c r="CD75" s="519">
        <f>SUM(CD73:CD74)</f>
        <v/>
      </c>
      <c r="CE75" s="519">
        <f>SUM(CE73:CE74)</f>
        <v/>
      </c>
      <c r="CF75" s="519">
        <f>SUM(CF73:CF74)</f>
        <v/>
      </c>
      <c r="CG75" s="519">
        <f>SUM(CG73:CG74)</f>
        <v/>
      </c>
      <c r="CH75" s="519">
        <f>SUM(CH73:CH74)</f>
        <v/>
      </c>
      <c r="CI75" s="519">
        <f>SUM(CI73:CI74)</f>
        <v/>
      </c>
      <c r="CJ75" s="519">
        <f>SUM(CJ73:CJ74)</f>
        <v/>
      </c>
      <c r="CK75" s="519">
        <f>SUM(CK73:CK74)</f>
        <v/>
      </c>
    </row>
    <row r="76">
      <c r="A76" s="22" t="inlineStr">
        <is>
          <t>Total equity and liabillities</t>
        </is>
      </c>
      <c r="B76" s="133" t="n"/>
      <c r="C76" s="133" t="n"/>
      <c r="D76" s="133" t="n"/>
      <c r="E76" s="133" t="n"/>
      <c r="F76" s="133" t="n"/>
      <c r="G76" s="133" t="n"/>
      <c r="H76" s="133" t="n"/>
      <c r="I76" s="133" t="n"/>
      <c r="J76" s="133" t="n"/>
      <c r="K76" s="133" t="n"/>
      <c r="L76" s="133" t="n"/>
      <c r="M76" s="133" t="n"/>
      <c r="N76" s="671">
        <f>Reported!N156</f>
        <v/>
      </c>
      <c r="O76" s="671">
        <f>Reported!O156</f>
        <v/>
      </c>
      <c r="P76" s="671">
        <f>Reported!P156</f>
        <v/>
      </c>
      <c r="Q76" s="671">
        <f>Reported!Q156</f>
        <v/>
      </c>
      <c r="R76" s="671">
        <f>Reported!R156</f>
        <v/>
      </c>
      <c r="S76" s="671">
        <f>Reported!S156</f>
        <v/>
      </c>
      <c r="T76" s="671">
        <f>Reported!T156</f>
        <v/>
      </c>
      <c r="U76" s="671">
        <f>Reported!U156</f>
        <v/>
      </c>
      <c r="V76" s="671">
        <f>Reported!V156</f>
        <v/>
      </c>
      <c r="W76" s="671">
        <f>Reported!W156</f>
        <v/>
      </c>
      <c r="X76" s="671">
        <f>Reported!X156</f>
        <v/>
      </c>
      <c r="Y76" s="671">
        <f>Reported!Y156</f>
        <v/>
      </c>
      <c r="Z76" s="671">
        <f>Reported!Z156</f>
        <v/>
      </c>
      <c r="AA76" s="671">
        <f>Reported!AA156</f>
        <v/>
      </c>
      <c r="AB76" s="671">
        <f>Reported!AB156</f>
        <v/>
      </c>
      <c r="AC76" s="671">
        <f>Reported!AC156</f>
        <v/>
      </c>
      <c r="AD76" s="671">
        <f>Reported!AD156</f>
        <v/>
      </c>
      <c r="AE76" s="671">
        <f>Reported!AE156</f>
        <v/>
      </c>
      <c r="AF76" s="671">
        <f>Reported!AF156</f>
        <v/>
      </c>
      <c r="AG76" s="671">
        <f>Reported!AG156</f>
        <v/>
      </c>
      <c r="AH76" s="671">
        <f>Reported!AH156</f>
        <v/>
      </c>
      <c r="AI76" s="671">
        <f>Reported!AI156</f>
        <v/>
      </c>
      <c r="AJ76" s="671">
        <f>Reported!AJ156</f>
        <v/>
      </c>
      <c r="AK76" s="671">
        <f>Reported!AK156</f>
        <v/>
      </c>
      <c r="AL76" s="671">
        <f>Reported!AL156</f>
        <v/>
      </c>
      <c r="AM76" s="671">
        <f>Reported!AM156</f>
        <v/>
      </c>
      <c r="AN76" s="671">
        <f>Reported!AN156</f>
        <v/>
      </c>
      <c r="AO76" s="671">
        <f>Reported!AO156</f>
        <v/>
      </c>
      <c r="AP76" s="671">
        <f>Reported!AP156</f>
        <v/>
      </c>
      <c r="AQ76" s="671">
        <f>Reported!AQ156</f>
        <v/>
      </c>
      <c r="AR76" s="671">
        <f>Reported!AR156</f>
        <v/>
      </c>
      <c r="AS76" s="671">
        <f>Reported!AS156</f>
        <v/>
      </c>
      <c r="AT76" s="671">
        <f>Reported!AT156</f>
        <v/>
      </c>
      <c r="AU76" s="671">
        <f>Reported!AU156</f>
        <v/>
      </c>
      <c r="AV76" s="671">
        <f>Reported!AV156</f>
        <v/>
      </c>
      <c r="AW76" s="671">
        <f>Reported!AW156</f>
        <v/>
      </c>
      <c r="AX76" s="671">
        <f>Reported!AX156</f>
        <v/>
      </c>
      <c r="AY76" s="671">
        <f>Reported!AY156</f>
        <v/>
      </c>
      <c r="AZ76" s="671">
        <f>Reported!AZ156</f>
        <v/>
      </c>
      <c r="BA76" s="671">
        <f>Reported!BA156</f>
        <v/>
      </c>
      <c r="BB76" s="671">
        <f>Reported!BB156</f>
        <v/>
      </c>
      <c r="BC76" s="671">
        <f>Reported!BC156</f>
        <v/>
      </c>
      <c r="BD76" s="671">
        <f>Reported!BD156</f>
        <v/>
      </c>
      <c r="BE76" s="671">
        <f>Reported!BE156</f>
        <v/>
      </c>
      <c r="BF76" s="671">
        <f>Reported!BF156</f>
        <v/>
      </c>
      <c r="BG76" s="671">
        <f>Reported!BG156</f>
        <v/>
      </c>
      <c r="BH76" s="671">
        <f>Reported!BH156</f>
        <v/>
      </c>
      <c r="BI76" s="671">
        <f>Reported!BI156</f>
        <v/>
      </c>
      <c r="BJ76" s="671">
        <f>Reported!BJ156</f>
        <v/>
      </c>
      <c r="BK76" s="671">
        <f>Reported!BK156</f>
        <v/>
      </c>
      <c r="BL76" s="671">
        <f>Reported!BL156</f>
        <v/>
      </c>
      <c r="BM76" s="671">
        <f>Reported!BM156</f>
        <v/>
      </c>
      <c r="BN76" s="671">
        <f>Reported!BN156</f>
        <v/>
      </c>
      <c r="BO76" s="671">
        <f>Reported!BO156</f>
        <v/>
      </c>
      <c r="BP76" s="671">
        <f>Reported!BP156</f>
        <v/>
      </c>
      <c r="BQ76" s="671">
        <f>Reported!BQ156</f>
        <v/>
      </c>
      <c r="BR76" s="671">
        <f>Reported!BR156</f>
        <v/>
      </c>
      <c r="BS76" s="519">
        <f>BS66+BS75</f>
        <v/>
      </c>
      <c r="BT76" s="519">
        <f>BT66+BT75</f>
        <v/>
      </c>
      <c r="BU76" s="519">
        <f>BU66+BU75</f>
        <v/>
      </c>
      <c r="BV76" s="519">
        <f>BV66+BV75</f>
        <v/>
      </c>
      <c r="BW76" s="519">
        <f>BW66+BW75</f>
        <v/>
      </c>
      <c r="BX76" s="519">
        <f>BX66+BX75</f>
        <v/>
      </c>
      <c r="BY76" s="519">
        <f>BY66+BY75</f>
        <v/>
      </c>
      <c r="BZ76" s="519">
        <f>BZ66+BZ75</f>
        <v/>
      </c>
      <c r="CA76" s="519">
        <f>CA66+CA75</f>
        <v/>
      </c>
      <c r="CB76" s="519">
        <f>CB66+CB75</f>
        <v/>
      </c>
      <c r="CC76" s="519">
        <f>CC66+CC75</f>
        <v/>
      </c>
      <c r="CD76" s="519">
        <f>CD66+CD75</f>
        <v/>
      </c>
      <c r="CE76" s="519">
        <f>CE66+CE75</f>
        <v/>
      </c>
      <c r="CF76" s="519">
        <f>CF66+CF75</f>
        <v/>
      </c>
      <c r="CG76" s="519">
        <f>CG66+CG75</f>
        <v/>
      </c>
      <c r="CH76" s="519">
        <f>CH66+CH75</f>
        <v/>
      </c>
      <c r="CI76" s="519">
        <f>CI66+CI75</f>
        <v/>
      </c>
      <c r="CJ76" s="519">
        <f>CJ66+CJ75</f>
        <v/>
      </c>
      <c r="CK76" s="519">
        <f>CK66+CK75</f>
        <v/>
      </c>
    </row>
    <row r="77">
      <c r="A77" s="22" t="n"/>
      <c r="B77" s="145" t="n"/>
      <c r="C77" s="145" t="n"/>
      <c r="D77" s="145" t="n"/>
      <c r="E77" s="145" t="n"/>
      <c r="F77" s="145" t="n"/>
      <c r="G77" s="145" t="n"/>
      <c r="H77" s="145" t="n"/>
      <c r="I77" s="145" t="n"/>
      <c r="J77" s="145" t="n"/>
      <c r="K77" s="145" t="n"/>
      <c r="L77" s="145" t="n"/>
      <c r="M77" s="145" t="n"/>
      <c r="N77" s="145" t="n"/>
      <c r="O77" s="145" t="n"/>
      <c r="P77" s="145" t="n"/>
      <c r="Q77" s="145" t="n"/>
      <c r="R77" s="145" t="n"/>
      <c r="S77" s="145" t="n"/>
      <c r="T77" s="145" t="n"/>
      <c r="U77" s="145" t="n"/>
      <c r="V77" s="145" t="n"/>
      <c r="W77" s="145" t="n"/>
      <c r="X77" s="145" t="n"/>
      <c r="Y77" s="145" t="n"/>
      <c r="Z77" s="145" t="n"/>
      <c r="AA77" s="145" t="n"/>
      <c r="AB77" s="145" t="n"/>
      <c r="AC77" s="145" t="n"/>
      <c r="AD77" s="145" t="n"/>
      <c r="AE77" s="145" t="n"/>
      <c r="AF77" s="145" t="n"/>
      <c r="AG77" s="145" t="n"/>
      <c r="AH77" s="145" t="n"/>
      <c r="AI77" s="145" t="n"/>
      <c r="AJ77" s="145" t="n"/>
      <c r="AK77" s="145" t="n"/>
      <c r="AL77" s="145" t="n"/>
      <c r="AM77" s="145" t="n"/>
      <c r="AN77" s="145" t="n"/>
      <c r="AO77" s="145" t="n"/>
      <c r="AP77" s="145" t="n"/>
      <c r="AQ77" s="145" t="n"/>
      <c r="AR77" s="145" t="n"/>
    </row>
    <row r="78">
      <c r="A78" s="455" t="inlineStr">
        <is>
          <t>Check</t>
        </is>
      </c>
      <c r="B78" s="400">
        <f>SUM(B44:B50)-B51</f>
        <v/>
      </c>
      <c r="C78" s="400">
        <f>SUM(C44:C50)-C51</f>
        <v/>
      </c>
      <c r="D78" s="400">
        <f>SUM(D44:D50)-D51</f>
        <v/>
      </c>
      <c r="E78" s="400">
        <f>SUM(E44:E50)-E51</f>
        <v/>
      </c>
      <c r="F78" s="400">
        <f>SUM(F44:F50)-F51</f>
        <v/>
      </c>
      <c r="G78" s="400">
        <f>SUM(G44:G50)-G51</f>
        <v/>
      </c>
      <c r="H78" s="400">
        <f>SUM(H44:H50)-H51</f>
        <v/>
      </c>
      <c r="I78" s="400">
        <f>SUM(I44:I50)-I51</f>
        <v/>
      </c>
      <c r="J78" s="400">
        <f>SUM(J44:J50)-J51</f>
        <v/>
      </c>
      <c r="K78" s="400">
        <f>SUM(K44:K50)-K51</f>
        <v/>
      </c>
      <c r="L78" s="400">
        <f>SUM(L44:L50)-L51</f>
        <v/>
      </c>
      <c r="M78" s="400">
        <f>SUM(M44:M50)-M51</f>
        <v/>
      </c>
      <c r="N78" s="400">
        <f>SUM(N44:N50)-N51</f>
        <v/>
      </c>
      <c r="O78" s="400">
        <f>SUM(O44:O50)-O51</f>
        <v/>
      </c>
      <c r="P78" s="400">
        <f>SUM(P44:P50)-P51</f>
        <v/>
      </c>
      <c r="Q78" s="400">
        <f>SUM(Q44:Q50)-Q51</f>
        <v/>
      </c>
      <c r="R78" s="400">
        <f>SUM(R44:R50)-R51</f>
        <v/>
      </c>
      <c r="S78" s="400">
        <f>SUM(S44:S50)-S51</f>
        <v/>
      </c>
      <c r="T78" s="400">
        <f>SUM(T44:T50)-T51</f>
        <v/>
      </c>
      <c r="U78" s="400">
        <f>SUM(U44:U50)-U51</f>
        <v/>
      </c>
      <c r="V78" s="400">
        <f>SUM(V44:V50)-V51</f>
        <v/>
      </c>
      <c r="W78" s="400">
        <f>SUM(W44:W50)-W51</f>
        <v/>
      </c>
      <c r="X78" s="400">
        <f>SUM(X44:X50)-X51</f>
        <v/>
      </c>
      <c r="Y78" s="400">
        <f>SUM(Y44:Y50)-Y51</f>
        <v/>
      </c>
      <c r="Z78" s="400">
        <f>SUM(Z44:Z50)-Z51</f>
        <v/>
      </c>
      <c r="AA78" s="400">
        <f>SUM(AA44:AA50)-AA51</f>
        <v/>
      </c>
      <c r="AB78" s="400">
        <f>SUM(AB44:AB50)-AB51</f>
        <v/>
      </c>
      <c r="AC78" s="400">
        <f>SUM(AC44:AC50)-AC51</f>
        <v/>
      </c>
      <c r="AD78" s="400">
        <f>SUM(AD44:AD50)-AD51</f>
        <v/>
      </c>
      <c r="AE78" s="400">
        <f>SUM(AE44:AE50)-AE51</f>
        <v/>
      </c>
      <c r="AF78" s="400">
        <f>SUM(AF44:AF50)-AF51</f>
        <v/>
      </c>
      <c r="AG78" s="400">
        <f>SUM(AG44:AG50)-AG51</f>
        <v/>
      </c>
      <c r="AH78" s="400">
        <f>SUM(AH44:AH50)-AH51</f>
        <v/>
      </c>
      <c r="AI78" s="400">
        <f>SUM(AI44:AI50)-AI51</f>
        <v/>
      </c>
      <c r="AJ78" s="400">
        <f>SUM(AJ44:AJ50)-AJ51</f>
        <v/>
      </c>
      <c r="AK78" s="400">
        <f>SUM(AK44:AK50)-AK51</f>
        <v/>
      </c>
      <c r="AL78" s="400">
        <f>SUM(AL44:AL50)-AL51</f>
        <v/>
      </c>
      <c r="AM78" s="400">
        <f>SUM(AM44:AM50)-AM51</f>
        <v/>
      </c>
      <c r="AN78" s="400">
        <f>SUM(AN44:AN50)-AN51</f>
        <v/>
      </c>
      <c r="AO78" s="400">
        <f>SUM(AO44:AO50)-AO51</f>
        <v/>
      </c>
      <c r="AP78" s="400">
        <f>SUM(AP44:AP50)-AP51</f>
        <v/>
      </c>
      <c r="AQ78" s="400">
        <f>SUM(AQ44:AQ50)-AQ51</f>
        <v/>
      </c>
      <c r="AR78" s="400">
        <f>SUM(AR44:AR50)-AR51</f>
        <v/>
      </c>
      <c r="AS78" s="400">
        <f>SUM(AS44:AS50)-AS51</f>
        <v/>
      </c>
      <c r="AT78" s="400">
        <f>SUM(AT44:AT50)-AT51</f>
        <v/>
      </c>
      <c r="AU78" s="400">
        <f>SUM(AU44:AU50)-AU51</f>
        <v/>
      </c>
      <c r="AV78" s="400">
        <f>SUM(AV44:AV50)-AV51</f>
        <v/>
      </c>
      <c r="AW78" s="400">
        <f>SUM(AW44:AW50)-AW51</f>
        <v/>
      </c>
      <c r="AX78" s="400">
        <f>SUM(AX44:AX50)-AX51</f>
        <v/>
      </c>
      <c r="AY78" s="400">
        <f>SUM(AY44:AY50)-AY51</f>
        <v/>
      </c>
      <c r="AZ78" s="400">
        <f>SUM(AZ44:AZ50)-AZ51</f>
        <v/>
      </c>
      <c r="BA78" s="400">
        <f>SUM(BA44:BA50)-BA51</f>
        <v/>
      </c>
      <c r="BB78" s="400">
        <f>SUM(BB44:BB50)-BB51</f>
        <v/>
      </c>
      <c r="BC78" s="400">
        <f>SUM(BC44:BC50)-BC51</f>
        <v/>
      </c>
      <c r="BD78" s="400">
        <f>SUM(BD44:BD50)-BD51</f>
        <v/>
      </c>
      <c r="BE78" s="400">
        <f>SUM(BE44:BE50)-BE51</f>
        <v/>
      </c>
      <c r="BF78" s="400">
        <f>SUM(BF44:BF50)-BF51</f>
        <v/>
      </c>
      <c r="BG78" s="400">
        <f>SUM(BG44:BG50)-BG51</f>
        <v/>
      </c>
      <c r="BH78" s="400">
        <f>SUM(BH44:BH50)-BH51</f>
        <v/>
      </c>
      <c r="BI78" s="400">
        <f>SUM(BI44:BI50)-BI51</f>
        <v/>
      </c>
      <c r="BJ78" s="400">
        <f>SUM(BJ44:BJ50)-BJ51</f>
        <v/>
      </c>
      <c r="BK78" s="400">
        <f>SUM(BK44:BK50)-BK51</f>
        <v/>
      </c>
      <c r="BL78" s="400">
        <f>SUM(BL44:BL50)-BL51</f>
        <v/>
      </c>
      <c r="BM78" s="400">
        <f>SUM(BM44:BM50)-BM51</f>
        <v/>
      </c>
      <c r="BN78" s="400">
        <f>SUM(BN44:BN50)-BN51</f>
        <v/>
      </c>
      <c r="BO78" s="400">
        <f>SUM(BO44:BO50)-BO51</f>
        <v/>
      </c>
      <c r="BP78" s="400">
        <f>SUM(BP44:BP50)-BP51</f>
        <v/>
      </c>
      <c r="BQ78" s="400">
        <f>SUM(BQ44:BQ50)-BQ51</f>
        <v/>
      </c>
      <c r="BR78" s="400">
        <f>SUM(BR44:BR50)-BR51</f>
        <v/>
      </c>
      <c r="BS78" s="400">
        <f>SUM(BS44:BS50)-BS51</f>
        <v/>
      </c>
      <c r="BT78" s="400">
        <f>SUM(BT44:BT50)-BT51</f>
        <v/>
      </c>
      <c r="BU78" s="400">
        <f>SUM(BU44:BU50)-BU51</f>
        <v/>
      </c>
      <c r="BV78" s="400">
        <f>SUM(BV44:BV50)-BV51</f>
        <v/>
      </c>
      <c r="BW78" s="400">
        <f>SUM(BW44:BW50)-BW51</f>
        <v/>
      </c>
      <c r="BX78" s="400">
        <f>SUM(BX44:BX50)-BX51</f>
        <v/>
      </c>
      <c r="BY78" s="400">
        <f>SUM(BY44:BY50)-BY51</f>
        <v/>
      </c>
      <c r="BZ78" s="400">
        <f>SUM(BZ44:BZ50)-BZ51</f>
        <v/>
      </c>
      <c r="CA78" s="400">
        <f>SUM(CA44:CA50)-CA51</f>
        <v/>
      </c>
      <c r="CB78" s="400">
        <f>SUM(CB44:CB50)-CB51</f>
        <v/>
      </c>
      <c r="CC78" s="400">
        <f>SUM(CC44:CC50)-CC51</f>
        <v/>
      </c>
      <c r="CD78" s="400">
        <f>SUM(CD44:CD50)-CD51</f>
        <v/>
      </c>
      <c r="CE78" s="400">
        <f>SUM(CE44:CE50)-CE51</f>
        <v/>
      </c>
      <c r="CF78" s="400">
        <f>SUM(CF44:CF50)-CF51</f>
        <v/>
      </c>
      <c r="CG78" s="400">
        <f>SUM(CG44:CG50)-CG51</f>
        <v/>
      </c>
      <c r="CH78" s="400">
        <f>SUM(CH44:CH50)-CH51</f>
        <v/>
      </c>
      <c r="CI78" s="400">
        <f>SUM(CI44:CI50)-CI51</f>
        <v/>
      </c>
      <c r="CJ78" s="400">
        <f>SUM(CJ44:CJ50)-CJ51</f>
        <v/>
      </c>
      <c r="CK78" s="400">
        <f>SUM(CK44:CK50)-CK51</f>
        <v/>
      </c>
    </row>
    <row r="79">
      <c r="A79" s="455">
        <f>A78</f>
        <v/>
      </c>
      <c r="B79" s="400">
        <f>SUM(B51:B55)-B56</f>
        <v/>
      </c>
      <c r="C79" s="400">
        <f>SUM(C51:C55)-C56</f>
        <v/>
      </c>
      <c r="D79" s="400">
        <f>SUM(D51:D55)-D56</f>
        <v/>
      </c>
      <c r="E79" s="400">
        <f>SUM(E51:E55)-E56</f>
        <v/>
      </c>
      <c r="F79" s="400">
        <f>SUM(F51:F55)-F56</f>
        <v/>
      </c>
      <c r="G79" s="400">
        <f>SUM(G51:G55)-G56</f>
        <v/>
      </c>
      <c r="H79" s="400">
        <f>SUM(H51:H55)-H56</f>
        <v/>
      </c>
      <c r="I79" s="400">
        <f>SUM(I51:I55)-I56</f>
        <v/>
      </c>
      <c r="J79" s="400">
        <f>SUM(J51:J55)-J56</f>
        <v/>
      </c>
      <c r="K79" s="400">
        <f>SUM(K51:K55)-K56</f>
        <v/>
      </c>
      <c r="L79" s="400">
        <f>SUM(L51:L55)-L56</f>
        <v/>
      </c>
      <c r="M79" s="400">
        <f>SUM(M51:M55)-M56</f>
        <v/>
      </c>
      <c r="N79" s="400">
        <f>SUM(N51:N55)-N56</f>
        <v/>
      </c>
      <c r="O79" s="400">
        <f>SUM(O51:O55)-O56</f>
        <v/>
      </c>
      <c r="P79" s="400">
        <f>SUM(P51:P55)-P56</f>
        <v/>
      </c>
      <c r="Q79" s="400">
        <f>SUM(Q51:Q55)-Q56</f>
        <v/>
      </c>
      <c r="R79" s="400">
        <f>SUM(R51:R55)-R56</f>
        <v/>
      </c>
      <c r="S79" s="400">
        <f>SUM(S51:S55)-S56</f>
        <v/>
      </c>
      <c r="T79" s="400">
        <f>SUM(T51:T55)-T56</f>
        <v/>
      </c>
      <c r="U79" s="400">
        <f>SUM(U51:U55)-U56</f>
        <v/>
      </c>
      <c r="V79" s="400">
        <f>SUM(V51:V55)-V56</f>
        <v/>
      </c>
      <c r="W79" s="400">
        <f>SUM(W51:W55)-W56</f>
        <v/>
      </c>
      <c r="X79" s="400">
        <f>SUM(X51:X55)-X56</f>
        <v/>
      </c>
      <c r="Y79" s="400">
        <f>SUM(Y51:Y55)-Y56</f>
        <v/>
      </c>
      <c r="Z79" s="400">
        <f>SUM(Z51:Z55)-Z56</f>
        <v/>
      </c>
      <c r="AA79" s="400">
        <f>SUM(AA51:AA55)-AA56</f>
        <v/>
      </c>
      <c r="AB79" s="400">
        <f>SUM(AB51:AB55)-AB56</f>
        <v/>
      </c>
      <c r="AC79" s="400">
        <f>SUM(AC51:AC55)-AC56</f>
        <v/>
      </c>
      <c r="AD79" s="400">
        <f>SUM(AD51:AD55)-AD56</f>
        <v/>
      </c>
      <c r="AE79" s="400">
        <f>SUM(AE51:AE55)-AE56</f>
        <v/>
      </c>
      <c r="AF79" s="400">
        <f>SUM(AF51:AF55)-AF56</f>
        <v/>
      </c>
      <c r="AG79" s="400">
        <f>SUM(AG51:AG55)-AG56</f>
        <v/>
      </c>
      <c r="AH79" s="400">
        <f>SUM(AH51:AH55)-AH56</f>
        <v/>
      </c>
      <c r="AI79" s="400">
        <f>SUM(AI51:AI55)-AI56</f>
        <v/>
      </c>
      <c r="AJ79" s="400">
        <f>SUM(AJ51:AJ55)-AJ56</f>
        <v/>
      </c>
      <c r="AK79" s="400">
        <f>SUM(AK51:AK55)-AK56</f>
        <v/>
      </c>
      <c r="AL79" s="400">
        <f>SUM(AL51:AL55)-AL56</f>
        <v/>
      </c>
      <c r="AM79" s="400">
        <f>SUM(AM51:AM55)-AM56</f>
        <v/>
      </c>
      <c r="AN79" s="400">
        <f>SUM(AN51:AN55)-AN56</f>
        <v/>
      </c>
      <c r="AO79" s="400">
        <f>SUM(AO51:AO55)-AO56</f>
        <v/>
      </c>
      <c r="AP79" s="400">
        <f>SUM(AP51:AP55)-AP56</f>
        <v/>
      </c>
      <c r="AQ79" s="400">
        <f>SUM(AQ51:AQ55)-AQ56</f>
        <v/>
      </c>
      <c r="AR79" s="400">
        <f>SUM(AR51:AR55)-AR56</f>
        <v/>
      </c>
      <c r="AS79" s="400">
        <f>SUM(AS51:AS55)-AS56</f>
        <v/>
      </c>
      <c r="AT79" s="400">
        <f>SUM(AT51:AT55)-AT56</f>
        <v/>
      </c>
      <c r="AU79" s="400">
        <f>SUM(AU51:AU55)-AU56</f>
        <v/>
      </c>
      <c r="AV79" s="400">
        <f>SUM(AV51:AV55)-AV56</f>
        <v/>
      </c>
      <c r="AW79" s="400">
        <f>SUM(AW51:AW55)-AW56</f>
        <v/>
      </c>
      <c r="AX79" s="400">
        <f>SUM(AX51:AX55)-AX56</f>
        <v/>
      </c>
      <c r="AY79" s="400">
        <f>SUM(AY51:AY55)-AY56</f>
        <v/>
      </c>
      <c r="AZ79" s="400">
        <f>SUM(AZ51:AZ55)-AZ56</f>
        <v/>
      </c>
      <c r="BA79" s="400">
        <f>SUM(BA51:BA55)-BA56</f>
        <v/>
      </c>
      <c r="BB79" s="400">
        <f>SUM(BB51:BB55)-BB56</f>
        <v/>
      </c>
      <c r="BC79" s="400">
        <f>SUM(BC51:BC55)-BC56</f>
        <v/>
      </c>
      <c r="BD79" s="400">
        <f>SUM(BD51:BD55)-BD56</f>
        <v/>
      </c>
      <c r="BE79" s="400">
        <f>SUM(BE51:BE55)-BE56</f>
        <v/>
      </c>
      <c r="BF79" s="400">
        <f>SUM(BF51:BF55)-BF56</f>
        <v/>
      </c>
      <c r="BG79" s="400">
        <f>SUM(BG51:BG55)-BG56</f>
        <v/>
      </c>
      <c r="BH79" s="400">
        <f>SUM(BH51:BH55)-BH56</f>
        <v/>
      </c>
      <c r="BI79" s="400">
        <f>SUM(BI51:BI55)-BI56</f>
        <v/>
      </c>
      <c r="BJ79" s="400">
        <f>SUM(BJ51:BJ55)-BJ56</f>
        <v/>
      </c>
      <c r="BK79" s="400">
        <f>SUM(BK51:BK55)-BK56</f>
        <v/>
      </c>
      <c r="BL79" s="400">
        <f>SUM(BL51:BL55)-BL56</f>
        <v/>
      </c>
      <c r="BM79" s="400">
        <f>SUM(BM51:BM55)-BM56</f>
        <v/>
      </c>
      <c r="BN79" s="400">
        <f>SUM(BN51:BN55)-BN56</f>
        <v/>
      </c>
      <c r="BO79" s="400">
        <f>SUM(BO51:BO55)-BO56</f>
        <v/>
      </c>
      <c r="BP79" s="400">
        <f>SUM(BP51:BP55)-BP56</f>
        <v/>
      </c>
      <c r="BQ79" s="400">
        <f>SUM(BQ51:BQ55)-BQ56</f>
        <v/>
      </c>
      <c r="BR79" s="400">
        <f>SUM(BR51:BR55)-BR56</f>
        <v/>
      </c>
      <c r="BS79" s="400">
        <f>SUM(BS51:BS55)-BS56</f>
        <v/>
      </c>
      <c r="BT79" s="400">
        <f>SUM(BT51:BT55)-BT56</f>
        <v/>
      </c>
      <c r="BU79" s="400">
        <f>SUM(BU51:BU55)-BU56</f>
        <v/>
      </c>
      <c r="BV79" s="400">
        <f>SUM(BV51:BV55)-BV56</f>
        <v/>
      </c>
      <c r="BW79" s="400">
        <f>SUM(BW51:BW55)-BW56</f>
        <v/>
      </c>
      <c r="BX79" s="400">
        <f>SUM(BX51:BX55)-BX56</f>
        <v/>
      </c>
      <c r="BY79" s="400">
        <f>SUM(BY51:BY55)-BY56</f>
        <v/>
      </c>
      <c r="BZ79" s="400">
        <f>SUM(BZ51:BZ55)-BZ56</f>
        <v/>
      </c>
      <c r="CA79" s="400">
        <f>SUM(CA51:CA55)-CA56</f>
        <v/>
      </c>
      <c r="CB79" s="400">
        <f>SUM(CB51:CB55)-CB56</f>
        <v/>
      </c>
      <c r="CC79" s="400">
        <f>SUM(CC51:CC55)-CC56</f>
        <v/>
      </c>
      <c r="CD79" s="400">
        <f>SUM(CD51:CD55)-CD56</f>
        <v/>
      </c>
      <c r="CE79" s="400">
        <f>SUM(CE51:CE55)-CE56</f>
        <v/>
      </c>
      <c r="CF79" s="400">
        <f>SUM(CF51:CF55)-CF56</f>
        <v/>
      </c>
      <c r="CG79" s="400">
        <f>SUM(CG51:CG55)-CG56</f>
        <v/>
      </c>
      <c r="CH79" s="400">
        <f>SUM(CH51:CH55)-CH56</f>
        <v/>
      </c>
      <c r="CI79" s="400">
        <f>SUM(CI51:CI55)-CI56</f>
        <v/>
      </c>
      <c r="CJ79" s="400">
        <f>SUM(CJ51:CJ55)-CJ56</f>
        <v/>
      </c>
      <c r="CK79" s="400">
        <f>SUM(CK51:CK55)-CK56</f>
        <v/>
      </c>
    </row>
    <row r="80">
      <c r="A80" s="455">
        <f>A79</f>
        <v/>
      </c>
      <c r="B80" s="400">
        <f>SUM(B58:B62)-B63</f>
        <v/>
      </c>
      <c r="C80" s="400">
        <f>SUM(C58:C62)-C63</f>
        <v/>
      </c>
      <c r="D80" s="400">
        <f>SUM(D58:D62)-D63</f>
        <v/>
      </c>
      <c r="E80" s="400">
        <f>SUM(E58:E62)-E63</f>
        <v/>
      </c>
      <c r="F80" s="400">
        <f>SUM(F58:F62)-F63</f>
        <v/>
      </c>
      <c r="G80" s="400">
        <f>SUM(G58:G62)-G63</f>
        <v/>
      </c>
      <c r="H80" s="400">
        <f>SUM(H58:H62)-H63</f>
        <v/>
      </c>
      <c r="I80" s="400">
        <f>SUM(I58:I62)-I63</f>
        <v/>
      </c>
      <c r="J80" s="400">
        <f>SUM(J58:J62)-J63</f>
        <v/>
      </c>
      <c r="K80" s="400">
        <f>SUM(K58:K62)-K63</f>
        <v/>
      </c>
      <c r="L80" s="400">
        <f>SUM(L58:L62)-L63</f>
        <v/>
      </c>
      <c r="M80" s="400">
        <f>SUM(M58:M62)-M63</f>
        <v/>
      </c>
      <c r="N80" s="400">
        <f>SUM(N58:N62)-N63</f>
        <v/>
      </c>
      <c r="O80" s="400">
        <f>SUM(O58:O62)-O63</f>
        <v/>
      </c>
      <c r="P80" s="400">
        <f>SUM(P58:P62)-P63</f>
        <v/>
      </c>
      <c r="Q80" s="400">
        <f>SUM(Q58:Q62)-Q63</f>
        <v/>
      </c>
      <c r="R80" s="400">
        <f>SUM(R58:R62)-R63</f>
        <v/>
      </c>
      <c r="S80" s="400">
        <f>SUM(S58:S62)-S63</f>
        <v/>
      </c>
      <c r="T80" s="400">
        <f>SUM(T58:T62)-T63</f>
        <v/>
      </c>
      <c r="U80" s="400">
        <f>SUM(U58:U62)-U63</f>
        <v/>
      </c>
      <c r="V80" s="400">
        <f>SUM(V58:V62)-V63</f>
        <v/>
      </c>
      <c r="W80" s="400">
        <f>SUM(W58:W62)-W63</f>
        <v/>
      </c>
      <c r="X80" s="400">
        <f>SUM(X58:X62)-X63</f>
        <v/>
      </c>
      <c r="Y80" s="400">
        <f>SUM(Y58:Y62)-Y63</f>
        <v/>
      </c>
      <c r="Z80" s="400">
        <f>SUM(Z58:Z62)-Z63</f>
        <v/>
      </c>
      <c r="AA80" s="400">
        <f>SUM(AA58:AA62)-AA63</f>
        <v/>
      </c>
      <c r="AB80" s="400">
        <f>SUM(AB58:AB62)-AB63</f>
        <v/>
      </c>
      <c r="AC80" s="400">
        <f>SUM(AC58:AC62)-AC63</f>
        <v/>
      </c>
      <c r="AD80" s="400">
        <f>SUM(AD58:AD62)-AD63</f>
        <v/>
      </c>
      <c r="AE80" s="400">
        <f>SUM(AE58:AE62)-AE63</f>
        <v/>
      </c>
      <c r="AF80" s="400">
        <f>SUM(AF58:AF62)-AF63</f>
        <v/>
      </c>
      <c r="AG80" s="400">
        <f>SUM(AG58:AG62)-AG63</f>
        <v/>
      </c>
      <c r="AH80" s="400">
        <f>SUM(AH58:AH62)-AH63</f>
        <v/>
      </c>
      <c r="AI80" s="400">
        <f>SUM(AI58:AI62)-AI63</f>
        <v/>
      </c>
      <c r="AJ80" s="400">
        <f>SUM(AJ58:AJ62)-AJ63</f>
        <v/>
      </c>
      <c r="AK80" s="400">
        <f>SUM(AK58:AK62)-AK63</f>
        <v/>
      </c>
      <c r="AL80" s="400">
        <f>SUM(AL58:AL62)-AL63</f>
        <v/>
      </c>
      <c r="AM80" s="400">
        <f>SUM(AM58:AM62)-AM63</f>
        <v/>
      </c>
      <c r="AN80" s="400">
        <f>SUM(AN58:AN62)-AN63</f>
        <v/>
      </c>
      <c r="AO80" s="400">
        <f>SUM(AO58:AO62)-AO63</f>
        <v/>
      </c>
      <c r="AP80" s="400">
        <f>SUM(AP58:AP62)-AP63</f>
        <v/>
      </c>
      <c r="AQ80" s="400">
        <f>SUM(AQ58:AQ62)-AQ63</f>
        <v/>
      </c>
      <c r="AR80" s="400">
        <f>SUM(AR58:AR62)-AR63</f>
        <v/>
      </c>
      <c r="AS80" s="400">
        <f>SUM(AS58:AS62)-AS63</f>
        <v/>
      </c>
      <c r="AT80" s="400">
        <f>SUM(AT58:AT62)-AT63</f>
        <v/>
      </c>
      <c r="AU80" s="400">
        <f>SUM(AU58:AU62)-AU63</f>
        <v/>
      </c>
      <c r="AV80" s="400">
        <f>SUM(AV58:AV62)-AV63</f>
        <v/>
      </c>
      <c r="AW80" s="400">
        <f>SUM(AW58:AW62)-AW63</f>
        <v/>
      </c>
      <c r="AX80" s="400">
        <f>SUM(AX58:AX62)-AX63</f>
        <v/>
      </c>
      <c r="AY80" s="400">
        <f>SUM(AY58:AY62)-AY63</f>
        <v/>
      </c>
      <c r="AZ80" s="400">
        <f>SUM(AZ58:AZ62)-AZ63</f>
        <v/>
      </c>
      <c r="BA80" s="400">
        <f>SUM(BA58:BA62)-BA63</f>
        <v/>
      </c>
      <c r="BB80" s="400">
        <f>SUM(BB58:BB62)-BB63</f>
        <v/>
      </c>
      <c r="BC80" s="400">
        <f>SUM(BC58:BC62)-BC63</f>
        <v/>
      </c>
      <c r="BD80" s="400">
        <f>SUM(BD58:BD62)-BD63</f>
        <v/>
      </c>
      <c r="BE80" s="400">
        <f>SUM(BE58:BE62)-BE63</f>
        <v/>
      </c>
      <c r="BF80" s="400">
        <f>SUM(BF58:BF62)-BF63</f>
        <v/>
      </c>
      <c r="BG80" s="400">
        <f>SUM(BG58:BG62)-BG63</f>
        <v/>
      </c>
      <c r="BH80" s="400">
        <f>SUM(BH58:BH62)-BH63</f>
        <v/>
      </c>
      <c r="BI80" s="400">
        <f>SUM(BI58:BI62)-BI63</f>
        <v/>
      </c>
      <c r="BJ80" s="400">
        <f>SUM(BJ58:BJ62)-BJ63</f>
        <v/>
      </c>
      <c r="BK80" s="400">
        <f>SUM(BK58:BK62)-BK63</f>
        <v/>
      </c>
      <c r="BL80" s="400">
        <f>SUM(BL58:BL62)-BL63</f>
        <v/>
      </c>
      <c r="BM80" s="400">
        <f>SUM(BM58:BM62)-BM63</f>
        <v/>
      </c>
      <c r="BN80" s="400">
        <f>SUM(BN58:BN62)-BN63</f>
        <v/>
      </c>
      <c r="BO80" s="400">
        <f>SUM(BO58:BO62)-BO63</f>
        <v/>
      </c>
      <c r="BP80" s="400">
        <f>SUM(BP58:BP62)-BP63</f>
        <v/>
      </c>
      <c r="BQ80" s="400">
        <f>SUM(BQ58:BQ62)-BQ63</f>
        <v/>
      </c>
      <c r="BR80" s="400">
        <f>SUM(BR58:BR62)-BR63</f>
        <v/>
      </c>
      <c r="BS80" s="400">
        <f>SUM(BS58:BS62)-BS63</f>
        <v/>
      </c>
      <c r="BT80" s="400">
        <f>SUM(BT58:BT62)-BT63</f>
        <v/>
      </c>
      <c r="BU80" s="400">
        <f>SUM(BU58:BU62)-BU63</f>
        <v/>
      </c>
      <c r="BV80" s="400">
        <f>SUM(BV58:BV62)-BV63</f>
        <v/>
      </c>
      <c r="BW80" s="400">
        <f>SUM(BW58:BW62)-BW63</f>
        <v/>
      </c>
      <c r="BX80" s="400">
        <f>SUM(BX58:BX62)-BX63</f>
        <v/>
      </c>
      <c r="BY80" s="400">
        <f>SUM(BY58:BY62)-BY63</f>
        <v/>
      </c>
      <c r="BZ80" s="400">
        <f>SUM(BZ58:BZ62)-BZ63</f>
        <v/>
      </c>
      <c r="CA80" s="400">
        <f>SUM(CA58:CA62)-CA63</f>
        <v/>
      </c>
      <c r="CB80" s="400">
        <f>SUM(CB58:CB62)-CB63</f>
        <v/>
      </c>
      <c r="CC80" s="400">
        <f>SUM(CC58:CC62)-CC63</f>
        <v/>
      </c>
      <c r="CD80" s="400">
        <f>SUM(CD58:CD62)-CD63</f>
        <v/>
      </c>
      <c r="CE80" s="400">
        <f>SUM(CE58:CE62)-CE63</f>
        <v/>
      </c>
      <c r="CF80" s="400">
        <f>SUM(CF58:CF62)-CF63</f>
        <v/>
      </c>
      <c r="CG80" s="400">
        <f>SUM(CG58:CG62)-CG63</f>
        <v/>
      </c>
      <c r="CH80" s="400">
        <f>SUM(CH58:CH62)-CH63</f>
        <v/>
      </c>
      <c r="CI80" s="400">
        <f>SUM(CI58:CI62)-CI63</f>
        <v/>
      </c>
      <c r="CJ80" s="400">
        <f>SUM(CJ58:CJ62)-CJ63</f>
        <v/>
      </c>
      <c r="CK80" s="400">
        <f>SUM(CK58:CK62)-CK63</f>
        <v/>
      </c>
    </row>
    <row r="81">
      <c r="A81" s="455">
        <f>A80</f>
        <v/>
      </c>
      <c r="B81" s="400">
        <f>SUM(B63:B65)-B66</f>
        <v/>
      </c>
      <c r="C81" s="400">
        <f>SUM(C63:C65)-C66</f>
        <v/>
      </c>
      <c r="D81" s="400">
        <f>SUM(D63:D65)-D66</f>
        <v/>
      </c>
      <c r="E81" s="400">
        <f>SUM(E63:E65)-E66</f>
        <v/>
      </c>
      <c r="F81" s="400">
        <f>SUM(F63:F65)-F66</f>
        <v/>
      </c>
      <c r="G81" s="400">
        <f>SUM(G63:G65)-G66</f>
        <v/>
      </c>
      <c r="H81" s="400">
        <f>SUM(H63:H65)-H66</f>
        <v/>
      </c>
      <c r="I81" s="400">
        <f>SUM(I63:I65)-I66</f>
        <v/>
      </c>
      <c r="J81" s="400">
        <f>SUM(J63:J65)-J66</f>
        <v/>
      </c>
      <c r="K81" s="400">
        <f>SUM(K63:K65)-K66</f>
        <v/>
      </c>
      <c r="L81" s="400">
        <f>SUM(L63:L65)-L66</f>
        <v/>
      </c>
      <c r="M81" s="400">
        <f>SUM(M63:M65)-M66</f>
        <v/>
      </c>
      <c r="N81" s="400">
        <f>SUM(N63:N65)-N66</f>
        <v/>
      </c>
      <c r="O81" s="400">
        <f>SUM(O63:O65)-O66</f>
        <v/>
      </c>
      <c r="P81" s="400">
        <f>SUM(P63:P65)-P66</f>
        <v/>
      </c>
      <c r="Q81" s="400">
        <f>SUM(Q63:Q65)-Q66</f>
        <v/>
      </c>
      <c r="R81" s="400">
        <f>SUM(R63:R65)-R66</f>
        <v/>
      </c>
      <c r="S81" s="400">
        <f>SUM(S63:S65)-S66</f>
        <v/>
      </c>
      <c r="T81" s="400">
        <f>SUM(T63:T65)-T66</f>
        <v/>
      </c>
      <c r="U81" s="400">
        <f>SUM(U63:U65)-U66</f>
        <v/>
      </c>
      <c r="V81" s="400">
        <f>SUM(V63:V65)-V66</f>
        <v/>
      </c>
      <c r="W81" s="400">
        <f>SUM(W63:W65)-W66</f>
        <v/>
      </c>
      <c r="X81" s="400">
        <f>SUM(X63:X65)-X66</f>
        <v/>
      </c>
      <c r="Y81" s="400">
        <f>SUM(Y63:Y65)-Y66</f>
        <v/>
      </c>
      <c r="Z81" s="400">
        <f>SUM(Z63:Z65)-Z66</f>
        <v/>
      </c>
      <c r="AA81" s="400">
        <f>SUM(AA63:AA65)-AA66</f>
        <v/>
      </c>
      <c r="AB81" s="400">
        <f>SUM(AB63:AB65)-AB66</f>
        <v/>
      </c>
      <c r="AC81" s="400">
        <f>SUM(AC63:AC65)-AC66</f>
        <v/>
      </c>
      <c r="AD81" s="400">
        <f>SUM(AD63:AD65)-AD66</f>
        <v/>
      </c>
      <c r="AE81" s="400">
        <f>SUM(AE63:AE65)-AE66</f>
        <v/>
      </c>
      <c r="AF81" s="400">
        <f>SUM(AF63:AF65)-AF66</f>
        <v/>
      </c>
      <c r="AG81" s="400">
        <f>SUM(AG63:AG65)-AG66</f>
        <v/>
      </c>
      <c r="AH81" s="400">
        <f>SUM(AH63:AH65)-AH66</f>
        <v/>
      </c>
      <c r="AI81" s="400">
        <f>SUM(AI63:AI65)-AI66</f>
        <v/>
      </c>
      <c r="AJ81" s="400">
        <f>SUM(AJ63:AJ65)-AJ66</f>
        <v/>
      </c>
      <c r="AK81" s="400">
        <f>SUM(AK63:AK65)-AK66</f>
        <v/>
      </c>
      <c r="AL81" s="400">
        <f>SUM(AL63:AL65)-AL66</f>
        <v/>
      </c>
      <c r="AM81" s="400">
        <f>SUM(AM63:AM65)-AM66</f>
        <v/>
      </c>
      <c r="AN81" s="400">
        <f>SUM(AN63:AN65)-AN66</f>
        <v/>
      </c>
      <c r="AO81" s="400">
        <f>SUM(AO63:AO65)-AO66</f>
        <v/>
      </c>
      <c r="AP81" s="400">
        <f>SUM(AP63:AP65)-AP66</f>
        <v/>
      </c>
      <c r="AQ81" s="400">
        <f>SUM(AQ63:AQ65)-AQ66</f>
        <v/>
      </c>
      <c r="AR81" s="400">
        <f>SUM(AR63:AR65)-AR66</f>
        <v/>
      </c>
      <c r="AS81" s="400">
        <f>SUM(AS63:AS65)-AS66</f>
        <v/>
      </c>
      <c r="AT81" s="400">
        <f>SUM(AT63:AT65)-AT66</f>
        <v/>
      </c>
      <c r="AU81" s="400">
        <f>SUM(AU63:AU65)-AU66</f>
        <v/>
      </c>
      <c r="AV81" s="400">
        <f>SUM(AV63:AV65)-AV66</f>
        <v/>
      </c>
      <c r="AW81" s="400">
        <f>SUM(AW63:AW65)-AW66</f>
        <v/>
      </c>
      <c r="AX81" s="400">
        <f>SUM(AX63:AX65)-AX66</f>
        <v/>
      </c>
      <c r="AY81" s="400">
        <f>SUM(AY63:AY65)-AY66</f>
        <v/>
      </c>
      <c r="AZ81" s="400">
        <f>SUM(AZ63:AZ65)-AZ66</f>
        <v/>
      </c>
      <c r="BA81" s="400">
        <f>SUM(BA63:BA65)-BA66</f>
        <v/>
      </c>
      <c r="BB81" s="400">
        <f>SUM(BB63:BB65)-BB66</f>
        <v/>
      </c>
      <c r="BC81" s="400">
        <f>SUM(BC63:BC65)-BC66</f>
        <v/>
      </c>
      <c r="BD81" s="400">
        <f>SUM(BD63:BD65)-BD66</f>
        <v/>
      </c>
      <c r="BE81" s="400">
        <f>SUM(BE63:BE65)-BE66</f>
        <v/>
      </c>
      <c r="BF81" s="400">
        <f>SUM(BF63:BF65)-BF66</f>
        <v/>
      </c>
      <c r="BG81" s="400">
        <f>SUM(BG63:BG65)-BG66</f>
        <v/>
      </c>
      <c r="BH81" s="400">
        <f>SUM(BH63:BH65)-BH66</f>
        <v/>
      </c>
      <c r="BI81" s="400">
        <f>SUM(BI63:BI65)-BI66</f>
        <v/>
      </c>
      <c r="BJ81" s="400">
        <f>SUM(BJ63:BJ65)-BJ66</f>
        <v/>
      </c>
      <c r="BK81" s="400">
        <f>SUM(BK63:BK65)-BK66</f>
        <v/>
      </c>
      <c r="BL81" s="400">
        <f>SUM(BL63:BL65)-BL66</f>
        <v/>
      </c>
      <c r="BM81" s="400">
        <f>SUM(BM63:BM65)-BM66</f>
        <v/>
      </c>
      <c r="BN81" s="400">
        <f>SUM(BN63:BN65)-BN66</f>
        <v/>
      </c>
      <c r="BO81" s="400">
        <f>SUM(BO63:BO65)-BO66</f>
        <v/>
      </c>
      <c r="BP81" s="400">
        <f>SUM(BP63:BP65)-BP66</f>
        <v/>
      </c>
      <c r="BQ81" s="400">
        <f>SUM(BQ63:BQ65)-BQ66</f>
        <v/>
      </c>
      <c r="BR81" s="400">
        <f>SUM(BR63:BR65)-BR66</f>
        <v/>
      </c>
      <c r="BS81" s="400">
        <f>SUM(BS63:BS65)-BS66</f>
        <v/>
      </c>
      <c r="BT81" s="400">
        <f>SUM(BT63:BT65)-BT66</f>
        <v/>
      </c>
      <c r="BU81" s="400">
        <f>SUM(BU63:BU65)-BU66</f>
        <v/>
      </c>
      <c r="BV81" s="400">
        <f>SUM(BV63:BV65)-BV66</f>
        <v/>
      </c>
      <c r="BW81" s="400">
        <f>SUM(BW63:BW65)-BW66</f>
        <v/>
      </c>
      <c r="BX81" s="400">
        <f>SUM(BX63:BX65)-BX66</f>
        <v/>
      </c>
      <c r="BY81" s="400">
        <f>SUM(BY63:BY65)-BY66</f>
        <v/>
      </c>
      <c r="BZ81" s="400">
        <f>SUM(BZ63:BZ65)-BZ66</f>
        <v/>
      </c>
      <c r="CA81" s="400">
        <f>SUM(CA63:CA65)-CA66</f>
        <v/>
      </c>
      <c r="CB81" s="400">
        <f>SUM(CB63:CB65)-CB66</f>
        <v/>
      </c>
      <c r="CC81" s="400">
        <f>SUM(CC63:CC65)-CC66</f>
        <v/>
      </c>
      <c r="CD81" s="400">
        <f>SUM(CD63:CD65)-CD66</f>
        <v/>
      </c>
      <c r="CE81" s="400">
        <f>SUM(CE63:CE65)-CE66</f>
        <v/>
      </c>
      <c r="CF81" s="400">
        <f>SUM(CF63:CF65)-CF66</f>
        <v/>
      </c>
      <c r="CG81" s="400">
        <f>SUM(CG63:CG65)-CG66</f>
        <v/>
      </c>
      <c r="CH81" s="400">
        <f>SUM(CH63:CH65)-CH66</f>
        <v/>
      </c>
      <c r="CI81" s="400">
        <f>SUM(CI63:CI65)-CI66</f>
        <v/>
      </c>
      <c r="CJ81" s="400">
        <f>SUM(CJ63:CJ65)-CJ66</f>
        <v/>
      </c>
      <c r="CK81" s="400">
        <f>SUM(CK63:CK65)-CK66</f>
        <v/>
      </c>
    </row>
    <row r="82">
      <c r="A82" s="455">
        <f>A81</f>
        <v/>
      </c>
      <c r="B82" s="400">
        <f>SUM(B68:B72)+B74-B75</f>
        <v/>
      </c>
      <c r="C82" s="400">
        <f>SUM(C68:C72)+C74-C75</f>
        <v/>
      </c>
      <c r="D82" s="400">
        <f>SUM(D68:D72)+D74-D75</f>
        <v/>
      </c>
      <c r="E82" s="400">
        <f>SUM(E68:E72)+E74-E75</f>
        <v/>
      </c>
      <c r="F82" s="400">
        <f>SUM(F68:F72)+F74-F75</f>
        <v/>
      </c>
      <c r="G82" s="400">
        <f>SUM(G68:G72)+G74-G75</f>
        <v/>
      </c>
      <c r="H82" s="400">
        <f>SUM(H68:H72)+H74-H75</f>
        <v/>
      </c>
      <c r="I82" s="400">
        <f>SUM(I68:I72)+I74-I75</f>
        <v/>
      </c>
      <c r="J82" s="400">
        <f>SUM(J68:J72)+J74-J75</f>
        <v/>
      </c>
      <c r="K82" s="400">
        <f>SUM(K68:K72)+K74-K75</f>
        <v/>
      </c>
      <c r="L82" s="400">
        <f>SUM(L68:L72)+L74-L75</f>
        <v/>
      </c>
      <c r="M82" s="400">
        <f>SUM(M68:M72)+M74-M75</f>
        <v/>
      </c>
      <c r="N82" s="400">
        <f>SUM(N68:N72)+N74-N75</f>
        <v/>
      </c>
      <c r="O82" s="400">
        <f>SUM(O68:O72)+O74-O75</f>
        <v/>
      </c>
      <c r="P82" s="400">
        <f>SUM(P68:P72)+P74-P75</f>
        <v/>
      </c>
      <c r="Q82" s="400">
        <f>SUM(Q68:Q72)+Q74-Q75</f>
        <v/>
      </c>
      <c r="R82" s="400">
        <f>SUM(R68:R72)+R74-R75</f>
        <v/>
      </c>
      <c r="S82" s="400">
        <f>SUM(S68:S72)+S74-S75</f>
        <v/>
      </c>
      <c r="T82" s="400">
        <f>SUM(T68:T72)+T74-T75</f>
        <v/>
      </c>
      <c r="U82" s="400">
        <f>SUM(U68:U72)+U74-U75</f>
        <v/>
      </c>
      <c r="V82" s="400">
        <f>SUM(V68:V72)+V74-V75</f>
        <v/>
      </c>
      <c r="W82" s="400">
        <f>SUM(W68:W72)+W74-W75</f>
        <v/>
      </c>
      <c r="X82" s="400">
        <f>SUM(X68:X72)+X74-X75</f>
        <v/>
      </c>
      <c r="Y82" s="400">
        <f>SUM(Y68:Y72)+Y74-Y75</f>
        <v/>
      </c>
      <c r="Z82" s="400">
        <f>SUM(Z68:Z72)+Z74-Z75</f>
        <v/>
      </c>
      <c r="AA82" s="400">
        <f>SUM(AA68:AA72)+AA74-AA75</f>
        <v/>
      </c>
      <c r="AB82" s="400">
        <f>SUM(AB68:AB72)+AB74-AB75</f>
        <v/>
      </c>
      <c r="AC82" s="400">
        <f>SUM(AC68:AC72)+AC74-AC75</f>
        <v/>
      </c>
      <c r="AD82" s="400">
        <f>SUM(AD68:AD72)+AD74-AD75</f>
        <v/>
      </c>
      <c r="AE82" s="400">
        <f>SUM(AE68:AE72)+AE74-AE75</f>
        <v/>
      </c>
      <c r="AF82" s="400">
        <f>SUM(AF68:AF72)+AF74-AF75</f>
        <v/>
      </c>
      <c r="AG82" s="400">
        <f>SUM(AG68:AG72)+AG74-AG75</f>
        <v/>
      </c>
      <c r="AH82" s="400">
        <f>SUM(AH68:AH72)+AH74-AH75</f>
        <v/>
      </c>
      <c r="AI82" s="400">
        <f>SUM(AI68:AI72)+AI74-AI75</f>
        <v/>
      </c>
      <c r="AJ82" s="400">
        <f>SUM(AJ68:AJ72)+AJ74-AJ75</f>
        <v/>
      </c>
      <c r="AK82" s="400">
        <f>SUM(AK68:AK72)+AK74-AK75</f>
        <v/>
      </c>
      <c r="AL82" s="400">
        <f>SUM(AL68:AL72)+AL74-AL75</f>
        <v/>
      </c>
      <c r="AM82" s="400">
        <f>SUM(AM68:AM72)+AM74-AM75</f>
        <v/>
      </c>
      <c r="AN82" s="400">
        <f>SUM(AN68:AN72)+AN74-AN75</f>
        <v/>
      </c>
      <c r="AO82" s="400">
        <f>SUM(AO68:AO72)+AO74-AO75</f>
        <v/>
      </c>
      <c r="AP82" s="400">
        <f>SUM(AP68:AP72)+AP74-AP75</f>
        <v/>
      </c>
      <c r="AQ82" s="400">
        <f>SUM(AQ68:AQ72)+AQ74-AQ75</f>
        <v/>
      </c>
      <c r="AR82" s="400">
        <f>SUM(AR68:AR72)+AR74-AR75</f>
        <v/>
      </c>
      <c r="AS82" s="400">
        <f>SUM(AS68:AS72)+AS74-AS75</f>
        <v/>
      </c>
      <c r="AT82" s="400">
        <f>SUM(AT68:AT72)+AT74-AT75</f>
        <v/>
      </c>
      <c r="AU82" s="400">
        <f>SUM(AU68:AU72)+AU74-AU75</f>
        <v/>
      </c>
      <c r="AV82" s="400">
        <f>SUM(AV68:AV72)+AV74-AV75</f>
        <v/>
      </c>
      <c r="AW82" s="400">
        <f>SUM(AW68:AW72)+AW74-AW75</f>
        <v/>
      </c>
      <c r="AX82" s="400">
        <f>SUM(AX68:AX72)+AX74-AX75</f>
        <v/>
      </c>
      <c r="AY82" s="400">
        <f>SUM(AY68:AY72)+AY74-AY75</f>
        <v/>
      </c>
      <c r="AZ82" s="400">
        <f>SUM(AZ68:AZ72)+AZ74-AZ75</f>
        <v/>
      </c>
      <c r="BA82" s="400">
        <f>SUM(BA68:BA72)+BA74-BA75</f>
        <v/>
      </c>
      <c r="BB82" s="400">
        <f>SUM(BB68:BB72)+BB74-BB75</f>
        <v/>
      </c>
      <c r="BC82" s="400">
        <f>SUM(BC68:BC72)+BC74-BC75</f>
        <v/>
      </c>
      <c r="BD82" s="400">
        <f>SUM(BD68:BD72)+BD74-BD75</f>
        <v/>
      </c>
      <c r="BE82" s="400">
        <f>SUM(BE68:BE72)+BE74-BE75</f>
        <v/>
      </c>
      <c r="BF82" s="400">
        <f>SUM(BF68:BF72)+BF74-BF75</f>
        <v/>
      </c>
      <c r="BG82" s="400">
        <f>SUM(BG68:BG72)+BG74-BG75</f>
        <v/>
      </c>
      <c r="BH82" s="400">
        <f>SUM(BH68:BH72)+BH74-BH75</f>
        <v/>
      </c>
      <c r="BI82" s="400">
        <f>SUM(BI68:BI72)+BI74-BI75</f>
        <v/>
      </c>
      <c r="BJ82" s="400">
        <f>SUM(BJ68:BJ72)+BJ74-BJ75</f>
        <v/>
      </c>
      <c r="BK82" s="400">
        <f>SUM(BK68:BK72)+BK74-BK75</f>
        <v/>
      </c>
      <c r="BL82" s="400">
        <f>SUM(BL68:BL72)+BL74-BL75</f>
        <v/>
      </c>
      <c r="BM82" s="400">
        <f>SUM(BM68:BM72)+BM74-BM75</f>
        <v/>
      </c>
      <c r="BN82" s="400">
        <f>SUM(BN68:BN72)+BN74-BN75</f>
        <v/>
      </c>
      <c r="BO82" s="400">
        <f>SUM(BO68:BO72)+BO74-BO75</f>
        <v/>
      </c>
      <c r="BP82" s="400">
        <f>SUM(BP68:BP72)+BP74-BP75</f>
        <v/>
      </c>
      <c r="BQ82" s="400">
        <f>SUM(BQ68:BQ72)+BQ74-BQ75</f>
        <v/>
      </c>
      <c r="BR82" s="400">
        <f>SUM(BR68:BR72)+BR74-BR75</f>
        <v/>
      </c>
      <c r="BS82" s="400">
        <f>SUM(BS68:BS72)+BS74-BS75</f>
        <v/>
      </c>
      <c r="BT82" s="400">
        <f>SUM(BT68:BT72)+BT74-BT75</f>
        <v/>
      </c>
      <c r="BU82" s="400">
        <f>SUM(BU68:BU72)+BU74-BU75</f>
        <v/>
      </c>
      <c r="BV82" s="400">
        <f>SUM(BV68:BV72)+BV74-BV75</f>
        <v/>
      </c>
      <c r="BW82" s="400">
        <f>SUM(BW68:BW72)+BW74-BW75</f>
        <v/>
      </c>
      <c r="BX82" s="400">
        <f>SUM(BX68:BX72)+BX74-BX75</f>
        <v/>
      </c>
      <c r="BY82" s="400">
        <f>SUM(BY68:BY72)+BY74-BY75</f>
        <v/>
      </c>
      <c r="BZ82" s="400">
        <f>SUM(BZ68:BZ72)+BZ74-BZ75</f>
        <v/>
      </c>
      <c r="CA82" s="400">
        <f>SUM(CA68:CA72)+CA74-CA75</f>
        <v/>
      </c>
      <c r="CB82" s="400">
        <f>SUM(CB68:CB72)+CB74-CB75</f>
        <v/>
      </c>
      <c r="CC82" s="400">
        <f>SUM(CC68:CC72)+CC74-CC75</f>
        <v/>
      </c>
      <c r="CD82" s="400">
        <f>SUM(CD68:CD72)+CD74-CD75</f>
        <v/>
      </c>
      <c r="CE82" s="400">
        <f>SUM(CE68:CE72)+CE74-CE75</f>
        <v/>
      </c>
      <c r="CF82" s="400">
        <f>SUM(CF68:CF72)+CF74-CF75</f>
        <v/>
      </c>
      <c r="CG82" s="400">
        <f>SUM(CG68:CG72)+CG74-CG75</f>
        <v/>
      </c>
      <c r="CH82" s="400">
        <f>SUM(CH68:CH72)+CH74-CH75</f>
        <v/>
      </c>
      <c r="CI82" s="400">
        <f>SUM(CI68:CI72)+CI74-CI75</f>
        <v/>
      </c>
      <c r="CJ82" s="400">
        <f>SUM(CJ68:CJ72)+CJ74-CJ75</f>
        <v/>
      </c>
      <c r="CK82" s="400">
        <f>SUM(CK68:CK72)+CK74-CK75</f>
        <v/>
      </c>
    </row>
    <row r="83">
      <c r="A83" s="455">
        <f>A82</f>
        <v/>
      </c>
      <c r="B83" s="400">
        <f>B56-B66-B75</f>
        <v/>
      </c>
      <c r="C83" s="400">
        <f>C56-C66-C75</f>
        <v/>
      </c>
      <c r="D83" s="400">
        <f>D56-D66-D75</f>
        <v/>
      </c>
      <c r="E83" s="400">
        <f>E56-E66-E75</f>
        <v/>
      </c>
      <c r="F83" s="400">
        <f>F56-F66-F75</f>
        <v/>
      </c>
      <c r="G83" s="400">
        <f>G56-G66-G75</f>
        <v/>
      </c>
      <c r="H83" s="400">
        <f>H56-H66-H75</f>
        <v/>
      </c>
      <c r="I83" s="400">
        <f>I56-I66-I75</f>
        <v/>
      </c>
      <c r="J83" s="400">
        <f>J56-J66-J75</f>
        <v/>
      </c>
      <c r="K83" s="400">
        <f>K56-K66-K75</f>
        <v/>
      </c>
      <c r="L83" s="400">
        <f>L56-L66-L75</f>
        <v/>
      </c>
      <c r="M83" s="400">
        <f>M56-M66-M75</f>
        <v/>
      </c>
      <c r="N83" s="400">
        <f>N56-N66-N75</f>
        <v/>
      </c>
      <c r="O83" s="400">
        <f>O56-O66-O75</f>
        <v/>
      </c>
      <c r="P83" s="400">
        <f>P56-P66-P75</f>
        <v/>
      </c>
      <c r="Q83" s="400">
        <f>Q56-Q66-Q75</f>
        <v/>
      </c>
      <c r="R83" s="400">
        <f>R56-R66-R75</f>
        <v/>
      </c>
      <c r="S83" s="400">
        <f>S56-S66-S75</f>
        <v/>
      </c>
      <c r="T83" s="400">
        <f>T56-T66-T75</f>
        <v/>
      </c>
      <c r="U83" s="400">
        <f>U56-U66-U75</f>
        <v/>
      </c>
      <c r="V83" s="400">
        <f>V56-V66-V75</f>
        <v/>
      </c>
      <c r="W83" s="400">
        <f>W56-W66-W75</f>
        <v/>
      </c>
      <c r="X83" s="400">
        <f>X56-X66-X75</f>
        <v/>
      </c>
      <c r="Y83" s="400">
        <f>Y56-Y66-Y75</f>
        <v/>
      </c>
      <c r="Z83" s="400">
        <f>Z56-Z66-Z75</f>
        <v/>
      </c>
      <c r="AA83" s="400">
        <f>AA56-AA66-AA75</f>
        <v/>
      </c>
      <c r="AB83" s="400">
        <f>AB56-AB66-AB75</f>
        <v/>
      </c>
      <c r="AC83" s="400">
        <f>AC56-AC66-AC75</f>
        <v/>
      </c>
      <c r="AD83" s="400">
        <f>AD56-AD66-AD75</f>
        <v/>
      </c>
      <c r="AE83" s="400">
        <f>AE56-AE66-AE75</f>
        <v/>
      </c>
      <c r="AF83" s="400">
        <f>AF56-AF66-AF75</f>
        <v/>
      </c>
      <c r="AG83" s="400">
        <f>AG56-AG66-AG75</f>
        <v/>
      </c>
      <c r="AH83" s="400">
        <f>AH56-AH66-AH75</f>
        <v/>
      </c>
      <c r="AI83" s="400">
        <f>AI56-AI66-AI75</f>
        <v/>
      </c>
      <c r="AJ83" s="400">
        <f>AJ56-AJ66-AJ75</f>
        <v/>
      </c>
      <c r="AK83" s="400">
        <f>AK56-AK66-AK75</f>
        <v/>
      </c>
      <c r="AL83" s="400">
        <f>AL56-AL66-AL75</f>
        <v/>
      </c>
      <c r="AM83" s="400">
        <f>AM56-AM66-AM75</f>
        <v/>
      </c>
      <c r="AN83" s="400">
        <f>AN56-AN66-AN75</f>
        <v/>
      </c>
      <c r="AO83" s="400">
        <f>AO56-AO66-AO75</f>
        <v/>
      </c>
      <c r="AP83" s="400">
        <f>AP56-AP66-AP75</f>
        <v/>
      </c>
      <c r="AQ83" s="400">
        <f>AQ56-AQ66-AQ75</f>
        <v/>
      </c>
      <c r="AR83" s="400">
        <f>AR56-AR66-AR75</f>
        <v/>
      </c>
      <c r="AS83" s="400">
        <f>AS56-AS66-AS75</f>
        <v/>
      </c>
      <c r="AT83" s="400">
        <f>AT56-AT66-AT75</f>
        <v/>
      </c>
      <c r="AU83" s="400">
        <f>AU56-AU66-AU75</f>
        <v/>
      </c>
      <c r="AV83" s="400">
        <f>AV56-AV66-AV75</f>
        <v/>
      </c>
      <c r="AW83" s="400">
        <f>AW56-AW66-AW75</f>
        <v/>
      </c>
      <c r="AX83" s="400">
        <f>AX56-AX66-AX75</f>
        <v/>
      </c>
      <c r="AY83" s="400">
        <f>AY56-AY66-AY75</f>
        <v/>
      </c>
      <c r="AZ83" s="400">
        <f>AZ56-AZ66-AZ75</f>
        <v/>
      </c>
      <c r="BA83" s="400">
        <f>BA56-BA66-BA75</f>
        <v/>
      </c>
      <c r="BB83" s="400">
        <f>BB56-BB66-BB75</f>
        <v/>
      </c>
      <c r="BC83" s="400">
        <f>BC56-BC66-BC75</f>
        <v/>
      </c>
      <c r="BD83" s="400">
        <f>BD56-BD66-BD75</f>
        <v/>
      </c>
      <c r="BE83" s="400">
        <f>BE56-BE66-BE75</f>
        <v/>
      </c>
      <c r="BF83" s="400">
        <f>BF56-BF66-BF75</f>
        <v/>
      </c>
      <c r="BG83" s="400">
        <f>BG56-BG66-BG75</f>
        <v/>
      </c>
      <c r="BH83" s="400">
        <f>BH56-BH66-BH75</f>
        <v/>
      </c>
      <c r="BI83" s="400">
        <f>BI56-BI66-BI75</f>
        <v/>
      </c>
      <c r="BJ83" s="400">
        <f>BJ56-BJ66-BJ75</f>
        <v/>
      </c>
      <c r="BK83" s="400">
        <f>BK56-BK66-BK75</f>
        <v/>
      </c>
      <c r="BL83" s="400">
        <f>BL56-BL66-BL75</f>
        <v/>
      </c>
      <c r="BM83" s="400">
        <f>BM56-BM66-BM75</f>
        <v/>
      </c>
      <c r="BN83" s="400">
        <f>BN56-BN66-BN75</f>
        <v/>
      </c>
      <c r="BO83" s="400">
        <f>BO56-BO66-BO75</f>
        <v/>
      </c>
      <c r="BP83" s="400">
        <f>BP56-BP66-BP75</f>
        <v/>
      </c>
      <c r="BQ83" s="400">
        <f>BQ56-BQ66-BQ75</f>
        <v/>
      </c>
      <c r="BR83" s="400">
        <f>BR56-BR66-BR75</f>
        <v/>
      </c>
      <c r="BS83" s="400">
        <f>BS56-BS66-BS75</f>
        <v/>
      </c>
      <c r="BT83" s="400">
        <f>BT56-BT66-BT75</f>
        <v/>
      </c>
      <c r="BU83" s="400">
        <f>BU56-BU66-BU75</f>
        <v/>
      </c>
      <c r="BV83" s="400">
        <f>BV56-BV66-BV75</f>
        <v/>
      </c>
      <c r="BW83" s="400">
        <f>BW56-BW66-BW75</f>
        <v/>
      </c>
      <c r="BX83" s="400">
        <f>BX56-BX66-BX75</f>
        <v/>
      </c>
      <c r="BY83" s="400">
        <f>BY56-BY66-BY75</f>
        <v/>
      </c>
      <c r="BZ83" s="400">
        <f>BZ56-BZ66-BZ75</f>
        <v/>
      </c>
      <c r="CA83" s="400">
        <f>CA56-CA66-CA75</f>
        <v/>
      </c>
      <c r="CB83" s="400">
        <f>CB56-CB66-CB75</f>
        <v/>
      </c>
      <c r="CC83" s="400">
        <f>CC56-CC66-CC75</f>
        <v/>
      </c>
      <c r="CD83" s="400">
        <f>CD56-CD66-CD75</f>
        <v/>
      </c>
      <c r="CE83" s="400">
        <f>CE56-CE66-CE75</f>
        <v/>
      </c>
      <c r="CF83" s="400">
        <f>CF56-CF66-CF75</f>
        <v/>
      </c>
      <c r="CG83" s="400">
        <f>CG56-CG66-CG75</f>
        <v/>
      </c>
      <c r="CH83" s="400">
        <f>CH56-CH66-CH75</f>
        <v/>
      </c>
      <c r="CI83" s="400">
        <f>CI56-CI66-CI75</f>
        <v/>
      </c>
      <c r="CJ83" s="400">
        <f>CJ56-CJ66-CJ75</f>
        <v/>
      </c>
      <c r="CK83" s="400">
        <f>CK56-CK66-CK75</f>
        <v/>
      </c>
    </row>
    <row r="84">
      <c r="A84" s="455" t="n"/>
      <c r="B84" s="400" t="n"/>
      <c r="C84" s="400" t="n"/>
      <c r="D84" s="400" t="n"/>
      <c r="E84" s="400" t="n"/>
      <c r="F84" s="400" t="n"/>
      <c r="G84" s="400" t="n"/>
      <c r="H84" s="400" t="n"/>
      <c r="I84" s="400" t="n"/>
      <c r="J84" s="400" t="n"/>
      <c r="K84" s="400" t="n"/>
      <c r="L84" s="400" t="n"/>
      <c r="M84" s="400" t="n"/>
      <c r="N84" s="400" t="n"/>
      <c r="O84" s="400" t="n"/>
      <c r="P84" s="400" t="n"/>
      <c r="Q84" s="400" t="n"/>
      <c r="R84" s="400" t="n"/>
      <c r="S84" s="400" t="n"/>
      <c r="T84" s="400" t="n"/>
      <c r="U84" s="400" t="n"/>
      <c r="V84" s="400" t="n"/>
      <c r="W84" s="400" t="n"/>
      <c r="X84" s="400" t="n"/>
      <c r="Y84" s="400" t="n"/>
      <c r="Z84" s="400" t="n"/>
      <c r="AA84" s="400" t="n"/>
      <c r="AB84" s="400" t="n"/>
      <c r="AC84" s="400" t="n"/>
      <c r="AD84" s="400" t="n"/>
      <c r="AE84" s="400" t="n"/>
      <c r="AF84" s="400" t="n"/>
      <c r="AG84" s="400" t="n"/>
      <c r="AH84" s="400" t="n"/>
      <c r="AI84" s="400" t="n"/>
      <c r="AJ84" s="400" t="n"/>
      <c r="AK84" s="400" t="n"/>
      <c r="AL84" s="400" t="n"/>
      <c r="AM84" s="400" t="n"/>
      <c r="AN84" s="400" t="n"/>
      <c r="AO84" s="400" t="n"/>
      <c r="AP84" s="400" t="n"/>
      <c r="AQ84" s="400" t="n"/>
      <c r="AR84" s="400" t="n"/>
    </row>
    <row r="85">
      <c r="A85" s="455" t="n"/>
      <c r="B85" s="400" t="n"/>
      <c r="C85" s="400" t="n"/>
      <c r="D85" s="400" t="n"/>
      <c r="E85" s="400" t="n"/>
      <c r="F85" s="400" t="n"/>
      <c r="G85" s="400" t="n"/>
      <c r="H85" s="400" t="n"/>
      <c r="I85" s="400" t="n"/>
      <c r="J85" s="400" t="n"/>
      <c r="K85" s="400" t="n"/>
      <c r="L85" s="400" t="n"/>
      <c r="M85" s="400" t="n"/>
      <c r="N85" s="400" t="n"/>
      <c r="O85" s="400" t="n"/>
      <c r="P85" s="400" t="n"/>
      <c r="Q85" s="400" t="n"/>
      <c r="R85" s="400" t="n"/>
      <c r="S85" s="400" t="n"/>
      <c r="T85" s="400" t="n"/>
      <c r="U85" s="400" t="n"/>
      <c r="V85" s="400" t="n"/>
      <c r="W85" s="400" t="n"/>
      <c r="X85" s="400" t="n"/>
      <c r="Y85" s="400" t="n"/>
      <c r="Z85" s="400" t="n"/>
      <c r="AA85" s="400" t="n"/>
      <c r="AB85" s="400" t="n"/>
      <c r="AC85" s="400" t="n"/>
      <c r="AD85" s="400" t="n"/>
      <c r="AE85" s="400" t="n"/>
      <c r="AF85" s="400" t="n"/>
      <c r="AG85" s="400" t="n"/>
      <c r="AH85" s="400" t="n"/>
      <c r="AI85" s="400" t="n"/>
      <c r="AJ85" s="400" t="n"/>
      <c r="AK85" s="400" t="n"/>
      <c r="AL85" s="400" t="n"/>
      <c r="AM85" s="400" t="n"/>
      <c r="AN85" s="400" t="n"/>
      <c r="AO85" s="400" t="n"/>
      <c r="AP85" s="400" t="n"/>
      <c r="AQ85" s="400" t="n"/>
      <c r="AR85" s="400" t="n"/>
    </row>
    <row r="86">
      <c r="A86" s="455" t="n"/>
      <c r="B86" s="400" t="n"/>
      <c r="C86" s="400" t="n"/>
      <c r="D86" s="400" t="n"/>
      <c r="E86" s="400" t="n"/>
      <c r="F86" s="400" t="n"/>
      <c r="G86" s="400" t="n"/>
      <c r="H86" s="400" t="n"/>
      <c r="I86" s="400" t="n"/>
      <c r="J86" s="400" t="n"/>
      <c r="K86" s="400" t="n"/>
      <c r="L86" s="400" t="n"/>
      <c r="M86" s="400" t="n"/>
      <c r="N86" s="400" t="n"/>
      <c r="O86" s="400" t="n"/>
      <c r="P86" s="400" t="n"/>
      <c r="Q86" s="400" t="n"/>
      <c r="R86" s="400" t="n"/>
      <c r="S86" s="400" t="n"/>
      <c r="T86" s="400" t="n"/>
      <c r="U86" s="400" t="n"/>
      <c r="V86" s="400" t="n"/>
      <c r="W86" s="400" t="n"/>
      <c r="X86" s="400" t="n"/>
      <c r="Y86" s="400" t="n"/>
      <c r="Z86" s="400" t="n"/>
      <c r="AA86" s="400" t="n"/>
      <c r="AB86" s="400" t="n"/>
      <c r="AC86" s="400" t="n"/>
      <c r="AD86" s="400" t="n"/>
      <c r="AE86" s="400" t="n"/>
      <c r="AF86" s="400" t="n"/>
      <c r="AG86" s="400" t="n"/>
      <c r="AH86" s="400" t="n"/>
      <c r="AI86" s="400" t="n"/>
      <c r="AJ86" s="400" t="n"/>
      <c r="AK86" s="400" t="n"/>
      <c r="AL86" s="400" t="n"/>
      <c r="AM86" s="400" t="n"/>
      <c r="AN86" s="400" t="n"/>
      <c r="AO86" s="400" t="n"/>
      <c r="AP86" s="400" t="n"/>
      <c r="AQ86" s="400" t="n"/>
      <c r="AR86" s="400" t="n"/>
      <c r="AS86" s="517" t="n"/>
    </row>
    <row r="87">
      <c r="B87" s="145" t="n"/>
      <c r="C87" s="145" t="n"/>
      <c r="D87" s="145" t="n"/>
      <c r="E87" s="145" t="n"/>
      <c r="F87" s="145" t="n"/>
      <c r="G87" s="145" t="n"/>
      <c r="H87" s="145" t="n"/>
      <c r="I87" s="145" t="n"/>
      <c r="J87" s="145" t="n"/>
      <c r="K87" s="145" t="n"/>
      <c r="L87" s="145" t="n"/>
      <c r="M87" s="145" t="n"/>
      <c r="N87" s="145" t="n"/>
      <c r="O87" s="145" t="n"/>
      <c r="P87" s="145" t="n"/>
      <c r="Q87" s="145" t="n"/>
      <c r="R87" s="145" t="n"/>
      <c r="S87" s="145" t="n"/>
      <c r="T87" s="145" t="n"/>
      <c r="U87" s="145" t="n"/>
      <c r="V87" s="145" t="n"/>
      <c r="W87" s="145" t="n"/>
      <c r="X87" s="145" t="n"/>
      <c r="Y87" s="145" t="n"/>
      <c r="Z87" s="145" t="n"/>
      <c r="AA87" s="145" t="n"/>
      <c r="AB87" s="145" t="n"/>
      <c r="AC87" s="145" t="n"/>
      <c r="AD87" s="145" t="n"/>
      <c r="AE87" s="145" t="n"/>
    </row>
    <row r="88">
      <c r="A88" s="81" t="inlineStr">
        <is>
          <t>CONSOLIDATED CASH FLOW STATEMENT (in '000 USD)</t>
        </is>
      </c>
      <c r="B88" s="145" t="n"/>
      <c r="C88" s="145" t="n"/>
      <c r="D88" s="145" t="n"/>
      <c r="E88" s="145" t="n"/>
      <c r="F88" s="145" t="n"/>
      <c r="G88" s="145" t="n"/>
      <c r="H88" s="145" t="n"/>
      <c r="I88" s="145" t="n"/>
      <c r="J88" s="145" t="n"/>
      <c r="K88" s="145" t="n"/>
      <c r="L88" s="145" t="n"/>
      <c r="M88" s="145" t="n"/>
      <c r="N88" s="145" t="n"/>
      <c r="O88" s="145" t="n"/>
      <c r="P88" s="145" t="n"/>
      <c r="Q88" s="145" t="n"/>
      <c r="R88" s="145" t="n"/>
      <c r="S88" s="145" t="n"/>
      <c r="T88" s="145" t="n"/>
      <c r="U88" s="145" t="n"/>
      <c r="V88" s="145" t="n"/>
      <c r="W88" s="145" t="n"/>
      <c r="X88" s="145" t="n"/>
      <c r="Y88" s="145" t="n"/>
      <c r="Z88" s="145" t="n"/>
      <c r="AA88" s="145" t="n"/>
      <c r="AB88" s="145" t="n"/>
      <c r="AC88" s="145" t="n"/>
      <c r="AD88" s="145" t="n"/>
      <c r="AE88" s="145" t="n"/>
      <c r="AF88" s="20" t="n"/>
      <c r="AG88" s="20" t="n"/>
      <c r="AH88" s="20" t="n"/>
      <c r="AI88" s="20" t="n"/>
      <c r="AJ88" s="20" t="n"/>
      <c r="AK88" s="20" t="n"/>
      <c r="AL88" s="20" t="n"/>
      <c r="AM88" s="20" t="n"/>
      <c r="AN88" s="20" t="n"/>
      <c r="AO88" s="20" t="n"/>
      <c r="AP88" s="20" t="n"/>
      <c r="AQ88" s="20" t="n"/>
      <c r="AR88" s="20" t="n"/>
    </row>
    <row r="89">
      <c r="B89" s="145" t="n"/>
      <c r="C89" s="145" t="n"/>
      <c r="D89" s="145" t="n"/>
      <c r="E89" s="145" t="n"/>
      <c r="F89" s="145" t="n"/>
      <c r="G89" s="145" t="n"/>
      <c r="H89" s="145" t="n"/>
      <c r="I89" s="145" t="n"/>
      <c r="J89" s="145" t="n"/>
      <c r="K89" s="145" t="n"/>
      <c r="L89" s="145" t="n"/>
      <c r="M89" s="145" t="n"/>
      <c r="N89" s="145" t="n"/>
      <c r="O89" s="145" t="n"/>
      <c r="P89" s="145" t="n"/>
      <c r="Q89" s="145" t="n"/>
      <c r="R89" s="145" t="n"/>
      <c r="S89" s="145" t="n"/>
      <c r="T89" s="145" t="n"/>
      <c r="U89" s="145" t="n"/>
      <c r="V89" s="145" t="n"/>
      <c r="W89" s="145" t="n"/>
      <c r="X89" s="145" t="n"/>
      <c r="Y89" s="145" t="n"/>
      <c r="Z89" s="145" t="n"/>
      <c r="AA89" s="145" t="n"/>
      <c r="AB89" s="145" t="n"/>
      <c r="AC89" s="145" t="n"/>
      <c r="AD89" s="145" t="n"/>
      <c r="AE89" s="145" t="n"/>
    </row>
    <row r="90">
      <c r="A90" s="22" t="inlineStr">
        <is>
          <t>CASH FLOWS FROM OPERATING ACTIVITIES:</t>
        </is>
      </c>
      <c r="B90" s="22" t="n"/>
      <c r="C90" s="22" t="n"/>
      <c r="D90" s="22" t="n"/>
      <c r="E90" s="22" t="n"/>
      <c r="F90" s="22" t="n"/>
      <c r="G90" s="22" t="n"/>
      <c r="H90" s="22" t="n"/>
      <c r="I90" s="22" t="n"/>
      <c r="J90" s="22" t="n"/>
      <c r="K90" s="22" t="n"/>
      <c r="L90" s="22" t="n"/>
      <c r="M90" s="22" t="n"/>
      <c r="N90" s="22" t="n"/>
      <c r="O90" s="22" t="n"/>
      <c r="P90" s="22" t="n"/>
      <c r="Q90" s="22" t="n"/>
      <c r="R90" s="22" t="n"/>
      <c r="S90" s="22" t="n"/>
      <c r="T90" s="22" t="n"/>
      <c r="U90" s="22" t="n"/>
      <c r="V90" s="22" t="n"/>
      <c r="W90" s="22" t="n"/>
      <c r="X90" s="22" t="n"/>
      <c r="Y90" s="22" t="n"/>
      <c r="Z90" s="22" t="n"/>
      <c r="AA90" s="22" t="n"/>
      <c r="AB90" s="22" t="n"/>
      <c r="AC90" s="22" t="n"/>
      <c r="AD90" s="22" t="n"/>
      <c r="AE90" s="22" t="n"/>
      <c r="AF90" s="22" t="n"/>
      <c r="AG90" s="22" t="n"/>
      <c r="AH90" s="22" t="n"/>
      <c r="AI90" s="22" t="n"/>
      <c r="AJ90" s="22" t="n"/>
      <c r="AK90" s="22" t="n"/>
      <c r="AL90" s="22" t="n"/>
      <c r="AM90" s="22" t="n"/>
      <c r="AN90" s="22" t="n"/>
      <c r="AO90" s="22" t="n"/>
      <c r="AP90" s="22" t="n"/>
      <c r="AQ90" s="22" t="n"/>
      <c r="AR90" s="22" t="n"/>
    </row>
    <row r="91">
      <c r="A91" s="74" t="inlineStr">
        <is>
          <t>Net income</t>
        </is>
      </c>
      <c r="B91" s="145" t="n"/>
      <c r="C91" s="145" t="n"/>
      <c r="D91" s="145" t="n"/>
      <c r="E91" s="145" t="n"/>
      <c r="F91" s="145" t="n"/>
      <c r="G91" s="145" t="n"/>
      <c r="H91" s="145" t="n"/>
      <c r="I91" s="145" t="n"/>
      <c r="J91" s="145" t="n"/>
      <c r="K91" s="145" t="n"/>
      <c r="L91" s="145" t="n"/>
      <c r="M91" s="145" t="n"/>
      <c r="N91" s="509">
        <f>IF(N$2=1,Reported!N171,Reported!N171-Reported!M171)</f>
        <v/>
      </c>
      <c r="O91" s="509">
        <f>IF(O$2=1,Reported!O171,Reported!O171-Reported!N171)</f>
        <v/>
      </c>
      <c r="P91" s="509">
        <f>IF(P$2=1,Reported!P171,Reported!P171-Reported!O171)</f>
        <v/>
      </c>
      <c r="Q91" s="509">
        <f>IF(Q$2=1,Reported!Q171,Reported!Q171-Reported!P171)</f>
        <v/>
      </c>
      <c r="R91" s="509">
        <f>IF(R$2=1,Reported!R171,Reported!R171-Reported!Q171)</f>
        <v/>
      </c>
      <c r="S91" s="509">
        <f>IF(S$2=1,Reported!S171,Reported!S171-Reported!R171)</f>
        <v/>
      </c>
      <c r="T91" s="509">
        <f>IF(T$2=1,Reported!T171,Reported!T171-Reported!S171)</f>
        <v/>
      </c>
      <c r="U91" s="509">
        <f>IF(U$2=1,Reported!U171,Reported!U171-Reported!T171)</f>
        <v/>
      </c>
      <c r="V91" s="509">
        <f>IF(V$2=1,Reported!V171,Reported!V171-Reported!U171)</f>
        <v/>
      </c>
      <c r="W91" s="509">
        <f>IF(W$2=1,Reported!W171,Reported!W171-Reported!V171)</f>
        <v/>
      </c>
      <c r="X91" s="509">
        <f>IF(X$2=1,Reported!X171,Reported!X171-Reported!W171)</f>
        <v/>
      </c>
      <c r="Y91" s="509">
        <f>IF(Y$2=1,Reported!Y171,Reported!Y171-Reported!X171)</f>
        <v/>
      </c>
      <c r="Z91" s="509">
        <f>IF(Z$2=1,Reported!Z171,Reported!Z171-Reported!Y171)</f>
        <v/>
      </c>
      <c r="AA91" s="509">
        <f>IF(AA$2=1,Reported!AA171,Reported!AA171-Reported!Z171)</f>
        <v/>
      </c>
      <c r="AB91" s="509">
        <f>IF(AB$2=1,Reported!AB171,Reported!AB171-Reported!AA171)</f>
        <v/>
      </c>
      <c r="AC91" s="509">
        <f>IF(AC$2=1,Reported!AC171,Reported!AC171-Reported!AB171)</f>
        <v/>
      </c>
      <c r="AD91" s="509">
        <f>IF(AD$2=1,Reported!AD171,Reported!AD171-Reported!AC171)</f>
        <v/>
      </c>
      <c r="AE91" s="509">
        <f>IF(AE$2=1,Reported!AE171,Reported!AE171-Reported!AD171)</f>
        <v/>
      </c>
      <c r="AF91" s="509">
        <f>IF(AF$2=1,Reported!AF171,Reported!AF171-Reported!AE171)</f>
        <v/>
      </c>
      <c r="AG91" s="509">
        <f>IF(AG$2=1,Reported!AG171,Reported!AG171-Reported!AF171)</f>
        <v/>
      </c>
      <c r="AH91" s="509">
        <f>IF(AH$2=1,Reported!AH171,Reported!AH171-Reported!AG171)</f>
        <v/>
      </c>
      <c r="AI91" s="509">
        <f>IF(AI$2=1,Reported!AI171,Reported!AI171-Reported!AH171)</f>
        <v/>
      </c>
      <c r="AJ91" s="509">
        <f>IF(AJ$2=1,Reported!AJ171,Reported!AJ171-Reported!AI171)</f>
        <v/>
      </c>
      <c r="AK91" s="509">
        <f>IF(AK$2=1,Reported!AK171,Reported!AK171-Reported!AJ171)</f>
        <v/>
      </c>
      <c r="AL91" s="509">
        <f>IF(AL$2=1,Reported!AL171,Reported!AL171-Reported!AK171)</f>
        <v/>
      </c>
      <c r="AM91" s="509">
        <f>IF(AM$2=1,Reported!AM171,Reported!AM171-Reported!AL171)</f>
        <v/>
      </c>
      <c r="AN91" s="509">
        <f>IF(AN$2=1,Reported!AN171,Reported!AN171-Reported!AM171)</f>
        <v/>
      </c>
      <c r="AO91" s="509">
        <f>IF(AO$2=1,Reported!AO171,Reported!AO171-Reported!AN171)</f>
        <v/>
      </c>
      <c r="AP91" s="509">
        <f>IF(AP$2=1,Reported!AP171,Reported!AP171-Reported!AO171)</f>
        <v/>
      </c>
      <c r="AQ91" s="509">
        <f>IF(AQ$2=1,Reported!AQ171,Reported!AQ171-Reported!AP171)</f>
        <v/>
      </c>
      <c r="AR91" s="509">
        <f>IF(AR$2=1,Reported!AR171,Reported!AR171-Reported!AQ171)</f>
        <v/>
      </c>
      <c r="AS91" s="509">
        <f>IF(AS$2=1,Reported!AS171,Reported!AS171-Reported!AR171)</f>
        <v/>
      </c>
      <c r="AT91" s="509">
        <f>IF(AT$2=1,Reported!AT171,Reported!AT171-Reported!AS171)</f>
        <v/>
      </c>
      <c r="AU91" s="509">
        <f>IF(AU$2=1,Reported!AU171,Reported!AU171-Reported!AT171)</f>
        <v/>
      </c>
      <c r="AV91" s="509">
        <f>IF(AV$2=1,Reported!AV171,Reported!AV171-Reported!AU171)</f>
        <v/>
      </c>
      <c r="AW91" s="509">
        <f>IF(AW$2=1,Reported!AW171,Reported!AW171-Reported!AV171)</f>
        <v/>
      </c>
      <c r="AX91" s="509">
        <f>IF(AX$2=1,Reported!AX171,Reported!AX171-Reported!AW171)</f>
        <v/>
      </c>
      <c r="AY91" s="509">
        <f>IF(AY$2=1,Reported!AY171,Reported!AY171-Reported!AX171)</f>
        <v/>
      </c>
      <c r="AZ91" s="509">
        <f>IF(AZ$2=1,Reported!AZ171,Reported!AZ171-Reported!AY171)</f>
        <v/>
      </c>
      <c r="BA91" s="509">
        <f>IF(BA$2=1,Reported!BA171,Reported!BA171-Reported!AZ171)</f>
        <v/>
      </c>
      <c r="BB91" s="509">
        <f>IF(BB$2=1,Reported!BB171,Reported!BB171-Reported!BA171)</f>
        <v/>
      </c>
      <c r="BC91" s="509">
        <f>IF(BC$2=1,Reported!BC171,Reported!BC171-Reported!BB171)</f>
        <v/>
      </c>
      <c r="BD91" s="509">
        <f>IF(BD$2=1,Reported!BD171,Reported!BD171-Reported!BC171)</f>
        <v/>
      </c>
      <c r="BE91" s="509">
        <f>IF(BE$2=1,Reported!BE171,Reported!BE171-Reported!BD171)</f>
        <v/>
      </c>
      <c r="BF91" s="509">
        <f>IF(BF$2=1,Reported!BF171,Reported!BF171-Reported!BE171)</f>
        <v/>
      </c>
      <c r="BG91" s="509">
        <f>IF(BG$2=1,Reported!BG171,Reported!BG171-Reported!BF171)</f>
        <v/>
      </c>
      <c r="BH91" s="509">
        <f>IF(BH$2=1,Reported!BH171,Reported!BH171-Reported!BG171)</f>
        <v/>
      </c>
      <c r="BI91" s="509">
        <f>IF(BI$2=1,Reported!BI171,Reported!BI171-Reported!BH171)</f>
        <v/>
      </c>
      <c r="BJ91" s="509">
        <f>IF(BJ$2=1,Reported!BJ171,Reported!BJ171-Reported!BI171)</f>
        <v/>
      </c>
      <c r="BK91" s="509">
        <f>IF(BK$2=1,Reported!BK171,Reported!BK171-Reported!BJ171)</f>
        <v/>
      </c>
      <c r="BL91" s="509">
        <f>IF(BL$2=1,Reported!BL171,Reported!BL171-Reported!BK171)</f>
        <v/>
      </c>
      <c r="BM91" s="509">
        <f>IF(BM$2=1,Reported!BM171,Reported!BM171-Reported!BL171)</f>
        <v/>
      </c>
      <c r="BN91" s="509">
        <f>IF(BN$2=1,Reported!BN171,Reported!BN171-Reported!BM171)</f>
        <v/>
      </c>
      <c r="BO91" s="509">
        <f>IF(BO$2=1,Reported!BO171,Reported!BO171-Reported!BN171)</f>
        <v/>
      </c>
      <c r="BP91" s="509">
        <f>IF(BP$2=1,Reported!BP171,Reported!BP171-Reported!BO171)</f>
        <v/>
      </c>
      <c r="BQ91" s="509">
        <f>IF(BQ$2=1,Reported!BQ171,Reported!BQ171-Reported!BP171)</f>
        <v/>
      </c>
      <c r="BR91" s="509">
        <f>IF(BR$2=1,Reported!BR171,Reported!BR171-Reported!BQ171)</f>
        <v/>
      </c>
      <c r="BS91" s="517">
        <f>BS25</f>
        <v/>
      </c>
      <c r="BT91" s="517">
        <f>BT25</f>
        <v/>
      </c>
      <c r="BU91" s="517">
        <f>BU25</f>
        <v/>
      </c>
      <c r="BV91" s="517">
        <f>BV25</f>
        <v/>
      </c>
      <c r="BW91" s="517">
        <f>BW25</f>
        <v/>
      </c>
      <c r="BX91" s="517">
        <f>BX25</f>
        <v/>
      </c>
      <c r="BY91" s="517">
        <f>BY25</f>
        <v/>
      </c>
      <c r="BZ91" s="517">
        <f>BZ25</f>
        <v/>
      </c>
      <c r="CA91" s="517">
        <f>CA25</f>
        <v/>
      </c>
      <c r="CB91" s="517">
        <f>CB25</f>
        <v/>
      </c>
      <c r="CC91" s="517">
        <f>CC25</f>
        <v/>
      </c>
      <c r="CD91" s="517">
        <f>CD25</f>
        <v/>
      </c>
      <c r="CE91" s="517">
        <f>CE25</f>
        <v/>
      </c>
      <c r="CF91" s="517">
        <f>CF25</f>
        <v/>
      </c>
      <c r="CG91" s="517">
        <f>CG25</f>
        <v/>
      </c>
      <c r="CH91" s="517">
        <f>CH25</f>
        <v/>
      </c>
      <c r="CI91" s="517">
        <f>CI25</f>
        <v/>
      </c>
      <c r="CJ91" s="517">
        <f>CJ25</f>
        <v/>
      </c>
      <c r="CK91" s="517">
        <f>CK25</f>
        <v/>
      </c>
    </row>
    <row r="92">
      <c r="A92" s="74" t="inlineStr">
        <is>
          <t>Adjustment of non-cash items:</t>
        </is>
      </c>
      <c r="B92" s="145" t="n"/>
      <c r="C92" s="145" t="n"/>
      <c r="D92" s="145" t="n"/>
      <c r="E92" s="145" t="n"/>
      <c r="F92" s="145" t="n"/>
      <c r="G92" s="145" t="n"/>
      <c r="H92" s="145" t="n"/>
      <c r="I92" s="145" t="n"/>
      <c r="J92" s="145" t="n"/>
      <c r="K92" s="145" t="n"/>
      <c r="L92" s="145" t="n"/>
      <c r="M92" s="145" t="n"/>
      <c r="N92" s="509" t="n"/>
      <c r="O92" s="509" t="n"/>
      <c r="P92" s="509" t="n"/>
      <c r="Q92" s="509" t="n"/>
      <c r="R92" s="509" t="n"/>
      <c r="S92" s="509" t="n"/>
      <c r="T92" s="509" t="n"/>
      <c r="U92" s="509" t="n"/>
      <c r="V92" s="509" t="n"/>
      <c r="W92" s="509" t="n"/>
      <c r="X92" s="509" t="n"/>
      <c r="Y92" s="509" t="n"/>
      <c r="Z92" s="509" t="n"/>
      <c r="AA92" s="509" t="n"/>
      <c r="AB92" s="509" t="n"/>
      <c r="AC92" s="509" t="n"/>
      <c r="AD92" s="509" t="n"/>
      <c r="AE92" s="509" t="n"/>
      <c r="AF92" s="509" t="n"/>
      <c r="AG92" s="509" t="n"/>
      <c r="AH92" s="509" t="n"/>
      <c r="AI92" s="509" t="n"/>
      <c r="AJ92" s="509" t="n"/>
      <c r="AK92" s="509" t="n"/>
      <c r="AL92" s="509" t="n"/>
      <c r="AM92" s="509" t="n"/>
      <c r="AN92" s="509" t="n"/>
      <c r="AO92" s="509" t="n"/>
      <c r="AP92" s="509" t="n"/>
      <c r="AQ92" s="509" t="n"/>
      <c r="AR92" s="509" t="n"/>
      <c r="AS92" s="509" t="n"/>
      <c r="AT92" s="509" t="n"/>
      <c r="AU92" s="509" t="n"/>
      <c r="AV92" s="509" t="n"/>
      <c r="AW92" s="509" t="n"/>
      <c r="AX92" s="509" t="n"/>
      <c r="AY92" s="509" t="n"/>
      <c r="AZ92" s="509" t="n"/>
      <c r="BA92" s="509" t="n"/>
      <c r="BB92" s="509" t="n"/>
      <c r="BC92" s="509" t="n"/>
      <c r="BD92" s="509" t="n"/>
      <c r="BE92" s="509" t="n"/>
      <c r="BF92" s="509" t="n"/>
      <c r="BG92" s="509" t="n"/>
      <c r="BH92" s="509" t="n"/>
      <c r="BI92" s="509" t="n"/>
      <c r="BJ92" s="509" t="n"/>
      <c r="BK92" s="509" t="n"/>
      <c r="BL92" s="509" t="n"/>
      <c r="BM92" s="509" t="n"/>
      <c r="BN92" s="509" t="n"/>
      <c r="BO92" s="509" t="n"/>
      <c r="BP92" s="509" t="n"/>
      <c r="BQ92" s="509" t="n"/>
      <c r="BR92" s="509" t="n"/>
    </row>
    <row r="93">
      <c r="A93" s="33" t="inlineStr">
        <is>
          <t>Depreciation and amortization</t>
        </is>
      </c>
      <c r="B93" s="145" t="n"/>
      <c r="C93" s="145" t="n"/>
      <c r="D93" s="145" t="n"/>
      <c r="E93" s="145" t="n"/>
      <c r="F93" s="145" t="n"/>
      <c r="G93" s="145" t="n"/>
      <c r="H93" s="145" t="n"/>
      <c r="I93" s="145" t="n"/>
      <c r="J93" s="145" t="n"/>
      <c r="K93" s="145" t="n"/>
      <c r="L93" s="145" t="n"/>
      <c r="M93" s="145" t="n"/>
      <c r="N93" s="509">
        <f>IF(N$2=1,Reported!N173,Reported!N173-Reported!M173)</f>
        <v/>
      </c>
      <c r="O93" s="509">
        <f>IF(O$2=1,Reported!O173,Reported!O173-Reported!N173)</f>
        <v/>
      </c>
      <c r="P93" s="509">
        <f>IF(P$2=1,Reported!P173,Reported!P173-Reported!O173)</f>
        <v/>
      </c>
      <c r="Q93" s="509">
        <f>IF(Q$2=1,Reported!Q173,Reported!Q173-Reported!P173)</f>
        <v/>
      </c>
      <c r="R93" s="509">
        <f>IF(R$2=1,Reported!R173,Reported!R173-Reported!Q173)</f>
        <v/>
      </c>
      <c r="S93" s="509">
        <f>IF(S$2=1,Reported!S173,Reported!S173-Reported!R173)</f>
        <v/>
      </c>
      <c r="T93" s="509">
        <f>IF(T$2=1,Reported!T173,Reported!T173-Reported!S173)</f>
        <v/>
      </c>
      <c r="U93" s="509">
        <f>IF(U$2=1,Reported!U173,Reported!U173-Reported!T173)</f>
        <v/>
      </c>
      <c r="V93" s="509">
        <f>IF(V$2=1,Reported!V173,Reported!V173-Reported!U173)</f>
        <v/>
      </c>
      <c r="W93" s="509">
        <f>IF(W$2=1,Reported!W173,Reported!W173-Reported!V173)</f>
        <v/>
      </c>
      <c r="X93" s="509">
        <f>IF(X$2=1,Reported!X173,Reported!X173-Reported!W173)</f>
        <v/>
      </c>
      <c r="Y93" s="509">
        <f>IF(Y$2=1,Reported!Y173,Reported!Y173-Reported!X173)</f>
        <v/>
      </c>
      <c r="Z93" s="509">
        <f>IF(Z$2=1,Reported!Z173,Reported!Z173-Reported!Y173)</f>
        <v/>
      </c>
      <c r="AA93" s="509">
        <f>IF(AA$2=1,Reported!AA173,Reported!AA173-Reported!Z173)</f>
        <v/>
      </c>
      <c r="AB93" s="509">
        <f>IF(AB$2=1,Reported!AB173,Reported!AB173-Reported!AA173)</f>
        <v/>
      </c>
      <c r="AC93" s="509">
        <f>IF(AC$2=1,Reported!AC173,Reported!AC173-Reported!AB173)</f>
        <v/>
      </c>
      <c r="AD93" s="509">
        <f>IF(AD$2=1,Reported!AD173,Reported!AD173-Reported!AC173)</f>
        <v/>
      </c>
      <c r="AE93" s="509">
        <f>IF(AE$2=1,Reported!AE173,Reported!AE173-Reported!AD173)</f>
        <v/>
      </c>
      <c r="AF93" s="509">
        <f>IF(AF$2=1,Reported!AF173,Reported!AF173-Reported!AE173)</f>
        <v/>
      </c>
      <c r="AG93" s="509">
        <f>IF(AG$2=1,Reported!AG173,Reported!AG173-Reported!AF173)</f>
        <v/>
      </c>
      <c r="AH93" s="509">
        <f>IF(AH$2=1,Reported!AH173,Reported!AH173-Reported!AG173)</f>
        <v/>
      </c>
      <c r="AI93" s="509">
        <f>IF(AI$2=1,Reported!AI173,Reported!AI173-Reported!AH173)</f>
        <v/>
      </c>
      <c r="AJ93" s="509">
        <f>IF(AJ$2=1,Reported!AJ173,Reported!AJ173-Reported!AI173)</f>
        <v/>
      </c>
      <c r="AK93" s="509">
        <f>IF(AK$2=1,Reported!AK173,Reported!AK173-Reported!AJ173)</f>
        <v/>
      </c>
      <c r="AL93" s="509">
        <f>IF(AL$2=1,Reported!AL173,Reported!AL173-Reported!AK173)</f>
        <v/>
      </c>
      <c r="AM93" s="509">
        <f>IF(AM$2=1,Reported!AM173,Reported!AM173-Reported!AL173)</f>
        <v/>
      </c>
      <c r="AN93" s="509">
        <f>IF(AN$2=1,Reported!AN173,Reported!AN173-Reported!AM173)</f>
        <v/>
      </c>
      <c r="AO93" s="509">
        <f>IF(AO$2=1,Reported!AO173,Reported!AO173-Reported!AN173)</f>
        <v/>
      </c>
      <c r="AP93" s="509">
        <f>IF(AP$2=1,Reported!AP173,Reported!AP173-Reported!AO173)</f>
        <v/>
      </c>
      <c r="AQ93" s="509">
        <f>IF(AQ$2=1,Reported!AQ173,Reported!AQ173-Reported!AP173)</f>
        <v/>
      </c>
      <c r="AR93" s="509">
        <f>IF(AR$2=1,Reported!AR173,Reported!AR173-Reported!AQ173)</f>
        <v/>
      </c>
      <c r="AS93" s="509">
        <f>IF(AS$2=1,Reported!AS173,Reported!AS173-Reported!AR173)</f>
        <v/>
      </c>
      <c r="AT93" s="509">
        <f>IF(AT$2=1,Reported!AT173,Reported!AT173-Reported!AS173)</f>
        <v/>
      </c>
      <c r="AU93" s="509">
        <f>IF(AU$2=1,Reported!AU173,Reported!AU173-Reported!AT173)</f>
        <v/>
      </c>
      <c r="AV93" s="509">
        <f>IF(AV$2=1,Reported!AV173,Reported!AV173-Reported!AU173)</f>
        <v/>
      </c>
      <c r="AW93" s="509">
        <f>IF(AW$2=1,Reported!AW173,Reported!AW173-Reported!AV173)</f>
        <v/>
      </c>
      <c r="AX93" s="509">
        <f>IF(AX$2=1,Reported!AX173,Reported!AX173-Reported!AW173)</f>
        <v/>
      </c>
      <c r="AY93" s="509">
        <f>IF(AY$2=1,Reported!AY173,Reported!AY173-Reported!AX173)</f>
        <v/>
      </c>
      <c r="AZ93" s="509">
        <f>IF(AZ$2=1,Reported!AZ173,Reported!AZ173-Reported!AY173)</f>
        <v/>
      </c>
      <c r="BA93" s="509">
        <f>IF(BA$2=1,Reported!BA173,Reported!BA173-Reported!AZ173)</f>
        <v/>
      </c>
      <c r="BB93" s="509">
        <f>IF(BB$2=1,Reported!BB173,Reported!BB173-Reported!BA173)</f>
        <v/>
      </c>
      <c r="BC93" s="509">
        <f>IF(BC$2=1,Reported!BC173,Reported!BC173-Reported!BB173)</f>
        <v/>
      </c>
      <c r="BD93" s="509">
        <f>IF(BD$2=1,Reported!BD173,Reported!BD173-Reported!BC173)</f>
        <v/>
      </c>
      <c r="BE93" s="509">
        <f>IF(BE$2=1,Reported!BE173,Reported!BE173-Reported!BD173)</f>
        <v/>
      </c>
      <c r="BF93" s="509">
        <f>IF(BF$2=1,Reported!BF173,Reported!BF173-Reported!BE173)</f>
        <v/>
      </c>
      <c r="BG93" s="509">
        <f>IF(BG$2=1,Reported!BG173,Reported!BG173-Reported!BF173)</f>
        <v/>
      </c>
      <c r="BH93" s="509">
        <f>IF(BH$2=1,Reported!BH173,Reported!BH173-Reported!BG173)</f>
        <v/>
      </c>
      <c r="BI93" s="509">
        <f>IF(BI$2=1,Reported!BI173,Reported!BI173-Reported!BH173)</f>
        <v/>
      </c>
      <c r="BJ93" s="509">
        <f>IF(BJ$2=1,Reported!BJ173,Reported!BJ173-Reported!BI173)</f>
        <v/>
      </c>
      <c r="BK93" s="509">
        <f>IF(BK$2=1,Reported!BK173,Reported!BK173-Reported!BJ173)</f>
        <v/>
      </c>
      <c r="BL93" s="509">
        <f>IF(BL$2=1,Reported!BL173,Reported!BL173-Reported!BK173)</f>
        <v/>
      </c>
      <c r="BM93" s="509">
        <f>IF(BM$2=1,Reported!BM173,Reported!BM173-Reported!BL173)</f>
        <v/>
      </c>
      <c r="BN93" s="509">
        <f>IF(BN$2=1,Reported!BN173,Reported!BN173-Reported!BM173)</f>
        <v/>
      </c>
      <c r="BO93" s="509">
        <f>IF(BO$2=1,Reported!BO173,Reported!BO173-Reported!BN173)</f>
        <v/>
      </c>
      <c r="BP93" s="509">
        <f>IF(BP$2=1,Reported!BP173,Reported!BP173-Reported!BO173)</f>
        <v/>
      </c>
      <c r="BQ93" s="509">
        <f>IF(BQ$2=1,Reported!BQ173,Reported!BQ173-Reported!BP173)</f>
        <v/>
      </c>
      <c r="BR93" s="509">
        <f>IF(BR$2=1,Reported!BR173,Reported!BR173-Reported!BQ173)</f>
        <v/>
      </c>
      <c r="BS93" s="517">
        <f>Assumption!BS182</f>
        <v/>
      </c>
      <c r="BT93" s="517">
        <f>Assumption!BT182</f>
        <v/>
      </c>
      <c r="BU93" s="517">
        <f>Assumption!BU182</f>
        <v/>
      </c>
      <c r="BV93" s="517">
        <f>Assumption!BV182</f>
        <v/>
      </c>
      <c r="BW93" s="517">
        <f>Assumption!BW182</f>
        <v/>
      </c>
      <c r="BX93" s="517">
        <f>Assumption!BX182</f>
        <v/>
      </c>
      <c r="BY93" s="517">
        <f>Assumption!BY182</f>
        <v/>
      </c>
      <c r="BZ93" s="517">
        <f>Assumption!BZ182</f>
        <v/>
      </c>
      <c r="CA93" s="517">
        <f>Assumption!CA182</f>
        <v/>
      </c>
      <c r="CB93" s="517">
        <f>Assumption!CB182</f>
        <v/>
      </c>
      <c r="CC93" s="517">
        <f>Assumption!CC182</f>
        <v/>
      </c>
      <c r="CD93" s="517">
        <f>Assumption!CD182</f>
        <v/>
      </c>
      <c r="CE93" s="517">
        <f>Assumption!CE182</f>
        <v/>
      </c>
      <c r="CF93" s="517">
        <f>Assumption!CF182</f>
        <v/>
      </c>
      <c r="CG93" s="517">
        <f>Assumption!CG182</f>
        <v/>
      </c>
      <c r="CH93" s="517">
        <f>Assumption!CH182</f>
        <v/>
      </c>
      <c r="CI93" s="517">
        <f>Assumption!CI182</f>
        <v/>
      </c>
      <c r="CJ93" s="517">
        <f>Assumption!CJ182</f>
        <v/>
      </c>
      <c r="CK93" s="517">
        <f>Assumption!CK182</f>
        <v/>
      </c>
    </row>
    <row r="94">
      <c r="A94" s="33" t="inlineStr">
        <is>
          <t>Provisions for inventory, warranty and bad debt</t>
        </is>
      </c>
      <c r="B94" s="145" t="n"/>
      <c r="C94" s="145" t="n"/>
      <c r="D94" s="145" t="n"/>
      <c r="E94" s="145" t="n"/>
      <c r="F94" s="145" t="n"/>
      <c r="G94" s="145" t="n"/>
      <c r="H94" s="145" t="n"/>
      <c r="I94" s="145" t="n"/>
      <c r="J94" s="145" t="n"/>
      <c r="K94" s="145" t="n"/>
      <c r="L94" s="145" t="n"/>
      <c r="M94" s="145" t="n"/>
      <c r="N94" s="509">
        <f>IF(N$2=1,Reported!N178,Reported!N178-Reported!M178)</f>
        <v/>
      </c>
      <c r="O94" s="509">
        <f>IF(O$2=1,Reported!O178,Reported!O178-Reported!N178)</f>
        <v/>
      </c>
      <c r="P94" s="509">
        <f>IF(P$2=1,Reported!P178,Reported!P178-Reported!O178)</f>
        <v/>
      </c>
      <c r="Q94" s="509">
        <f>IF(Q$2=1,Reported!Q178,Reported!Q178-Reported!P178)</f>
        <v/>
      </c>
      <c r="R94" s="509">
        <f>IF(R$2=1,Reported!R178,Reported!R178-Reported!Q178)</f>
        <v/>
      </c>
      <c r="S94" s="509">
        <f>IF(S$2=1,Reported!S178,Reported!S178-Reported!R178)</f>
        <v/>
      </c>
      <c r="T94" s="509">
        <f>IF(T$2=1,Reported!T178,Reported!T178-Reported!S178)</f>
        <v/>
      </c>
      <c r="U94" s="509">
        <f>IF(U$2=1,Reported!U178,Reported!U178-Reported!T178)</f>
        <v/>
      </c>
      <c r="V94" s="509">
        <f>IF(V$2=1,Reported!V178,Reported!V178-Reported!U178)</f>
        <v/>
      </c>
      <c r="W94" s="509">
        <f>IF(W$2=1,Reported!W178,Reported!W178-Reported!V178)</f>
        <v/>
      </c>
      <c r="X94" s="509">
        <f>IF(X$2=1,Reported!X178,Reported!X178-Reported!W178)</f>
        <v/>
      </c>
      <c r="Y94" s="509">
        <f>IF(Y$2=1,Reported!Y178,Reported!Y178-Reported!X178)</f>
        <v/>
      </c>
      <c r="Z94" s="509">
        <f>IF(Z$2=1,Reported!Z178,Reported!Z178-Reported!Y178)</f>
        <v/>
      </c>
      <c r="AA94" s="509">
        <f>IF(AA$2=1,Reported!AA178,Reported!AA178-Reported!Z178)</f>
        <v/>
      </c>
      <c r="AB94" s="509">
        <f>IF(AB$2=1,Reported!AB178,Reported!AB178-Reported!AA178)</f>
        <v/>
      </c>
      <c r="AC94" s="509">
        <f>IF(AC$2=1,Reported!AC178,Reported!AC178-Reported!AB178)</f>
        <v/>
      </c>
      <c r="AD94" s="509">
        <f>IF(AD$2=1,Reported!AD178,Reported!AD178-Reported!AC178)</f>
        <v/>
      </c>
      <c r="AE94" s="509">
        <f>IF(AE$2=1,Reported!AE178,Reported!AE178-Reported!AD178)</f>
        <v/>
      </c>
      <c r="AF94" s="509">
        <f>IF(AF$2=1,Reported!AF178,Reported!AF178-Reported!AE178)</f>
        <v/>
      </c>
      <c r="AG94" s="509">
        <f>IF(AG$2=1,Reported!AG178,Reported!AG178-Reported!AF178)</f>
        <v/>
      </c>
      <c r="AH94" s="509">
        <f>IF(AH$2=1,Reported!AH178,Reported!AH178-Reported!AG178)</f>
        <v/>
      </c>
      <c r="AI94" s="509">
        <f>IF(AI$2=1,Reported!AI178,Reported!AI178-Reported!AH178)</f>
        <v/>
      </c>
      <c r="AJ94" s="509">
        <f>IF(AJ$2=1,Reported!AJ178,Reported!AJ178-Reported!AI178)</f>
        <v/>
      </c>
      <c r="AK94" s="509">
        <f>IF(AK$2=1,Reported!AK178,Reported!AK178-Reported!AJ178)</f>
        <v/>
      </c>
      <c r="AL94" s="509">
        <f>IF(AL$2=1,Reported!AL178,Reported!AL178-Reported!AK178)</f>
        <v/>
      </c>
      <c r="AM94" s="509">
        <f>IF(AM$2=1,Reported!AM178,Reported!AM178-Reported!AL178)</f>
        <v/>
      </c>
      <c r="AN94" s="509">
        <f>IF(AN$2=1,Reported!AN178,Reported!AN178-Reported!AM178)</f>
        <v/>
      </c>
      <c r="AO94" s="509">
        <f>IF(AO$2=1,Reported!AO178,Reported!AO178-Reported!AN178)</f>
        <v/>
      </c>
      <c r="AP94" s="509">
        <f>IF(AP$2=1,Reported!AP178,Reported!AP178-Reported!AO178)</f>
        <v/>
      </c>
      <c r="AQ94" s="509">
        <f>IF(AQ$2=1,Reported!AQ178,Reported!AQ178-Reported!AP178)</f>
        <v/>
      </c>
      <c r="AR94" s="509">
        <f>IF(AR$2=1,Reported!AR178,Reported!AR178-Reported!AQ178)</f>
        <v/>
      </c>
      <c r="AS94" s="509">
        <f>IF(AS$2=1,Reported!AS178,Reported!AS178-Reported!AR178)</f>
        <v/>
      </c>
      <c r="AT94" s="509">
        <f>IF(AT$2=1,Reported!AT178,Reported!AT178-Reported!AS178)</f>
        <v/>
      </c>
      <c r="AU94" s="509">
        <f>IF(AU$2=1,Reported!AU178,Reported!AU178-Reported!AT178)</f>
        <v/>
      </c>
      <c r="AV94" s="509">
        <f>IF(AV$2=1,Reported!AV178,Reported!AV178-Reported!AU178)</f>
        <v/>
      </c>
      <c r="AW94" s="509">
        <f>IF(AW$2=1,Reported!AW178,Reported!AW178-Reported!AV178)</f>
        <v/>
      </c>
      <c r="AX94" s="509">
        <f>IF(AX$2=1,Reported!AX178,Reported!AX178-Reported!AW178)</f>
        <v/>
      </c>
      <c r="AY94" s="509">
        <f>IF(AY$2=1,Reported!AY178,Reported!AY178-Reported!AX178)</f>
        <v/>
      </c>
      <c r="AZ94" s="509">
        <f>IF(AZ$2=1,Reported!AZ178,Reported!AZ178-Reported!AY178)</f>
        <v/>
      </c>
      <c r="BA94" s="509">
        <f>IF(BA$2=1,Reported!BA178,Reported!BA178-Reported!AZ178)</f>
        <v/>
      </c>
      <c r="BB94" s="509">
        <f>IF(BB$2=1,Reported!BB178,Reported!BB178-Reported!BA178)</f>
        <v/>
      </c>
      <c r="BC94" s="509">
        <f>IF(BC$2=1,Reported!BC178,Reported!BC178-Reported!BB178)</f>
        <v/>
      </c>
      <c r="BD94" s="509">
        <f>IF(BD$2=1,Reported!BD178,Reported!BD178-Reported!BC178)</f>
        <v/>
      </c>
      <c r="BE94" s="509">
        <f>IF(BE$2=1,Reported!BE178,Reported!BE178-Reported!BD178)</f>
        <v/>
      </c>
      <c r="BF94" s="509">
        <f>IF(BF$2=1,Reported!BF178,Reported!BF178-Reported!BE178)</f>
        <v/>
      </c>
      <c r="BG94" s="509">
        <f>IF(BG$2=1,Reported!BG178,Reported!BG178-Reported!BF178)</f>
        <v/>
      </c>
      <c r="BH94" s="509">
        <f>IF(BH$2=1,Reported!BH178,Reported!BH178-Reported!BG178)</f>
        <v/>
      </c>
      <c r="BI94" s="509">
        <f>IF(BI$2=1,Reported!BI178,Reported!BI178-Reported!BH178)</f>
        <v/>
      </c>
      <c r="BJ94" s="509">
        <f>IF(BJ$2=1,Reported!BJ178,Reported!BJ178-Reported!BI178)</f>
        <v/>
      </c>
      <c r="BK94" s="509">
        <f>IF(BK$2=1,Reported!BK178,Reported!BK178-Reported!BJ178)</f>
        <v/>
      </c>
      <c r="BL94" s="509">
        <f>IF(BL$2=1,Reported!BL178,Reported!BL178-Reported!BK178)</f>
        <v/>
      </c>
      <c r="BM94" s="509">
        <f>IF(BM$2=1,Reported!BM178,Reported!BM178-Reported!BL178)</f>
        <v/>
      </c>
      <c r="BN94" s="509">
        <f>IF(BN$2=1,Reported!BN178,Reported!BN178-Reported!BM178)</f>
        <v/>
      </c>
      <c r="BO94" s="509">
        <f>IF(BO$2=1,Reported!BO178,Reported!BO178-Reported!BN178)</f>
        <v/>
      </c>
      <c r="BP94" s="509">
        <f>IF(BP$2=1,Reported!BP178,Reported!BP178-Reported!BO178)</f>
        <v/>
      </c>
      <c r="BQ94" s="509">
        <f>IF(BQ$2=1,Reported!BQ178,Reported!BQ178-Reported!BP178)</f>
        <v/>
      </c>
      <c r="BR94" s="509">
        <f>IF(BR$2=1,Reported!BR178,Reported!BR178-Reported!BQ178)</f>
        <v/>
      </c>
      <c r="BS94" s="458" t="n">
        <v>0</v>
      </c>
      <c r="BT94" s="458" t="n">
        <v>0</v>
      </c>
      <c r="BU94" s="458" t="n">
        <v>0</v>
      </c>
      <c r="BV94" s="458" t="n">
        <v>0</v>
      </c>
      <c r="BW94" s="458" t="n">
        <v>0</v>
      </c>
      <c r="BX94" s="458" t="n">
        <v>0</v>
      </c>
      <c r="BY94" s="458" t="n">
        <v>0</v>
      </c>
      <c r="BZ94" s="458" t="n">
        <v>0</v>
      </c>
      <c r="CA94" s="458" t="n">
        <v>0</v>
      </c>
      <c r="CB94" s="458" t="n">
        <v>0</v>
      </c>
      <c r="CC94" s="458" t="n">
        <v>0</v>
      </c>
      <c r="CD94" s="458" t="n">
        <v>0</v>
      </c>
      <c r="CE94" s="458" t="n">
        <v>0</v>
      </c>
      <c r="CF94" s="458" t="n">
        <v>0</v>
      </c>
      <c r="CG94" s="458" t="n">
        <v>0</v>
      </c>
      <c r="CH94" s="458" t="n">
        <v>0</v>
      </c>
      <c r="CI94" s="458" t="n">
        <v>0</v>
      </c>
      <c r="CJ94" s="458" t="n">
        <v>0</v>
      </c>
      <c r="CK94" s="458" t="n">
        <v>0</v>
      </c>
    </row>
    <row r="95">
      <c r="A95" s="33" t="inlineStr">
        <is>
          <t>Others</t>
        </is>
      </c>
      <c r="B95" s="145" t="n"/>
      <c r="C95" s="145" t="n"/>
      <c r="D95" s="145" t="n"/>
      <c r="E95" s="145" t="n"/>
      <c r="F95" s="145" t="n"/>
      <c r="G95" s="145" t="n"/>
      <c r="H95" s="145" t="n"/>
      <c r="I95" s="145" t="n"/>
      <c r="J95" s="145" t="n"/>
      <c r="K95" s="145" t="n"/>
      <c r="L95" s="145" t="n"/>
      <c r="M95" s="145" t="n"/>
      <c r="N95" s="143">
        <f>IF(N$2=1,SUM(Reported!N174:N177),SUM(Reported!N174:N177)-SUM(Reported!M174:M177))</f>
        <v/>
      </c>
      <c r="O95" s="143">
        <f>IF(O$2=1,SUM(Reported!O174:O177),SUM(Reported!O174:O177)-SUM(Reported!N174:N177))</f>
        <v/>
      </c>
      <c r="P95" s="143">
        <f>IF(P$2=1,SUM(Reported!P174:P177),SUM(Reported!P174:P177)-SUM(Reported!O174:O177))</f>
        <v/>
      </c>
      <c r="Q95" s="143">
        <f>IF(Q$2=1,SUM(Reported!Q174:Q177),SUM(Reported!Q174:Q177)-SUM(Reported!P174:P177))</f>
        <v/>
      </c>
      <c r="R95" s="143">
        <f>IF(R$2=1,SUM(Reported!R174:R177),SUM(Reported!R174:R177)-SUM(Reported!Q174:Q177))</f>
        <v/>
      </c>
      <c r="S95" s="143">
        <f>IF(S$2=1,SUM(Reported!S174:S177),SUM(Reported!S174:S177)-SUM(Reported!R174:R177))</f>
        <v/>
      </c>
      <c r="T95" s="143">
        <f>IF(T$2=1,SUM(Reported!T174:T177),SUM(Reported!T174:T177)-SUM(Reported!S174:S177))</f>
        <v/>
      </c>
      <c r="U95" s="143">
        <f>IF(U$2=1,SUM(Reported!U174:U177),SUM(Reported!U174:U177)-SUM(Reported!T174:T177))</f>
        <v/>
      </c>
      <c r="V95" s="143">
        <f>IF(V$2=1,SUM(Reported!V174:V177),SUM(Reported!V174:V177)-SUM(Reported!U174:U177))</f>
        <v/>
      </c>
      <c r="W95" s="143">
        <f>IF(W$2=1,SUM(Reported!W174:W177),SUM(Reported!W174:W177)-SUM(Reported!V174:V177))</f>
        <v/>
      </c>
      <c r="X95" s="143">
        <f>IF(X$2=1,SUM(Reported!X174:X177),SUM(Reported!X174:X177)-SUM(Reported!W174:W177))</f>
        <v/>
      </c>
      <c r="Y95" s="143">
        <f>IF(Y$2=1,SUM(Reported!Y174:Y177),SUM(Reported!Y174:Y177)-SUM(Reported!X174:X177))</f>
        <v/>
      </c>
      <c r="Z95" s="143">
        <f>IF(Z$2=1,SUM(Reported!Z174:Z177),SUM(Reported!Z174:Z177)-SUM(Reported!Y174:Y177))</f>
        <v/>
      </c>
      <c r="AA95" s="143">
        <f>IF(AA$2=1,SUM(Reported!AA174:AA177),SUM(Reported!AA174:AA177)-SUM(Reported!Z174:Z177))</f>
        <v/>
      </c>
      <c r="AB95" s="143">
        <f>IF(AB$2=1,SUM(Reported!AB174:AB177),SUM(Reported!AB174:AB177)-SUM(Reported!AA174:AA177))</f>
        <v/>
      </c>
      <c r="AC95" s="143">
        <f>IF(AC$2=1,SUM(Reported!AC174:AC177),SUM(Reported!AC174:AC177)-SUM(Reported!AB174:AB177))</f>
        <v/>
      </c>
      <c r="AD95" s="143">
        <f>IF(AD$2=1,SUM(Reported!AD174:AD177),SUM(Reported!AD174:AD177)-SUM(Reported!AC174:AC177))</f>
        <v/>
      </c>
      <c r="AE95" s="143">
        <f>IF(AE$2=1,SUM(Reported!AE174:AE177),SUM(Reported!AE174:AE177)-SUM(Reported!AD174:AD177))</f>
        <v/>
      </c>
      <c r="AF95" s="143">
        <f>IF(AF$2=1,SUM(Reported!AF174:AF177),SUM(Reported!AF174:AF177)-SUM(Reported!AE174:AE177))</f>
        <v/>
      </c>
      <c r="AG95" s="143">
        <f>IF(AG$2=1,SUM(Reported!AG174:AG177),SUM(Reported!AG174:AG177)-SUM(Reported!AF174:AF177))</f>
        <v/>
      </c>
      <c r="AH95" s="143">
        <f>IF(AH$2=1,SUM(Reported!AH174:AH177),SUM(Reported!AH174:AH177)-SUM(Reported!AG174:AG177))</f>
        <v/>
      </c>
      <c r="AI95" s="143">
        <f>IF(AI$2=1,SUM(Reported!AI174:AI177),SUM(Reported!AI174:AI177)-SUM(Reported!AH174:AH177))</f>
        <v/>
      </c>
      <c r="AJ95" s="143">
        <f>IF(AJ$2=1,SUM(Reported!AJ174:AJ177),SUM(Reported!AJ174:AJ177)-SUM(Reported!AI174:AI177))</f>
        <v/>
      </c>
      <c r="AK95" s="143">
        <f>IF(AK$2=1,SUM(Reported!AK174:AK177),SUM(Reported!AK174:AK177)-SUM(Reported!AJ174:AJ177))</f>
        <v/>
      </c>
      <c r="AL95" s="143">
        <f>IF(AL$2=1,SUM(Reported!AL174:AL177),SUM(Reported!AL174:AL177)-SUM(Reported!AK174:AK177))</f>
        <v/>
      </c>
      <c r="AM95" s="143">
        <f>IF(AM$2=1,SUM(Reported!AM174:AM177),SUM(Reported!AM174:AM177)-SUM(Reported!AL174:AL177))</f>
        <v/>
      </c>
      <c r="AN95" s="143">
        <f>IF(AN$2=1,SUM(Reported!AN174:AN177),SUM(Reported!AN174:AN177)-SUM(Reported!AM174:AM177))</f>
        <v/>
      </c>
      <c r="AO95" s="143">
        <f>IF(AO$2=1,SUM(Reported!AO174:AO177),SUM(Reported!AO174:AO177)-SUM(Reported!AN174:AN177))</f>
        <v/>
      </c>
      <c r="AP95" s="143">
        <f>IF(AP$2=1,SUM(Reported!AP174:AP177),SUM(Reported!AP174:AP177)-SUM(Reported!AO174:AO177))</f>
        <v/>
      </c>
      <c r="AQ95" s="143">
        <f>IF(AQ$2=1,SUM(Reported!AQ174:AQ177),SUM(Reported!AQ174:AQ177)-SUM(Reported!AP174:AP177))</f>
        <v/>
      </c>
      <c r="AR95" s="143">
        <f>IF(AR$2=1,SUM(Reported!AR174:AR177),SUM(Reported!AR174:AR177)-SUM(Reported!AQ174:AQ177))</f>
        <v/>
      </c>
      <c r="AS95" s="143">
        <f>IF(AS$2=1,SUM(Reported!AS174:AS177),SUM(Reported!AS174:AS177)-SUM(Reported!AR174:AR177))</f>
        <v/>
      </c>
      <c r="AT95" s="143">
        <f>IF(AT$2=1,SUM(Reported!AT174:AT177),SUM(Reported!AT174:AT177)-SUM(Reported!AS174:AS177))</f>
        <v/>
      </c>
      <c r="AU95" s="143">
        <f>IF(AU$2=1,SUM(Reported!AU174:AU177),SUM(Reported!AU174:AU177)-SUM(Reported!AT174:AT177))</f>
        <v/>
      </c>
      <c r="AV95" s="143">
        <f>IF(AV$2=1,SUM(Reported!AV174:AV177),SUM(Reported!AV174:AV177)-SUM(Reported!AU174:AU177))</f>
        <v/>
      </c>
      <c r="AW95" s="143">
        <f>IF(AW$2=1,SUM(Reported!AW174:AW177),SUM(Reported!AW174:AW177)-SUM(Reported!AV174:AV177))</f>
        <v/>
      </c>
      <c r="AX95" s="143">
        <f>IF(AX$2=1,SUM(Reported!AX174:AX177),SUM(Reported!AX174:AX177)-SUM(Reported!AW174:AW177))</f>
        <v/>
      </c>
      <c r="AY95" s="143">
        <f>IF(AY$2=1,SUM(Reported!AY174:AY177),SUM(Reported!AY174:AY177)-SUM(Reported!AX174:AX177))</f>
        <v/>
      </c>
      <c r="AZ95" s="143">
        <f>IF(AZ$2=1,SUM(Reported!AZ174:AZ177),SUM(Reported!AZ174:AZ177)-SUM(Reported!AY174:AY177))</f>
        <v/>
      </c>
      <c r="BA95" s="143">
        <f>IF(BA$2=1,SUM(Reported!BA174:BA177),SUM(Reported!BA174:BA177)-SUM(Reported!AZ174:AZ177))</f>
        <v/>
      </c>
      <c r="BB95" s="143">
        <f>IF(BB$2=1,SUM(Reported!BB174:BB177),SUM(Reported!BB174:BB177)-SUM(Reported!BA174:BA177))</f>
        <v/>
      </c>
      <c r="BC95" s="143">
        <f>IF(BC$2=1,SUM(Reported!BC174:BC177),SUM(Reported!BC174:BC177)-SUM(Reported!BB174:BB177))</f>
        <v/>
      </c>
      <c r="BD95" s="143">
        <f>IF(BD$2=1,SUM(Reported!BD174:BD177),SUM(Reported!BD174:BD177)-SUM(Reported!BC174:BC177))</f>
        <v/>
      </c>
      <c r="BE95" s="143">
        <f>IF(BE$2=1,SUM(Reported!BE174:BE177),SUM(Reported!BE174:BE177)-SUM(Reported!BD174:BD177))</f>
        <v/>
      </c>
      <c r="BF95" s="143">
        <f>IF(BF$2=1,SUM(Reported!BF174:BF177),SUM(Reported!BF174:BF177)-SUM(Reported!BE174:BE177))</f>
        <v/>
      </c>
      <c r="BG95" s="143">
        <f>IF(BG$2=1,SUM(Reported!BG174:BG177),SUM(Reported!BG174:BG177)-SUM(Reported!BF174:BF177))</f>
        <v/>
      </c>
      <c r="BH95" s="143">
        <f>IF(BH$2=1,SUM(Reported!BH174:BH177),SUM(Reported!BH174:BH177)-SUM(Reported!BG174:BG177))</f>
        <v/>
      </c>
      <c r="BI95" s="143">
        <f>IF(BI$2=1,SUM(Reported!BI174:BI177),SUM(Reported!BI174:BI177)-SUM(Reported!BH174:BH177))</f>
        <v/>
      </c>
      <c r="BJ95" s="143">
        <f>IF(BJ$2=1,SUM(Reported!BJ174:BJ177),SUM(Reported!BJ174:BJ177)-SUM(Reported!BI174:BI177))</f>
        <v/>
      </c>
      <c r="BK95" s="143">
        <f>IF(BK$2=1,SUM(Reported!BK174:BK177),SUM(Reported!BK174:BK177)-SUM(Reported!BJ174:BJ177))</f>
        <v/>
      </c>
      <c r="BL95" s="143">
        <f>IF(BL$2=1,SUM(Reported!BL174:BL177),SUM(Reported!BL174:BL177)-SUM(Reported!BK174:BK177))</f>
        <v/>
      </c>
      <c r="BM95" s="143">
        <f>IF(BM$2=1,SUM(Reported!BM174:BM177),SUM(Reported!BM174:BM177)-SUM(Reported!BL174:BL177))</f>
        <v/>
      </c>
      <c r="BN95" s="143">
        <f>IF(BN$2=1,SUM(Reported!BN174:BN177),SUM(Reported!BN174:BN177)-SUM(Reported!BM174:BM177))</f>
        <v/>
      </c>
      <c r="BO95" s="143">
        <f>IF(BO$2=1,SUM(Reported!BO174:BO177),SUM(Reported!BO174:BO177)-SUM(Reported!BN174:BN177))</f>
        <v/>
      </c>
      <c r="BP95" s="143">
        <f>IF(BP$2=1,SUM(Reported!BP174:BP177),SUM(Reported!BP174:BP177)-SUM(Reported!BO174:BO177))</f>
        <v/>
      </c>
      <c r="BQ95" s="143">
        <f>IF(BQ$2=1,SUM(Reported!BQ174:BQ177),SUM(Reported!BQ174:BQ177)-SUM(Reported!BP174:BP177))</f>
        <v/>
      </c>
      <c r="BR95" s="143">
        <f>IF(BR$2=1,SUM(Reported!BR174:BR177),SUM(Reported!BR174:BR177)-SUM(Reported!BQ174:BQ177))</f>
        <v/>
      </c>
      <c r="BS95" s="458" t="n">
        <v>0</v>
      </c>
      <c r="BT95" s="458" t="n">
        <v>0</v>
      </c>
      <c r="BU95" s="458" t="n">
        <v>0</v>
      </c>
      <c r="BV95" s="458" t="n">
        <v>0</v>
      </c>
      <c r="BW95" s="458" t="n">
        <v>0</v>
      </c>
      <c r="BX95" s="458" t="n">
        <v>0</v>
      </c>
      <c r="BY95" s="458" t="n">
        <v>0</v>
      </c>
      <c r="BZ95" s="458" t="n">
        <v>0</v>
      </c>
      <c r="CA95" s="458" t="n">
        <v>0</v>
      </c>
      <c r="CB95" s="458" t="n">
        <v>0</v>
      </c>
      <c r="CC95" s="458" t="n">
        <v>0</v>
      </c>
      <c r="CD95" s="458" t="n">
        <v>0</v>
      </c>
      <c r="CE95" s="458" t="n">
        <v>0</v>
      </c>
      <c r="CF95" s="458" t="n">
        <v>0</v>
      </c>
      <c r="CG95" s="458" t="n">
        <v>0</v>
      </c>
      <c r="CH95" s="458" t="n">
        <v>0</v>
      </c>
      <c r="CI95" s="458" t="n">
        <v>0</v>
      </c>
      <c r="CJ95" s="458" t="n">
        <v>0</v>
      </c>
      <c r="CK95" s="458" t="n">
        <v>0</v>
      </c>
    </row>
    <row r="96">
      <c r="A96" s="74" t="inlineStr">
        <is>
          <t>Changes of working capital items:</t>
        </is>
      </c>
      <c r="B96" s="145" t="n"/>
      <c r="C96" s="145" t="n"/>
      <c r="D96" s="145" t="n"/>
      <c r="E96" s="145" t="n"/>
      <c r="F96" s="145" t="n"/>
      <c r="G96" s="145" t="n"/>
      <c r="H96" s="145" t="n"/>
      <c r="I96" s="145" t="n"/>
      <c r="J96" s="145" t="n"/>
      <c r="K96" s="145" t="n"/>
      <c r="L96" s="145" t="n"/>
      <c r="M96" s="145" t="n"/>
      <c r="N96" s="509" t="n"/>
      <c r="O96" s="509" t="n"/>
      <c r="P96" s="509" t="n"/>
      <c r="Q96" s="509" t="n"/>
      <c r="R96" s="509" t="n"/>
      <c r="S96" s="509" t="n"/>
      <c r="T96" s="509" t="n"/>
      <c r="U96" s="509" t="n"/>
      <c r="V96" s="509" t="n"/>
      <c r="W96" s="509" t="n"/>
      <c r="X96" s="509" t="n"/>
      <c r="Y96" s="509" t="n"/>
      <c r="Z96" s="509" t="n"/>
      <c r="AA96" s="509" t="n"/>
      <c r="AB96" s="509" t="n"/>
      <c r="AC96" s="509" t="n"/>
      <c r="AD96" s="509" t="n"/>
      <c r="AE96" s="509" t="n"/>
      <c r="AF96" s="509" t="n"/>
      <c r="AG96" s="509" t="n"/>
      <c r="AH96" s="509" t="n"/>
      <c r="AI96" s="509" t="n"/>
      <c r="AJ96" s="509" t="n"/>
      <c r="AK96" s="509" t="n"/>
      <c r="AL96" s="509" t="n"/>
      <c r="AM96" s="509" t="n"/>
      <c r="AN96" s="509" t="n"/>
      <c r="AO96" s="509" t="n"/>
      <c r="AP96" s="509" t="n"/>
      <c r="AQ96" s="509" t="n"/>
      <c r="AR96" s="509" t="n"/>
      <c r="AS96" s="509" t="n"/>
      <c r="AT96" s="509" t="n"/>
      <c r="AU96" s="509" t="n"/>
      <c r="AV96" s="509" t="n"/>
      <c r="AW96" s="509" t="n"/>
      <c r="AX96" s="509" t="n"/>
      <c r="AY96" s="509" t="n"/>
      <c r="AZ96" s="509" t="n"/>
      <c r="BA96" s="509" t="n"/>
      <c r="BB96" s="509" t="n"/>
      <c r="BC96" s="509" t="n"/>
      <c r="BD96" s="509" t="n"/>
      <c r="BE96" s="509" t="n"/>
      <c r="BF96" s="509" t="n"/>
      <c r="BG96" s="509" t="n"/>
      <c r="BH96" s="509" t="n"/>
      <c r="BI96" s="509" t="n"/>
      <c r="BJ96" s="509" t="n"/>
      <c r="BK96" s="509" t="n"/>
      <c r="BL96" s="509" t="n"/>
      <c r="BM96" s="509" t="n"/>
      <c r="BN96" s="509" t="n"/>
      <c r="BO96" s="509" t="n"/>
      <c r="BP96" s="509" t="n"/>
      <c r="BQ96" s="509" t="n"/>
      <c r="BR96" s="509" t="n"/>
    </row>
    <row r="97">
      <c r="A97" s="33" t="inlineStr">
        <is>
          <t>Accounts receivable</t>
        </is>
      </c>
      <c r="B97" s="145" t="n"/>
      <c r="C97" s="145" t="n"/>
      <c r="D97" s="145" t="n"/>
      <c r="E97" s="145" t="n"/>
      <c r="F97" s="145" t="n"/>
      <c r="G97" s="145" t="n"/>
      <c r="H97" s="145" t="n"/>
      <c r="I97" s="145" t="n"/>
      <c r="J97" s="145" t="n"/>
      <c r="K97" s="145" t="n"/>
      <c r="L97" s="145" t="n"/>
      <c r="M97" s="145" t="n"/>
      <c r="N97" s="509">
        <f>IF(N$2=1,Reported!N180,Reported!N180-Reported!M180)</f>
        <v/>
      </c>
      <c r="O97" s="509">
        <f>IF(O$2=1,Reported!O180,Reported!O180-Reported!N180)</f>
        <v/>
      </c>
      <c r="P97" s="509">
        <f>IF(P$2=1,Reported!P180,Reported!P180-Reported!O180)</f>
        <v/>
      </c>
      <c r="Q97" s="509">
        <f>IF(Q$2=1,Reported!Q180,Reported!Q180-Reported!P180)</f>
        <v/>
      </c>
      <c r="R97" s="509">
        <f>IF(R$2=1,Reported!R180,Reported!R180-Reported!Q180)</f>
        <v/>
      </c>
      <c r="S97" s="509">
        <f>IF(S$2=1,Reported!S180,Reported!S180-Reported!R180)</f>
        <v/>
      </c>
      <c r="T97" s="509">
        <f>IF(T$2=1,Reported!T180,Reported!T180-Reported!S180)</f>
        <v/>
      </c>
      <c r="U97" s="509">
        <f>IF(U$2=1,Reported!U180,Reported!U180-Reported!T180)</f>
        <v/>
      </c>
      <c r="V97" s="509">
        <f>IF(V$2=1,Reported!V180,Reported!V180-Reported!U180)</f>
        <v/>
      </c>
      <c r="W97" s="509">
        <f>IF(W$2=1,Reported!W180,Reported!W180-Reported!V180)</f>
        <v/>
      </c>
      <c r="X97" s="509">
        <f>IF(X$2=1,Reported!X180,Reported!X180-Reported!W180)</f>
        <v/>
      </c>
      <c r="Y97" s="509">
        <f>IF(Y$2=1,Reported!Y180,Reported!Y180-Reported!X180)</f>
        <v/>
      </c>
      <c r="Z97" s="509">
        <f>IF(Z$2=1,Reported!Z180,Reported!Z180-Reported!Y180)</f>
        <v/>
      </c>
      <c r="AA97" s="509">
        <f>IF(AA$2=1,Reported!AA180,Reported!AA180-Reported!Z180)</f>
        <v/>
      </c>
      <c r="AB97" s="509">
        <f>IF(AB$2=1,Reported!AB180,Reported!AB180-Reported!AA180)</f>
        <v/>
      </c>
      <c r="AC97" s="509">
        <f>IF(AC$2=1,Reported!AC180,Reported!AC180-Reported!AB180)</f>
        <v/>
      </c>
      <c r="AD97" s="509">
        <f>IF(AD$2=1,Reported!AD180,Reported!AD180-Reported!AC180)</f>
        <v/>
      </c>
      <c r="AE97" s="509">
        <f>IF(AE$2=1,Reported!AE180,Reported!AE180-Reported!AD180)</f>
        <v/>
      </c>
      <c r="AF97" s="509">
        <f>IF(AF$2=1,Reported!AF180,Reported!AF180-Reported!AE180)</f>
        <v/>
      </c>
      <c r="AG97" s="509">
        <f>IF(AG$2=1,Reported!AG180,Reported!AG180-Reported!AF180)</f>
        <v/>
      </c>
      <c r="AH97" s="509">
        <f>IF(AH$2=1,Reported!AH180,Reported!AH180-Reported!AG180)</f>
        <v/>
      </c>
      <c r="AI97" s="509">
        <f>IF(AI$2=1,Reported!AI180,Reported!AI180-Reported!AH180)</f>
        <v/>
      </c>
      <c r="AJ97" s="509">
        <f>IF(AJ$2=1,Reported!AJ180,Reported!AJ180-Reported!AI180)</f>
        <v/>
      </c>
      <c r="AK97" s="509">
        <f>IF(AK$2=1,Reported!AK180,Reported!AK180-Reported!AJ180)</f>
        <v/>
      </c>
      <c r="AL97" s="509">
        <f>IF(AL$2=1,Reported!AL180,Reported!AL180-Reported!AK180)</f>
        <v/>
      </c>
      <c r="AM97" s="509">
        <f>IF(AM$2=1,Reported!AM180,Reported!AM180-Reported!AL180)</f>
        <v/>
      </c>
      <c r="AN97" s="509">
        <f>IF(AN$2=1,Reported!AN180,Reported!AN180-Reported!AM180)</f>
        <v/>
      </c>
      <c r="AO97" s="509">
        <f>IF(AO$2=1,Reported!AO180,Reported!AO180-Reported!AN180)</f>
        <v/>
      </c>
      <c r="AP97" s="509">
        <f>IF(AP$2=1,Reported!AP180,Reported!AP180-Reported!AO180)</f>
        <v/>
      </c>
      <c r="AQ97" s="509">
        <f>IF(AQ$2=1,Reported!AQ180,Reported!AQ180-Reported!AP180)</f>
        <v/>
      </c>
      <c r="AR97" s="509">
        <f>IF(AR$2=1,Reported!AR180,Reported!AR180-Reported!AQ180)</f>
        <v/>
      </c>
      <c r="AS97" s="509">
        <f>IF(AS$2=1,Reported!AS180,Reported!AS180-Reported!AR180)</f>
        <v/>
      </c>
      <c r="AT97" s="509">
        <f>IF(AT$2=1,Reported!AT180,Reported!AT180-Reported!AS180)</f>
        <v/>
      </c>
      <c r="AU97" s="509">
        <f>IF(AU$2=1,Reported!AU180,Reported!AU180-Reported!AT180)</f>
        <v/>
      </c>
      <c r="AV97" s="509">
        <f>IF(AV$2=1,Reported!AV180,Reported!AV180-Reported!AU180)</f>
        <v/>
      </c>
      <c r="AW97" s="509">
        <f>IF(AW$2=1,Reported!AW180,Reported!AW180-Reported!AV180)</f>
        <v/>
      </c>
      <c r="AX97" s="509">
        <f>IF(AX$2=1,Reported!AX180,Reported!AX180-Reported!AW180)</f>
        <v/>
      </c>
      <c r="AY97" s="509">
        <f>IF(AY$2=1,Reported!AY180,Reported!AY180-Reported!AX180)</f>
        <v/>
      </c>
      <c r="AZ97" s="509">
        <f>IF(AZ$2=1,Reported!AZ180,Reported!AZ180-Reported!AY180)</f>
        <v/>
      </c>
      <c r="BA97" s="509">
        <f>IF(BA$2=1,Reported!BA180,Reported!BA180-Reported!AZ180)</f>
        <v/>
      </c>
      <c r="BB97" s="509">
        <f>IF(BB$2=1,Reported!BB180,Reported!BB180-Reported!BA180)</f>
        <v/>
      </c>
      <c r="BC97" s="509">
        <f>IF(BC$2=1,Reported!BC180,Reported!BC180-Reported!BB180)</f>
        <v/>
      </c>
      <c r="BD97" s="509">
        <f>IF(BD$2=1,Reported!BD180,Reported!BD180-Reported!BC180)</f>
        <v/>
      </c>
      <c r="BE97" s="509">
        <f>IF(BE$2=1,Reported!BE180,Reported!BE180-Reported!BD180)</f>
        <v/>
      </c>
      <c r="BF97" s="509">
        <f>IF(BF$2=1,Reported!BF180,Reported!BF180-Reported!BE180)</f>
        <v/>
      </c>
      <c r="BG97" s="509">
        <f>IF(BG$2=1,Reported!BG180,Reported!BG180-Reported!BF180)</f>
        <v/>
      </c>
      <c r="BH97" s="509">
        <f>IF(BH$2=1,Reported!BH180,Reported!BH180-Reported!BG180)</f>
        <v/>
      </c>
      <c r="BI97" s="509">
        <f>IF(BI$2=1,Reported!BI180,Reported!BI180-Reported!BH180)</f>
        <v/>
      </c>
      <c r="BJ97" s="509">
        <f>IF(BJ$2=1,Reported!BJ180,Reported!BJ180-Reported!BI180)</f>
        <v/>
      </c>
      <c r="BK97" s="509">
        <f>IF(BK$2=1,Reported!BK180,Reported!BK180-Reported!BJ180)</f>
        <v/>
      </c>
      <c r="BL97" s="509">
        <f>IF(BL$2=1,Reported!BL180,Reported!BL180-Reported!BK180)</f>
        <v/>
      </c>
      <c r="BM97" s="509">
        <f>IF(BM$2=1,Reported!BM180,Reported!BM180-Reported!BL180)</f>
        <v/>
      </c>
      <c r="BN97" s="509">
        <f>IF(BN$2=1,Reported!BN180,Reported!BN180-Reported!BM180)</f>
        <v/>
      </c>
      <c r="BO97" s="509">
        <f>IF(BO$2=1,Reported!BO180,Reported!BO180-Reported!BN180)</f>
        <v/>
      </c>
      <c r="BP97" s="509">
        <f>IF(BP$2=1,Reported!BP180,Reported!BP180-Reported!BO180)</f>
        <v/>
      </c>
      <c r="BQ97" s="509">
        <f>IF(BQ$2=1,Reported!BQ180,Reported!BQ180-Reported!BP180)</f>
        <v/>
      </c>
      <c r="BR97" s="509">
        <f>IF(BR$2=1,Reported!BR180,Reported!BR180-Reported!BQ180)</f>
        <v/>
      </c>
      <c r="BS97" s="108">
        <f>BR46-BS46</f>
        <v/>
      </c>
      <c r="BT97" s="108">
        <f>BS46-BT46</f>
        <v/>
      </c>
      <c r="BU97" s="108">
        <f>BT46-BU46</f>
        <v/>
      </c>
      <c r="BV97" s="108">
        <f>BU46-BV46</f>
        <v/>
      </c>
      <c r="BW97" s="108">
        <f>BV46-BW46</f>
        <v/>
      </c>
      <c r="BX97" s="108">
        <f>BW46-BX46</f>
        <v/>
      </c>
      <c r="BY97" s="108">
        <f>BX46-BY46</f>
        <v/>
      </c>
      <c r="BZ97" s="108">
        <f>BY46-BZ46</f>
        <v/>
      </c>
      <c r="CA97" s="108">
        <f>BZ46-CA46</f>
        <v/>
      </c>
      <c r="CB97" s="108">
        <f>CA46-CB46</f>
        <v/>
      </c>
      <c r="CC97" s="108">
        <f>CB46-CC46</f>
        <v/>
      </c>
      <c r="CD97" s="108">
        <f>CC46-CD46</f>
        <v/>
      </c>
      <c r="CE97" s="108">
        <f>CD46-CE46</f>
        <v/>
      </c>
      <c r="CF97" s="108">
        <f>CE46-CF46</f>
        <v/>
      </c>
      <c r="CG97" s="108">
        <f>CF46-CG46</f>
        <v/>
      </c>
      <c r="CH97" s="108">
        <f>CG46-CH46</f>
        <v/>
      </c>
      <c r="CI97" s="108">
        <f>CH46-CI46</f>
        <v/>
      </c>
      <c r="CJ97" s="108">
        <f>CI46-CJ46</f>
        <v/>
      </c>
      <c r="CK97" s="108">
        <f>CJ46-CK46</f>
        <v/>
      </c>
    </row>
    <row r="98">
      <c r="A98" s="33" t="inlineStr">
        <is>
          <t>Inventories</t>
        </is>
      </c>
      <c r="B98" s="145" t="n"/>
      <c r="C98" s="145" t="n"/>
      <c r="D98" s="145" t="n"/>
      <c r="E98" s="145" t="n"/>
      <c r="F98" s="145" t="n"/>
      <c r="G98" s="145" t="n"/>
      <c r="H98" s="145" t="n"/>
      <c r="I98" s="145" t="n"/>
      <c r="J98" s="145" t="n"/>
      <c r="K98" s="145" t="n"/>
      <c r="L98" s="145" t="n"/>
      <c r="M98" s="145" t="n"/>
      <c r="N98" s="509">
        <f>IF(N$2=1,Reported!N181,Reported!N181-Reported!M181)</f>
        <v/>
      </c>
      <c r="O98" s="509">
        <f>IF(O$2=1,Reported!O181,Reported!O181-Reported!N181)</f>
        <v/>
      </c>
      <c r="P98" s="509">
        <f>IF(P$2=1,Reported!P181,Reported!P181-Reported!O181)</f>
        <v/>
      </c>
      <c r="Q98" s="509">
        <f>IF(Q$2=1,Reported!Q181,Reported!Q181-Reported!P181)</f>
        <v/>
      </c>
      <c r="R98" s="509">
        <f>IF(R$2=1,Reported!R181,Reported!R181-Reported!Q181)</f>
        <v/>
      </c>
      <c r="S98" s="509">
        <f>IF(S$2=1,Reported!S181,Reported!S181-Reported!R181)</f>
        <v/>
      </c>
      <c r="T98" s="509">
        <f>IF(T$2=1,Reported!T181,Reported!T181-Reported!S181)</f>
        <v/>
      </c>
      <c r="U98" s="509">
        <f>IF(U$2=1,Reported!U181,Reported!U181-Reported!T181)</f>
        <v/>
      </c>
      <c r="V98" s="509">
        <f>IF(V$2=1,Reported!V181,Reported!V181-Reported!U181)</f>
        <v/>
      </c>
      <c r="W98" s="509">
        <f>IF(W$2=1,Reported!W181,Reported!W181-Reported!V181)</f>
        <v/>
      </c>
      <c r="X98" s="509">
        <f>IF(X$2=1,Reported!X181,Reported!X181-Reported!W181)</f>
        <v/>
      </c>
      <c r="Y98" s="509">
        <f>IF(Y$2=1,Reported!Y181,Reported!Y181-Reported!X181)</f>
        <v/>
      </c>
      <c r="Z98" s="509">
        <f>IF(Z$2=1,Reported!Z181,Reported!Z181-Reported!Y181)</f>
        <v/>
      </c>
      <c r="AA98" s="509">
        <f>IF(AA$2=1,Reported!AA181,Reported!AA181-Reported!Z181)</f>
        <v/>
      </c>
      <c r="AB98" s="509">
        <f>IF(AB$2=1,Reported!AB181,Reported!AB181-Reported!AA181)</f>
        <v/>
      </c>
      <c r="AC98" s="509">
        <f>IF(AC$2=1,Reported!AC181,Reported!AC181-Reported!AB181)</f>
        <v/>
      </c>
      <c r="AD98" s="509">
        <f>IF(AD$2=1,Reported!AD181,Reported!AD181-Reported!AC181)</f>
        <v/>
      </c>
      <c r="AE98" s="509">
        <f>IF(AE$2=1,Reported!AE181,Reported!AE181-Reported!AD181)</f>
        <v/>
      </c>
      <c r="AF98" s="509">
        <f>IF(AF$2=1,Reported!AF181,Reported!AF181-Reported!AE181)</f>
        <v/>
      </c>
      <c r="AG98" s="509">
        <f>IF(AG$2=1,Reported!AG181,Reported!AG181-Reported!AF181)</f>
        <v/>
      </c>
      <c r="AH98" s="509">
        <f>IF(AH$2=1,Reported!AH181,Reported!AH181-Reported!AG181)</f>
        <v/>
      </c>
      <c r="AI98" s="509">
        <f>IF(AI$2=1,Reported!AI181,Reported!AI181-Reported!AH181)</f>
        <v/>
      </c>
      <c r="AJ98" s="509">
        <f>IF(AJ$2=1,Reported!AJ181,Reported!AJ181-Reported!AI181)</f>
        <v/>
      </c>
      <c r="AK98" s="509">
        <f>IF(AK$2=1,Reported!AK181,Reported!AK181-Reported!AJ181)</f>
        <v/>
      </c>
      <c r="AL98" s="509">
        <f>IF(AL$2=1,Reported!AL181,Reported!AL181-Reported!AK181)</f>
        <v/>
      </c>
      <c r="AM98" s="509">
        <f>IF(AM$2=1,Reported!AM181,Reported!AM181-Reported!AL181)</f>
        <v/>
      </c>
      <c r="AN98" s="509">
        <f>IF(AN$2=1,Reported!AN181,Reported!AN181-Reported!AM181)</f>
        <v/>
      </c>
      <c r="AO98" s="509">
        <f>IF(AO$2=1,Reported!AO181,Reported!AO181-Reported!AN181)</f>
        <v/>
      </c>
      <c r="AP98" s="509">
        <f>IF(AP$2=1,Reported!AP181,Reported!AP181-Reported!AO181)</f>
        <v/>
      </c>
      <c r="AQ98" s="509">
        <f>IF(AQ$2=1,Reported!AQ181,Reported!AQ181-Reported!AP181)</f>
        <v/>
      </c>
      <c r="AR98" s="509">
        <f>IF(AR$2=1,Reported!AR181,Reported!AR181-Reported!AQ181)</f>
        <v/>
      </c>
      <c r="AS98" s="509">
        <f>IF(AS$2=1,Reported!AS181,Reported!AS181-Reported!AR181)</f>
        <v/>
      </c>
      <c r="AT98" s="509">
        <f>IF(AT$2=1,Reported!AT181,Reported!AT181-Reported!AS181)</f>
        <v/>
      </c>
      <c r="AU98" s="509">
        <f>IF(AU$2=1,Reported!AU181,Reported!AU181-Reported!AT181)</f>
        <v/>
      </c>
      <c r="AV98" s="509">
        <f>IF(AV$2=1,Reported!AV181,Reported!AV181-Reported!AU181)</f>
        <v/>
      </c>
      <c r="AW98" s="509">
        <f>IF(AW$2=1,Reported!AW181,Reported!AW181-Reported!AV181)</f>
        <v/>
      </c>
      <c r="AX98" s="509">
        <f>IF(AX$2=1,Reported!AX181,Reported!AX181-Reported!AW181)</f>
        <v/>
      </c>
      <c r="AY98" s="509">
        <f>IF(AY$2=1,Reported!AY181,Reported!AY181-Reported!AX181)</f>
        <v/>
      </c>
      <c r="AZ98" s="509">
        <f>IF(AZ$2=1,Reported!AZ181,Reported!AZ181-Reported!AY181)</f>
        <v/>
      </c>
      <c r="BA98" s="509">
        <f>IF(BA$2=1,Reported!BA181,Reported!BA181-Reported!AZ181)</f>
        <v/>
      </c>
      <c r="BB98" s="509">
        <f>IF(BB$2=1,Reported!BB181,Reported!BB181-Reported!BA181)</f>
        <v/>
      </c>
      <c r="BC98" s="509">
        <f>IF(BC$2=1,Reported!BC181,Reported!BC181-Reported!BB181)</f>
        <v/>
      </c>
      <c r="BD98" s="509">
        <f>IF(BD$2=1,Reported!BD181,Reported!BD181-Reported!BC181)</f>
        <v/>
      </c>
      <c r="BE98" s="509">
        <f>IF(BE$2=1,Reported!BE181,Reported!BE181-Reported!BD181)</f>
        <v/>
      </c>
      <c r="BF98" s="509">
        <f>IF(BF$2=1,Reported!BF181,Reported!BF181-Reported!BE181)</f>
        <v/>
      </c>
      <c r="BG98" s="509">
        <f>IF(BG$2=1,Reported!BG181,Reported!BG181-Reported!BF181)</f>
        <v/>
      </c>
      <c r="BH98" s="509">
        <f>IF(BH$2=1,Reported!BH181,Reported!BH181-Reported!BG181)</f>
        <v/>
      </c>
      <c r="BI98" s="509">
        <f>IF(BI$2=1,Reported!BI181,Reported!BI181-Reported!BH181)</f>
        <v/>
      </c>
      <c r="BJ98" s="509">
        <f>IF(BJ$2=1,Reported!BJ181,Reported!BJ181-Reported!BI181)</f>
        <v/>
      </c>
      <c r="BK98" s="509">
        <f>IF(BK$2=1,Reported!BK181,Reported!BK181-Reported!BJ181)</f>
        <v/>
      </c>
      <c r="BL98" s="509">
        <f>IF(BL$2=1,Reported!BL181,Reported!BL181-Reported!BK181)</f>
        <v/>
      </c>
      <c r="BM98" s="509">
        <f>IF(BM$2=1,Reported!BM181,Reported!BM181-Reported!BL181)</f>
        <v/>
      </c>
      <c r="BN98" s="509">
        <f>IF(BN$2=1,Reported!BN181,Reported!BN181-Reported!BM181)</f>
        <v/>
      </c>
      <c r="BO98" s="509">
        <f>IF(BO$2=1,Reported!BO181,Reported!BO181-Reported!BN181)</f>
        <v/>
      </c>
      <c r="BP98" s="509">
        <f>IF(BP$2=1,Reported!BP181,Reported!BP181-Reported!BO181)</f>
        <v/>
      </c>
      <c r="BQ98" s="509">
        <f>IF(BQ$2=1,Reported!BQ181,Reported!BQ181-Reported!BP181)</f>
        <v/>
      </c>
      <c r="BR98" s="509">
        <f>IF(BR$2=1,Reported!BR181,Reported!BR181-Reported!BQ181)</f>
        <v/>
      </c>
      <c r="BS98" s="108">
        <f>BR47-BS47</f>
        <v/>
      </c>
      <c r="BT98" s="108">
        <f>BS47-BT47</f>
        <v/>
      </c>
      <c r="BU98" s="108">
        <f>BT47-BU47</f>
        <v/>
      </c>
      <c r="BV98" s="108">
        <f>BU47-BV47</f>
        <v/>
      </c>
      <c r="BW98" s="108">
        <f>BV47-BW47</f>
        <v/>
      </c>
      <c r="BX98" s="108">
        <f>BW47-BX47</f>
        <v/>
      </c>
      <c r="BY98" s="108">
        <f>BX47-BY47</f>
        <v/>
      </c>
      <c r="BZ98" s="108">
        <f>BY47-BZ47</f>
        <v/>
      </c>
      <c r="CA98" s="108">
        <f>BZ47-CA47</f>
        <v/>
      </c>
      <c r="CB98" s="108">
        <f>CA47-CB47</f>
        <v/>
      </c>
      <c r="CC98" s="108">
        <f>CB47-CC47</f>
        <v/>
      </c>
      <c r="CD98" s="108">
        <f>CC47-CD47</f>
        <v/>
      </c>
      <c r="CE98" s="108">
        <f>CD47-CE47</f>
        <v/>
      </c>
      <c r="CF98" s="108">
        <f>CE47-CF47</f>
        <v/>
      </c>
      <c r="CG98" s="108">
        <f>CF47-CG47</f>
        <v/>
      </c>
      <c r="CH98" s="108">
        <f>CG47-CH47</f>
        <v/>
      </c>
      <c r="CI98" s="108">
        <f>CH47-CI47</f>
        <v/>
      </c>
      <c r="CJ98" s="108">
        <f>CI47-CJ47</f>
        <v/>
      </c>
      <c r="CK98" s="108">
        <f>CJ47-CK47</f>
        <v/>
      </c>
    </row>
    <row r="99">
      <c r="A99" s="33" t="inlineStr">
        <is>
          <t>Prepaid expenses and other current assets</t>
        </is>
      </c>
      <c r="B99" s="145" t="n"/>
      <c r="C99" s="145" t="n"/>
      <c r="D99" s="145" t="n"/>
      <c r="E99" s="145" t="n"/>
      <c r="F99" s="145" t="n"/>
      <c r="G99" s="145" t="n"/>
      <c r="H99" s="145" t="n"/>
      <c r="I99" s="145" t="n"/>
      <c r="J99" s="145" t="n"/>
      <c r="K99" s="145" t="n"/>
      <c r="L99" s="145" t="n"/>
      <c r="M99" s="145" t="n"/>
      <c r="N99" s="509">
        <f>IF(N$2=1,Reported!N182,Reported!N182-Reported!M182)</f>
        <v/>
      </c>
      <c r="O99" s="509">
        <f>IF(O$2=1,Reported!O182,Reported!O182-Reported!N182)</f>
        <v/>
      </c>
      <c r="P99" s="509">
        <f>IF(P$2=1,Reported!P182,Reported!P182-Reported!O182)</f>
        <v/>
      </c>
      <c r="Q99" s="509">
        <f>IF(Q$2=1,Reported!Q182,Reported!Q182-Reported!P182)</f>
        <v/>
      </c>
      <c r="R99" s="509">
        <f>IF(R$2=1,Reported!R182,Reported!R182-Reported!Q182)</f>
        <v/>
      </c>
      <c r="S99" s="509">
        <f>IF(S$2=1,Reported!S182,Reported!S182-Reported!R182)</f>
        <v/>
      </c>
      <c r="T99" s="509">
        <f>IF(T$2=1,Reported!T182,Reported!T182-Reported!S182)</f>
        <v/>
      </c>
      <c r="U99" s="509">
        <f>IF(U$2=1,Reported!U182,Reported!U182-Reported!T182)</f>
        <v/>
      </c>
      <c r="V99" s="509">
        <f>IF(V$2=1,Reported!V182,Reported!V182-Reported!U182)</f>
        <v/>
      </c>
      <c r="W99" s="509">
        <f>IF(W$2=1,Reported!W182,Reported!W182-Reported!V182)</f>
        <v/>
      </c>
      <c r="X99" s="509">
        <f>IF(X$2=1,Reported!X182,Reported!X182-Reported!W182)</f>
        <v/>
      </c>
      <c r="Y99" s="509">
        <f>IF(Y$2=1,Reported!Y182,Reported!Y182-Reported!X182)</f>
        <v/>
      </c>
      <c r="Z99" s="509">
        <f>IF(Z$2=1,Reported!Z182,Reported!Z182-Reported!Y182)</f>
        <v/>
      </c>
      <c r="AA99" s="509">
        <f>IF(AA$2=1,Reported!AA182,Reported!AA182-Reported!Z182)</f>
        <v/>
      </c>
      <c r="AB99" s="509">
        <f>IF(AB$2=1,Reported!AB182,Reported!AB182-Reported!AA182)</f>
        <v/>
      </c>
      <c r="AC99" s="509">
        <f>IF(AC$2=1,Reported!AC182,Reported!AC182-Reported!AB182)</f>
        <v/>
      </c>
      <c r="AD99" s="509">
        <f>IF(AD$2=1,Reported!AD182,Reported!AD182-Reported!AC182)</f>
        <v/>
      </c>
      <c r="AE99" s="509">
        <f>IF(AE$2=1,Reported!AE182,Reported!AE182-Reported!AD182)</f>
        <v/>
      </c>
      <c r="AF99" s="509">
        <f>IF(AF$2=1,Reported!AF182,Reported!AF182-Reported!AE182)</f>
        <v/>
      </c>
      <c r="AG99" s="509">
        <f>IF(AG$2=1,Reported!AG182,Reported!AG182-Reported!AF182)</f>
        <v/>
      </c>
      <c r="AH99" s="509">
        <f>IF(AH$2=1,Reported!AH182,Reported!AH182-Reported!AG182)</f>
        <v/>
      </c>
      <c r="AI99" s="509">
        <f>IF(AI$2=1,Reported!AI182,Reported!AI182-Reported!AH182)</f>
        <v/>
      </c>
      <c r="AJ99" s="509">
        <f>IF(AJ$2=1,Reported!AJ182,Reported!AJ182-Reported!AI182)</f>
        <v/>
      </c>
      <c r="AK99" s="509">
        <f>IF(AK$2=1,Reported!AK182,Reported!AK182-Reported!AJ182)</f>
        <v/>
      </c>
      <c r="AL99" s="509">
        <f>IF(AL$2=1,Reported!AL182,Reported!AL182-Reported!AK182)</f>
        <v/>
      </c>
      <c r="AM99" s="509">
        <f>IF(AM$2=1,Reported!AM182,Reported!AM182-Reported!AL182)</f>
        <v/>
      </c>
      <c r="AN99" s="509">
        <f>IF(AN$2=1,Reported!AN182,Reported!AN182-Reported!AM182)</f>
        <v/>
      </c>
      <c r="AO99" s="509">
        <f>IF(AO$2=1,Reported!AO182,Reported!AO182-Reported!AN182)</f>
        <v/>
      </c>
      <c r="AP99" s="509">
        <f>IF(AP$2=1,Reported!AP182,Reported!AP182-Reported!AO182)</f>
        <v/>
      </c>
      <c r="AQ99" s="509">
        <f>IF(AQ$2=1,Reported!AQ182,Reported!AQ182-Reported!AP182)</f>
        <v/>
      </c>
      <c r="AR99" s="509">
        <f>IF(AR$2=1,Reported!AR182,Reported!AR182-Reported!AQ182)</f>
        <v/>
      </c>
      <c r="AS99" s="509">
        <f>IF(AS$2=1,Reported!AS182,Reported!AS182-Reported!AR182)</f>
        <v/>
      </c>
      <c r="AT99" s="509">
        <f>IF(AT$2=1,Reported!AT182,Reported!AT182-Reported!AS182)</f>
        <v/>
      </c>
      <c r="AU99" s="509">
        <f>IF(AU$2=1,Reported!AU182,Reported!AU182-Reported!AT182)</f>
        <v/>
      </c>
      <c r="AV99" s="509">
        <f>IF(AV$2=1,Reported!AV182,Reported!AV182-Reported!AU182)</f>
        <v/>
      </c>
      <c r="AW99" s="509">
        <f>IF(AW$2=1,Reported!AW182,Reported!AW182-Reported!AV182)</f>
        <v/>
      </c>
      <c r="AX99" s="509">
        <f>IF(AX$2=1,Reported!AX182,Reported!AX182-Reported!AW182)</f>
        <v/>
      </c>
      <c r="AY99" s="509">
        <f>IF(AY$2=1,Reported!AY182,Reported!AY182-Reported!AX182)</f>
        <v/>
      </c>
      <c r="AZ99" s="509">
        <f>IF(AZ$2=1,Reported!AZ182,Reported!AZ182-Reported!AY182)</f>
        <v/>
      </c>
      <c r="BA99" s="509">
        <f>IF(BA$2=1,Reported!BA182,Reported!BA182-Reported!AZ182)</f>
        <v/>
      </c>
      <c r="BB99" s="509">
        <f>IF(BB$2=1,Reported!BB182,Reported!BB182-Reported!BA182)</f>
        <v/>
      </c>
      <c r="BC99" s="509">
        <f>IF(BC$2=1,Reported!BC182,Reported!BC182-Reported!BB182)</f>
        <v/>
      </c>
      <c r="BD99" s="509">
        <f>IF(BD$2=1,Reported!BD182,Reported!BD182-Reported!BC182)</f>
        <v/>
      </c>
      <c r="BE99" s="509">
        <f>IF(BE$2=1,Reported!BE182,Reported!BE182-Reported!BD182)</f>
        <v/>
      </c>
      <c r="BF99" s="509">
        <f>IF(BF$2=1,Reported!BF182,Reported!BF182-Reported!BE182)</f>
        <v/>
      </c>
      <c r="BG99" s="509">
        <f>IF(BG$2=1,Reported!BG182,Reported!BG182-Reported!BF182)</f>
        <v/>
      </c>
      <c r="BH99" s="509">
        <f>IF(BH$2=1,Reported!BH182,Reported!BH182-Reported!BG182)</f>
        <v/>
      </c>
      <c r="BI99" s="509">
        <f>IF(BI$2=1,Reported!BI182,Reported!BI182-Reported!BH182)</f>
        <v/>
      </c>
      <c r="BJ99" s="509">
        <f>IF(BJ$2=1,Reported!BJ182,Reported!BJ182-Reported!BI182)</f>
        <v/>
      </c>
      <c r="BK99" s="509">
        <f>IF(BK$2=1,Reported!BK182,Reported!BK182-Reported!BJ182)</f>
        <v/>
      </c>
      <c r="BL99" s="509">
        <f>IF(BL$2=1,Reported!BL182,Reported!BL182-Reported!BK182)</f>
        <v/>
      </c>
      <c r="BM99" s="509">
        <f>IF(BM$2=1,Reported!BM182,Reported!BM182-Reported!BL182)</f>
        <v/>
      </c>
      <c r="BN99" s="509">
        <f>IF(BN$2=1,Reported!BN182,Reported!BN182-Reported!BM182)</f>
        <v/>
      </c>
      <c r="BO99" s="509">
        <f>IF(BO$2=1,Reported!BO182,Reported!BO182-Reported!BN182)</f>
        <v/>
      </c>
      <c r="BP99" s="509">
        <f>IF(BP$2=1,Reported!BP182,Reported!BP182-Reported!BO182)</f>
        <v/>
      </c>
      <c r="BQ99" s="509">
        <f>IF(BQ$2=1,Reported!BQ182,Reported!BQ182-Reported!BP182)</f>
        <v/>
      </c>
      <c r="BR99" s="509">
        <f>IF(BR$2=1,Reported!BR182,Reported!BR182-Reported!BQ182)</f>
        <v/>
      </c>
      <c r="BS99" s="108">
        <f>SUM(BR48:BR50)-SUM(BS48:BS50)</f>
        <v/>
      </c>
      <c r="BT99" s="108">
        <f>SUM(BS48:BS50)-SUM(BT48:BT50)</f>
        <v/>
      </c>
      <c r="BU99" s="108">
        <f>SUM(BT48:BT50)-SUM(BU48:BU50)</f>
        <v/>
      </c>
      <c r="BV99" s="108">
        <f>SUM(BU48:BU50)-SUM(BV48:BV50)</f>
        <v/>
      </c>
      <c r="BW99" s="108">
        <f>SUM(BV48:BV50)-SUM(BW48:BW50)</f>
        <v/>
      </c>
      <c r="BX99" s="108">
        <f>SUM(BW48:BW50)-SUM(BX48:BX50)</f>
        <v/>
      </c>
      <c r="BY99" s="108">
        <f>SUM(BX48:BX50)-SUM(BY48:BY50)</f>
        <v/>
      </c>
      <c r="BZ99" s="108">
        <f>SUM(BY48:BY50)-SUM(BZ48:BZ50)</f>
        <v/>
      </c>
      <c r="CA99" s="108">
        <f>SUM(BZ48:BZ50)-SUM(CA48:CA50)</f>
        <v/>
      </c>
      <c r="CB99" s="108">
        <f>SUM(CA48:CA50)-SUM(CB48:CB50)</f>
        <v/>
      </c>
      <c r="CC99" s="108">
        <f>SUM(CB48:CB50)-SUM(CC48:CC50)</f>
        <v/>
      </c>
      <c r="CD99" s="108">
        <f>SUM(CC48:CC50)-SUM(CD48:CD50)</f>
        <v/>
      </c>
      <c r="CE99" s="108">
        <f>SUM(CD48:CD50)-SUM(CE48:CE50)</f>
        <v/>
      </c>
      <c r="CF99" s="108">
        <f>SUM(CE48:CE50)-SUM(CF48:CF50)</f>
        <v/>
      </c>
      <c r="CG99" s="108">
        <f>SUM(CF48:CF50)-SUM(CG48:CG50)</f>
        <v/>
      </c>
      <c r="CH99" s="108">
        <f>SUM(CG48:CG50)-SUM(CH48:CH50)</f>
        <v/>
      </c>
      <c r="CI99" s="108">
        <f>SUM(CH48:CH50)-SUM(CI48:CI50)</f>
        <v/>
      </c>
      <c r="CJ99" s="108">
        <f>SUM(CI48:CI50)-SUM(CJ48:CJ50)</f>
        <v/>
      </c>
      <c r="CK99" s="108">
        <f>SUM(CJ48:CJ50)-SUM(CK48:CK50)</f>
        <v/>
      </c>
    </row>
    <row r="100">
      <c r="A100" s="33" t="inlineStr">
        <is>
          <t>Accounts payable</t>
        </is>
      </c>
      <c r="B100" s="145" t="n"/>
      <c r="C100" s="145" t="n"/>
      <c r="D100" s="145" t="n"/>
      <c r="E100" s="145" t="n"/>
      <c r="F100" s="145" t="n"/>
      <c r="G100" s="145" t="n"/>
      <c r="H100" s="145" t="n"/>
      <c r="I100" s="145" t="n"/>
      <c r="J100" s="145" t="n"/>
      <c r="K100" s="145" t="n"/>
      <c r="L100" s="145" t="n"/>
      <c r="M100" s="145" t="n"/>
      <c r="N100" s="509">
        <f>IF(N$2=1,Reported!N183,Reported!N183-Reported!M183)</f>
        <v/>
      </c>
      <c r="O100" s="509">
        <f>IF(O$2=1,Reported!O183,Reported!O183-Reported!N183)</f>
        <v/>
      </c>
      <c r="P100" s="509">
        <f>IF(P$2=1,Reported!P183,Reported!P183-Reported!O183)</f>
        <v/>
      </c>
      <c r="Q100" s="509">
        <f>IF(Q$2=1,Reported!Q183,Reported!Q183-Reported!P183)</f>
        <v/>
      </c>
      <c r="R100" s="509">
        <f>IF(R$2=1,Reported!R183,Reported!R183-Reported!Q183)</f>
        <v/>
      </c>
      <c r="S100" s="509">
        <f>IF(S$2=1,Reported!S183,Reported!S183-Reported!R183)</f>
        <v/>
      </c>
      <c r="T100" s="509">
        <f>IF(T$2=1,Reported!T183,Reported!T183-Reported!S183)</f>
        <v/>
      </c>
      <c r="U100" s="509">
        <f>IF(U$2=1,Reported!U183,Reported!U183-Reported!T183)</f>
        <v/>
      </c>
      <c r="V100" s="509">
        <f>IF(V$2=1,Reported!V183,Reported!V183-Reported!U183)</f>
        <v/>
      </c>
      <c r="W100" s="509">
        <f>IF(W$2=1,Reported!W183,Reported!W183-Reported!V183)</f>
        <v/>
      </c>
      <c r="X100" s="509">
        <f>IF(X$2=1,Reported!X183,Reported!X183-Reported!W183)</f>
        <v/>
      </c>
      <c r="Y100" s="509">
        <f>IF(Y$2=1,Reported!Y183,Reported!Y183-Reported!X183)</f>
        <v/>
      </c>
      <c r="Z100" s="509">
        <f>IF(Z$2=1,Reported!Z183,Reported!Z183-Reported!Y183)</f>
        <v/>
      </c>
      <c r="AA100" s="509">
        <f>IF(AA$2=1,Reported!AA183,Reported!AA183-Reported!Z183)</f>
        <v/>
      </c>
      <c r="AB100" s="509">
        <f>IF(AB$2=1,Reported!AB183,Reported!AB183-Reported!AA183)</f>
        <v/>
      </c>
      <c r="AC100" s="509">
        <f>IF(AC$2=1,Reported!AC183,Reported!AC183-Reported!AB183)</f>
        <v/>
      </c>
      <c r="AD100" s="509">
        <f>IF(AD$2=1,Reported!AD183,Reported!AD183-Reported!AC183)</f>
        <v/>
      </c>
      <c r="AE100" s="509">
        <f>IF(AE$2=1,Reported!AE183,Reported!AE183-Reported!AD183)</f>
        <v/>
      </c>
      <c r="AF100" s="509">
        <f>IF(AF$2=1,Reported!AF183,Reported!AF183-Reported!AE183)</f>
        <v/>
      </c>
      <c r="AG100" s="509">
        <f>IF(AG$2=1,Reported!AG183,Reported!AG183-Reported!AF183)</f>
        <v/>
      </c>
      <c r="AH100" s="509">
        <f>IF(AH$2=1,Reported!AH183,Reported!AH183-Reported!AG183)</f>
        <v/>
      </c>
      <c r="AI100" s="509">
        <f>IF(AI$2=1,Reported!AI183,Reported!AI183-Reported!AH183)</f>
        <v/>
      </c>
      <c r="AJ100" s="509">
        <f>IF(AJ$2=1,Reported!AJ183,Reported!AJ183-Reported!AI183)</f>
        <v/>
      </c>
      <c r="AK100" s="509">
        <f>IF(AK$2=1,Reported!AK183,Reported!AK183-Reported!AJ183)</f>
        <v/>
      </c>
      <c r="AL100" s="509">
        <f>IF(AL$2=1,Reported!AL183,Reported!AL183-Reported!AK183)</f>
        <v/>
      </c>
      <c r="AM100" s="509">
        <f>IF(AM$2=1,Reported!AM183,Reported!AM183-Reported!AL183)</f>
        <v/>
      </c>
      <c r="AN100" s="509">
        <f>IF(AN$2=1,Reported!AN183,Reported!AN183-Reported!AM183)</f>
        <v/>
      </c>
      <c r="AO100" s="509">
        <f>IF(AO$2=1,Reported!AO183,Reported!AO183-Reported!AN183)</f>
        <v/>
      </c>
      <c r="AP100" s="509">
        <f>IF(AP$2=1,Reported!AP183,Reported!AP183-Reported!AO183)</f>
        <v/>
      </c>
      <c r="AQ100" s="509">
        <f>IF(AQ$2=1,Reported!AQ183,Reported!AQ183-Reported!AP183)</f>
        <v/>
      </c>
      <c r="AR100" s="509">
        <f>IF(AR$2=1,Reported!AR183,Reported!AR183-Reported!AQ183)</f>
        <v/>
      </c>
      <c r="AS100" s="509">
        <f>IF(AS$2=1,Reported!AS183,Reported!AS183-Reported!AR183)</f>
        <v/>
      </c>
      <c r="AT100" s="509">
        <f>IF(AT$2=1,Reported!AT183,Reported!AT183-Reported!AS183)</f>
        <v/>
      </c>
      <c r="AU100" s="509">
        <f>IF(AU$2=1,Reported!AU183,Reported!AU183-Reported!AT183)</f>
        <v/>
      </c>
      <c r="AV100" s="509">
        <f>IF(AV$2=1,Reported!AV183,Reported!AV183-Reported!AU183)</f>
        <v/>
      </c>
      <c r="AW100" s="509">
        <f>IF(AW$2=1,Reported!AW183,Reported!AW183-Reported!AV183)</f>
        <v/>
      </c>
      <c r="AX100" s="509">
        <f>IF(AX$2=1,Reported!AX183,Reported!AX183-Reported!AW183)</f>
        <v/>
      </c>
      <c r="AY100" s="509">
        <f>IF(AY$2=1,Reported!AY183,Reported!AY183-Reported!AX183)</f>
        <v/>
      </c>
      <c r="AZ100" s="509">
        <f>IF(AZ$2=1,Reported!AZ183,Reported!AZ183-Reported!AY183)</f>
        <v/>
      </c>
      <c r="BA100" s="509">
        <f>IF(BA$2=1,Reported!BA183,Reported!BA183-Reported!AZ183)</f>
        <v/>
      </c>
      <c r="BB100" s="509">
        <f>IF(BB$2=1,Reported!BB183,Reported!BB183-Reported!BA183)</f>
        <v/>
      </c>
      <c r="BC100" s="509">
        <f>IF(BC$2=1,Reported!BC183,Reported!BC183-Reported!BB183)</f>
        <v/>
      </c>
      <c r="BD100" s="509">
        <f>IF(BD$2=1,Reported!BD183,Reported!BD183-Reported!BC183)</f>
        <v/>
      </c>
      <c r="BE100" s="509">
        <f>IF(BE$2=1,Reported!BE183,Reported!BE183-Reported!BD183)</f>
        <v/>
      </c>
      <c r="BF100" s="509">
        <f>IF(BF$2=1,Reported!BF183,Reported!BF183-Reported!BE183)</f>
        <v/>
      </c>
      <c r="BG100" s="509">
        <f>IF(BG$2=1,Reported!BG183,Reported!BG183-Reported!BF183)</f>
        <v/>
      </c>
      <c r="BH100" s="509">
        <f>IF(BH$2=1,Reported!BH183,Reported!BH183-Reported!BG183)</f>
        <v/>
      </c>
      <c r="BI100" s="509">
        <f>IF(BI$2=1,Reported!BI183,Reported!BI183-Reported!BH183)</f>
        <v/>
      </c>
      <c r="BJ100" s="509">
        <f>IF(BJ$2=1,Reported!BJ183,Reported!BJ183-Reported!BI183)</f>
        <v/>
      </c>
      <c r="BK100" s="509">
        <f>IF(BK$2=1,Reported!BK183,Reported!BK183-Reported!BJ183)</f>
        <v/>
      </c>
      <c r="BL100" s="509">
        <f>IF(BL$2=1,Reported!BL183,Reported!BL183-Reported!BK183)</f>
        <v/>
      </c>
      <c r="BM100" s="509">
        <f>IF(BM$2=1,Reported!BM183,Reported!BM183-Reported!BL183)</f>
        <v/>
      </c>
      <c r="BN100" s="509">
        <f>IF(BN$2=1,Reported!BN183,Reported!BN183-Reported!BM183)</f>
        <v/>
      </c>
      <c r="BO100" s="509">
        <f>IF(BO$2=1,Reported!BO183,Reported!BO183-Reported!BN183)</f>
        <v/>
      </c>
      <c r="BP100" s="509">
        <f>IF(BP$2=1,Reported!BP183,Reported!BP183-Reported!BO183)</f>
        <v/>
      </c>
      <c r="BQ100" s="509">
        <f>IF(BQ$2=1,Reported!BQ183,Reported!BQ183-Reported!BP183)</f>
        <v/>
      </c>
      <c r="BR100" s="509">
        <f>IF(BR$2=1,Reported!BR183,Reported!BR183-Reported!BQ183)</f>
        <v/>
      </c>
      <c r="BS100" s="517">
        <f>BS59-BR59</f>
        <v/>
      </c>
      <c r="BT100" s="517">
        <f>BT59-BS59</f>
        <v/>
      </c>
      <c r="BU100" s="517">
        <f>BU59-BT59</f>
        <v/>
      </c>
      <c r="BV100" s="517">
        <f>BV59-BU59</f>
        <v/>
      </c>
      <c r="BW100" s="517">
        <f>BW59-BV59</f>
        <v/>
      </c>
      <c r="BX100" s="517">
        <f>BX59-BW59</f>
        <v/>
      </c>
      <c r="BY100" s="517">
        <f>BY59-BX59</f>
        <v/>
      </c>
      <c r="BZ100" s="517">
        <f>BZ59-BY59</f>
        <v/>
      </c>
      <c r="CA100" s="517">
        <f>CA59-BZ59</f>
        <v/>
      </c>
      <c r="CB100" s="517">
        <f>CB59-CA59</f>
        <v/>
      </c>
      <c r="CC100" s="517">
        <f>CC59-CB59</f>
        <v/>
      </c>
      <c r="CD100" s="517">
        <f>CD59-CC59</f>
        <v/>
      </c>
      <c r="CE100" s="517">
        <f>CE59-CD59</f>
        <v/>
      </c>
      <c r="CF100" s="517">
        <f>CF59-CE59</f>
        <v/>
      </c>
      <c r="CG100" s="517">
        <f>CG59-CF59</f>
        <v/>
      </c>
      <c r="CH100" s="517">
        <f>CH59-CG59</f>
        <v/>
      </c>
      <c r="CI100" s="517">
        <f>CI59-CH59</f>
        <v/>
      </c>
      <c r="CJ100" s="517">
        <f>CJ59-CI59</f>
        <v/>
      </c>
      <c r="CK100" s="517">
        <f>CK59-CJ59</f>
        <v/>
      </c>
    </row>
    <row r="101">
      <c r="A101" s="33" t="inlineStr">
        <is>
          <t>Other working captical changes</t>
        </is>
      </c>
      <c r="B101" s="145" t="n"/>
      <c r="C101" s="145" t="n"/>
      <c r="D101" s="145" t="n"/>
      <c r="E101" s="145" t="n"/>
      <c r="F101" s="145" t="n"/>
      <c r="G101" s="145" t="n"/>
      <c r="H101" s="145" t="n"/>
      <c r="I101" s="145" t="n"/>
      <c r="J101" s="145" t="n"/>
      <c r="K101" s="145" t="n"/>
      <c r="L101" s="145" t="n"/>
      <c r="M101" s="145" t="n"/>
      <c r="N101" s="143">
        <f>IF(N$2=1,SUM(Reported!N184:N186),SUM(Reported!N184:N186)-SUM(Reported!M184:M186))</f>
        <v/>
      </c>
      <c r="O101" s="143">
        <f>IF(O$2=1,SUM(Reported!O184:O186),SUM(Reported!O184:O186)-SUM(Reported!N184:N186))</f>
        <v/>
      </c>
      <c r="P101" s="143">
        <f>IF(P$2=1,SUM(Reported!P184:P186),SUM(Reported!P184:P186)-SUM(Reported!O184:O186))</f>
        <v/>
      </c>
      <c r="Q101" s="143">
        <f>IF(Q$2=1,SUM(Reported!Q184:Q186),SUM(Reported!Q184:Q186)-SUM(Reported!P184:P186))</f>
        <v/>
      </c>
      <c r="R101" s="143">
        <f>IF(R$2=1,SUM(Reported!R184:R186),SUM(Reported!R184:R186)-SUM(Reported!Q184:Q186))</f>
        <v/>
      </c>
      <c r="S101" s="143">
        <f>IF(S$2=1,SUM(Reported!S184:S186),SUM(Reported!S184:S186)-SUM(Reported!R184:R186))</f>
        <v/>
      </c>
      <c r="T101" s="143">
        <f>IF(T$2=1,SUM(Reported!T184:T186),SUM(Reported!T184:T186)-SUM(Reported!S184:S186))</f>
        <v/>
      </c>
      <c r="U101" s="143">
        <f>IF(U$2=1,SUM(Reported!U184:U186),SUM(Reported!U184:U186)-SUM(Reported!T184:T186))</f>
        <v/>
      </c>
      <c r="V101" s="143">
        <f>IF(V$2=1,SUM(Reported!V184:V186),SUM(Reported!V184:V186)-SUM(Reported!U184:U186))</f>
        <v/>
      </c>
      <c r="W101" s="143">
        <f>IF(W$2=1,SUM(Reported!W184:W186),SUM(Reported!W184:W186)-SUM(Reported!V184:V186))</f>
        <v/>
      </c>
      <c r="X101" s="143">
        <f>IF(X$2=1,SUM(Reported!X184:X186),SUM(Reported!X184:X186)-SUM(Reported!W184:W186))</f>
        <v/>
      </c>
      <c r="Y101" s="143">
        <f>IF(Y$2=1,SUM(Reported!Y184:Y186),SUM(Reported!Y184:Y186)-SUM(Reported!X184:X186))</f>
        <v/>
      </c>
      <c r="Z101" s="143">
        <f>IF(Z$2=1,SUM(Reported!Z184:Z186),SUM(Reported!Z184:Z186)-SUM(Reported!Y184:Y186))</f>
        <v/>
      </c>
      <c r="AA101" s="143">
        <f>IF(AA$2=1,SUM(Reported!AA184:AA186),SUM(Reported!AA184:AA186)-SUM(Reported!Z184:Z186))</f>
        <v/>
      </c>
      <c r="AB101" s="143">
        <f>IF(AB$2=1,SUM(Reported!AB184:AB186),SUM(Reported!AB184:AB186)-SUM(Reported!AA184:AA186))</f>
        <v/>
      </c>
      <c r="AC101" s="143">
        <f>IF(AC$2=1,SUM(Reported!AC184:AC186),SUM(Reported!AC184:AC186)-SUM(Reported!AB184:AB186))</f>
        <v/>
      </c>
      <c r="AD101" s="143">
        <f>IF(AD$2=1,SUM(Reported!AD184:AD186),SUM(Reported!AD184:AD186)-SUM(Reported!AC184:AC186))</f>
        <v/>
      </c>
      <c r="AE101" s="143">
        <f>IF(AE$2=1,SUM(Reported!AE184:AE186),SUM(Reported!AE184:AE186)-SUM(Reported!AD184:AD186))</f>
        <v/>
      </c>
      <c r="AF101" s="143">
        <f>IF(AF$2=1,SUM(Reported!AF184:AF186),SUM(Reported!AF184:AF186)-SUM(Reported!AE184:AE186))</f>
        <v/>
      </c>
      <c r="AG101" s="143">
        <f>IF(AG$2=1,SUM(Reported!AG184:AG186),SUM(Reported!AG184:AG186)-SUM(Reported!AF184:AF186))</f>
        <v/>
      </c>
      <c r="AH101" s="143">
        <f>IF(AH$2=1,SUM(Reported!AH184:AH186),SUM(Reported!AH184:AH186)-SUM(Reported!AG184:AG186))</f>
        <v/>
      </c>
      <c r="AI101" s="143">
        <f>IF(AI$2=1,SUM(Reported!AI184:AI186),SUM(Reported!AI184:AI186)-SUM(Reported!AH184:AH186))</f>
        <v/>
      </c>
      <c r="AJ101" s="143">
        <f>IF(AJ$2=1,SUM(Reported!AJ184:AJ186),SUM(Reported!AJ184:AJ186)-SUM(Reported!AI184:AI186))</f>
        <v/>
      </c>
      <c r="AK101" s="143">
        <f>IF(AK$2=1,SUM(Reported!AK184:AK186),SUM(Reported!AK184:AK186)-SUM(Reported!AJ184:AJ186))</f>
        <v/>
      </c>
      <c r="AL101" s="143">
        <f>IF(AL$2=1,SUM(Reported!AL184:AL186),SUM(Reported!AL184:AL186)-SUM(Reported!AK184:AK186))</f>
        <v/>
      </c>
      <c r="AM101" s="143">
        <f>IF(AM$2=1,SUM(Reported!AM184:AM186),SUM(Reported!AM184:AM186)-SUM(Reported!AL184:AL186))</f>
        <v/>
      </c>
      <c r="AN101" s="143">
        <f>IF(AN$2=1,SUM(Reported!AN184:AN186),SUM(Reported!AN184:AN186)-SUM(Reported!AM184:AM186))</f>
        <v/>
      </c>
      <c r="AO101" s="143">
        <f>IF(AO$2=1,SUM(Reported!AO184:AO186),SUM(Reported!AO184:AO186)-SUM(Reported!AN184:AN186))</f>
        <v/>
      </c>
      <c r="AP101" s="143">
        <f>IF(AP$2=1,SUM(Reported!AP184:AP186),SUM(Reported!AP184:AP186)-SUM(Reported!AO184:AO186))</f>
        <v/>
      </c>
      <c r="AQ101" s="143">
        <f>IF(AQ$2=1,SUM(Reported!AQ184:AQ186),SUM(Reported!AQ184:AQ186)-SUM(Reported!AP184:AP186))</f>
        <v/>
      </c>
      <c r="AR101" s="143">
        <f>IF(AR$2=1,SUM(Reported!AR184:AR186),SUM(Reported!AR184:AR186)-SUM(Reported!AQ184:AQ186))</f>
        <v/>
      </c>
      <c r="AS101" s="143">
        <f>IF(AS$2=1,SUM(Reported!AS184:AS186),SUM(Reported!AS184:AS186)-SUM(Reported!AR184:AR186))</f>
        <v/>
      </c>
      <c r="AT101" s="143">
        <f>IF(AT$2=1,SUM(Reported!AT184:AT186),SUM(Reported!AT184:AT186)-SUM(Reported!AS184:AS186))</f>
        <v/>
      </c>
      <c r="AU101" s="143">
        <f>IF(AU$2=1,SUM(Reported!AU184:AU186),SUM(Reported!AU184:AU186)-SUM(Reported!AT184:AT186))</f>
        <v/>
      </c>
      <c r="AV101" s="143">
        <f>IF(AV$2=1,SUM(Reported!AV184:AV186),SUM(Reported!AV184:AV186)-SUM(Reported!AU184:AU186))</f>
        <v/>
      </c>
      <c r="AW101" s="143">
        <f>IF(AW$2=1,SUM(Reported!AW184:AW186),SUM(Reported!AW184:AW186)-SUM(Reported!AV184:AV186))</f>
        <v/>
      </c>
      <c r="AX101" s="143">
        <f>IF(AX$2=1,SUM(Reported!AX184:AX186),SUM(Reported!AX184:AX186)-SUM(Reported!AW184:AW186))</f>
        <v/>
      </c>
      <c r="AY101" s="143">
        <f>IF(AY$2=1,SUM(Reported!AY184:AY186),SUM(Reported!AY184:AY186)-SUM(Reported!AX184:AX186))</f>
        <v/>
      </c>
      <c r="AZ101" s="143">
        <f>IF(AZ$2=1,SUM(Reported!AZ184:AZ186),SUM(Reported!AZ184:AZ186)-SUM(Reported!AY184:AY186))</f>
        <v/>
      </c>
      <c r="BA101" s="143">
        <f>IF(BA$2=1,SUM(Reported!BA184:BA186),SUM(Reported!BA184:BA186)-SUM(Reported!AZ184:AZ186))</f>
        <v/>
      </c>
      <c r="BB101" s="143">
        <f>IF(BB$2=1,SUM(Reported!BB184:BB186),SUM(Reported!BB184:BB186)-SUM(Reported!BA184:BA186))</f>
        <v/>
      </c>
      <c r="BC101" s="143">
        <f>IF(BC$2=1,SUM(Reported!BC184:BC186),SUM(Reported!BC184:BC186)-SUM(Reported!BB184:BB186))</f>
        <v/>
      </c>
      <c r="BD101" s="143">
        <f>IF(BD$2=1,SUM(Reported!BD184:BD186),SUM(Reported!BD184:BD186)-SUM(Reported!BC184:BC186))</f>
        <v/>
      </c>
      <c r="BE101" s="143">
        <f>IF(BE$2=1,SUM(Reported!BE184:BE186),SUM(Reported!BE184:BE186)-SUM(Reported!BD184:BD186))</f>
        <v/>
      </c>
      <c r="BF101" s="143">
        <f>IF(BF$2=1,SUM(Reported!BF184:BF186),SUM(Reported!BF184:BF186)-SUM(Reported!BE184:BE186))</f>
        <v/>
      </c>
      <c r="BG101" s="143">
        <f>IF(BG$2=1,SUM(Reported!BG184:BG186),SUM(Reported!BG184:BG186)-SUM(Reported!BF184:BF186))</f>
        <v/>
      </c>
      <c r="BH101" s="143">
        <f>IF(BH$2=1,SUM(Reported!BH184:BH186),SUM(Reported!BH184:BH186)-SUM(Reported!BG184:BG186))</f>
        <v/>
      </c>
      <c r="BI101" s="143">
        <f>IF(BI$2=1,SUM(Reported!BI184:BI186),SUM(Reported!BI184:BI186)-SUM(Reported!BH184:BH186))</f>
        <v/>
      </c>
      <c r="BJ101" s="143">
        <f>IF(BJ$2=1,SUM(Reported!BJ184:BJ186),SUM(Reported!BJ184:BJ186)-SUM(Reported!BI184:BI186))</f>
        <v/>
      </c>
      <c r="BK101" s="143">
        <f>IF(BK$2=1,SUM(Reported!BK184:BK186),SUM(Reported!BK184:BK186)-SUM(Reported!BJ184:BJ186))</f>
        <v/>
      </c>
      <c r="BL101" s="143">
        <f>IF(BL$2=1,SUM(Reported!BL184:BL186),SUM(Reported!BL184:BL186)-SUM(Reported!BK184:BK186))</f>
        <v/>
      </c>
      <c r="BM101" s="143">
        <f>IF(BM$2=1,SUM(Reported!BM184:BM186),SUM(Reported!BM184:BM186)-SUM(Reported!BL184:BL186))</f>
        <v/>
      </c>
      <c r="BN101" s="143">
        <f>IF(BN$2=1,SUM(Reported!BN184:BN186),SUM(Reported!BN184:BN186)-SUM(Reported!BM184:BM186))</f>
        <v/>
      </c>
      <c r="BO101" s="143">
        <f>IF(BO$2=1,SUM(Reported!BO184:BO186),SUM(Reported!BO184:BO186)-SUM(Reported!BN184:BN186))</f>
        <v/>
      </c>
      <c r="BP101" s="143">
        <f>IF(BP$2=1,SUM(Reported!BP184:BP186),SUM(Reported!BP184:BP186)-SUM(Reported!BO184:BO186))</f>
        <v/>
      </c>
      <c r="BQ101" s="143">
        <f>IF(BQ$2=1,SUM(Reported!BQ184:BQ186),SUM(Reported!BQ184:BQ186)-SUM(Reported!BP184:BP186))</f>
        <v/>
      </c>
      <c r="BR101" s="143">
        <f>IF(BR$2=1,SUM(Reported!BR184:BR186),SUM(Reported!BR184:BR186)-SUM(Reported!BQ184:BQ186))</f>
        <v/>
      </c>
      <c r="BS101" s="517">
        <f>SUM(BS60:BS62)-SUM(BR60:BR62)</f>
        <v/>
      </c>
      <c r="BT101" s="517">
        <f>SUM(BT60:BT62)-SUM(BS60:BS62)</f>
        <v/>
      </c>
      <c r="BU101" s="517">
        <f>SUM(BU60:BU62)-SUM(BT60:BT62)</f>
        <v/>
      </c>
      <c r="BV101" s="517">
        <f>SUM(BV60:BV62)-SUM(BU60:BU62)</f>
        <v/>
      </c>
      <c r="BW101" s="517">
        <f>SUM(BW60:BW62)-SUM(BV60:BV62)</f>
        <v/>
      </c>
      <c r="BX101" s="517">
        <f>SUM(BX60:BX62)-SUM(BW60:BW62)</f>
        <v/>
      </c>
      <c r="BY101" s="517">
        <f>SUM(BY60:BY62)-SUM(BX60:BX62)</f>
        <v/>
      </c>
      <c r="BZ101" s="517">
        <f>SUM(BZ60:BZ62)-SUM(BY60:BY62)</f>
        <v/>
      </c>
      <c r="CA101" s="517">
        <f>SUM(CA60:CA62)-SUM(BZ60:BZ62)</f>
        <v/>
      </c>
      <c r="CB101" s="517">
        <f>SUM(CB60:CB62)-SUM(CA60:CA62)</f>
        <v/>
      </c>
      <c r="CC101" s="517">
        <f>SUM(CC60:CC62)-SUM(CB60:CB62)</f>
        <v/>
      </c>
      <c r="CD101" s="517">
        <f>SUM(CD60:CD62)-SUM(CC60:CC62)</f>
        <v/>
      </c>
      <c r="CE101" s="517">
        <f>SUM(CE60:CE62)-SUM(CD60:CD62)</f>
        <v/>
      </c>
      <c r="CF101" s="517">
        <f>SUM(CF60:CF62)-SUM(CE60:CE62)</f>
        <v/>
      </c>
      <c r="CG101" s="517">
        <f>SUM(CG60:CG62)-SUM(CF60:CF62)</f>
        <v/>
      </c>
      <c r="CH101" s="517">
        <f>SUM(CH60:CH62)-SUM(CG60:CG62)</f>
        <v/>
      </c>
      <c r="CI101" s="517">
        <f>SUM(CI60:CI62)-SUM(CH60:CH62)</f>
        <v/>
      </c>
      <c r="CJ101" s="517">
        <f>SUM(CJ60:CJ62)-SUM(CI60:CI62)</f>
        <v/>
      </c>
      <c r="CK101" s="517">
        <f>SUM(CK60:CK62)-SUM(CJ60:CJ62)</f>
        <v/>
      </c>
    </row>
    <row r="102" customFormat="1" s="22">
      <c r="A102" s="22" t="inlineStr">
        <is>
          <t>Net cash provided by operating activities</t>
        </is>
      </c>
      <c r="B102" s="133" t="n"/>
      <c r="C102" s="133" t="n"/>
      <c r="D102" s="133" t="n"/>
      <c r="E102" s="133" t="n"/>
      <c r="F102" s="133" t="n"/>
      <c r="G102" s="133" t="n"/>
      <c r="H102" s="133" t="n"/>
      <c r="I102" s="133" t="n"/>
      <c r="J102" s="133" t="n"/>
      <c r="K102" s="133" t="n"/>
      <c r="L102" s="133" t="n"/>
      <c r="M102" s="133" t="n"/>
      <c r="N102" s="671">
        <f>IF(N$2=1,Reported!N187,Reported!N187-Reported!M187)</f>
        <v/>
      </c>
      <c r="O102" s="671">
        <f>IF(O$2=1,Reported!O187,Reported!O187-Reported!N187)</f>
        <v/>
      </c>
      <c r="P102" s="671">
        <f>IF(P$2=1,Reported!P187,Reported!P187-Reported!O187)</f>
        <v/>
      </c>
      <c r="Q102" s="671">
        <f>IF(Q$2=1,Reported!Q187,Reported!Q187-Reported!P187)</f>
        <v/>
      </c>
      <c r="R102" s="671">
        <f>IF(R$2=1,Reported!R187,Reported!R187-Reported!Q187)</f>
        <v/>
      </c>
      <c r="S102" s="671">
        <f>IF(S$2=1,Reported!S187,Reported!S187-Reported!R187)</f>
        <v/>
      </c>
      <c r="T102" s="671">
        <f>IF(T$2=1,Reported!T187,Reported!T187-Reported!S187)</f>
        <v/>
      </c>
      <c r="U102" s="671">
        <f>IF(U$2=1,Reported!U187,Reported!U187-Reported!T187)</f>
        <v/>
      </c>
      <c r="V102" s="671">
        <f>IF(V$2=1,Reported!V187,Reported!V187-Reported!U187)</f>
        <v/>
      </c>
      <c r="W102" s="671">
        <f>IF(W$2=1,Reported!W187,Reported!W187-Reported!V187)</f>
        <v/>
      </c>
      <c r="X102" s="671">
        <f>IF(X$2=1,Reported!X187,Reported!X187-Reported!W187)</f>
        <v/>
      </c>
      <c r="Y102" s="671">
        <f>IF(Y$2=1,Reported!Y187,Reported!Y187-Reported!X187)</f>
        <v/>
      </c>
      <c r="Z102" s="671">
        <f>IF(Z$2=1,Reported!Z187,Reported!Z187-Reported!Y187)</f>
        <v/>
      </c>
      <c r="AA102" s="671">
        <f>IF(AA$2=1,Reported!AA187,Reported!AA187-Reported!Z187)</f>
        <v/>
      </c>
      <c r="AB102" s="671">
        <f>IF(AB$2=1,Reported!AB187,Reported!AB187-Reported!AA187)</f>
        <v/>
      </c>
      <c r="AC102" s="671">
        <f>IF(AC$2=1,Reported!AC187,Reported!AC187-Reported!AB187)</f>
        <v/>
      </c>
      <c r="AD102" s="671">
        <f>IF(AD$2=1,Reported!AD187,Reported!AD187-Reported!AC187)</f>
        <v/>
      </c>
      <c r="AE102" s="671">
        <f>IF(AE$2=1,Reported!AE187,Reported!AE187-Reported!AD187)</f>
        <v/>
      </c>
      <c r="AF102" s="671">
        <f>IF(AF$2=1,Reported!AF187,Reported!AF187-Reported!AE187)</f>
        <v/>
      </c>
      <c r="AG102" s="671">
        <f>IF(AG$2=1,Reported!AG187,Reported!AG187-Reported!AF187)</f>
        <v/>
      </c>
      <c r="AH102" s="671">
        <f>IF(AH$2=1,Reported!AH187,Reported!AH187-Reported!AG187)</f>
        <v/>
      </c>
      <c r="AI102" s="671">
        <f>IF(AI$2=1,Reported!AI187,Reported!AI187-Reported!AH187)</f>
        <v/>
      </c>
      <c r="AJ102" s="671">
        <f>IF(AJ$2=1,Reported!AJ187,Reported!AJ187-Reported!AI187)</f>
        <v/>
      </c>
      <c r="AK102" s="671">
        <f>IF(AK$2=1,Reported!AK187,Reported!AK187-Reported!AJ187)</f>
        <v/>
      </c>
      <c r="AL102" s="671">
        <f>IF(AL$2=1,Reported!AL187,Reported!AL187-Reported!AK187)</f>
        <v/>
      </c>
      <c r="AM102" s="671">
        <f>IF(AM$2=1,Reported!AM187,Reported!AM187-Reported!AL187)</f>
        <v/>
      </c>
      <c r="AN102" s="671">
        <f>IF(AN$2=1,Reported!AN187,Reported!AN187-Reported!AM187)</f>
        <v/>
      </c>
      <c r="AO102" s="671">
        <f>IF(AO$2=1,Reported!AO187,Reported!AO187-Reported!AN187)</f>
        <v/>
      </c>
      <c r="AP102" s="671">
        <f>IF(AP$2=1,Reported!AP187,Reported!AP187-Reported!AO187)</f>
        <v/>
      </c>
      <c r="AQ102" s="671">
        <f>IF(AQ$2=1,Reported!AQ187,Reported!AQ187-Reported!AP187)</f>
        <v/>
      </c>
      <c r="AR102" s="671">
        <f>IF(AR$2=1,Reported!AR187,Reported!AR187-Reported!AQ187)</f>
        <v/>
      </c>
      <c r="AS102" s="671">
        <f>IF(AS$2=1,Reported!AS187,Reported!AS187-Reported!AR187)</f>
        <v/>
      </c>
      <c r="AT102" s="671">
        <f>IF(AT$2=1,Reported!AT187,Reported!AT187-Reported!AS187)</f>
        <v/>
      </c>
      <c r="AU102" s="671">
        <f>IF(AU$2=1,Reported!AU187,Reported!AU187-Reported!AT187)</f>
        <v/>
      </c>
      <c r="AV102" s="671">
        <f>IF(AV$2=1,Reported!AV187,Reported!AV187-Reported!AU187)</f>
        <v/>
      </c>
      <c r="AW102" s="671">
        <f>IF(AW$2=1,Reported!AW187,Reported!AW187-Reported!AV187)</f>
        <v/>
      </c>
      <c r="AX102" s="671">
        <f>IF(AX$2=1,Reported!AX187,Reported!AX187-Reported!AW187)</f>
        <v/>
      </c>
      <c r="AY102" s="671">
        <f>IF(AY$2=1,Reported!AY187,Reported!AY187-Reported!AX187)</f>
        <v/>
      </c>
      <c r="AZ102" s="671">
        <f>IF(AZ$2=1,Reported!AZ187,Reported!AZ187-Reported!AY187)</f>
        <v/>
      </c>
      <c r="BA102" s="671">
        <f>IF(BA$2=1,Reported!BA187,Reported!BA187-Reported!AZ187)</f>
        <v/>
      </c>
      <c r="BB102" s="671">
        <f>IF(BB$2=1,Reported!BB187,Reported!BB187-Reported!BA187)</f>
        <v/>
      </c>
      <c r="BC102" s="671">
        <f>IF(BC$2=1,Reported!BC187,Reported!BC187-Reported!BB187)</f>
        <v/>
      </c>
      <c r="BD102" s="671">
        <f>IF(BD$2=1,Reported!BD187,Reported!BD187-Reported!BC187)</f>
        <v/>
      </c>
      <c r="BE102" s="671">
        <f>IF(BE$2=1,Reported!BE187,Reported!BE187-Reported!BD187)</f>
        <v/>
      </c>
      <c r="BF102" s="671">
        <f>IF(BF$2=1,Reported!BF187,Reported!BF187-Reported!BE187)</f>
        <v/>
      </c>
      <c r="BG102" s="671">
        <f>IF(BG$2=1,Reported!BG187,Reported!BG187-Reported!BF187)</f>
        <v/>
      </c>
      <c r="BH102" s="671">
        <f>IF(BH$2=1,Reported!BH187,Reported!BH187-Reported!BG187)</f>
        <v/>
      </c>
      <c r="BI102" s="671">
        <f>IF(BI$2=1,Reported!BI187,Reported!BI187-Reported!BH187)</f>
        <v/>
      </c>
      <c r="BJ102" s="671">
        <f>IF(BJ$2=1,Reported!BJ187,Reported!BJ187-Reported!BI187)</f>
        <v/>
      </c>
      <c r="BK102" s="671">
        <f>IF(BK$2=1,Reported!BK187,Reported!BK187-Reported!BJ187)</f>
        <v/>
      </c>
      <c r="BL102" s="671">
        <f>IF(BL$2=1,Reported!BL187,Reported!BL187-Reported!BK187)</f>
        <v/>
      </c>
      <c r="BM102" s="671">
        <f>IF(BM$2=1,Reported!BM187,Reported!BM187-Reported!BL187)</f>
        <v/>
      </c>
      <c r="BN102" s="671">
        <f>IF(BN$2=1,Reported!BN187,Reported!BN187-Reported!BM187)</f>
        <v/>
      </c>
      <c r="BO102" s="671">
        <f>IF(BO$2=1,Reported!BO187,Reported!BO187-Reported!BN187)</f>
        <v/>
      </c>
      <c r="BP102" s="671">
        <f>IF(BP$2=1,Reported!BP187,Reported!BP187-Reported!BO187)</f>
        <v/>
      </c>
      <c r="BQ102" s="671">
        <f>IF(BQ$2=1,Reported!BQ187,Reported!BQ187-Reported!BP187)</f>
        <v/>
      </c>
      <c r="BR102" s="671">
        <f>IF(BR$2=1,Reported!BR187,Reported!BR187-Reported!BQ187)</f>
        <v/>
      </c>
      <c r="BS102" s="519">
        <f>SUM(BS91:BS101)</f>
        <v/>
      </c>
      <c r="BT102" s="519">
        <f>SUM(BT91:BT101)</f>
        <v/>
      </c>
      <c r="BU102" s="519">
        <f>SUM(BU91:BU101)</f>
        <v/>
      </c>
      <c r="BV102" s="519">
        <f>SUM(BV91:BV101)</f>
        <v/>
      </c>
      <c r="BW102" s="519">
        <f>SUM(BW91:BW101)</f>
        <v/>
      </c>
      <c r="BX102" s="519">
        <f>SUM(BX91:BX101)</f>
        <v/>
      </c>
      <c r="BY102" s="519">
        <f>SUM(BY91:BY101)</f>
        <v/>
      </c>
      <c r="BZ102" s="519">
        <f>SUM(BZ91:BZ101)</f>
        <v/>
      </c>
      <c r="CA102" s="519">
        <f>SUM(CA91:CA101)</f>
        <v/>
      </c>
      <c r="CB102" s="519">
        <f>SUM(CB91:CB101)</f>
        <v/>
      </c>
      <c r="CC102" s="519">
        <f>SUM(CC91:CC101)</f>
        <v/>
      </c>
      <c r="CD102" s="519">
        <f>SUM(CD91:CD101)</f>
        <v/>
      </c>
      <c r="CE102" s="519">
        <f>SUM(CE91:CE101)</f>
        <v/>
      </c>
      <c r="CF102" s="519">
        <f>SUM(CF91:CF101)</f>
        <v/>
      </c>
      <c r="CG102" s="519">
        <f>SUM(CG91:CG101)</f>
        <v/>
      </c>
      <c r="CH102" s="519">
        <f>SUM(CH91:CH101)</f>
        <v/>
      </c>
      <c r="CI102" s="519">
        <f>SUM(CI91:CI101)</f>
        <v/>
      </c>
      <c r="CJ102" s="519">
        <f>SUM(CJ91:CJ101)</f>
        <v/>
      </c>
      <c r="CK102" s="519">
        <f>SUM(CK91:CK101)</f>
        <v/>
      </c>
    </row>
    <row r="103">
      <c r="B103" s="145" t="n"/>
      <c r="C103" s="145" t="n"/>
      <c r="D103" s="145" t="n"/>
      <c r="E103" s="145" t="n"/>
      <c r="F103" s="145" t="n"/>
      <c r="G103" s="145" t="n"/>
      <c r="H103" s="145" t="n"/>
      <c r="I103" s="145" t="n"/>
      <c r="J103" s="145" t="n"/>
      <c r="K103" s="145" t="n"/>
      <c r="L103" s="145" t="n"/>
      <c r="M103" s="145" t="n"/>
      <c r="N103" s="509" t="n"/>
      <c r="O103" s="509" t="n"/>
      <c r="P103" s="509" t="n"/>
      <c r="Q103" s="509" t="n"/>
      <c r="R103" s="509" t="n"/>
      <c r="S103" s="509" t="n"/>
      <c r="T103" s="509" t="n"/>
      <c r="U103" s="509" t="n"/>
      <c r="V103" s="509" t="n"/>
      <c r="W103" s="509" t="n"/>
      <c r="X103" s="509" t="n"/>
      <c r="Y103" s="509" t="n"/>
      <c r="Z103" s="509" t="n"/>
      <c r="AA103" s="509" t="n"/>
      <c r="AB103" s="509" t="n"/>
      <c r="AC103" s="509" t="n"/>
      <c r="AD103" s="509" t="n"/>
      <c r="AE103" s="509" t="n"/>
      <c r="AF103" s="509" t="n"/>
      <c r="AG103" s="509" t="n"/>
      <c r="AH103" s="509" t="n"/>
      <c r="AI103" s="509" t="n"/>
      <c r="AJ103" s="509" t="n"/>
      <c r="AK103" s="509" t="n"/>
      <c r="AL103" s="509" t="n"/>
      <c r="AM103" s="509" t="n"/>
      <c r="AN103" s="509" t="n"/>
      <c r="AO103" s="509" t="n"/>
      <c r="AP103" s="509" t="n"/>
      <c r="AQ103" s="509" t="n"/>
      <c r="AR103" s="509" t="n"/>
      <c r="AS103" s="509" t="n"/>
      <c r="AT103" s="509" t="n"/>
      <c r="AU103" s="509" t="n"/>
      <c r="AV103" s="509" t="n"/>
      <c r="AW103" s="509" t="n"/>
      <c r="AX103" s="509" t="n"/>
      <c r="AY103" s="509" t="n"/>
      <c r="AZ103" s="509" t="n"/>
      <c r="BA103" s="509" t="n"/>
      <c r="BB103" s="509" t="n"/>
      <c r="BC103" s="509" t="n"/>
      <c r="BD103" s="509" t="n"/>
      <c r="BE103" s="509" t="n"/>
      <c r="BF103" s="509" t="n"/>
      <c r="BG103" s="509" t="n"/>
      <c r="BH103" s="509" t="n"/>
      <c r="BI103" s="509" t="n"/>
      <c r="BJ103" s="509" t="n"/>
      <c r="BK103" s="509" t="n"/>
      <c r="BL103" s="509" t="n"/>
      <c r="BM103" s="509" t="n"/>
      <c r="BN103" s="509" t="n"/>
      <c r="BO103" s="509" t="n"/>
      <c r="BP103" s="509" t="n"/>
      <c r="BQ103" s="509" t="n"/>
      <c r="BR103" s="509" t="n"/>
    </row>
    <row r="104">
      <c r="A104" s="22" t="inlineStr">
        <is>
          <t>CASH FLOWS FROM INVESTING ACTIVITIES:</t>
        </is>
      </c>
      <c r="B104" s="145" t="n"/>
      <c r="C104" s="145" t="n"/>
      <c r="D104" s="145" t="n"/>
      <c r="E104" s="145" t="n"/>
      <c r="F104" s="145" t="n"/>
      <c r="G104" s="145" t="n"/>
      <c r="H104" s="145" t="n"/>
      <c r="I104" s="145" t="n"/>
      <c r="J104" s="145" t="n"/>
      <c r="K104" s="145" t="n"/>
      <c r="L104" s="145" t="n"/>
      <c r="M104" s="145" t="n"/>
      <c r="N104" s="509" t="n"/>
      <c r="O104" s="509" t="n"/>
      <c r="P104" s="509" t="n"/>
      <c r="Q104" s="509" t="n"/>
      <c r="R104" s="509" t="n"/>
      <c r="S104" s="509" t="n"/>
      <c r="T104" s="509" t="n"/>
      <c r="U104" s="509" t="n"/>
      <c r="V104" s="509" t="n"/>
      <c r="W104" s="509" t="n"/>
      <c r="X104" s="509" t="n"/>
      <c r="Y104" s="509" t="n"/>
      <c r="Z104" s="509" t="n"/>
      <c r="AA104" s="509" t="n"/>
      <c r="AB104" s="509" t="n"/>
      <c r="AC104" s="509" t="n"/>
      <c r="AD104" s="509" t="n"/>
      <c r="AE104" s="509" t="n"/>
      <c r="AF104" s="509" t="n"/>
      <c r="AG104" s="509" t="n"/>
      <c r="AH104" s="509" t="n"/>
      <c r="AI104" s="509" t="n"/>
      <c r="AJ104" s="509" t="n"/>
      <c r="AK104" s="509" t="n"/>
      <c r="AL104" s="509" t="n"/>
      <c r="AM104" s="509" t="n"/>
      <c r="AN104" s="509" t="n"/>
      <c r="AO104" s="509" t="n"/>
      <c r="AP104" s="509" t="n"/>
      <c r="AQ104" s="509" t="n"/>
      <c r="AR104" s="509" t="n"/>
      <c r="AS104" s="509" t="n"/>
      <c r="AT104" s="509" t="n"/>
      <c r="AU104" s="509" t="n"/>
      <c r="AV104" s="509" t="n"/>
      <c r="AW104" s="509" t="n"/>
      <c r="AX104" s="509" t="n"/>
      <c r="AY104" s="509" t="n"/>
      <c r="AZ104" s="509" t="n"/>
      <c r="BA104" s="509" t="n"/>
      <c r="BB104" s="509" t="n"/>
      <c r="BC104" s="509" t="n"/>
      <c r="BD104" s="509" t="n"/>
      <c r="BE104" s="509" t="n"/>
      <c r="BF104" s="509" t="n"/>
      <c r="BG104" s="509" t="n"/>
      <c r="BH104" s="509" t="n"/>
      <c r="BI104" s="509" t="n"/>
      <c r="BJ104" s="509" t="n"/>
      <c r="BK104" s="509" t="n"/>
      <c r="BL104" s="509" t="n"/>
      <c r="BM104" s="509" t="n"/>
      <c r="BN104" s="509" t="n"/>
      <c r="BO104" s="509" t="n"/>
      <c r="BP104" s="509" t="n"/>
      <c r="BQ104" s="509" t="n"/>
      <c r="BR104" s="509" t="n"/>
    </row>
    <row r="105">
      <c r="A105" s="74" t="inlineStr">
        <is>
          <t>Proceeds from (Purchases of) PP&amp;E and intangible assets, net</t>
        </is>
      </c>
      <c r="B105" s="145" t="n"/>
      <c r="C105" s="145" t="n"/>
      <c r="D105" s="145" t="n"/>
      <c r="E105" s="145" t="n"/>
      <c r="F105" s="145" t="n"/>
      <c r="G105" s="145" t="n"/>
      <c r="H105" s="145" t="n"/>
      <c r="I105" s="145" t="n"/>
      <c r="J105" s="145" t="n"/>
      <c r="K105" s="145" t="n"/>
      <c r="L105" s="145" t="n"/>
      <c r="M105" s="145" t="n"/>
      <c r="N105" s="143">
        <f>IF(N$2=1,SUM(Reported!N190:N192),SUM(Reported!N190:N192)-SUM(Reported!M190:M192))</f>
        <v/>
      </c>
      <c r="O105" s="143">
        <f>IF(O$2=1,SUM(Reported!O190:O192),SUM(Reported!O190:O192)-SUM(Reported!N190:N192))</f>
        <v/>
      </c>
      <c r="P105" s="143">
        <f>IF(P$2=1,SUM(Reported!P190:P192),SUM(Reported!P190:P192)-SUM(Reported!O190:O192))</f>
        <v/>
      </c>
      <c r="Q105" s="143">
        <f>IF(Q$2=1,SUM(Reported!Q190:Q192),SUM(Reported!Q190:Q192)-SUM(Reported!P190:P192))</f>
        <v/>
      </c>
      <c r="R105" s="143">
        <f>IF(R$2=1,SUM(Reported!R190:R192),SUM(Reported!R190:R192)-SUM(Reported!Q190:Q192))</f>
        <v/>
      </c>
      <c r="S105" s="143">
        <f>IF(S$2=1,SUM(Reported!S190:S192),SUM(Reported!S190:S192)-SUM(Reported!R190:R192))</f>
        <v/>
      </c>
      <c r="T105" s="143">
        <f>IF(T$2=1,SUM(Reported!T190:T192),SUM(Reported!T190:T192)-SUM(Reported!S190:S192))</f>
        <v/>
      </c>
      <c r="U105" s="143">
        <f>IF(U$2=1,SUM(Reported!U190:U192),SUM(Reported!U190:U192)-SUM(Reported!T190:T192))</f>
        <v/>
      </c>
      <c r="V105" s="143">
        <f>IF(V$2=1,SUM(Reported!V190:V192),SUM(Reported!V190:V192)-SUM(Reported!U190:U192))</f>
        <v/>
      </c>
      <c r="W105" s="143">
        <f>IF(W$2=1,SUM(Reported!W190:W192),SUM(Reported!W190:W192)-SUM(Reported!V190:V192))</f>
        <v/>
      </c>
      <c r="X105" s="143">
        <f>IF(X$2=1,SUM(Reported!X190:X192),SUM(Reported!X190:X192)-SUM(Reported!W190:W192))</f>
        <v/>
      </c>
      <c r="Y105" s="143">
        <f>IF(Y$2=1,SUM(Reported!Y190:Y192),SUM(Reported!Y190:Y192)-SUM(Reported!X190:X192))</f>
        <v/>
      </c>
      <c r="Z105" s="143">
        <f>IF(Z$2=1,SUM(Reported!Z190:Z192),SUM(Reported!Z190:Z192)-SUM(Reported!Y190:Y192))</f>
        <v/>
      </c>
      <c r="AA105" s="143">
        <f>IF(AA$2=1,SUM(Reported!AA190:AA192),SUM(Reported!AA190:AA192)-SUM(Reported!Z190:Z192))</f>
        <v/>
      </c>
      <c r="AB105" s="143">
        <f>IF(AB$2=1,SUM(Reported!AB190:AB192),SUM(Reported!AB190:AB192)-SUM(Reported!AA190:AA192))</f>
        <v/>
      </c>
      <c r="AC105" s="143">
        <f>IF(AC$2=1,SUM(Reported!AC190:AC192),SUM(Reported!AC190:AC192)-SUM(Reported!AB190:AB192))</f>
        <v/>
      </c>
      <c r="AD105" s="143">
        <f>IF(AD$2=1,SUM(Reported!AD190:AD192),SUM(Reported!AD190:AD192)-SUM(Reported!AC190:AC192))</f>
        <v/>
      </c>
      <c r="AE105" s="143">
        <f>IF(AE$2=1,SUM(Reported!AE190:AE192),SUM(Reported!AE190:AE192)-SUM(Reported!AD190:AD192))</f>
        <v/>
      </c>
      <c r="AF105" s="143">
        <f>IF(AF$2=1,SUM(Reported!AF190:AF192),SUM(Reported!AF190:AF192)-SUM(Reported!AE190:AE192))</f>
        <v/>
      </c>
      <c r="AG105" s="143">
        <f>IF(AG$2=1,SUM(Reported!AG190:AG192),SUM(Reported!AG190:AG192)-SUM(Reported!AF190:AF192))</f>
        <v/>
      </c>
      <c r="AH105" s="143">
        <f>IF(AH$2=1,SUM(Reported!AH190:AH192),SUM(Reported!AH190:AH192)-SUM(Reported!AG190:AG192))</f>
        <v/>
      </c>
      <c r="AI105" s="143">
        <f>IF(AI$2=1,SUM(Reported!AI190:AI192),SUM(Reported!AI190:AI192)-SUM(Reported!AH190:AH192))</f>
        <v/>
      </c>
      <c r="AJ105" s="143">
        <f>IF(AJ$2=1,SUM(Reported!AJ190:AJ192),SUM(Reported!AJ190:AJ192)-SUM(Reported!AI190:AI192))</f>
        <v/>
      </c>
      <c r="AK105" s="143">
        <f>IF(AK$2=1,SUM(Reported!AK190:AK192),SUM(Reported!AK190:AK192)-SUM(Reported!AJ190:AJ192))</f>
        <v/>
      </c>
      <c r="AL105" s="143">
        <f>IF(AL$2=1,SUM(Reported!AL190:AL192),SUM(Reported!AL190:AL192)-SUM(Reported!AK190:AK192))</f>
        <v/>
      </c>
      <c r="AM105" s="143">
        <f>IF(AM$2=1,SUM(Reported!AM190:AM192),SUM(Reported!AM190:AM192)-SUM(Reported!AL190:AL192))</f>
        <v/>
      </c>
      <c r="AN105" s="143">
        <f>IF(AN$2=1,SUM(Reported!AN190:AN192),SUM(Reported!AN190:AN192)-SUM(Reported!AM190:AM192))</f>
        <v/>
      </c>
      <c r="AO105" s="143">
        <f>IF(AO$2=1,SUM(Reported!AO190:AO192),SUM(Reported!AO190:AO192)-SUM(Reported!AN190:AN192))</f>
        <v/>
      </c>
      <c r="AP105" s="143">
        <f>IF(AP$2=1,SUM(Reported!AP190:AP192),SUM(Reported!AP190:AP192)-SUM(Reported!AO190:AO192))</f>
        <v/>
      </c>
      <c r="AQ105" s="143">
        <f>IF(AQ$2=1,SUM(Reported!AQ190:AQ192),SUM(Reported!AQ190:AQ192)-SUM(Reported!AP190:AP192))</f>
        <v/>
      </c>
      <c r="AR105" s="143">
        <f>IF(AR$2=1,SUM(Reported!AR190:AR192),SUM(Reported!AR190:AR192)-SUM(Reported!AQ190:AQ192))</f>
        <v/>
      </c>
      <c r="AS105" s="143">
        <f>IF(AS$2=1,SUM(Reported!AS190:AS192),SUM(Reported!AS190:AS192)-SUM(Reported!AR190:AR192))</f>
        <v/>
      </c>
      <c r="AT105" s="143">
        <f>IF(AT$2=1,SUM(Reported!AT190:AT192),SUM(Reported!AT190:AT192)-SUM(Reported!AS190:AS192))</f>
        <v/>
      </c>
      <c r="AU105" s="143">
        <f>IF(AU$2=1,SUM(Reported!AU190:AU192),SUM(Reported!AU190:AU192)-SUM(Reported!AT190:AT192))</f>
        <v/>
      </c>
      <c r="AV105" s="143">
        <f>IF(AV$2=1,SUM(Reported!AV190:AV192),SUM(Reported!AV190:AV192)-SUM(Reported!AU190:AU192))</f>
        <v/>
      </c>
      <c r="AW105" s="143">
        <f>IF(AW$2=1,SUM(Reported!AW190:AW192),SUM(Reported!AW190:AW192)-SUM(Reported!AV190:AV192))</f>
        <v/>
      </c>
      <c r="AX105" s="143">
        <f>IF(AX$2=1,SUM(Reported!AX190:AX192),SUM(Reported!AX190:AX192)-SUM(Reported!AW190:AW192))</f>
        <v/>
      </c>
      <c r="AY105" s="143">
        <f>IF(AY$2=1,SUM(Reported!AY190:AY192),SUM(Reported!AY190:AY192)-SUM(Reported!AX190:AX192))</f>
        <v/>
      </c>
      <c r="AZ105" s="143">
        <f>IF(AZ$2=1,SUM(Reported!AZ190:AZ192),SUM(Reported!AZ190:AZ192)-SUM(Reported!AY190:AY192))</f>
        <v/>
      </c>
      <c r="BA105" s="143">
        <f>IF(BA$2=1,SUM(Reported!BA190:BA192),SUM(Reported!BA190:BA192)-SUM(Reported!AZ190:AZ192))</f>
        <v/>
      </c>
      <c r="BB105" s="143">
        <f>IF(BB$2=1,SUM(Reported!BB190:BB192),SUM(Reported!BB190:BB192)-SUM(Reported!BA190:BA192))</f>
        <v/>
      </c>
      <c r="BC105" s="143">
        <f>IF(BC$2=1,SUM(Reported!BC190:BC192),SUM(Reported!BC190:BC192)-SUM(Reported!BB190:BB192))</f>
        <v/>
      </c>
      <c r="BD105" s="143">
        <f>IF(BD$2=1,SUM(Reported!BD190:BD192),SUM(Reported!BD190:BD192)-SUM(Reported!BC190:BC192))</f>
        <v/>
      </c>
      <c r="BE105" s="143">
        <f>IF(BE$2=1,SUM(Reported!BE190:BE192),SUM(Reported!BE190:BE192)-SUM(Reported!BD190:BD192))</f>
        <v/>
      </c>
      <c r="BF105" s="143">
        <f>IF(BF$2=1,SUM(Reported!BF190:BF192),SUM(Reported!BF190:BF192)-SUM(Reported!BE190:BE192))</f>
        <v/>
      </c>
      <c r="BG105" s="143">
        <f>IF(BG$2=1,SUM(Reported!BG190:BG192),SUM(Reported!BG190:BG192)-SUM(Reported!BF190:BF192))</f>
        <v/>
      </c>
      <c r="BH105" s="143">
        <f>IF(BH$2=1,SUM(Reported!BH190:BH192),SUM(Reported!BH190:BH192)-SUM(Reported!BG190:BG192))</f>
        <v/>
      </c>
      <c r="BI105" s="143">
        <f>IF(BI$2=1,SUM(Reported!BI190:BI192),SUM(Reported!BI190:BI192)-SUM(Reported!BH190:BH192))</f>
        <v/>
      </c>
      <c r="BJ105" s="143">
        <f>IF(BJ$2=1,SUM(Reported!BJ190:BJ192),SUM(Reported!BJ190:BJ192)-SUM(Reported!BI190:BI192))</f>
        <v/>
      </c>
      <c r="BK105" s="143">
        <f>IF(BK$2=1,SUM(Reported!BK190:BK192),SUM(Reported!BK190:BK192)-SUM(Reported!BJ190:BJ192))</f>
        <v/>
      </c>
      <c r="BL105" s="143">
        <f>IF(BL$2=1,SUM(Reported!BL190:BL192),SUM(Reported!BL190:BL192)-SUM(Reported!BK190:BK192))</f>
        <v/>
      </c>
      <c r="BM105" s="143">
        <f>IF(BM$2=1,SUM(Reported!BM190:BM192),SUM(Reported!BM190:BM192)-SUM(Reported!BL190:BL192))</f>
        <v/>
      </c>
      <c r="BN105" s="143">
        <f>IF(BN$2=1,SUM(Reported!BN190:BN192),SUM(Reported!BN190:BN192)-SUM(Reported!BM190:BM192))</f>
        <v/>
      </c>
      <c r="BO105" s="143">
        <f>IF(BO$2=1,SUM(Reported!BO190:BO192),SUM(Reported!BO190:BO192)-SUM(Reported!BN190:BN192))</f>
        <v/>
      </c>
      <c r="BP105" s="143">
        <f>IF(BP$2=1,SUM(Reported!BP190:BP192),SUM(Reported!BP190:BP192)-SUM(Reported!BO190:BO192))</f>
        <v/>
      </c>
      <c r="BQ105" s="143">
        <f>IF(BQ$2=1,SUM(Reported!BQ190:BQ192),SUM(Reported!BQ190:BQ192)-SUM(Reported!BP190:BP192))</f>
        <v/>
      </c>
      <c r="BR105" s="143">
        <f>IF(BR$2=1,SUM(Reported!BR190:BR192),SUM(Reported!BR190:BR192)-SUM(Reported!BQ190:BQ192))</f>
        <v/>
      </c>
      <c r="BS105" s="517">
        <f>-Assumption!BS187</f>
        <v/>
      </c>
      <c r="BT105" s="517">
        <f>-Assumption!BT187</f>
        <v/>
      </c>
      <c r="BU105" s="517">
        <f>-Assumption!BU187</f>
        <v/>
      </c>
      <c r="BV105" s="517">
        <f>-Assumption!BV187</f>
        <v/>
      </c>
      <c r="BW105" s="517">
        <f>-Assumption!BW187</f>
        <v/>
      </c>
      <c r="BX105" s="517">
        <f>-Assumption!BX187</f>
        <v/>
      </c>
      <c r="BY105" s="517">
        <f>-Assumption!BY187</f>
        <v/>
      </c>
      <c r="BZ105" s="517">
        <f>-Assumption!BZ187</f>
        <v/>
      </c>
      <c r="CA105" s="517">
        <f>-Assumption!CA187</f>
        <v/>
      </c>
      <c r="CB105" s="517">
        <f>-Assumption!CB187</f>
        <v/>
      </c>
      <c r="CC105" s="517">
        <f>-Assumption!CC187</f>
        <v/>
      </c>
      <c r="CD105" s="517">
        <f>-Assumption!CD187</f>
        <v/>
      </c>
      <c r="CE105" s="517">
        <f>-Assumption!CE187</f>
        <v/>
      </c>
      <c r="CF105" s="517">
        <f>-Assumption!CF187</f>
        <v/>
      </c>
      <c r="CG105" s="517">
        <f>-Assumption!CG187</f>
        <v/>
      </c>
      <c r="CH105" s="517">
        <f>-Assumption!CH187</f>
        <v/>
      </c>
      <c r="CI105" s="517">
        <f>-Assumption!CI187</f>
        <v/>
      </c>
      <c r="CJ105" s="517">
        <f>-Assumption!CJ187</f>
        <v/>
      </c>
      <c r="CK105" s="517">
        <f>-Assumption!CK187</f>
        <v/>
      </c>
    </row>
    <row r="106">
      <c r="A106" s="74" t="inlineStr">
        <is>
          <t>Short-term investment, M&amp;A, and Others</t>
        </is>
      </c>
      <c r="B106" s="145" t="n"/>
      <c r="C106" s="145" t="n"/>
      <c r="D106" s="145" t="n"/>
      <c r="E106" s="145" t="n"/>
      <c r="F106" s="145" t="n"/>
      <c r="G106" s="145" t="n"/>
      <c r="H106" s="145" t="n"/>
      <c r="I106" s="145" t="n"/>
      <c r="J106" s="145" t="n"/>
      <c r="K106" s="145" t="n"/>
      <c r="L106" s="145" t="n"/>
      <c r="M106" s="145" t="n"/>
      <c r="N106" s="143">
        <f>IF(N$2=1,SUM(Reported!N193:N196),SUM(Reported!N193:N196)-SUM(Reported!M193:M196))</f>
        <v/>
      </c>
      <c r="O106" s="143">
        <f>IF(O$2=1,SUM(Reported!O193:O196),SUM(Reported!O193:O196)-SUM(Reported!N193:N196))</f>
        <v/>
      </c>
      <c r="P106" s="143">
        <f>IF(P$2=1,SUM(Reported!P193:P196),SUM(Reported!P193:P196)-SUM(Reported!O193:O196))</f>
        <v/>
      </c>
      <c r="Q106" s="143">
        <f>IF(Q$2=1,SUM(Reported!Q193:Q196),SUM(Reported!Q193:Q196)-SUM(Reported!P193:P196))</f>
        <v/>
      </c>
      <c r="R106" s="143">
        <f>IF(R$2=1,SUM(Reported!R193:R196),SUM(Reported!R193:R196)-SUM(Reported!Q193:Q196))</f>
        <v/>
      </c>
      <c r="S106" s="143">
        <f>IF(S$2=1,SUM(Reported!S193:S196),SUM(Reported!S193:S196)-SUM(Reported!R193:R196))</f>
        <v/>
      </c>
      <c r="T106" s="143">
        <f>IF(T$2=1,SUM(Reported!T193:T196),SUM(Reported!T193:T196)-SUM(Reported!S193:S196))</f>
        <v/>
      </c>
      <c r="U106" s="143">
        <f>IF(U$2=1,SUM(Reported!U193:U196),SUM(Reported!U193:U196)-SUM(Reported!T193:T196))</f>
        <v/>
      </c>
      <c r="V106" s="143">
        <f>IF(V$2=1,SUM(Reported!V193:V196),SUM(Reported!V193:V196)-SUM(Reported!U193:U196))</f>
        <v/>
      </c>
      <c r="W106" s="143">
        <f>IF(W$2=1,SUM(Reported!W193:W196),SUM(Reported!W193:W196)-SUM(Reported!V193:V196))</f>
        <v/>
      </c>
      <c r="X106" s="143">
        <f>IF(X$2=1,SUM(Reported!X193:X196),SUM(Reported!X193:X196)-SUM(Reported!W193:W196))</f>
        <v/>
      </c>
      <c r="Y106" s="143">
        <f>IF(Y$2=1,SUM(Reported!Y193:Y196),SUM(Reported!Y193:Y196)-SUM(Reported!X193:X196))</f>
        <v/>
      </c>
      <c r="Z106" s="143">
        <f>IF(Z$2=1,SUM(Reported!Z193:Z196),SUM(Reported!Z193:Z196)-SUM(Reported!Y193:Y196))</f>
        <v/>
      </c>
      <c r="AA106" s="143">
        <f>IF(AA$2=1,SUM(Reported!AA193:AA196),SUM(Reported!AA193:AA196)-SUM(Reported!Z193:Z196))</f>
        <v/>
      </c>
      <c r="AB106" s="143">
        <f>IF(AB$2=1,SUM(Reported!AB193:AB196),SUM(Reported!AB193:AB196)-SUM(Reported!AA193:AA196))</f>
        <v/>
      </c>
      <c r="AC106" s="143">
        <f>IF(AC$2=1,SUM(Reported!AC193:AC196),SUM(Reported!AC193:AC196)-SUM(Reported!AB193:AB196))</f>
        <v/>
      </c>
      <c r="AD106" s="143">
        <f>IF(AD$2=1,SUM(Reported!AD193:AD196),SUM(Reported!AD193:AD196)-SUM(Reported!AC193:AC196))</f>
        <v/>
      </c>
      <c r="AE106" s="143">
        <f>IF(AE$2=1,SUM(Reported!AE193:AE196),SUM(Reported!AE193:AE196)-SUM(Reported!AD193:AD196))</f>
        <v/>
      </c>
      <c r="AF106" s="143">
        <f>IF(AF$2=1,SUM(Reported!AF193:AF196),SUM(Reported!AF193:AF196)-SUM(Reported!AE193:AE196))</f>
        <v/>
      </c>
      <c r="AG106" s="143">
        <f>IF(AG$2=1,SUM(Reported!AG193:AG196),SUM(Reported!AG193:AG196)-SUM(Reported!AF193:AF196))</f>
        <v/>
      </c>
      <c r="AH106" s="143">
        <f>IF(AH$2=1,SUM(Reported!AH193:AH196),SUM(Reported!AH193:AH196)-SUM(Reported!AG193:AG196))</f>
        <v/>
      </c>
      <c r="AI106" s="143">
        <f>IF(AI$2=1,SUM(Reported!AI193:AI196),SUM(Reported!AI193:AI196)-SUM(Reported!AH193:AH196))</f>
        <v/>
      </c>
      <c r="AJ106" s="143">
        <f>IF(AJ$2=1,SUM(Reported!AJ193:AJ196),SUM(Reported!AJ193:AJ196)-SUM(Reported!AI193:AI196))</f>
        <v/>
      </c>
      <c r="AK106" s="143">
        <f>IF(AK$2=1,SUM(Reported!AK193:AK196),SUM(Reported!AK193:AK196)-SUM(Reported!AJ193:AJ196))</f>
        <v/>
      </c>
      <c r="AL106" s="143">
        <f>IF(AL$2=1,SUM(Reported!AL193:AL196),SUM(Reported!AL193:AL196)-SUM(Reported!AK193:AK196))</f>
        <v/>
      </c>
      <c r="AM106" s="143">
        <f>IF(AM$2=1,SUM(Reported!AM193:AM196),SUM(Reported!AM193:AM196)-SUM(Reported!AL193:AL196))</f>
        <v/>
      </c>
      <c r="AN106" s="143">
        <f>IF(AN$2=1,SUM(Reported!AN193:AN196),SUM(Reported!AN193:AN196)-SUM(Reported!AM193:AM196))</f>
        <v/>
      </c>
      <c r="AO106" s="143">
        <f>IF(AO$2=1,SUM(Reported!AO193:AO196),SUM(Reported!AO193:AO196)-SUM(Reported!AN193:AN196))</f>
        <v/>
      </c>
      <c r="AP106" s="143">
        <f>IF(AP$2=1,SUM(Reported!AP193:AP196),SUM(Reported!AP193:AP196)-SUM(Reported!AO193:AO196))</f>
        <v/>
      </c>
      <c r="AQ106" s="143">
        <f>IF(AQ$2=1,SUM(Reported!AQ193:AQ196),SUM(Reported!AQ193:AQ196)-SUM(Reported!AP193:AP196))</f>
        <v/>
      </c>
      <c r="AR106" s="143">
        <f>IF(AR$2=1,SUM(Reported!AR193:AR196),SUM(Reported!AR193:AR196)-SUM(Reported!AQ193:AQ196))</f>
        <v/>
      </c>
      <c r="AS106" s="143">
        <f>IF(AS$2=1,SUM(Reported!AS193:AS196),SUM(Reported!AS193:AS196)-SUM(Reported!AR193:AR196))</f>
        <v/>
      </c>
      <c r="AT106" s="143">
        <f>IF(AT$2=1,SUM(Reported!AT193:AT196),SUM(Reported!AT193:AT196)-SUM(Reported!AS193:AS196))</f>
        <v/>
      </c>
      <c r="AU106" s="143">
        <f>IF(AU$2=1,SUM(Reported!AU193:AU196),SUM(Reported!AU193:AU196)-SUM(Reported!AT193:AT196))</f>
        <v/>
      </c>
      <c r="AV106" s="143">
        <f>IF(AV$2=1,SUM(Reported!AV193:AV196),SUM(Reported!AV193:AV196)-SUM(Reported!AU193:AU196))</f>
        <v/>
      </c>
      <c r="AW106" s="143">
        <f>IF(AW$2=1,SUM(Reported!AW193:AW196),SUM(Reported!AW193:AW196)-SUM(Reported!AV193:AV196))</f>
        <v/>
      </c>
      <c r="AX106" s="143">
        <f>IF(AX$2=1,SUM(Reported!AX193:AX196),SUM(Reported!AX193:AX196)-SUM(Reported!AW193:AW196))</f>
        <v/>
      </c>
      <c r="AY106" s="143">
        <f>IF(AY$2=1,SUM(Reported!AY193:AY196),SUM(Reported!AY193:AY196)-SUM(Reported!AX193:AX196))</f>
        <v/>
      </c>
      <c r="AZ106" s="143">
        <f>IF(AZ$2=1,SUM(Reported!AZ193:AZ196),SUM(Reported!AZ193:AZ196)-SUM(Reported!AY193:AY196))</f>
        <v/>
      </c>
      <c r="BA106" s="143">
        <f>IF(BA$2=1,SUM(Reported!BA193:BA196),SUM(Reported!BA193:BA196)-SUM(Reported!AZ193:AZ196))</f>
        <v/>
      </c>
      <c r="BB106" s="143">
        <f>IF(BB$2=1,SUM(Reported!BB193:BB196),SUM(Reported!BB193:BB196)-SUM(Reported!BA193:BA196))</f>
        <v/>
      </c>
      <c r="BC106" s="143">
        <f>IF(BC$2=1,SUM(Reported!BC193:BC196),SUM(Reported!BC193:BC196)-SUM(Reported!BB193:BB196))</f>
        <v/>
      </c>
      <c r="BD106" s="143">
        <f>IF(BD$2=1,SUM(Reported!BD193:BD196),SUM(Reported!BD193:BD196)-SUM(Reported!BC193:BC196))</f>
        <v/>
      </c>
      <c r="BE106" s="143">
        <f>IF(BE$2=1,SUM(Reported!BE193:BE196),SUM(Reported!BE193:BE196)-SUM(Reported!BD193:BD196))</f>
        <v/>
      </c>
      <c r="BF106" s="143">
        <f>IF(BF$2=1,SUM(Reported!BF193:BF196),SUM(Reported!BF193:BF196)-SUM(Reported!BE193:BE196))</f>
        <v/>
      </c>
      <c r="BG106" s="143">
        <f>IF(BG$2=1,SUM(Reported!BG193:BG196),SUM(Reported!BG193:BG196)-SUM(Reported!BF193:BF196))</f>
        <v/>
      </c>
      <c r="BH106" s="143">
        <f>IF(BH$2=1,SUM(Reported!BH193:BH196),SUM(Reported!BH193:BH196)-SUM(Reported!BG193:BG196))</f>
        <v/>
      </c>
      <c r="BI106" s="143">
        <f>IF(BI$2=1,SUM(Reported!BI193:BI196),SUM(Reported!BI193:BI196)-SUM(Reported!BH193:BH196))</f>
        <v/>
      </c>
      <c r="BJ106" s="143">
        <f>IF(BJ$2=1,SUM(Reported!BJ193:BJ196),SUM(Reported!BJ193:BJ196)-SUM(Reported!BI193:BI196))</f>
        <v/>
      </c>
      <c r="BK106" s="143">
        <f>IF(BK$2=1,SUM(Reported!BK193:BK196),SUM(Reported!BK193:BK196)-SUM(Reported!BJ193:BJ196))</f>
        <v/>
      </c>
      <c r="BL106" s="143">
        <f>IF(BL$2=1,SUM(Reported!BL193:BL196),SUM(Reported!BL193:BL196)-SUM(Reported!BK193:BK196))</f>
        <v/>
      </c>
      <c r="BM106" s="143">
        <f>IF(BM$2=1,SUM(Reported!BM193:BM196),SUM(Reported!BM193:BM196)-SUM(Reported!BL193:BL196))</f>
        <v/>
      </c>
      <c r="BN106" s="143">
        <f>IF(BN$2=1,SUM(Reported!BN193:BN196),SUM(Reported!BN193:BN196)-SUM(Reported!BM193:BM196))</f>
        <v/>
      </c>
      <c r="BO106" s="143">
        <f>IF(BO$2=1,SUM(Reported!BO193:BO196),SUM(Reported!BO193:BO196)-SUM(Reported!BN193:BN196))</f>
        <v/>
      </c>
      <c r="BP106" s="143">
        <f>IF(BP$2=1,SUM(Reported!BP193:BP196),SUM(Reported!BP193:BP196)-SUM(Reported!BO193:BO196))</f>
        <v/>
      </c>
      <c r="BQ106" s="143">
        <f>IF(BQ$2=1,SUM(Reported!BQ193:BQ196),SUM(Reported!BQ193:BQ196)-SUM(Reported!BP193:BP196))</f>
        <v/>
      </c>
      <c r="BR106" s="143">
        <f>IF(BR$2=1,SUM(Reported!BR193:BR196),SUM(Reported!BR193:BR196)-SUM(Reported!BQ193:BQ196))</f>
        <v/>
      </c>
      <c r="BS106" s="517">
        <f>SUM(BR45,BR52:BR53,BR55)-SUM(BS45,BS52:BS53,BS55)+BS64-BR64</f>
        <v/>
      </c>
      <c r="BT106" s="517">
        <f>SUM(BS45,BS52:BS53,BS55)-SUM(BT45,BT52:BT53,BT55)+BT64-BS64</f>
        <v/>
      </c>
      <c r="BU106" s="517">
        <f>SUM(BT45,BT52:BT53,BT55)-SUM(BU45,BU52:BU53,BU55)+BU64-BT64</f>
        <v/>
      </c>
      <c r="BV106" s="517">
        <f>SUM(BU45,BU52:BU53,BU55)-SUM(BV45,BV52:BV53,BV55)+BV64-BU64</f>
        <v/>
      </c>
      <c r="BW106" s="517">
        <f>SUM(BV45,BV52:BV53,BV55)-SUM(BW45,BW52:BW53,BW55)+BW64-BV64</f>
        <v/>
      </c>
      <c r="BX106" s="517">
        <f>SUM(BW45,BW52:BW53,BW55)-SUM(BX45,BX52:BX53,BX55)+BX64-BW64</f>
        <v/>
      </c>
      <c r="BY106" s="517">
        <f>SUM(BX45,BX52:BX53,BX55)-SUM(BY45,BY52:BY53,BY55)+BY64-BX64</f>
        <v/>
      </c>
      <c r="BZ106" s="517">
        <f>SUM(BY45,BY52:BY53,BY55)-SUM(BZ45,BZ52:BZ53,BZ55)+BZ64-BY64</f>
        <v/>
      </c>
      <c r="CA106" s="517">
        <f>SUM(BZ45,BZ52:BZ53,BZ55)-SUM(CA45,CA52:CA53,CA55)+CA64-BZ64</f>
        <v/>
      </c>
      <c r="CB106" s="517">
        <f>SUM(CA45,CA52:CA53,CA55)-SUM(CB45,CB52:CB53,CB55)+CB64-CA64</f>
        <v/>
      </c>
      <c r="CC106" s="517">
        <f>SUM(CB45,CB52:CB53,CB55)-SUM(CC45,CC52:CC53,CC55)+CC64-CB64</f>
        <v/>
      </c>
      <c r="CD106" s="517">
        <f>SUM(CC45,CC52:CC53,CC55)-SUM(CD45,CD52:CD53,CD55)+CD64-CC64</f>
        <v/>
      </c>
      <c r="CE106" s="517">
        <f>SUM(CD45,CD52:CD53,CD55)-SUM(CE45,CE52:CE53,CE55)+CE64-CD64</f>
        <v/>
      </c>
      <c r="CF106" s="517">
        <f>SUM(CE45,CE52:CE53,CE55)-SUM(CF45,CF52:CF53,CF55)+CF64-CE64</f>
        <v/>
      </c>
      <c r="CG106" s="517">
        <f>SUM(CF45,CF52:CF53,CF55)-SUM(CG45,CG52:CG53,CG55)+CG64-CF64</f>
        <v/>
      </c>
      <c r="CH106" s="517">
        <f>SUM(CG45,CG52:CG53,CG55)-SUM(CH45,CH52:CH53,CH55)+CH64-CG64</f>
        <v/>
      </c>
      <c r="CI106" s="517">
        <f>SUM(CH45,CH52:CH53,CH55)-SUM(CI45,CI52:CI53,CI55)+CI64-CH64</f>
        <v/>
      </c>
      <c r="CJ106" s="517">
        <f>SUM(CI45,CI52:CI53,CI55)-SUM(CJ45,CJ52:CJ53,CJ55)+CJ64-CI64</f>
        <v/>
      </c>
      <c r="CK106" s="517">
        <f>SUM(CJ45,CJ52:CJ53,CJ55)-SUM(CK45,CK52:CK53,CK55)+CK64-CJ64</f>
        <v/>
      </c>
    </row>
    <row r="107" customFormat="1" s="22">
      <c r="A107" s="22" t="inlineStr">
        <is>
          <t>Net cash used in investing activities</t>
        </is>
      </c>
      <c r="B107" s="133" t="n"/>
      <c r="C107" s="133" t="n"/>
      <c r="D107" s="133" t="n"/>
      <c r="E107" s="133" t="n"/>
      <c r="F107" s="133" t="n"/>
      <c r="G107" s="133" t="n"/>
      <c r="H107" s="133" t="n"/>
      <c r="I107" s="133" t="n"/>
      <c r="J107" s="133" t="n"/>
      <c r="K107" s="133" t="n"/>
      <c r="L107" s="133" t="n"/>
      <c r="M107" s="133" t="n"/>
      <c r="N107" s="671">
        <f>IF(N$2=1,Reported!N197,Reported!N197-Reported!M197)</f>
        <v/>
      </c>
      <c r="O107" s="671">
        <f>IF(O$2=1,Reported!O197,Reported!O197-Reported!N197)</f>
        <v/>
      </c>
      <c r="P107" s="671">
        <f>IF(P$2=1,Reported!P197,Reported!P197-Reported!O197)</f>
        <v/>
      </c>
      <c r="Q107" s="671">
        <f>IF(Q$2=1,Reported!Q197,Reported!Q197-Reported!P197)</f>
        <v/>
      </c>
      <c r="R107" s="671">
        <f>IF(R$2=1,Reported!R197,Reported!R197-Reported!Q197)</f>
        <v/>
      </c>
      <c r="S107" s="671">
        <f>IF(S$2=1,Reported!S197,Reported!S197-Reported!R197)</f>
        <v/>
      </c>
      <c r="T107" s="671">
        <f>IF(T$2=1,Reported!T197,Reported!T197-Reported!S197)</f>
        <v/>
      </c>
      <c r="U107" s="671">
        <f>IF(U$2=1,Reported!U197,Reported!U197-Reported!T197)</f>
        <v/>
      </c>
      <c r="V107" s="671">
        <f>IF(V$2=1,Reported!V197,Reported!V197-Reported!U197)</f>
        <v/>
      </c>
      <c r="W107" s="671">
        <f>IF(W$2=1,Reported!W197,Reported!W197-Reported!V197)</f>
        <v/>
      </c>
      <c r="X107" s="671">
        <f>IF(X$2=1,Reported!X197,Reported!X197-Reported!W197)</f>
        <v/>
      </c>
      <c r="Y107" s="671">
        <f>IF(Y$2=1,Reported!Y197,Reported!Y197-Reported!X197)</f>
        <v/>
      </c>
      <c r="Z107" s="671">
        <f>IF(Z$2=1,Reported!Z197,Reported!Z197-Reported!Y197)</f>
        <v/>
      </c>
      <c r="AA107" s="671">
        <f>IF(AA$2=1,Reported!AA197,Reported!AA197-Reported!Z197)</f>
        <v/>
      </c>
      <c r="AB107" s="671">
        <f>IF(AB$2=1,Reported!AB197,Reported!AB197-Reported!AA197)</f>
        <v/>
      </c>
      <c r="AC107" s="671">
        <f>IF(AC$2=1,Reported!AC197,Reported!AC197-Reported!AB197)</f>
        <v/>
      </c>
      <c r="AD107" s="671">
        <f>IF(AD$2=1,Reported!AD197,Reported!AD197-Reported!AC197)</f>
        <v/>
      </c>
      <c r="AE107" s="671">
        <f>IF(AE$2=1,Reported!AE197,Reported!AE197-Reported!AD197)</f>
        <v/>
      </c>
      <c r="AF107" s="671">
        <f>IF(AF$2=1,Reported!AF197,Reported!AF197-Reported!AE197)</f>
        <v/>
      </c>
      <c r="AG107" s="671">
        <f>IF(AG$2=1,Reported!AG197,Reported!AG197-Reported!AF197)</f>
        <v/>
      </c>
      <c r="AH107" s="671">
        <f>IF(AH$2=1,Reported!AH197,Reported!AH197-Reported!AG197)</f>
        <v/>
      </c>
      <c r="AI107" s="671">
        <f>IF(AI$2=1,Reported!AI197,Reported!AI197-Reported!AH197)</f>
        <v/>
      </c>
      <c r="AJ107" s="671">
        <f>IF(AJ$2=1,Reported!AJ197,Reported!AJ197-Reported!AI197)</f>
        <v/>
      </c>
      <c r="AK107" s="671">
        <f>IF(AK$2=1,Reported!AK197,Reported!AK197-Reported!AJ197)</f>
        <v/>
      </c>
      <c r="AL107" s="671">
        <f>IF(AL$2=1,Reported!AL197,Reported!AL197-Reported!AK197)</f>
        <v/>
      </c>
      <c r="AM107" s="671">
        <f>IF(AM$2=1,Reported!AM197,Reported!AM197-Reported!AL197)</f>
        <v/>
      </c>
      <c r="AN107" s="671">
        <f>IF(AN$2=1,Reported!AN197,Reported!AN197-Reported!AM197)</f>
        <v/>
      </c>
      <c r="AO107" s="671">
        <f>IF(AO$2=1,Reported!AO197,Reported!AO197-Reported!AN197)</f>
        <v/>
      </c>
      <c r="AP107" s="671">
        <f>IF(AP$2=1,Reported!AP197,Reported!AP197-Reported!AO197)</f>
        <v/>
      </c>
      <c r="AQ107" s="671">
        <f>IF(AQ$2=1,Reported!AQ197,Reported!AQ197-Reported!AP197)</f>
        <v/>
      </c>
      <c r="AR107" s="671">
        <f>IF(AR$2=1,Reported!AR197,Reported!AR197-Reported!AQ197)</f>
        <v/>
      </c>
      <c r="AS107" s="671">
        <f>IF(AS$2=1,Reported!AS197,Reported!AS197-Reported!AR197)</f>
        <v/>
      </c>
      <c r="AT107" s="671">
        <f>IF(AT$2=1,Reported!AT197,Reported!AT197-Reported!AS197)</f>
        <v/>
      </c>
      <c r="AU107" s="671">
        <f>IF(AU$2=1,Reported!AU197,Reported!AU197-Reported!AT197)</f>
        <v/>
      </c>
      <c r="AV107" s="671">
        <f>IF(AV$2=1,Reported!AV197,Reported!AV197-Reported!AU197)</f>
        <v/>
      </c>
      <c r="AW107" s="671">
        <f>IF(AW$2=1,Reported!AW197,Reported!AW197-Reported!AV197)</f>
        <v/>
      </c>
      <c r="AX107" s="671">
        <f>IF(AX$2=1,Reported!AX197,Reported!AX197-Reported!AW197)</f>
        <v/>
      </c>
      <c r="AY107" s="671">
        <f>IF(AY$2=1,Reported!AY197,Reported!AY197-Reported!AX197)</f>
        <v/>
      </c>
      <c r="AZ107" s="671">
        <f>IF(AZ$2=1,Reported!AZ197,Reported!AZ197-Reported!AY197)</f>
        <v/>
      </c>
      <c r="BA107" s="671">
        <f>IF(BA$2=1,Reported!BA197,Reported!BA197-Reported!AZ197)</f>
        <v/>
      </c>
      <c r="BB107" s="671">
        <f>IF(BB$2=1,Reported!BB197,Reported!BB197-Reported!BA197)</f>
        <v/>
      </c>
      <c r="BC107" s="671">
        <f>IF(BC$2=1,Reported!BC197,Reported!BC197-Reported!BB197)</f>
        <v/>
      </c>
      <c r="BD107" s="671">
        <f>IF(BD$2=1,Reported!BD197,Reported!BD197-Reported!BC197)</f>
        <v/>
      </c>
      <c r="BE107" s="671">
        <f>IF(BE$2=1,Reported!BE197,Reported!BE197-Reported!BD197)</f>
        <v/>
      </c>
      <c r="BF107" s="671">
        <f>IF(BF$2=1,Reported!BF197,Reported!BF197-Reported!BE197)</f>
        <v/>
      </c>
      <c r="BG107" s="671">
        <f>IF(BG$2=1,Reported!BG197,Reported!BG197-Reported!BF197)</f>
        <v/>
      </c>
      <c r="BH107" s="671">
        <f>IF(BH$2=1,Reported!BH197,Reported!BH197-Reported!BG197)</f>
        <v/>
      </c>
      <c r="BI107" s="671">
        <f>IF(BI$2=1,Reported!BI197,Reported!BI197-Reported!BH197)</f>
        <v/>
      </c>
      <c r="BJ107" s="671">
        <f>IF(BJ$2=1,Reported!BJ197,Reported!BJ197-Reported!BI197)</f>
        <v/>
      </c>
      <c r="BK107" s="671">
        <f>IF(BK$2=1,Reported!BK197,Reported!BK197-Reported!BJ197)</f>
        <v/>
      </c>
      <c r="BL107" s="671">
        <f>IF(BL$2=1,Reported!BL197,Reported!BL197-Reported!BK197)</f>
        <v/>
      </c>
      <c r="BM107" s="671">
        <f>IF(BM$2=1,Reported!BM197,Reported!BM197-Reported!BL197)</f>
        <v/>
      </c>
      <c r="BN107" s="671">
        <f>IF(BN$2=1,Reported!BN197,Reported!BN197-Reported!BM197)</f>
        <v/>
      </c>
      <c r="BO107" s="671">
        <f>IF(BO$2=1,Reported!BO197,Reported!BO197-Reported!BN197)</f>
        <v/>
      </c>
      <c r="BP107" s="671">
        <f>IF(BP$2=1,Reported!BP197,Reported!BP197-Reported!BO197)</f>
        <v/>
      </c>
      <c r="BQ107" s="671">
        <f>IF(BQ$2=1,Reported!BQ197,Reported!BQ197-Reported!BP197)</f>
        <v/>
      </c>
      <c r="BR107" s="671">
        <f>IF(BR$2=1,Reported!BR197,Reported!BR197-Reported!BQ197)</f>
        <v/>
      </c>
      <c r="BS107" s="519">
        <f>SUM(BS105:BS106)</f>
        <v/>
      </c>
      <c r="BT107" s="519">
        <f>SUM(BT105:BT106)</f>
        <v/>
      </c>
      <c r="BU107" s="519">
        <f>SUM(BU105:BU106)</f>
        <v/>
      </c>
      <c r="BV107" s="519">
        <f>SUM(BV105:BV106)</f>
        <v/>
      </c>
      <c r="BW107" s="519">
        <f>SUM(BW105:BW106)</f>
        <v/>
      </c>
      <c r="BX107" s="519">
        <f>SUM(BX105:BX106)</f>
        <v/>
      </c>
      <c r="BY107" s="519">
        <f>SUM(BY105:BY106)</f>
        <v/>
      </c>
      <c r="BZ107" s="519">
        <f>SUM(BZ105:BZ106)</f>
        <v/>
      </c>
      <c r="CA107" s="519">
        <f>SUM(CA105:CA106)</f>
        <v/>
      </c>
      <c r="CB107" s="519">
        <f>SUM(CB105:CB106)</f>
        <v/>
      </c>
      <c r="CC107" s="519">
        <f>SUM(CC105:CC106)</f>
        <v/>
      </c>
      <c r="CD107" s="519">
        <f>SUM(CD105:CD106)</f>
        <v/>
      </c>
      <c r="CE107" s="519">
        <f>SUM(CE105:CE106)</f>
        <v/>
      </c>
      <c r="CF107" s="519">
        <f>SUM(CF105:CF106)</f>
        <v/>
      </c>
      <c r="CG107" s="519">
        <f>SUM(CG105:CG106)</f>
        <v/>
      </c>
      <c r="CH107" s="519">
        <f>SUM(CH105:CH106)</f>
        <v/>
      </c>
      <c r="CI107" s="519">
        <f>SUM(CI105:CI106)</f>
        <v/>
      </c>
      <c r="CJ107" s="519">
        <f>SUM(CJ105:CJ106)</f>
        <v/>
      </c>
      <c r="CK107" s="519">
        <f>SUM(CK105:CK106)</f>
        <v/>
      </c>
    </row>
    <row r="108">
      <c r="B108" s="145" t="n"/>
      <c r="C108" s="145" t="n"/>
      <c r="D108" s="145" t="n"/>
      <c r="E108" s="145" t="n"/>
      <c r="F108" s="145" t="n"/>
      <c r="G108" s="145" t="n"/>
      <c r="H108" s="145" t="n"/>
      <c r="I108" s="145" t="n"/>
      <c r="J108" s="145" t="n"/>
      <c r="K108" s="145" t="n"/>
      <c r="L108" s="145" t="n"/>
      <c r="M108" s="145" t="n"/>
      <c r="N108" s="509" t="n"/>
      <c r="O108" s="509" t="n"/>
      <c r="P108" s="509" t="n"/>
      <c r="Q108" s="509" t="n"/>
      <c r="R108" s="509" t="n"/>
      <c r="S108" s="509" t="n"/>
      <c r="T108" s="509" t="n"/>
      <c r="U108" s="509" t="n"/>
      <c r="V108" s="509" t="n"/>
      <c r="W108" s="509" t="n"/>
      <c r="X108" s="509" t="n"/>
      <c r="Y108" s="509" t="n"/>
      <c r="Z108" s="509" t="n"/>
      <c r="AA108" s="509" t="n"/>
      <c r="AB108" s="509" t="n"/>
      <c r="AC108" s="509" t="n"/>
      <c r="AD108" s="509" t="n"/>
      <c r="AE108" s="509" t="n"/>
      <c r="AF108" s="509" t="n"/>
      <c r="AG108" s="509" t="n"/>
      <c r="AH108" s="509" t="n"/>
      <c r="AI108" s="509" t="n"/>
      <c r="AJ108" s="509" t="n"/>
      <c r="AK108" s="509" t="n"/>
      <c r="AL108" s="509" t="n"/>
      <c r="AM108" s="509" t="n"/>
      <c r="AN108" s="509" t="n"/>
      <c r="AO108" s="509" t="n"/>
      <c r="AP108" s="509" t="n"/>
      <c r="AQ108" s="509" t="n"/>
      <c r="AR108" s="509" t="n"/>
      <c r="AS108" s="509" t="n"/>
      <c r="AT108" s="509" t="n"/>
      <c r="AU108" s="509" t="n"/>
      <c r="AV108" s="509" t="n"/>
      <c r="AW108" s="509" t="n"/>
      <c r="AX108" s="509" t="n"/>
      <c r="AY108" s="509" t="n"/>
      <c r="AZ108" s="509" t="n"/>
      <c r="BA108" s="509" t="n"/>
      <c r="BB108" s="509" t="n"/>
      <c r="BC108" s="509" t="n"/>
      <c r="BD108" s="509" t="n"/>
      <c r="BE108" s="509" t="n"/>
      <c r="BF108" s="509" t="n"/>
      <c r="BG108" s="509" t="n"/>
      <c r="BH108" s="509" t="n"/>
      <c r="BI108" s="509" t="n"/>
      <c r="BJ108" s="509" t="n"/>
      <c r="BK108" s="509" t="n"/>
      <c r="BL108" s="509" t="n"/>
      <c r="BM108" s="509" t="n"/>
      <c r="BN108" s="509" t="n"/>
      <c r="BO108" s="509" t="n"/>
      <c r="BP108" s="509" t="n"/>
      <c r="BQ108" s="509" t="n"/>
      <c r="BR108" s="509" t="n"/>
    </row>
    <row r="109">
      <c r="A109" s="22" t="inlineStr">
        <is>
          <t>CASH FLOWS FROM FINANCING ACTIVITIES:</t>
        </is>
      </c>
      <c r="B109" s="22" t="n"/>
      <c r="C109" s="22" t="n"/>
      <c r="D109" s="22" t="n"/>
      <c r="E109" s="22" t="n"/>
      <c r="F109" s="22" t="n"/>
      <c r="G109" s="22" t="n"/>
      <c r="H109" s="22" t="n"/>
      <c r="I109" s="22" t="n"/>
      <c r="J109" s="22" t="n"/>
      <c r="K109" s="22" t="n"/>
      <c r="L109" s="22" t="n"/>
      <c r="M109" s="22" t="n"/>
      <c r="N109" s="511" t="n"/>
      <c r="O109" s="511" t="n"/>
      <c r="P109" s="511" t="n"/>
      <c r="Q109" s="511" t="n"/>
      <c r="R109" s="511" t="n"/>
      <c r="S109" s="511" t="n"/>
      <c r="T109" s="511" t="n"/>
      <c r="U109" s="511" t="n"/>
      <c r="V109" s="511" t="n"/>
      <c r="W109" s="511" t="n"/>
      <c r="X109" s="511" t="n"/>
      <c r="Y109" s="511" t="n"/>
      <c r="Z109" s="511" t="n"/>
      <c r="AA109" s="511" t="n"/>
      <c r="AB109" s="511" t="n"/>
      <c r="AC109" s="511" t="n"/>
      <c r="AD109" s="511" t="n"/>
      <c r="AE109" s="511" t="n"/>
      <c r="AF109" s="511" t="n"/>
      <c r="AG109" s="511" t="n"/>
      <c r="AH109" s="511" t="n"/>
      <c r="AI109" s="511" t="n"/>
      <c r="AJ109" s="511" t="n"/>
      <c r="AK109" s="511" t="n"/>
      <c r="AL109" s="511" t="n"/>
      <c r="AM109" s="511" t="n"/>
      <c r="AN109" s="511" t="n"/>
      <c r="AO109" s="511" t="n"/>
      <c r="AP109" s="511" t="n"/>
      <c r="AQ109" s="511" t="n"/>
      <c r="AR109" s="511" t="n"/>
      <c r="AS109" s="511" t="n"/>
      <c r="AT109" s="511" t="n"/>
      <c r="AU109" s="511" t="n"/>
      <c r="AV109" s="511" t="n"/>
      <c r="AW109" s="511" t="n"/>
      <c r="AX109" s="511" t="n"/>
      <c r="AY109" s="511" t="n"/>
      <c r="AZ109" s="511" t="n"/>
      <c r="BA109" s="511" t="n"/>
      <c r="BB109" s="511" t="n"/>
      <c r="BC109" s="511" t="n"/>
      <c r="BD109" s="511" t="n"/>
      <c r="BE109" s="511" t="n"/>
      <c r="BF109" s="511" t="n"/>
      <c r="BG109" s="511" t="n"/>
      <c r="BH109" s="511" t="n"/>
      <c r="BI109" s="511" t="n"/>
      <c r="BJ109" s="511" t="n"/>
      <c r="BK109" s="511" t="n"/>
      <c r="BL109" s="511" t="n"/>
      <c r="BM109" s="511" t="n"/>
      <c r="BN109" s="511" t="n"/>
      <c r="BO109" s="511" t="n"/>
      <c r="BP109" s="511" t="n"/>
      <c r="BQ109" s="511" t="n"/>
      <c r="BR109" s="511" t="n"/>
    </row>
    <row r="110">
      <c r="A110" s="74" t="inlineStr">
        <is>
          <t>Line-of-credit facilities, net</t>
        </is>
      </c>
      <c r="B110" s="145" t="n"/>
      <c r="C110" s="145" t="n"/>
      <c r="D110" s="145" t="n"/>
      <c r="E110" s="145" t="n"/>
      <c r="F110" s="145" t="n"/>
      <c r="G110" s="145" t="n"/>
      <c r="H110" s="145" t="n"/>
      <c r="I110" s="145" t="n"/>
      <c r="J110" s="145" t="n"/>
      <c r="K110" s="145" t="n"/>
      <c r="L110" s="145" t="n"/>
      <c r="M110" s="145" t="n"/>
      <c r="N110" s="143">
        <f>IF(N$2=1,SUM(Reported!N200:N201),SUM(Reported!N200:N201)-SUM(Reported!M200:M201))</f>
        <v/>
      </c>
      <c r="O110" s="143">
        <f>IF(O$2=1,SUM(Reported!O200:O201),SUM(Reported!O200:O201)-SUM(Reported!N200:N201))</f>
        <v/>
      </c>
      <c r="P110" s="143">
        <f>IF(P$2=1,SUM(Reported!P200:P201),SUM(Reported!P200:P201)-SUM(Reported!O200:O201))</f>
        <v/>
      </c>
      <c r="Q110" s="143">
        <f>IF(Q$2=1,SUM(Reported!Q200:Q201),SUM(Reported!Q200:Q201)-SUM(Reported!P200:P201))</f>
        <v/>
      </c>
      <c r="R110" s="143">
        <f>IF(R$2=1,SUM(Reported!R200:R201),SUM(Reported!R200:R201)-SUM(Reported!Q200:Q201))</f>
        <v/>
      </c>
      <c r="S110" s="143">
        <f>IF(S$2=1,SUM(Reported!S200:S201),SUM(Reported!S200:S201)-SUM(Reported!R200:R201))</f>
        <v/>
      </c>
      <c r="T110" s="143">
        <f>IF(T$2=1,SUM(Reported!T200:T201),SUM(Reported!T200:T201)-SUM(Reported!S200:S201))</f>
        <v/>
      </c>
      <c r="U110" s="143">
        <f>IF(U$2=1,SUM(Reported!U200:U201),SUM(Reported!U200:U201)-SUM(Reported!T200:T201))</f>
        <v/>
      </c>
      <c r="V110" s="143">
        <f>IF(V$2=1,SUM(Reported!V200:V201),SUM(Reported!V200:V201)-SUM(Reported!U200:U201))</f>
        <v/>
      </c>
      <c r="W110" s="143">
        <f>IF(W$2=1,SUM(Reported!W200:W201),SUM(Reported!W200:W201)-SUM(Reported!V200:V201))</f>
        <v/>
      </c>
      <c r="X110" s="143">
        <f>IF(X$2=1,SUM(Reported!X200:X201),SUM(Reported!X200:X201)-SUM(Reported!W200:W201))</f>
        <v/>
      </c>
      <c r="Y110" s="143">
        <f>IF(Y$2=1,SUM(Reported!Y200:Y201),SUM(Reported!Y200:Y201)-SUM(Reported!X200:X201))</f>
        <v/>
      </c>
      <c r="Z110" s="143">
        <f>IF(Z$2=1,SUM(Reported!Z200:Z201),SUM(Reported!Z200:Z201)-SUM(Reported!Y200:Y201))</f>
        <v/>
      </c>
      <c r="AA110" s="143">
        <f>IF(AA$2=1,SUM(Reported!AA200:AA201),SUM(Reported!AA200:AA201)-SUM(Reported!Z200:Z201))</f>
        <v/>
      </c>
      <c r="AB110" s="143">
        <f>IF(AB$2=1,SUM(Reported!AB200:AB201),SUM(Reported!AB200:AB201)-SUM(Reported!AA200:AA201))</f>
        <v/>
      </c>
      <c r="AC110" s="143">
        <f>IF(AC$2=1,SUM(Reported!AC200:AC201),SUM(Reported!AC200:AC201)-SUM(Reported!AB200:AB201))</f>
        <v/>
      </c>
      <c r="AD110" s="143">
        <f>IF(AD$2=1,SUM(Reported!AD200:AD201),SUM(Reported!AD200:AD201)-SUM(Reported!AC200:AC201))</f>
        <v/>
      </c>
      <c r="AE110" s="143">
        <f>IF(AE$2=1,SUM(Reported!AE200:AE201),SUM(Reported!AE200:AE201)-SUM(Reported!AD200:AD201))</f>
        <v/>
      </c>
      <c r="AF110" s="143">
        <f>IF(AF$2=1,SUM(Reported!AF200:AF201),SUM(Reported!AF200:AF201)-SUM(Reported!AE200:AE201))</f>
        <v/>
      </c>
      <c r="AG110" s="143">
        <f>IF(AG$2=1,SUM(Reported!AG200:AG201),SUM(Reported!AG200:AG201)-SUM(Reported!AF200:AF201))</f>
        <v/>
      </c>
      <c r="AH110" s="143">
        <f>IF(AH$2=1,SUM(Reported!AH200:AH201),SUM(Reported!AH200:AH201)-SUM(Reported!AG200:AG201))</f>
        <v/>
      </c>
      <c r="AI110" s="143">
        <f>IF(AI$2=1,SUM(Reported!AI200:AI201),SUM(Reported!AI200:AI201)-SUM(Reported!AH200:AH201))</f>
        <v/>
      </c>
      <c r="AJ110" s="143">
        <f>IF(AJ$2=1,SUM(Reported!AJ200:AJ201),SUM(Reported!AJ200:AJ201)-SUM(Reported!AI200:AI201))</f>
        <v/>
      </c>
      <c r="AK110" s="143">
        <f>IF(AK$2=1,SUM(Reported!AK200:AK201),SUM(Reported!AK200:AK201)-SUM(Reported!AJ200:AJ201))</f>
        <v/>
      </c>
      <c r="AL110" s="143">
        <f>IF(AL$2=1,SUM(Reported!AL200:AL201),SUM(Reported!AL200:AL201)-SUM(Reported!AK200:AK201))</f>
        <v/>
      </c>
      <c r="AM110" s="143">
        <f>IF(AM$2=1,SUM(Reported!AM200:AM201),SUM(Reported!AM200:AM201)-SUM(Reported!AL200:AL201))</f>
        <v/>
      </c>
      <c r="AN110" s="143">
        <f>IF(AN$2=1,SUM(Reported!AN200:AN201),SUM(Reported!AN200:AN201)-SUM(Reported!AM200:AM201))</f>
        <v/>
      </c>
      <c r="AO110" s="143">
        <f>IF(AO$2=1,SUM(Reported!AO200:AO201),SUM(Reported!AO200:AO201)-SUM(Reported!AN200:AN201))</f>
        <v/>
      </c>
      <c r="AP110" s="143">
        <f>IF(AP$2=1,SUM(Reported!AP200:AP201),SUM(Reported!AP200:AP201)-SUM(Reported!AO200:AO201))</f>
        <v/>
      </c>
      <c r="AQ110" s="143">
        <f>IF(AQ$2=1,SUM(Reported!AQ200:AQ201),SUM(Reported!AQ200:AQ201)-SUM(Reported!AP200:AP201))</f>
        <v/>
      </c>
      <c r="AR110" s="143">
        <f>IF(AR$2=1,SUM(Reported!AR200:AR201),SUM(Reported!AR200:AR201)-SUM(Reported!AQ200:AQ201))</f>
        <v/>
      </c>
      <c r="AS110" s="143">
        <f>IF(AS$2=1,SUM(Reported!AS200:AS201),SUM(Reported!AS200:AS201)-SUM(Reported!AR200:AR201))</f>
        <v/>
      </c>
      <c r="AT110" s="143">
        <f>IF(AT$2=1,SUM(Reported!AT200:AT201),SUM(Reported!AT200:AT201)-SUM(Reported!AS200:AS201))</f>
        <v/>
      </c>
      <c r="AU110" s="143">
        <f>IF(AU$2=1,SUM(Reported!AU200:AU201),SUM(Reported!AU200:AU201)-SUM(Reported!AT200:AT201))</f>
        <v/>
      </c>
      <c r="AV110" s="143">
        <f>IF(AV$2=1,SUM(Reported!AV200:AV201),SUM(Reported!AV200:AV201)-SUM(Reported!AU200:AU201))</f>
        <v/>
      </c>
      <c r="AW110" s="143">
        <f>IF(AW$2=1,SUM(Reported!AW200:AW201),SUM(Reported!AW200:AW201)-SUM(Reported!AV200:AV201))</f>
        <v/>
      </c>
      <c r="AX110" s="143">
        <f>IF(AX$2=1,SUM(Reported!AX200:AX201),SUM(Reported!AX200:AX201)-SUM(Reported!AW200:AW201))</f>
        <v/>
      </c>
      <c r="AY110" s="143">
        <f>IF(AY$2=1,SUM(Reported!AY200:AY201),SUM(Reported!AY200:AY201)-SUM(Reported!AX200:AX201))</f>
        <v/>
      </c>
      <c r="AZ110" s="143">
        <f>IF(AZ$2=1,SUM(Reported!AZ200:AZ201),SUM(Reported!AZ200:AZ201)-SUM(Reported!AY200:AY201))</f>
        <v/>
      </c>
      <c r="BA110" s="143">
        <f>IF(BA$2=1,SUM(Reported!BA200:BA201),SUM(Reported!BA200:BA201)-SUM(Reported!AZ200:AZ201))</f>
        <v/>
      </c>
      <c r="BB110" s="143">
        <f>IF(BB$2=1,SUM(Reported!BB200:BB201),SUM(Reported!BB200:BB201)-SUM(Reported!BA200:BA201))</f>
        <v/>
      </c>
      <c r="BC110" s="143">
        <f>IF(BC$2=1,SUM(Reported!BC200:BC201),SUM(Reported!BC200:BC201)-SUM(Reported!BB200:BB201))</f>
        <v/>
      </c>
      <c r="BD110" s="143">
        <f>IF(BD$2=1,SUM(Reported!BD200:BD201),SUM(Reported!BD200:BD201)-SUM(Reported!BC200:BC201))</f>
        <v/>
      </c>
      <c r="BE110" s="143">
        <f>IF(BE$2=1,SUM(Reported!BE200:BE201),SUM(Reported!BE200:BE201)-SUM(Reported!BD200:BD201))</f>
        <v/>
      </c>
      <c r="BF110" s="143">
        <f>IF(BF$2=1,SUM(Reported!BF200:BF201),SUM(Reported!BF200:BF201)-SUM(Reported!BE200:BE201))</f>
        <v/>
      </c>
      <c r="BG110" s="143">
        <f>IF(BG$2=1,SUM(Reported!BG200:BG201),SUM(Reported!BG200:BG201)-SUM(Reported!BF200:BF201))</f>
        <v/>
      </c>
      <c r="BH110" s="143">
        <f>IF(BH$2=1,SUM(Reported!BH200:BH201),SUM(Reported!BH200:BH201)-SUM(Reported!BG200:BG201))</f>
        <v/>
      </c>
      <c r="BI110" s="143">
        <f>IF(BI$2=1,SUM(Reported!BI200:BI201),SUM(Reported!BI200:BI201)-SUM(Reported!BH200:BH201))</f>
        <v/>
      </c>
      <c r="BJ110" s="143">
        <f>IF(BJ$2=1,SUM(Reported!BJ200:BJ201),SUM(Reported!BJ200:BJ201)-SUM(Reported!BI200:BI201))</f>
        <v/>
      </c>
      <c r="BK110" s="143">
        <f>IF(BK$2=1,SUM(Reported!BK200:BK201),SUM(Reported!BK200:BK201)-SUM(Reported!BJ200:BJ201))</f>
        <v/>
      </c>
      <c r="BL110" s="143">
        <f>IF(BL$2=1,SUM(Reported!BL200:BL201),SUM(Reported!BL200:BL201)-SUM(Reported!BK200:BK201))</f>
        <v/>
      </c>
      <c r="BM110" s="143">
        <f>IF(BM$2=1,SUM(Reported!BM200:BM201),SUM(Reported!BM200:BM201)-SUM(Reported!BL200:BL201))</f>
        <v/>
      </c>
      <c r="BN110" s="143">
        <f>IF(BN$2=1,SUM(Reported!BN200:BN201),SUM(Reported!BN200:BN201)-SUM(Reported!BM200:BM201))</f>
        <v/>
      </c>
      <c r="BO110" s="143">
        <f>IF(BO$2=1,SUM(Reported!BO200:BO201),SUM(Reported!BO200:BO201)-SUM(Reported!BN200:BN201))</f>
        <v/>
      </c>
      <c r="BP110" s="143">
        <f>IF(BP$2=1,SUM(Reported!BP200:BP201),SUM(Reported!BP200:BP201)-SUM(Reported!BO200:BO201))</f>
        <v/>
      </c>
      <c r="BQ110" s="143">
        <f>IF(BQ$2=1,SUM(Reported!BQ200:BQ201),SUM(Reported!BQ200:BQ201)-SUM(Reported!BP200:BP201))</f>
        <v/>
      </c>
      <c r="BR110" s="143">
        <f>IF(BR$2=1,SUM(Reported!BR200:BR201),SUM(Reported!BR200:BR201)-SUM(Reported!BQ200:BQ201))</f>
        <v/>
      </c>
      <c r="BS110" s="458" t="n">
        <v>0</v>
      </c>
      <c r="BT110" s="458" t="n">
        <v>0</v>
      </c>
      <c r="BU110" s="458" t="n">
        <v>0</v>
      </c>
      <c r="BV110" s="458" t="n">
        <v>0</v>
      </c>
      <c r="BW110" s="458" t="n">
        <v>0</v>
      </c>
      <c r="BX110" s="458" t="n">
        <v>0</v>
      </c>
      <c r="BY110" s="458" t="n">
        <v>0</v>
      </c>
      <c r="BZ110" s="458" t="n">
        <v>0</v>
      </c>
      <c r="CA110" s="458" t="n">
        <v>0</v>
      </c>
      <c r="CB110" s="458" t="n">
        <v>0</v>
      </c>
      <c r="CC110" s="458" t="n">
        <v>0</v>
      </c>
      <c r="CD110" s="458" t="n">
        <v>0</v>
      </c>
      <c r="CE110" s="458" t="n">
        <v>0</v>
      </c>
      <c r="CF110" s="458" t="n">
        <v>0</v>
      </c>
      <c r="CG110" s="458" t="n">
        <v>0</v>
      </c>
      <c r="CH110" s="458" t="n">
        <v>0</v>
      </c>
      <c r="CI110" s="458" t="n">
        <v>0</v>
      </c>
      <c r="CJ110" s="458" t="n">
        <v>0</v>
      </c>
      <c r="CK110" s="458" t="n">
        <v>0</v>
      </c>
    </row>
    <row r="111">
      <c r="A111" s="74" t="inlineStr">
        <is>
          <t>Borrowings, net</t>
        </is>
      </c>
      <c r="B111" s="145" t="n"/>
      <c r="C111" s="145" t="n"/>
      <c r="D111" s="145" t="n"/>
      <c r="E111" s="145" t="n"/>
      <c r="F111" s="145" t="n"/>
      <c r="G111" s="145" t="n"/>
      <c r="H111" s="145" t="n"/>
      <c r="I111" s="145" t="n"/>
      <c r="J111" s="145" t="n"/>
      <c r="K111" s="145" t="n"/>
      <c r="L111" s="145" t="n"/>
      <c r="M111" s="145" t="n"/>
      <c r="N111" s="143">
        <f>IF(N$2=1,SUM(Reported!N204:N205),SUM(Reported!N204:N205)-SUM(Reported!M204:M205))</f>
        <v/>
      </c>
      <c r="O111" s="143">
        <f>IF(O$2=1,SUM(Reported!O204:O205),SUM(Reported!O204:O205)-SUM(Reported!N204:N205))</f>
        <v/>
      </c>
      <c r="P111" s="143">
        <f>IF(P$2=1,SUM(Reported!P204:P205),SUM(Reported!P204:P205)-SUM(Reported!O204:O205))</f>
        <v/>
      </c>
      <c r="Q111" s="143">
        <f>IF(Q$2=1,SUM(Reported!Q204:Q205),SUM(Reported!Q204:Q205)-SUM(Reported!P204:P205))</f>
        <v/>
      </c>
      <c r="R111" s="143">
        <f>IF(R$2=1,SUM(Reported!R204:R205),SUM(Reported!R204:R205)-SUM(Reported!Q204:Q205))</f>
        <v/>
      </c>
      <c r="S111" s="143">
        <f>IF(S$2=1,SUM(Reported!S204:S205),SUM(Reported!S204:S205)-SUM(Reported!R204:R205))</f>
        <v/>
      </c>
      <c r="T111" s="143">
        <f>IF(T$2=1,SUM(Reported!T204:T205),SUM(Reported!T204:T205)-SUM(Reported!S204:S205))</f>
        <v/>
      </c>
      <c r="U111" s="143">
        <f>IF(U$2=1,SUM(Reported!U204:U205),SUM(Reported!U204:U205)-SUM(Reported!T204:T205))</f>
        <v/>
      </c>
      <c r="V111" s="143">
        <f>IF(V$2=1,SUM(Reported!V204:V205),SUM(Reported!V204:V205)-SUM(Reported!U204:U205))</f>
        <v/>
      </c>
      <c r="W111" s="143">
        <f>IF(W$2=1,SUM(Reported!W204:W205),SUM(Reported!W204:W205)-SUM(Reported!V204:V205))</f>
        <v/>
      </c>
      <c r="X111" s="143">
        <f>IF(X$2=1,SUM(Reported!X204:X205),SUM(Reported!X204:X205)-SUM(Reported!W204:W205))</f>
        <v/>
      </c>
      <c r="Y111" s="143">
        <f>IF(Y$2=1,SUM(Reported!Y204:Y205),SUM(Reported!Y204:Y205)-SUM(Reported!X204:X205))</f>
        <v/>
      </c>
      <c r="Z111" s="143">
        <f>IF(Z$2=1,SUM(Reported!Z204:Z205),SUM(Reported!Z204:Z205)-SUM(Reported!Y204:Y205))</f>
        <v/>
      </c>
      <c r="AA111" s="143">
        <f>IF(AA$2=1,SUM(Reported!AA204:AA205),SUM(Reported!AA204:AA205)-SUM(Reported!Z204:Z205))</f>
        <v/>
      </c>
      <c r="AB111" s="143">
        <f>IF(AB$2=1,SUM(Reported!AB204:AB205),SUM(Reported!AB204:AB205)-SUM(Reported!AA204:AA205))</f>
        <v/>
      </c>
      <c r="AC111" s="143">
        <f>IF(AC$2=1,SUM(Reported!AC204:AC205),SUM(Reported!AC204:AC205)-SUM(Reported!AB204:AB205))</f>
        <v/>
      </c>
      <c r="AD111" s="143">
        <f>IF(AD$2=1,SUM(Reported!AD204:AD205),SUM(Reported!AD204:AD205)-SUM(Reported!AC204:AC205))</f>
        <v/>
      </c>
      <c r="AE111" s="143">
        <f>IF(AE$2=1,SUM(Reported!AE204:AE205),SUM(Reported!AE204:AE205)-SUM(Reported!AD204:AD205))</f>
        <v/>
      </c>
      <c r="AF111" s="143">
        <f>IF(AF$2=1,SUM(Reported!AF204:AF205),SUM(Reported!AF204:AF205)-SUM(Reported!AE204:AE205))</f>
        <v/>
      </c>
      <c r="AG111" s="143">
        <f>IF(AG$2=1,SUM(Reported!AG204:AG205),SUM(Reported!AG204:AG205)-SUM(Reported!AF204:AF205))</f>
        <v/>
      </c>
      <c r="AH111" s="143">
        <f>IF(AH$2=1,SUM(Reported!AH204:AH205),SUM(Reported!AH204:AH205)-SUM(Reported!AG204:AG205))</f>
        <v/>
      </c>
      <c r="AI111" s="143">
        <f>IF(AI$2=1,SUM(Reported!AI204:AI205),SUM(Reported!AI204:AI205)-SUM(Reported!AH204:AH205))</f>
        <v/>
      </c>
      <c r="AJ111" s="143">
        <f>IF(AJ$2=1,SUM(Reported!AJ204:AJ205),SUM(Reported!AJ204:AJ205)-SUM(Reported!AI204:AI205))</f>
        <v/>
      </c>
      <c r="AK111" s="143">
        <f>IF(AK$2=1,SUM(Reported!AK204:AK205),SUM(Reported!AK204:AK205)-SUM(Reported!AJ204:AJ205))</f>
        <v/>
      </c>
      <c r="AL111" s="143">
        <f>IF(AL$2=1,SUM(Reported!AL204:AL205),SUM(Reported!AL204:AL205)-SUM(Reported!AK204:AK205))</f>
        <v/>
      </c>
      <c r="AM111" s="143">
        <f>IF(AM$2=1,SUM(Reported!AM204:AM205),SUM(Reported!AM204:AM205)-SUM(Reported!AL204:AL205))</f>
        <v/>
      </c>
      <c r="AN111" s="143">
        <f>IF(AN$2=1,SUM(Reported!AN204:AN205),SUM(Reported!AN204:AN205)-SUM(Reported!AM204:AM205))</f>
        <v/>
      </c>
      <c r="AO111" s="143">
        <f>IF(AO$2=1,SUM(Reported!AO204:AO205),SUM(Reported!AO204:AO205)-SUM(Reported!AN204:AN205))</f>
        <v/>
      </c>
      <c r="AP111" s="143">
        <f>IF(AP$2=1,SUM(Reported!AP204:AP205),SUM(Reported!AP204:AP205)-SUM(Reported!AO204:AO205))</f>
        <v/>
      </c>
      <c r="AQ111" s="143">
        <f>IF(AQ$2=1,SUM(Reported!AQ204:AQ205),SUM(Reported!AQ204:AQ205)-SUM(Reported!AP204:AP205))</f>
        <v/>
      </c>
      <c r="AR111" s="143">
        <f>IF(AR$2=1,SUM(Reported!AR204:AR205),SUM(Reported!AR204:AR205)-SUM(Reported!AQ204:AQ205))</f>
        <v/>
      </c>
      <c r="AS111" s="143">
        <f>IF(AS$2=1,SUM(Reported!AS204:AS205),SUM(Reported!AS204:AS205)-SUM(Reported!AR204:AR205))</f>
        <v/>
      </c>
      <c r="AT111" s="143">
        <f>IF(AT$2=1,SUM(Reported!AT204:AT205),SUM(Reported!AT204:AT205)-SUM(Reported!AS204:AS205))</f>
        <v/>
      </c>
      <c r="AU111" s="143">
        <f>IF(AU$2=1,SUM(Reported!AU204:AU205),SUM(Reported!AU204:AU205)-SUM(Reported!AT204:AT205))</f>
        <v/>
      </c>
      <c r="AV111" s="143">
        <f>IF(AV$2=1,SUM(Reported!AV204:AV205),SUM(Reported!AV204:AV205)-SUM(Reported!AU204:AU205))</f>
        <v/>
      </c>
      <c r="AW111" s="143">
        <f>IF(AW$2=1,SUM(Reported!AW204:AW205),SUM(Reported!AW204:AW205)-SUM(Reported!AV204:AV205))</f>
        <v/>
      </c>
      <c r="AX111" s="143">
        <f>IF(AX$2=1,SUM(Reported!AX204:AX205),SUM(Reported!AX204:AX205)-SUM(Reported!AW204:AW205))</f>
        <v/>
      </c>
      <c r="AY111" s="143">
        <f>IF(AY$2=1,SUM(Reported!AY204:AY205),SUM(Reported!AY204:AY205)-SUM(Reported!AX204:AX205))</f>
        <v/>
      </c>
      <c r="AZ111" s="143">
        <f>IF(AZ$2=1,SUM(Reported!AZ204:AZ205),SUM(Reported!AZ204:AZ205)-SUM(Reported!AY204:AY205))</f>
        <v/>
      </c>
      <c r="BA111" s="143">
        <f>IF(BA$2=1,SUM(Reported!BA204:BA205),SUM(Reported!BA204:BA205)-SUM(Reported!AZ204:AZ205))</f>
        <v/>
      </c>
      <c r="BB111" s="143">
        <f>IF(BB$2=1,SUM(Reported!BB204:BB205),SUM(Reported!BB204:BB205)-SUM(Reported!BA204:BA205))</f>
        <v/>
      </c>
      <c r="BC111" s="143">
        <f>IF(BC$2=1,SUM(Reported!BC204:BC205),SUM(Reported!BC204:BC205)-SUM(Reported!BB204:BB205))</f>
        <v/>
      </c>
      <c r="BD111" s="143">
        <f>IF(BD$2=1,SUM(Reported!BD204:BD205),SUM(Reported!BD204:BD205)-SUM(Reported!BC204:BC205))</f>
        <v/>
      </c>
      <c r="BE111" s="143">
        <f>IF(BE$2=1,SUM(Reported!BE204:BE205),SUM(Reported!BE204:BE205)-SUM(Reported!BD204:BD205))</f>
        <v/>
      </c>
      <c r="BF111" s="143">
        <f>IF(BF$2=1,SUM(Reported!BF204:BF205),SUM(Reported!BF204:BF205)-SUM(Reported!BE204:BE205))</f>
        <v/>
      </c>
      <c r="BG111" s="143">
        <f>IF(BG$2=1,SUM(Reported!BG204:BG205),SUM(Reported!BG204:BG205)-SUM(Reported!BF204:BF205))</f>
        <v/>
      </c>
      <c r="BH111" s="143">
        <f>IF(BH$2=1,SUM(Reported!BH204:BH205),SUM(Reported!BH204:BH205)-SUM(Reported!BG204:BG205))</f>
        <v/>
      </c>
      <c r="BI111" s="143">
        <f>IF(BI$2=1,SUM(Reported!BI204:BI205),SUM(Reported!BI204:BI205)-SUM(Reported!BH204:BH205))</f>
        <v/>
      </c>
      <c r="BJ111" s="143">
        <f>IF(BJ$2=1,SUM(Reported!BJ204:BJ205),SUM(Reported!BJ204:BJ205)-SUM(Reported!BI204:BI205))</f>
        <v/>
      </c>
      <c r="BK111" s="143">
        <f>IF(BK$2=1,SUM(Reported!BK204:BK205),SUM(Reported!BK204:BK205)-SUM(Reported!BJ204:BJ205))</f>
        <v/>
      </c>
      <c r="BL111" s="143">
        <f>IF(BL$2=1,SUM(Reported!BL204:BL205),SUM(Reported!BL204:BL205)-SUM(Reported!BK204:BK205))</f>
        <v/>
      </c>
      <c r="BM111" s="143">
        <f>IF(BM$2=1,SUM(Reported!BM204:BM205),SUM(Reported!BM204:BM205)-SUM(Reported!BL204:BL205))</f>
        <v/>
      </c>
      <c r="BN111" s="143">
        <f>IF(BN$2=1,SUM(Reported!BN204:BN205),SUM(Reported!BN204:BN205)-SUM(Reported!BM204:BM205))</f>
        <v/>
      </c>
      <c r="BO111" s="143">
        <f>IF(BO$2=1,SUM(Reported!BO204:BO205),SUM(Reported!BO204:BO205)-SUM(Reported!BN204:BN205))</f>
        <v/>
      </c>
      <c r="BP111" s="143">
        <f>IF(BP$2=1,SUM(Reported!BP204:BP205),SUM(Reported!BP204:BP205)-SUM(Reported!BO204:BO205))</f>
        <v/>
      </c>
      <c r="BQ111" s="143">
        <f>IF(BQ$2=1,SUM(Reported!BQ204:BQ205),SUM(Reported!BQ204:BQ205)-SUM(Reported!BP204:BP205))</f>
        <v/>
      </c>
      <c r="BR111" s="143">
        <f>IF(BR$2=1,SUM(Reported!BR204:BR205),SUM(Reported!BR204:BR205)-SUM(Reported!BQ204:BQ205))</f>
        <v/>
      </c>
      <c r="BS111" s="517">
        <f>SUM(BS58,BS65)-SUM(BR58,BR65)</f>
        <v/>
      </c>
      <c r="BT111" s="517">
        <f>SUM(BT58,BT65)-SUM(BS58,BS65)</f>
        <v/>
      </c>
      <c r="BU111" s="517">
        <f>SUM(BU58,BU65)-SUM(BT58,BT65)</f>
        <v/>
      </c>
      <c r="BV111" s="517">
        <f>SUM(BV58,BV65)-SUM(BU58,BU65)</f>
        <v/>
      </c>
      <c r="BW111" s="517">
        <f>SUM(BW58,BW65)-SUM(BV58,BV65)</f>
        <v/>
      </c>
      <c r="BX111" s="517">
        <f>SUM(BX58,BX65)-SUM(BW58,BW65)</f>
        <v/>
      </c>
      <c r="BY111" s="517">
        <f>SUM(BY58,BY65)-SUM(BX58,BX65)</f>
        <v/>
      </c>
      <c r="BZ111" s="517">
        <f>SUM(BZ58,BZ65)-SUM(BY58,BY65)</f>
        <v/>
      </c>
      <c r="CA111" s="517">
        <f>SUM(CA58,CA65)-SUM(BZ58,BZ65)</f>
        <v/>
      </c>
      <c r="CB111" s="517">
        <f>SUM(CB58,CB65)-SUM(CA58,CA65)</f>
        <v/>
      </c>
      <c r="CC111" s="517">
        <f>SUM(CC58,CC65)-SUM(CB58,CB65)</f>
        <v/>
      </c>
      <c r="CD111" s="517">
        <f>SUM(CD58,CD65)-SUM(CC58,CC65)</f>
        <v/>
      </c>
      <c r="CE111" s="517">
        <f>SUM(CE58,CE65)-SUM(CD58,CD65)</f>
        <v/>
      </c>
      <c r="CF111" s="517">
        <f>SUM(CF58,CF65)-SUM(CE58,CE65)</f>
        <v/>
      </c>
      <c r="CG111" s="517">
        <f>SUM(CG58,CG65)-SUM(CF58,CF65)</f>
        <v/>
      </c>
      <c r="CH111" s="517">
        <f>SUM(CH58,CH65)-SUM(CG58,CG65)</f>
        <v/>
      </c>
      <c r="CI111" s="517">
        <f>SUM(CI58,CI65)-SUM(CH58,CH65)</f>
        <v/>
      </c>
      <c r="CJ111" s="517">
        <f>SUM(CJ58,CJ65)-SUM(CI58,CI65)</f>
        <v/>
      </c>
      <c r="CK111" s="517">
        <f>SUM(CK58,CK65)-SUM(CJ58,CJ65)</f>
        <v/>
      </c>
    </row>
    <row r="112">
      <c r="A112" s="74" t="inlineStr">
        <is>
          <t>Equity-related financing, net</t>
        </is>
      </c>
      <c r="B112" s="145" t="n"/>
      <c r="C112" s="145" t="n"/>
      <c r="D112" s="145" t="n"/>
      <c r="E112" s="145" t="n"/>
      <c r="F112" s="145" t="n"/>
      <c r="G112" s="145" t="n"/>
      <c r="H112" s="145" t="n"/>
      <c r="I112" s="145" t="n"/>
      <c r="J112" s="145" t="n"/>
      <c r="K112" s="145" t="n"/>
      <c r="L112" s="145" t="n"/>
      <c r="M112" s="145" t="n"/>
      <c r="N112" s="143">
        <f>IF(N$2=1,SUM(Reported!N202:N203,Reported!N206:N211),SUM(Reported!N202:N203,Reported!N206:N211)-SUM(Reported!M202:M203,Reported!M206:M211))</f>
        <v/>
      </c>
      <c r="O112" s="143">
        <f>IF(O$2=1,SUM(Reported!O202:O203,Reported!O206:O211),SUM(Reported!O202:O203,Reported!O206:O211)-SUM(Reported!N202:N203,Reported!N206:N211))</f>
        <v/>
      </c>
      <c r="P112" s="143">
        <f>IF(P$2=1,SUM(Reported!P202:P203,Reported!P206:P211),SUM(Reported!P202:P203,Reported!P206:P211)-SUM(Reported!O202:O203,Reported!O206:O211))</f>
        <v/>
      </c>
      <c r="Q112" s="143">
        <f>IF(Q$2=1,SUM(Reported!Q202:Q203,Reported!Q206:Q211),SUM(Reported!Q202:Q203,Reported!Q206:Q211)-SUM(Reported!P202:P203,Reported!P206:P211))</f>
        <v/>
      </c>
      <c r="R112" s="143">
        <f>IF(R$2=1,SUM(Reported!R202:R203,Reported!R206:R211),SUM(Reported!R202:R203,Reported!R206:R211)-SUM(Reported!Q202:Q203,Reported!Q206:Q211))</f>
        <v/>
      </c>
      <c r="S112" s="143">
        <f>IF(S$2=1,SUM(Reported!S202:S203,Reported!S206:S211),SUM(Reported!S202:S203,Reported!S206:S211)-SUM(Reported!R202:R203,Reported!R206:R211))</f>
        <v/>
      </c>
      <c r="T112" s="143">
        <f>IF(T$2=1,SUM(Reported!T202:T203,Reported!T206:T211),SUM(Reported!T202:T203,Reported!T206:T211)-SUM(Reported!S202:S203,Reported!S206:S211))</f>
        <v/>
      </c>
      <c r="U112" s="143">
        <f>IF(U$2=1,SUM(Reported!U202:U203,Reported!U206:U211),SUM(Reported!U202:U203,Reported!U206:U211)-SUM(Reported!T202:T203,Reported!T206:T211))</f>
        <v/>
      </c>
      <c r="V112" s="143">
        <f>IF(V$2=1,SUM(Reported!V202:V203,Reported!V206:V211),SUM(Reported!V202:V203,Reported!V206:V211)-SUM(Reported!U202:U203,Reported!U206:U211))</f>
        <v/>
      </c>
      <c r="W112" s="143">
        <f>IF(W$2=1,SUM(Reported!W202:W203,Reported!W206:W211),SUM(Reported!W202:W203,Reported!W206:W211)-SUM(Reported!V202:V203,Reported!V206:V211))</f>
        <v/>
      </c>
      <c r="X112" s="143">
        <f>IF(X$2=1,SUM(Reported!X202:X203,Reported!X206:X211),SUM(Reported!X202:X203,Reported!X206:X211)-SUM(Reported!W202:W203,Reported!W206:W211))</f>
        <v/>
      </c>
      <c r="Y112" s="143">
        <f>IF(Y$2=1,SUM(Reported!Y202:Y203,Reported!Y206:Y211),SUM(Reported!Y202:Y203,Reported!Y206:Y211)-SUM(Reported!X202:X203,Reported!X206:X211))</f>
        <v/>
      </c>
      <c r="Z112" s="143">
        <f>IF(Z$2=1,SUM(Reported!Z202:Z203,Reported!Z206:Z211),SUM(Reported!Z202:Z203,Reported!Z206:Z211)-SUM(Reported!Y202:Y203,Reported!Y206:Y211))</f>
        <v/>
      </c>
      <c r="AA112" s="143">
        <f>IF(AA$2=1,SUM(Reported!AA202:AA203,Reported!AA206:AA211),SUM(Reported!AA202:AA203,Reported!AA206:AA211)-SUM(Reported!Z202:Z203,Reported!Z206:Z211))</f>
        <v/>
      </c>
      <c r="AB112" s="143">
        <f>IF(AB$2=1,SUM(Reported!AB202:AB203,Reported!AB206:AB211),SUM(Reported!AB202:AB203,Reported!AB206:AB211)-SUM(Reported!AA202:AA203,Reported!AA206:AA211))</f>
        <v/>
      </c>
      <c r="AC112" s="143">
        <f>IF(AC$2=1,SUM(Reported!AC202:AC203,Reported!AC206:AC211),SUM(Reported!AC202:AC203,Reported!AC206:AC211)-SUM(Reported!AB202:AB203,Reported!AB206:AB211))</f>
        <v/>
      </c>
      <c r="AD112" s="143">
        <f>IF(AD$2=1,SUM(Reported!AD202:AD203,Reported!AD206:AD211),SUM(Reported!AD202:AD203,Reported!AD206:AD211)-SUM(Reported!AC202:AC203,Reported!AC206:AC211))</f>
        <v/>
      </c>
      <c r="AE112" s="143">
        <f>IF(AE$2=1,SUM(Reported!AE202:AE203,Reported!AE206:AE211),SUM(Reported!AE202:AE203,Reported!AE206:AE211)-SUM(Reported!AD202:AD203,Reported!AD206:AD211))</f>
        <v/>
      </c>
      <c r="AF112" s="143">
        <f>IF(AF$2=1,SUM(Reported!AF202:AF203,Reported!AF206:AF211),SUM(Reported!AF202:AF203,Reported!AF206:AF211)-SUM(Reported!AE202:AE203,Reported!AE206:AE211))</f>
        <v/>
      </c>
      <c r="AG112" s="143">
        <f>IF(AG$2=1,SUM(Reported!AG202:AG203,Reported!AG206:AG211),SUM(Reported!AG202:AG203,Reported!AG206:AG211)-SUM(Reported!AF202:AF203,Reported!AF206:AF211))</f>
        <v/>
      </c>
      <c r="AH112" s="143">
        <f>IF(AH$2=1,SUM(Reported!AH202:AH203,Reported!AH206:AH211),SUM(Reported!AH202:AH203,Reported!AH206:AH211)-SUM(Reported!AG202:AG203,Reported!AG206:AG211))</f>
        <v/>
      </c>
      <c r="AI112" s="143">
        <f>IF(AI$2=1,SUM(Reported!AI202:AI203,Reported!AI206:AI211),SUM(Reported!AI202:AI203,Reported!AI206:AI211)-SUM(Reported!AH202:AH203,Reported!AH206:AH211))</f>
        <v/>
      </c>
      <c r="AJ112" s="143">
        <f>IF(AJ$2=1,SUM(Reported!AJ202:AJ203,Reported!AJ206:AJ211),SUM(Reported!AJ202:AJ203,Reported!AJ206:AJ211)-SUM(Reported!AI202:AI203,Reported!AI206:AI211))</f>
        <v/>
      </c>
      <c r="AK112" s="143">
        <f>IF(AK$2=1,SUM(Reported!AK202:AK203,Reported!AK206:AK211),SUM(Reported!AK202:AK203,Reported!AK206:AK211)-SUM(Reported!AJ202:AJ203,Reported!AJ206:AJ211))</f>
        <v/>
      </c>
      <c r="AL112" s="143">
        <f>IF(AL$2=1,SUM(Reported!AL202:AL203,Reported!AL206:AL211),SUM(Reported!AL202:AL203,Reported!AL206:AL211)-SUM(Reported!AK202:AK203,Reported!AK206:AK211))</f>
        <v/>
      </c>
      <c r="AM112" s="143">
        <f>IF(AM$2=1,SUM(Reported!AM202:AM203,Reported!AM206:AM211),SUM(Reported!AM202:AM203,Reported!AM206:AM211)-SUM(Reported!AL202:AL203,Reported!AL206:AL211))</f>
        <v/>
      </c>
      <c r="AN112" s="143">
        <f>IF(AN$2=1,SUM(Reported!AN202:AN203,Reported!AN206:AN211),SUM(Reported!AN202:AN203,Reported!AN206:AN211)-SUM(Reported!AM202:AM203,Reported!AM206:AM211))</f>
        <v/>
      </c>
      <c r="AO112" s="143">
        <f>IF(AO$2=1,SUM(Reported!AO202:AO203,Reported!AO206:AO211),SUM(Reported!AO202:AO203,Reported!AO206:AO211)-SUM(Reported!AN202:AN203,Reported!AN206:AN211))</f>
        <v/>
      </c>
      <c r="AP112" s="143">
        <f>IF(AP$2=1,SUM(Reported!AP202:AP203,Reported!AP206:AP211),SUM(Reported!AP202:AP203,Reported!AP206:AP211)-SUM(Reported!AO202:AO203,Reported!AO206:AO211))</f>
        <v/>
      </c>
      <c r="AQ112" s="143">
        <f>IF(AQ$2=1,SUM(Reported!AQ202:AQ203,Reported!AQ206:AQ211),SUM(Reported!AQ202:AQ203,Reported!AQ206:AQ211)-SUM(Reported!AP202:AP203,Reported!AP206:AP211))</f>
        <v/>
      </c>
      <c r="AR112" s="143">
        <f>IF(AR$2=1,SUM(Reported!AR202:AR203,Reported!AR206:AR211),SUM(Reported!AR202:AR203,Reported!AR206:AR211)-SUM(Reported!AQ202:AQ203,Reported!AQ206:AQ211))</f>
        <v/>
      </c>
      <c r="AS112" s="143">
        <f>IF(AS$2=1,SUM(Reported!AS202:AS203,Reported!AS206:AS211),SUM(Reported!AS202:AS203,Reported!AS206:AS211)-SUM(Reported!AR202:AR203,Reported!AR206:AR211))</f>
        <v/>
      </c>
      <c r="AT112" s="143">
        <f>IF(AT$2=1,SUM(Reported!AT202:AT203,Reported!AT206:AT211),SUM(Reported!AT202:AT203,Reported!AT206:AT211)-SUM(Reported!AS202:AS203,Reported!AS206:AS211))</f>
        <v/>
      </c>
      <c r="AU112" s="143">
        <f>IF(AU$2=1,SUM(Reported!AU202:AU203,Reported!AU206:AU211),SUM(Reported!AU202:AU203,Reported!AU206:AU211)-SUM(Reported!AT202:AT203,Reported!AT206:AT211))</f>
        <v/>
      </c>
      <c r="AV112" s="143">
        <f>IF(AV$2=1,SUM(Reported!AV202:AV203,Reported!AV206:AV211),SUM(Reported!AV202:AV203,Reported!AV206:AV211)-SUM(Reported!AU202:AU203,Reported!AU206:AU211))</f>
        <v/>
      </c>
      <c r="AW112" s="143">
        <f>IF(AW$2=1,SUM(Reported!AW202:AW203,Reported!AW206:AW211),SUM(Reported!AW202:AW203,Reported!AW206:AW211)-SUM(Reported!AV202:AV203,Reported!AV206:AV211))</f>
        <v/>
      </c>
      <c r="AX112" s="143">
        <f>IF(AX$2=1,SUM(Reported!AX202:AX203,Reported!AX206:AX211),SUM(Reported!AX202:AX203,Reported!AX206:AX211)-SUM(Reported!AW202:AW203,Reported!AW206:AW211))</f>
        <v/>
      </c>
      <c r="AY112" s="143">
        <f>IF(AY$2=1,SUM(Reported!AY202:AY203,Reported!AY206:AY211),SUM(Reported!AY202:AY203,Reported!AY206:AY211)-SUM(Reported!AX202:AX203,Reported!AX206:AX211))</f>
        <v/>
      </c>
      <c r="AZ112" s="143">
        <f>IF(AZ$2=1,SUM(Reported!AZ202:AZ203,Reported!AZ206:AZ211),SUM(Reported!AZ202:AZ203,Reported!AZ206:AZ211)-SUM(Reported!AY202:AY203,Reported!AY206:AY211))</f>
        <v/>
      </c>
      <c r="BA112" s="143">
        <f>IF(BA$2=1,SUM(Reported!BA202:BA203,Reported!BA206:BA211),SUM(Reported!BA202:BA203,Reported!BA206:BA211)-SUM(Reported!AZ202:AZ203,Reported!AZ206:AZ211))</f>
        <v/>
      </c>
      <c r="BB112" s="143">
        <f>IF(BB$2=1,SUM(Reported!BB202:BB203,Reported!BB206:BB211),SUM(Reported!BB202:BB203,Reported!BB206:BB211)-SUM(Reported!BA202:BA203,Reported!BA206:BA211))</f>
        <v/>
      </c>
      <c r="BC112" s="143">
        <f>IF(BC$2=1,SUM(Reported!BC202:BC203,Reported!BC206:BC211),SUM(Reported!BC202:BC203,Reported!BC206:BC211)-SUM(Reported!BB202:BB203,Reported!BB206:BB211))</f>
        <v/>
      </c>
      <c r="BD112" s="143">
        <f>IF(BD$2=1,SUM(Reported!BD202:BD203,Reported!BD206:BD211),SUM(Reported!BD202:BD203,Reported!BD206:BD211)-SUM(Reported!BC202:BC203,Reported!BC206:BC211))</f>
        <v/>
      </c>
      <c r="BE112" s="143">
        <f>IF(BE$2=1,SUM(Reported!BE202:BE203,Reported!BE206:BE211),SUM(Reported!BE202:BE203,Reported!BE206:BE211)-SUM(Reported!BD202:BD203,Reported!BD206:BD211))</f>
        <v/>
      </c>
      <c r="BF112" s="143">
        <f>IF(BF$2=1,SUM(Reported!BF202:BF203,Reported!BF206:BF211),SUM(Reported!BF202:BF203,Reported!BF206:BF211)-SUM(Reported!BE202:BE203,Reported!BE206:BE211))</f>
        <v/>
      </c>
      <c r="BG112" s="143">
        <f>IF(BG$2=1,SUM(Reported!BG202:BG203,Reported!BG206:BG211),SUM(Reported!BG202:BG203,Reported!BG206:BG211)-SUM(Reported!BF202:BF203,Reported!BF206:BF211))</f>
        <v/>
      </c>
      <c r="BH112" s="143">
        <f>IF(BH$2=1,SUM(Reported!BH202:BH203,Reported!BH206:BH211),SUM(Reported!BH202:BH203,Reported!BH206:BH211)-SUM(Reported!BG202:BG203,Reported!BG206:BG211))</f>
        <v/>
      </c>
      <c r="BI112" s="143">
        <f>IF(BI$2=1,SUM(Reported!BI202:BI203,Reported!BI206:BI211),SUM(Reported!BI202:BI203,Reported!BI206:BI211)-SUM(Reported!BH202:BH203,Reported!BH206:BH211))</f>
        <v/>
      </c>
      <c r="BJ112" s="143">
        <f>IF(BJ$2=1,SUM(Reported!BJ202:BJ203,Reported!BJ206:BJ211),SUM(Reported!BJ202:BJ203,Reported!BJ206:BJ211)-SUM(Reported!BI202:BI203,Reported!BI206:BI211))</f>
        <v/>
      </c>
      <c r="BK112" s="143">
        <f>IF(BK$2=1,SUM(Reported!BK202:BK203,Reported!BK206:BK211),SUM(Reported!BK202:BK203,Reported!BK206:BK211)-SUM(Reported!BJ202:BJ203,Reported!BJ206:BJ211))</f>
        <v/>
      </c>
      <c r="BL112" s="143">
        <f>IF(BL$2=1,SUM(Reported!BL202:BL203,Reported!BL206:BL211),SUM(Reported!BL202:BL203,Reported!BL206:BL211)-SUM(Reported!BK202:BK203,Reported!BK206:BK211))</f>
        <v/>
      </c>
      <c r="BM112" s="143">
        <f>IF(BM$2=1,SUM(Reported!BM202:BM203,Reported!BM206:BM211),SUM(Reported!BM202:BM203,Reported!BM206:BM211)-SUM(Reported!BL202:BL203,Reported!BL206:BL211))</f>
        <v/>
      </c>
      <c r="BN112" s="143">
        <f>IF(BN$2=1,SUM(Reported!BN202:BN203,Reported!BN206:BN211),SUM(Reported!BN202:BN203,Reported!BN206:BN211)-SUM(Reported!BM202:BM203,Reported!BM206:BM211))</f>
        <v/>
      </c>
      <c r="BO112" s="143">
        <f>IF(BO$2=1,SUM(Reported!BO202:BO203,Reported!BO206:BO211),SUM(Reported!BO202:BO203,Reported!BO206:BO211)-SUM(Reported!BN202:BN203,Reported!BN206:BN211))</f>
        <v/>
      </c>
      <c r="BP112" s="143">
        <f>IF(BP$2=1,SUM(Reported!BP202:BP203,Reported!BP206:BP211),SUM(Reported!BP202:BP203,Reported!BP206:BP211)-SUM(Reported!BO202:BO203,Reported!BO206:BO211))</f>
        <v/>
      </c>
      <c r="BQ112" s="143">
        <f>IF(BQ$2=1,SUM(Reported!BQ202:BQ203,Reported!BQ206:BQ211),SUM(Reported!BQ202:BQ203,Reported!BQ206:BQ211)-SUM(Reported!BP202:BP203,Reported!BP206:BP211))</f>
        <v/>
      </c>
      <c r="BR112" s="143">
        <f>IF(BR$2=1,SUM(Reported!BR202:BR203,Reported!BR206:BR211),SUM(Reported!BR202:BR203,Reported!BR206:BR211)-SUM(Reported!BQ202:BQ203,Reported!BQ206:BQ211))</f>
        <v/>
      </c>
      <c r="BS112" s="517">
        <f>Assumption!BS216-Assumption!BR216</f>
        <v/>
      </c>
      <c r="BT112" s="517">
        <f>Assumption!BT216-Assumption!BS216</f>
        <v/>
      </c>
      <c r="BU112" s="517">
        <f>Assumption!BU216-Assumption!BT216</f>
        <v/>
      </c>
      <c r="BV112" s="517">
        <f>Assumption!BV216-Assumption!BU216</f>
        <v/>
      </c>
      <c r="BW112" s="517">
        <f>Assumption!BW216-Assumption!BV216</f>
        <v/>
      </c>
      <c r="BX112" s="517">
        <f>Assumption!BX216-Assumption!BW216</f>
        <v/>
      </c>
      <c r="BY112" s="517">
        <f>Assumption!BY216-Assumption!BX216</f>
        <v/>
      </c>
      <c r="BZ112" s="517">
        <f>Assumption!BZ216-Assumption!BY216</f>
        <v/>
      </c>
      <c r="CA112" s="517">
        <f>Assumption!CA216-Assumption!BZ216</f>
        <v/>
      </c>
      <c r="CB112" s="517">
        <f>Assumption!CB216-Assumption!CA216</f>
        <v/>
      </c>
      <c r="CC112" s="517">
        <f>Assumption!CC216-Assumption!CB216</f>
        <v/>
      </c>
      <c r="CD112" s="517">
        <f>Assumption!CD216-Assumption!CC216</f>
        <v/>
      </c>
      <c r="CE112" s="517">
        <f>Assumption!CE216-Assumption!CD216</f>
        <v/>
      </c>
      <c r="CF112" s="517">
        <f>Assumption!CF216-Assumption!CE216</f>
        <v/>
      </c>
      <c r="CG112" s="517">
        <f>Assumption!CG216-Assumption!CF216</f>
        <v/>
      </c>
      <c r="CH112" s="517">
        <f>Assumption!CH216-Assumption!CG216</f>
        <v/>
      </c>
      <c r="CI112" s="517">
        <f>Assumption!CI216-Assumption!CH216</f>
        <v/>
      </c>
      <c r="CJ112" s="517">
        <f>Assumption!CJ216-Assumption!CI216</f>
        <v/>
      </c>
      <c r="CK112" s="517">
        <f>Assumption!CK216-Assumption!CJ216</f>
        <v/>
      </c>
    </row>
    <row r="113" customFormat="1" s="22">
      <c r="A113" s="22" t="inlineStr">
        <is>
          <t>Net cash provided by financing activities</t>
        </is>
      </c>
      <c r="B113" s="133" t="n"/>
      <c r="C113" s="133" t="n"/>
      <c r="D113" s="133" t="n"/>
      <c r="E113" s="133" t="n"/>
      <c r="F113" s="133" t="n"/>
      <c r="G113" s="133" t="n"/>
      <c r="H113" s="133" t="n"/>
      <c r="I113" s="133" t="n"/>
      <c r="J113" s="133" t="n"/>
      <c r="K113" s="133" t="n"/>
      <c r="L113" s="133" t="n"/>
      <c r="M113" s="133" t="n"/>
      <c r="N113" s="671">
        <f>IF(N$2=1,Reported!N212,Reported!N212-Reported!M212)</f>
        <v/>
      </c>
      <c r="O113" s="671">
        <f>IF(O$2=1,Reported!O212,Reported!O212-Reported!N212)</f>
        <v/>
      </c>
      <c r="P113" s="671">
        <f>IF(P$2=1,Reported!P212,Reported!P212-Reported!O212)</f>
        <v/>
      </c>
      <c r="Q113" s="671">
        <f>IF(Q$2=1,Reported!Q212,Reported!Q212-Reported!P212)</f>
        <v/>
      </c>
      <c r="R113" s="671">
        <f>IF(R$2=1,Reported!R212,Reported!R212-Reported!Q212)</f>
        <v/>
      </c>
      <c r="S113" s="671">
        <f>IF(S$2=1,Reported!S212,Reported!S212-Reported!R212)</f>
        <v/>
      </c>
      <c r="T113" s="671">
        <f>IF(T$2=1,Reported!T212,Reported!T212-Reported!S212)</f>
        <v/>
      </c>
      <c r="U113" s="671">
        <f>IF(U$2=1,Reported!U212,Reported!U212-Reported!T212)</f>
        <v/>
      </c>
      <c r="V113" s="671">
        <f>IF(V$2=1,Reported!V212,Reported!V212-Reported!U212)</f>
        <v/>
      </c>
      <c r="W113" s="671">
        <f>IF(W$2=1,Reported!W212,Reported!W212-Reported!V212)</f>
        <v/>
      </c>
      <c r="X113" s="671">
        <f>IF(X$2=1,Reported!X212,Reported!X212-Reported!W212)</f>
        <v/>
      </c>
      <c r="Y113" s="671">
        <f>IF(Y$2=1,Reported!Y212,Reported!Y212-Reported!X212)</f>
        <v/>
      </c>
      <c r="Z113" s="671">
        <f>IF(Z$2=1,Reported!Z212,Reported!Z212-Reported!Y212)</f>
        <v/>
      </c>
      <c r="AA113" s="671">
        <f>IF(AA$2=1,Reported!AA212,Reported!AA212-Reported!Z212)</f>
        <v/>
      </c>
      <c r="AB113" s="671">
        <f>IF(AB$2=1,Reported!AB212,Reported!AB212-Reported!AA212)</f>
        <v/>
      </c>
      <c r="AC113" s="671">
        <f>IF(AC$2=1,Reported!AC212,Reported!AC212-Reported!AB212)</f>
        <v/>
      </c>
      <c r="AD113" s="671">
        <f>IF(AD$2=1,Reported!AD212,Reported!AD212-Reported!AC212)</f>
        <v/>
      </c>
      <c r="AE113" s="671">
        <f>IF(AE$2=1,Reported!AE212,Reported!AE212-Reported!AD212)</f>
        <v/>
      </c>
      <c r="AF113" s="671">
        <f>IF(AF$2=1,Reported!AF212,Reported!AF212-Reported!AE212)</f>
        <v/>
      </c>
      <c r="AG113" s="671">
        <f>IF(AG$2=1,Reported!AG212,Reported!AG212-Reported!AF212)</f>
        <v/>
      </c>
      <c r="AH113" s="671">
        <f>IF(AH$2=1,Reported!AH212,Reported!AH212-Reported!AG212)</f>
        <v/>
      </c>
      <c r="AI113" s="671">
        <f>IF(AI$2=1,Reported!AI212,Reported!AI212-Reported!AH212)</f>
        <v/>
      </c>
      <c r="AJ113" s="671">
        <f>IF(AJ$2=1,Reported!AJ212,Reported!AJ212-Reported!AI212)</f>
        <v/>
      </c>
      <c r="AK113" s="671">
        <f>IF(AK$2=1,Reported!AK212,Reported!AK212-Reported!AJ212)</f>
        <v/>
      </c>
      <c r="AL113" s="671">
        <f>IF(AL$2=1,Reported!AL212,Reported!AL212-Reported!AK212)</f>
        <v/>
      </c>
      <c r="AM113" s="671">
        <f>IF(AM$2=1,Reported!AM212,Reported!AM212-Reported!AL212)</f>
        <v/>
      </c>
      <c r="AN113" s="671">
        <f>IF(AN$2=1,Reported!AN212,Reported!AN212-Reported!AM212)</f>
        <v/>
      </c>
      <c r="AO113" s="671">
        <f>IF(AO$2=1,Reported!AO212,Reported!AO212-Reported!AN212)</f>
        <v/>
      </c>
      <c r="AP113" s="671">
        <f>IF(AP$2=1,Reported!AP212,Reported!AP212-Reported!AO212)</f>
        <v/>
      </c>
      <c r="AQ113" s="671">
        <f>IF(AQ$2=1,Reported!AQ212,Reported!AQ212-Reported!AP212)</f>
        <v/>
      </c>
      <c r="AR113" s="671">
        <f>IF(AR$2=1,Reported!AR212,Reported!AR212-Reported!AQ212)</f>
        <v/>
      </c>
      <c r="AS113" s="671">
        <f>IF(AS$2=1,Reported!AS212,Reported!AS212-Reported!AR212)</f>
        <v/>
      </c>
      <c r="AT113" s="671">
        <f>IF(AT$2=1,Reported!AT212,Reported!AT212-Reported!AS212)</f>
        <v/>
      </c>
      <c r="AU113" s="671">
        <f>IF(AU$2=1,Reported!AU212,Reported!AU212-Reported!AT212)</f>
        <v/>
      </c>
      <c r="AV113" s="671">
        <f>IF(AV$2=1,Reported!AV212,Reported!AV212-Reported!AU212)</f>
        <v/>
      </c>
      <c r="AW113" s="671">
        <f>IF(AW$2=1,Reported!AW212,Reported!AW212-Reported!AV212)</f>
        <v/>
      </c>
      <c r="AX113" s="671">
        <f>IF(AX$2=1,Reported!AX212,Reported!AX212-Reported!AW212)</f>
        <v/>
      </c>
      <c r="AY113" s="671">
        <f>IF(AY$2=1,Reported!AY212,Reported!AY212-Reported!AX212)</f>
        <v/>
      </c>
      <c r="AZ113" s="671">
        <f>IF(AZ$2=1,Reported!AZ212,Reported!AZ212-Reported!AY212)</f>
        <v/>
      </c>
      <c r="BA113" s="671">
        <f>IF(BA$2=1,Reported!BA212,Reported!BA212-Reported!AZ212)</f>
        <v/>
      </c>
      <c r="BB113" s="671">
        <f>IF(BB$2=1,Reported!BB212,Reported!BB212-Reported!BA212)</f>
        <v/>
      </c>
      <c r="BC113" s="671">
        <f>IF(BC$2=1,Reported!BC212,Reported!BC212-Reported!BB212)</f>
        <v/>
      </c>
      <c r="BD113" s="671">
        <f>IF(BD$2=1,Reported!BD212,Reported!BD212-Reported!BC212)</f>
        <v/>
      </c>
      <c r="BE113" s="671">
        <f>IF(BE$2=1,Reported!BE212,Reported!BE212-Reported!BD212)</f>
        <v/>
      </c>
      <c r="BF113" s="671">
        <f>IF(BF$2=1,Reported!BF212,Reported!BF212-Reported!BE212)</f>
        <v/>
      </c>
      <c r="BG113" s="671">
        <f>IF(BG$2=1,Reported!BG212,Reported!BG212-Reported!BF212)</f>
        <v/>
      </c>
      <c r="BH113" s="671">
        <f>IF(BH$2=1,Reported!BH212,Reported!BH212-Reported!BG212)</f>
        <v/>
      </c>
      <c r="BI113" s="671">
        <f>IF(BI$2=1,Reported!BI212,Reported!BI212-Reported!BH212)</f>
        <v/>
      </c>
      <c r="BJ113" s="671">
        <f>IF(BJ$2=1,Reported!BJ212,Reported!BJ212-Reported!BI212)</f>
        <v/>
      </c>
      <c r="BK113" s="671">
        <f>IF(BK$2=1,Reported!BK212,Reported!BK212-Reported!BJ212)</f>
        <v/>
      </c>
      <c r="BL113" s="671">
        <f>IF(BL$2=1,Reported!BL212,Reported!BL212-Reported!BK212)</f>
        <v/>
      </c>
      <c r="BM113" s="671">
        <f>IF(BM$2=1,Reported!BM212,Reported!BM212-Reported!BL212)</f>
        <v/>
      </c>
      <c r="BN113" s="671">
        <f>IF(BN$2=1,Reported!BN212,Reported!BN212-Reported!BM212)</f>
        <v/>
      </c>
      <c r="BO113" s="671">
        <f>IF(BO$2=1,Reported!BO212,Reported!BO212-Reported!BN212)</f>
        <v/>
      </c>
      <c r="BP113" s="671">
        <f>IF(BP$2=1,Reported!BP212,Reported!BP212-Reported!BO212)</f>
        <v/>
      </c>
      <c r="BQ113" s="671">
        <f>IF(BQ$2=1,Reported!BQ212,Reported!BQ212-Reported!BP212)</f>
        <v/>
      </c>
      <c r="BR113" s="671">
        <f>IF(BR$2=1,Reported!BR212,Reported!BR212-Reported!BQ212)</f>
        <v/>
      </c>
      <c r="BS113" s="128">
        <f>SUM(BS110:BS112)</f>
        <v/>
      </c>
      <c r="BT113" s="128">
        <f>SUM(BT110:BT112)</f>
        <v/>
      </c>
      <c r="BU113" s="128">
        <f>SUM(BU110:BU112)</f>
        <v/>
      </c>
      <c r="BV113" s="128">
        <f>SUM(BV110:BV112)</f>
        <v/>
      </c>
      <c r="BW113" s="128">
        <f>SUM(BW110:BW112)</f>
        <v/>
      </c>
      <c r="BX113" s="128">
        <f>SUM(BX110:BX112)</f>
        <v/>
      </c>
      <c r="BY113" s="128">
        <f>SUM(BY110:BY112)</f>
        <v/>
      </c>
      <c r="BZ113" s="128">
        <f>SUM(BZ110:BZ112)</f>
        <v/>
      </c>
      <c r="CA113" s="128">
        <f>SUM(CA110:CA112)</f>
        <v/>
      </c>
      <c r="CB113" s="128">
        <f>SUM(CB110:CB112)</f>
        <v/>
      </c>
      <c r="CC113" s="128">
        <f>SUM(CC110:CC112)</f>
        <v/>
      </c>
      <c r="CD113" s="128">
        <f>SUM(CD110:CD112)</f>
        <v/>
      </c>
      <c r="CE113" s="128">
        <f>SUM(CE110:CE112)</f>
        <v/>
      </c>
      <c r="CF113" s="128">
        <f>SUM(CF110:CF112)</f>
        <v/>
      </c>
      <c r="CG113" s="128">
        <f>SUM(CG110:CG112)</f>
        <v/>
      </c>
      <c r="CH113" s="128">
        <f>SUM(CH110:CH112)</f>
        <v/>
      </c>
      <c r="CI113" s="128">
        <f>SUM(CI110:CI112)</f>
        <v/>
      </c>
      <c r="CJ113" s="128">
        <f>SUM(CJ110:CJ112)</f>
        <v/>
      </c>
      <c r="CK113" s="128">
        <f>SUM(CK110:CK112)</f>
        <v/>
      </c>
    </row>
    <row r="114">
      <c r="B114" s="20" t="n"/>
      <c r="C114" s="20" t="n"/>
      <c r="D114" s="20" t="n"/>
      <c r="E114" s="20" t="n"/>
      <c r="F114" s="20" t="n"/>
      <c r="G114" s="20" t="n"/>
      <c r="H114" s="20" t="n"/>
      <c r="I114" s="20" t="n"/>
      <c r="J114" s="20" t="n"/>
      <c r="K114" s="20" t="n"/>
      <c r="L114" s="20" t="n"/>
      <c r="M114" s="20" t="n"/>
      <c r="N114" s="512" t="n"/>
      <c r="O114" s="512" t="n"/>
      <c r="P114" s="512" t="n"/>
      <c r="Q114" s="512" t="n"/>
      <c r="R114" s="512" t="n"/>
      <c r="S114" s="512" t="n"/>
      <c r="T114" s="512" t="n"/>
      <c r="U114" s="512" t="n"/>
      <c r="V114" s="512" t="n"/>
      <c r="W114" s="512" t="n"/>
      <c r="X114" s="512" t="n"/>
      <c r="Y114" s="512" t="n"/>
      <c r="Z114" s="512" t="n"/>
      <c r="AA114" s="512" t="n"/>
      <c r="AB114" s="512" t="n"/>
      <c r="AC114" s="512" t="n"/>
      <c r="AD114" s="512" t="n"/>
      <c r="AE114" s="512" t="n"/>
      <c r="AF114" s="512" t="n"/>
      <c r="AG114" s="512" t="n"/>
      <c r="AH114" s="512" t="n"/>
      <c r="AI114" s="512" t="n"/>
      <c r="AJ114" s="512" t="n"/>
      <c r="AK114" s="512" t="n"/>
      <c r="AL114" s="512" t="n"/>
      <c r="AM114" s="512" t="n"/>
      <c r="AN114" s="512" t="n"/>
      <c r="AO114" s="512" t="n"/>
      <c r="AP114" s="512" t="n"/>
      <c r="AQ114" s="512" t="n"/>
      <c r="AR114" s="512" t="n"/>
      <c r="AS114" s="512" t="n"/>
      <c r="AT114" s="512" t="n"/>
      <c r="AU114" s="512" t="n"/>
      <c r="AV114" s="512" t="n"/>
      <c r="AW114" s="512" t="n"/>
      <c r="AX114" s="512" t="n"/>
      <c r="AY114" s="512" t="n"/>
      <c r="AZ114" s="512" t="n"/>
      <c r="BA114" s="512" t="n"/>
      <c r="BB114" s="512" t="n"/>
      <c r="BC114" s="512" t="n"/>
      <c r="BD114" s="512" t="n"/>
      <c r="BE114" s="512" t="n"/>
      <c r="BF114" s="512" t="n"/>
      <c r="BG114" s="512" t="n"/>
      <c r="BH114" s="512" t="n"/>
      <c r="BI114" s="512" t="n"/>
      <c r="BJ114" s="512" t="n"/>
      <c r="BK114" s="512" t="n"/>
      <c r="BL114" s="512" t="n"/>
      <c r="BM114" s="512" t="n"/>
      <c r="BN114" s="512" t="n"/>
      <c r="BO114" s="512" t="n"/>
      <c r="BP114" s="512" t="n"/>
      <c r="BQ114" s="512" t="n"/>
      <c r="BR114" s="512" t="n"/>
    </row>
    <row r="115">
      <c r="A115" s="502" t="inlineStr">
        <is>
          <t>Effect of changes in exchange rates on cash and cash equivalents</t>
        </is>
      </c>
      <c r="B115" s="145" t="n"/>
      <c r="C115" s="145" t="n"/>
      <c r="D115" s="145" t="n"/>
      <c r="E115" s="145" t="n"/>
      <c r="F115" s="145" t="n"/>
      <c r="G115" s="145" t="n"/>
      <c r="H115" s="145" t="n"/>
      <c r="I115" s="145" t="n"/>
      <c r="J115" s="145" t="n"/>
      <c r="K115" s="145" t="n"/>
      <c r="L115" s="145" t="n"/>
      <c r="M115" s="145" t="n"/>
      <c r="N115" s="509">
        <f>IF(N$2=1,Reported!N214,Reported!N214-Reported!M214)</f>
        <v/>
      </c>
      <c r="O115" s="509">
        <f>IF(O$2=1,Reported!O214,Reported!O214-Reported!N214)</f>
        <v/>
      </c>
      <c r="P115" s="509">
        <f>IF(P$2=1,Reported!P214,Reported!P214-Reported!O214)</f>
        <v/>
      </c>
      <c r="Q115" s="509">
        <f>IF(Q$2=1,Reported!Q214,Reported!Q214-Reported!P214)</f>
        <v/>
      </c>
      <c r="R115" s="509">
        <f>IF(R$2=1,Reported!R214,Reported!R214-Reported!Q214)</f>
        <v/>
      </c>
      <c r="S115" s="509">
        <f>IF(S$2=1,Reported!S214,Reported!S214-Reported!R214)</f>
        <v/>
      </c>
      <c r="T115" s="509">
        <f>IF(T$2=1,Reported!T214,Reported!T214-Reported!S214)</f>
        <v/>
      </c>
      <c r="U115" s="509">
        <f>IF(U$2=1,Reported!U214,Reported!U214-Reported!T214)</f>
        <v/>
      </c>
      <c r="V115" s="509">
        <f>IF(V$2=1,Reported!V214,Reported!V214-Reported!U214)</f>
        <v/>
      </c>
      <c r="W115" s="509">
        <f>IF(W$2=1,Reported!W214,Reported!W214-Reported!V214)</f>
        <v/>
      </c>
      <c r="X115" s="509">
        <f>IF(X$2=1,Reported!X214,Reported!X214-Reported!W214)</f>
        <v/>
      </c>
      <c r="Y115" s="509">
        <f>IF(Y$2=1,Reported!Y214,Reported!Y214-Reported!X214)</f>
        <v/>
      </c>
      <c r="Z115" s="509">
        <f>IF(Z$2=1,Reported!Z214,Reported!Z214-Reported!Y214)</f>
        <v/>
      </c>
      <c r="AA115" s="509">
        <f>IF(AA$2=1,Reported!AA214,Reported!AA214-Reported!Z214)</f>
        <v/>
      </c>
      <c r="AB115" s="509">
        <f>IF(AB$2=1,Reported!AB214,Reported!AB214-Reported!AA214)</f>
        <v/>
      </c>
      <c r="AC115" s="509">
        <f>IF(AC$2=1,Reported!AC214,Reported!AC214-Reported!AB214)</f>
        <v/>
      </c>
      <c r="AD115" s="509">
        <f>IF(AD$2=1,Reported!AD214,Reported!AD214-Reported!AC214)</f>
        <v/>
      </c>
      <c r="AE115" s="509">
        <f>IF(AE$2=1,Reported!AE214,Reported!AE214-Reported!AD214)</f>
        <v/>
      </c>
      <c r="AF115" s="509">
        <f>IF(AF$2=1,Reported!AF214,Reported!AF214-Reported!AE214)</f>
        <v/>
      </c>
      <c r="AG115" s="509">
        <f>IF(AG$2=1,Reported!AG214,Reported!AG214-Reported!AF214)</f>
        <v/>
      </c>
      <c r="AH115" s="509">
        <f>IF(AH$2=1,Reported!AH214,Reported!AH214-Reported!AG214)</f>
        <v/>
      </c>
      <c r="AI115" s="509">
        <f>IF(AI$2=1,Reported!AI214,Reported!AI214-Reported!AH214)</f>
        <v/>
      </c>
      <c r="AJ115" s="509">
        <f>IF(AJ$2=1,Reported!AJ214,Reported!AJ214-Reported!AI214)</f>
        <v/>
      </c>
      <c r="AK115" s="509">
        <f>IF(AK$2=1,Reported!AK214,Reported!AK214-Reported!AJ214)</f>
        <v/>
      </c>
      <c r="AL115" s="509">
        <f>IF(AL$2=1,Reported!AL214,Reported!AL214-Reported!AK214)</f>
        <v/>
      </c>
      <c r="AM115" s="509">
        <f>IF(AM$2=1,Reported!AM214,Reported!AM214-Reported!AL214)</f>
        <v/>
      </c>
      <c r="AN115" s="509">
        <f>IF(AN$2=1,Reported!AN214,Reported!AN214-Reported!AM214)</f>
        <v/>
      </c>
      <c r="AO115" s="509">
        <f>IF(AO$2=1,Reported!AO214,Reported!AO214-Reported!AN214)</f>
        <v/>
      </c>
      <c r="AP115" s="509">
        <f>IF(AP$2=1,Reported!AP214,Reported!AP214-Reported!AO214)</f>
        <v/>
      </c>
      <c r="AQ115" s="509">
        <f>IF(AQ$2=1,Reported!AQ214,Reported!AQ214-Reported!AP214)</f>
        <v/>
      </c>
      <c r="AR115" s="509">
        <f>IF(AR$2=1,Reported!AR214,Reported!AR214-Reported!AQ214)</f>
        <v/>
      </c>
      <c r="AS115" s="509">
        <f>IF(AS$2=1,Reported!AS214,Reported!AS214-Reported!AR214)</f>
        <v/>
      </c>
      <c r="AT115" s="509">
        <f>IF(AT$2=1,Reported!AT214,Reported!AT214-Reported!AS214)</f>
        <v/>
      </c>
      <c r="AU115" s="509">
        <f>IF(AU$2=1,Reported!AU214,Reported!AU214-Reported!AT214)</f>
        <v/>
      </c>
      <c r="AV115" s="509">
        <f>IF(AV$2=1,Reported!AV214,Reported!AV214-Reported!AU214)</f>
        <v/>
      </c>
      <c r="AW115" s="509">
        <f>IF(AW$2=1,Reported!AW214,Reported!AW214-Reported!AV214)</f>
        <v/>
      </c>
      <c r="AX115" s="509">
        <f>IF(AX$2=1,Reported!AX214,Reported!AX214-Reported!AW214)</f>
        <v/>
      </c>
      <c r="AY115" s="509">
        <f>IF(AY$2=1,Reported!AY214,Reported!AY214-Reported!AX214)</f>
        <v/>
      </c>
      <c r="AZ115" s="509">
        <f>IF(AZ$2=1,Reported!AZ214,Reported!AZ214-Reported!AY214)</f>
        <v/>
      </c>
      <c r="BA115" s="509">
        <f>IF(BA$2=1,Reported!BA214,Reported!BA214-Reported!AZ214)</f>
        <v/>
      </c>
      <c r="BB115" s="509">
        <f>IF(BB$2=1,Reported!BB214,Reported!BB214-Reported!BA214)</f>
        <v/>
      </c>
      <c r="BC115" s="509">
        <f>IF(BC$2=1,Reported!BC214,Reported!BC214-Reported!BB214)</f>
        <v/>
      </c>
      <c r="BD115" s="509">
        <f>IF(BD$2=1,Reported!BD214,Reported!BD214-Reported!BC214)</f>
        <v/>
      </c>
      <c r="BE115" s="509">
        <f>IF(BE$2=1,Reported!BE214,Reported!BE214-Reported!BD214)</f>
        <v/>
      </c>
      <c r="BF115" s="509">
        <f>IF(BF$2=1,Reported!BF214,Reported!BF214-Reported!BE214)</f>
        <v/>
      </c>
      <c r="BG115" s="509">
        <f>IF(BG$2=1,Reported!BG214,Reported!BG214-Reported!BF214)</f>
        <v/>
      </c>
      <c r="BH115" s="509">
        <f>IF(BH$2=1,Reported!BH214,Reported!BH214-Reported!BG214)</f>
        <v/>
      </c>
      <c r="BI115" s="509">
        <f>IF(BI$2=1,Reported!BI214,Reported!BI214-Reported!BH214)</f>
        <v/>
      </c>
      <c r="BJ115" s="509">
        <f>IF(BJ$2=1,Reported!BJ214,Reported!BJ214-Reported!BI214)</f>
        <v/>
      </c>
      <c r="BK115" s="509">
        <f>IF(BK$2=1,Reported!BK214,Reported!BK214-Reported!BJ214)</f>
        <v/>
      </c>
      <c r="BL115" s="509">
        <f>IF(BL$2=1,Reported!BL214,Reported!BL214-Reported!BK214)</f>
        <v/>
      </c>
      <c r="BM115" s="509">
        <f>IF(BM$2=1,Reported!BM214,Reported!BM214-Reported!BL214)</f>
        <v/>
      </c>
      <c r="BN115" s="509">
        <f>IF(BN$2=1,Reported!BN214,Reported!BN214-Reported!BM214)</f>
        <v/>
      </c>
      <c r="BO115" s="509">
        <f>IF(BO$2=1,Reported!BO214,Reported!BO214-Reported!BN214)</f>
        <v/>
      </c>
      <c r="BP115" s="509">
        <f>IF(BP$2=1,Reported!BP214,Reported!BP214-Reported!BO214)</f>
        <v/>
      </c>
      <c r="BQ115" s="509">
        <f>IF(BQ$2=1,Reported!BQ214,Reported!BQ214-Reported!BP214)</f>
        <v/>
      </c>
      <c r="BR115" s="509">
        <f>IF(BR$2=1,Reported!BR214,Reported!BR214-Reported!BQ214)</f>
        <v/>
      </c>
      <c r="BS115" s="458" t="n">
        <v>0</v>
      </c>
      <c r="BT115" s="458" t="n">
        <v>0</v>
      </c>
      <c r="BU115" s="458" t="n">
        <v>0</v>
      </c>
      <c r="BV115" s="458" t="n">
        <v>0</v>
      </c>
      <c r="BW115" s="458" t="n">
        <v>0</v>
      </c>
      <c r="BX115" s="458" t="n">
        <v>0</v>
      </c>
      <c r="BY115" s="458" t="n">
        <v>0</v>
      </c>
      <c r="BZ115" s="458" t="n">
        <v>0</v>
      </c>
      <c r="CA115" s="458" t="n">
        <v>0</v>
      </c>
      <c r="CB115" s="458" t="n">
        <v>0</v>
      </c>
      <c r="CC115" s="458" t="n">
        <v>0</v>
      </c>
      <c r="CD115" s="458" t="n">
        <v>0</v>
      </c>
      <c r="CE115" s="458" t="n">
        <v>0</v>
      </c>
      <c r="CF115" s="458" t="n">
        <v>0</v>
      </c>
      <c r="CG115" s="458" t="n">
        <v>0</v>
      </c>
      <c r="CH115" s="458" t="n">
        <v>0</v>
      </c>
      <c r="CI115" s="458" t="n">
        <v>0</v>
      </c>
      <c r="CJ115" s="458" t="n">
        <v>0</v>
      </c>
      <c r="CK115" s="458" t="n">
        <v>0</v>
      </c>
    </row>
    <row r="116" customFormat="1" s="22">
      <c r="A116" s="503" t="inlineStr">
        <is>
          <t>Net increase in cash and cash equivalents</t>
        </is>
      </c>
      <c r="B116" s="133" t="n"/>
      <c r="C116" s="133" t="n"/>
      <c r="D116" s="133" t="n"/>
      <c r="E116" s="133" t="n"/>
      <c r="F116" s="133" t="n"/>
      <c r="G116" s="133" t="n"/>
      <c r="H116" s="133" t="n"/>
      <c r="I116" s="133" t="n"/>
      <c r="J116" s="133" t="n"/>
      <c r="K116" s="133" t="n"/>
      <c r="L116" s="133" t="n"/>
      <c r="M116" s="133" t="n"/>
      <c r="N116" s="671">
        <f>IF(N$2=1,Reported!N215,Reported!N215-Reported!M215)</f>
        <v/>
      </c>
      <c r="O116" s="671">
        <f>IF(O$2=1,Reported!O215,Reported!O215-Reported!N215)</f>
        <v/>
      </c>
      <c r="P116" s="671">
        <f>IF(P$2=1,Reported!P215,Reported!P215-Reported!O215)</f>
        <v/>
      </c>
      <c r="Q116" s="671">
        <f>IF(Q$2=1,Reported!Q215,Reported!Q215-Reported!P215)</f>
        <v/>
      </c>
      <c r="R116" s="671">
        <f>IF(R$2=1,Reported!R215,Reported!R215-Reported!Q215)</f>
        <v/>
      </c>
      <c r="S116" s="671">
        <f>IF(S$2=1,Reported!S215,Reported!S215-Reported!R215)</f>
        <v/>
      </c>
      <c r="T116" s="671">
        <f>IF(T$2=1,Reported!T215,Reported!T215-Reported!S215)</f>
        <v/>
      </c>
      <c r="U116" s="671">
        <f>IF(U$2=1,Reported!U215,Reported!U215-Reported!T215)</f>
        <v/>
      </c>
      <c r="V116" s="671">
        <f>IF(V$2=1,Reported!V215,Reported!V215-Reported!U215)</f>
        <v/>
      </c>
      <c r="W116" s="671">
        <f>IF(W$2=1,Reported!W215,Reported!W215-Reported!V215)</f>
        <v/>
      </c>
      <c r="X116" s="671">
        <f>IF(X$2=1,Reported!X215,Reported!X215-Reported!W215)</f>
        <v/>
      </c>
      <c r="Y116" s="671">
        <f>IF(Y$2=1,Reported!Y215,Reported!Y215-Reported!X215)</f>
        <v/>
      </c>
      <c r="Z116" s="671">
        <f>IF(Z$2=1,Reported!Z215,Reported!Z215-Reported!Y215)</f>
        <v/>
      </c>
      <c r="AA116" s="671">
        <f>IF(AA$2=1,Reported!AA215,Reported!AA215-Reported!Z215)</f>
        <v/>
      </c>
      <c r="AB116" s="671">
        <f>IF(AB$2=1,Reported!AB215,Reported!AB215-Reported!AA215)</f>
        <v/>
      </c>
      <c r="AC116" s="671">
        <f>IF(AC$2=1,Reported!AC215,Reported!AC215-Reported!AB215)</f>
        <v/>
      </c>
      <c r="AD116" s="671">
        <f>IF(AD$2=1,Reported!AD215,Reported!AD215-Reported!AC215)</f>
        <v/>
      </c>
      <c r="AE116" s="671">
        <f>IF(AE$2=1,Reported!AE215,Reported!AE215-Reported!AD215)</f>
        <v/>
      </c>
      <c r="AF116" s="671">
        <f>IF(AF$2=1,Reported!AF215,Reported!AF215-Reported!AE215)</f>
        <v/>
      </c>
      <c r="AG116" s="671">
        <f>IF(AG$2=1,Reported!AG215,Reported!AG215-Reported!AF215)</f>
        <v/>
      </c>
      <c r="AH116" s="671">
        <f>IF(AH$2=1,Reported!AH215,Reported!AH215-Reported!AG215)</f>
        <v/>
      </c>
      <c r="AI116" s="671">
        <f>IF(AI$2=1,Reported!AI215,Reported!AI215-Reported!AH215)</f>
        <v/>
      </c>
      <c r="AJ116" s="671">
        <f>IF(AJ$2=1,Reported!AJ215,Reported!AJ215-Reported!AI215)</f>
        <v/>
      </c>
      <c r="AK116" s="671">
        <f>IF(AK$2=1,Reported!AK215,Reported!AK215-Reported!AJ215)</f>
        <v/>
      </c>
      <c r="AL116" s="671">
        <f>IF(AL$2=1,Reported!AL215,Reported!AL215-Reported!AK215)</f>
        <v/>
      </c>
      <c r="AM116" s="671">
        <f>IF(AM$2=1,Reported!AM215,Reported!AM215-Reported!AL215)</f>
        <v/>
      </c>
      <c r="AN116" s="671">
        <f>IF(AN$2=1,Reported!AN215,Reported!AN215-Reported!AM215)</f>
        <v/>
      </c>
      <c r="AO116" s="671">
        <f>IF(AO$2=1,Reported!AO215,Reported!AO215-Reported!AN215)</f>
        <v/>
      </c>
      <c r="AP116" s="671">
        <f>IF(AP$2=1,Reported!AP215,Reported!AP215-Reported!AO215)</f>
        <v/>
      </c>
      <c r="AQ116" s="671">
        <f>IF(AQ$2=1,Reported!AQ215,Reported!AQ215-Reported!AP215)</f>
        <v/>
      </c>
      <c r="AR116" s="671">
        <f>IF(AR$2=1,Reported!AR215,Reported!AR215-Reported!AQ215)</f>
        <v/>
      </c>
      <c r="AS116" s="671">
        <f>IF(AS$2=1,Reported!AS215,Reported!AS215-Reported!AR215)</f>
        <v/>
      </c>
      <c r="AT116" s="671">
        <f>IF(AT$2=1,Reported!AT215,Reported!AT215-Reported!AS215)</f>
        <v/>
      </c>
      <c r="AU116" s="671">
        <f>IF(AU$2=1,Reported!AU215,Reported!AU215-Reported!AT215)</f>
        <v/>
      </c>
      <c r="AV116" s="671">
        <f>IF(AV$2=1,Reported!AV215,Reported!AV215-Reported!AU215)</f>
        <v/>
      </c>
      <c r="AW116" s="671">
        <f>IF(AW$2=1,Reported!AW215,Reported!AW215-Reported!AV215)</f>
        <v/>
      </c>
      <c r="AX116" s="671">
        <f>IF(AX$2=1,Reported!AX215,Reported!AX215-Reported!AW215)</f>
        <v/>
      </c>
      <c r="AY116" s="671">
        <f>IF(AY$2=1,Reported!AY215,Reported!AY215-Reported!AX215)</f>
        <v/>
      </c>
      <c r="AZ116" s="671">
        <f>IF(AZ$2=1,Reported!AZ215,Reported!AZ215-Reported!AY215)</f>
        <v/>
      </c>
      <c r="BA116" s="671">
        <f>IF(BA$2=1,Reported!BA215,Reported!BA215-Reported!AZ215)</f>
        <v/>
      </c>
      <c r="BB116" s="671">
        <f>IF(BB$2=1,Reported!BB215,Reported!BB215-Reported!BA215)</f>
        <v/>
      </c>
      <c r="BC116" s="671">
        <f>IF(BC$2=1,Reported!BC215,Reported!BC215-Reported!BB215)</f>
        <v/>
      </c>
      <c r="BD116" s="671">
        <f>IF(BD$2=1,Reported!BD215,Reported!BD215-Reported!BC215)</f>
        <v/>
      </c>
      <c r="BE116" s="671">
        <f>IF(BE$2=1,Reported!BE215,Reported!BE215-Reported!BD215)</f>
        <v/>
      </c>
      <c r="BF116" s="671">
        <f>IF(BF$2=1,Reported!BF215,Reported!BF215-Reported!BE215)</f>
        <v/>
      </c>
      <c r="BG116" s="671">
        <f>IF(BG$2=1,Reported!BG215,Reported!BG215-Reported!BF215)</f>
        <v/>
      </c>
      <c r="BH116" s="671">
        <f>IF(BH$2=1,Reported!BH215,Reported!BH215-Reported!BG215)</f>
        <v/>
      </c>
      <c r="BI116" s="671">
        <f>IF(BI$2=1,Reported!BI215,Reported!BI215-Reported!BH215)</f>
        <v/>
      </c>
      <c r="BJ116" s="671">
        <f>IF(BJ$2=1,Reported!BJ215,Reported!BJ215-Reported!BI215)</f>
        <v/>
      </c>
      <c r="BK116" s="671">
        <f>IF(BK$2=1,Reported!BK215,Reported!BK215-Reported!BJ215)</f>
        <v/>
      </c>
      <c r="BL116" s="671">
        <f>IF(BL$2=1,Reported!BL215,Reported!BL215-Reported!BK215)</f>
        <v/>
      </c>
      <c r="BM116" s="671">
        <f>IF(BM$2=1,Reported!BM215,Reported!BM215-Reported!BL215)</f>
        <v/>
      </c>
      <c r="BN116" s="671">
        <f>IF(BN$2=1,Reported!BN215,Reported!BN215-Reported!BM215)</f>
        <v/>
      </c>
      <c r="BO116" s="671">
        <f>IF(BO$2=1,Reported!BO215,Reported!BO215-Reported!BN215)</f>
        <v/>
      </c>
      <c r="BP116" s="671">
        <f>IF(BP$2=1,Reported!BP215,Reported!BP215-Reported!BO215)</f>
        <v/>
      </c>
      <c r="BQ116" s="671">
        <f>IF(BQ$2=1,Reported!BQ215,Reported!BQ215-Reported!BP215)</f>
        <v/>
      </c>
      <c r="BR116" s="671">
        <f>IF(BR$2=1,Reported!BR215,Reported!BR215-Reported!BQ215)</f>
        <v/>
      </c>
      <c r="BS116" s="519">
        <f>BS102+BS107+BS113+BS115</f>
        <v/>
      </c>
      <c r="BT116" s="519">
        <f>BT102+BT107+BT113+BT115</f>
        <v/>
      </c>
      <c r="BU116" s="519">
        <f>BU102+BU107+BU113+BU115</f>
        <v/>
      </c>
      <c r="BV116" s="519">
        <f>BV102+BV107+BV113+BV115</f>
        <v/>
      </c>
      <c r="BW116" s="519">
        <f>BW102+BW107+BW113+BW115</f>
        <v/>
      </c>
      <c r="BX116" s="519">
        <f>BX102+BX107+BX113+BX115</f>
        <v/>
      </c>
      <c r="BY116" s="519">
        <f>BY102+BY107+BY113+BY115</f>
        <v/>
      </c>
      <c r="BZ116" s="519">
        <f>BZ102+BZ107+BZ113+BZ115</f>
        <v/>
      </c>
      <c r="CA116" s="519">
        <f>CA102+CA107+CA113+CA115</f>
        <v/>
      </c>
      <c r="CB116" s="519">
        <f>CB102+CB107+CB113+CB115</f>
        <v/>
      </c>
      <c r="CC116" s="519">
        <f>CC102+CC107+CC113+CC115</f>
        <v/>
      </c>
      <c r="CD116" s="519">
        <f>CD102+CD107+CD113+CD115</f>
        <v/>
      </c>
      <c r="CE116" s="519">
        <f>CE102+CE107+CE113+CE115</f>
        <v/>
      </c>
      <c r="CF116" s="519">
        <f>CF102+CF107+CF113+CF115</f>
        <v/>
      </c>
      <c r="CG116" s="519">
        <f>CG102+CG107+CG113+CG115</f>
        <v/>
      </c>
      <c r="CH116" s="519">
        <f>CH102+CH107+CH113+CH115</f>
        <v/>
      </c>
      <c r="CI116" s="519">
        <f>CI102+CI107+CI113+CI115</f>
        <v/>
      </c>
      <c r="CJ116" s="519">
        <f>CJ102+CJ107+CJ113+CJ115</f>
        <v/>
      </c>
      <c r="CK116" s="519">
        <f>CK102+CK107+CK113+CK115</f>
        <v/>
      </c>
    </row>
    <row r="117">
      <c r="A117" s="502" t="inlineStr">
        <is>
          <t>Cash and cash equivalents - Beginning of period</t>
        </is>
      </c>
      <c r="B117" s="145" t="n"/>
      <c r="C117" s="145" t="n"/>
      <c r="D117" s="145" t="n"/>
      <c r="E117" s="145" t="n"/>
      <c r="F117" s="145" t="n"/>
      <c r="G117" s="145" t="n"/>
      <c r="H117" s="145" t="n"/>
      <c r="I117" s="145" t="n"/>
      <c r="J117" s="145" t="n"/>
      <c r="K117" s="145" t="n"/>
      <c r="L117" s="145" t="n"/>
      <c r="M117" s="145" t="n"/>
      <c r="N117" s="509">
        <f>Reported!N216</f>
        <v/>
      </c>
      <c r="O117" s="143">
        <f>N120</f>
        <v/>
      </c>
      <c r="P117" s="143">
        <f>O120</f>
        <v/>
      </c>
      <c r="Q117" s="143">
        <f>P120</f>
        <v/>
      </c>
      <c r="R117" s="143">
        <f>Q120</f>
        <v/>
      </c>
      <c r="S117" s="143">
        <f>R120</f>
        <v/>
      </c>
      <c r="T117" s="143">
        <f>S120</f>
        <v/>
      </c>
      <c r="U117" s="143">
        <f>T120</f>
        <v/>
      </c>
      <c r="V117" s="143">
        <f>U120</f>
        <v/>
      </c>
      <c r="W117" s="143">
        <f>V120</f>
        <v/>
      </c>
      <c r="X117" s="143">
        <f>W120</f>
        <v/>
      </c>
      <c r="Y117" s="143">
        <f>X120</f>
        <v/>
      </c>
      <c r="Z117" s="143">
        <f>Y120</f>
        <v/>
      </c>
      <c r="AA117" s="143">
        <f>Z120</f>
        <v/>
      </c>
      <c r="AB117" s="143">
        <f>AA120</f>
        <v/>
      </c>
      <c r="AC117" s="143">
        <f>AB120</f>
        <v/>
      </c>
      <c r="AD117" s="143">
        <f>AC120</f>
        <v/>
      </c>
      <c r="AE117" s="143">
        <f>AD120</f>
        <v/>
      </c>
      <c r="AF117" s="143">
        <f>AE120</f>
        <v/>
      </c>
      <c r="AG117" s="143">
        <f>AF120</f>
        <v/>
      </c>
      <c r="AH117" s="143">
        <f>AG120</f>
        <v/>
      </c>
      <c r="AI117" s="143">
        <f>AH120</f>
        <v/>
      </c>
      <c r="AJ117" s="143">
        <f>AI120</f>
        <v/>
      </c>
      <c r="AK117" s="143">
        <f>AJ120</f>
        <v/>
      </c>
      <c r="AL117" s="143">
        <f>AK120</f>
        <v/>
      </c>
      <c r="AM117" s="143">
        <f>AL120</f>
        <v/>
      </c>
      <c r="AN117" s="143">
        <f>AM120</f>
        <v/>
      </c>
      <c r="AO117" s="143">
        <f>AN120</f>
        <v/>
      </c>
      <c r="AP117" s="143">
        <f>AO120</f>
        <v/>
      </c>
      <c r="AQ117" s="143">
        <f>AP120</f>
        <v/>
      </c>
      <c r="AR117" s="143">
        <f>AQ120</f>
        <v/>
      </c>
      <c r="AS117" s="143">
        <f>AR120</f>
        <v/>
      </c>
      <c r="AT117" s="143">
        <f>AS120</f>
        <v/>
      </c>
      <c r="AU117" s="143">
        <f>AT120</f>
        <v/>
      </c>
      <c r="AV117" s="143">
        <f>AU120</f>
        <v/>
      </c>
      <c r="AW117" s="143">
        <f>AV120</f>
        <v/>
      </c>
      <c r="AX117" s="143">
        <f>AW120</f>
        <v/>
      </c>
      <c r="AY117" s="143">
        <f>AX120</f>
        <v/>
      </c>
      <c r="AZ117" s="143">
        <f>AY120</f>
        <v/>
      </c>
      <c r="BA117" s="143">
        <f>AZ120</f>
        <v/>
      </c>
      <c r="BB117" s="143">
        <f>BA118</f>
        <v/>
      </c>
      <c r="BC117" s="143">
        <f>BB118</f>
        <v/>
      </c>
      <c r="BD117" s="143">
        <f>BC118</f>
        <v/>
      </c>
      <c r="BE117" s="143">
        <f>BD118</f>
        <v/>
      </c>
      <c r="BF117" s="143">
        <f>BE118</f>
        <v/>
      </c>
      <c r="BG117" s="143">
        <f>BF118</f>
        <v/>
      </c>
      <c r="BH117" s="143">
        <f>BG118</f>
        <v/>
      </c>
      <c r="BI117" s="143">
        <f>BH118</f>
        <v/>
      </c>
      <c r="BJ117" s="143">
        <f>BI118</f>
        <v/>
      </c>
      <c r="BK117" s="143">
        <f>BJ118</f>
        <v/>
      </c>
      <c r="BL117" s="143">
        <f>BK118</f>
        <v/>
      </c>
      <c r="BM117" s="143">
        <f>BL118</f>
        <v/>
      </c>
      <c r="BN117" s="143">
        <f>BM118</f>
        <v/>
      </c>
      <c r="BO117" s="143">
        <f>BN118</f>
        <v/>
      </c>
      <c r="BP117" s="143">
        <f>BO118</f>
        <v/>
      </c>
      <c r="BQ117" s="143">
        <f>BP118</f>
        <v/>
      </c>
      <c r="BR117" s="143">
        <f>BQ118</f>
        <v/>
      </c>
      <c r="BS117" s="143">
        <f>BR120</f>
        <v/>
      </c>
      <c r="BT117" s="143">
        <f>BS120</f>
        <v/>
      </c>
      <c r="BU117" s="143">
        <f>BT120</f>
        <v/>
      </c>
      <c r="BV117" s="143">
        <f>BU120</f>
        <v/>
      </c>
      <c r="BW117" s="143">
        <f>BV120</f>
        <v/>
      </c>
      <c r="BX117" s="143">
        <f>BW120</f>
        <v/>
      </c>
      <c r="BY117" s="143">
        <f>BX120</f>
        <v/>
      </c>
      <c r="BZ117" s="143">
        <f>BY120</f>
        <v/>
      </c>
      <c r="CA117" s="143">
        <f>BZ120</f>
        <v/>
      </c>
      <c r="CB117" s="143">
        <f>CA120</f>
        <v/>
      </c>
      <c r="CC117" s="143">
        <f>CB120</f>
        <v/>
      </c>
      <c r="CD117" s="143">
        <f>CC120</f>
        <v/>
      </c>
      <c r="CE117" s="143">
        <f>CD120</f>
        <v/>
      </c>
      <c r="CF117" s="143">
        <f>CE120</f>
        <v/>
      </c>
      <c r="CG117" s="143">
        <f>CF120</f>
        <v/>
      </c>
      <c r="CH117" s="143">
        <f>CG120</f>
        <v/>
      </c>
      <c r="CI117" s="143">
        <f>CH120</f>
        <v/>
      </c>
      <c r="CJ117" s="143">
        <f>CI120</f>
        <v/>
      </c>
      <c r="CK117" s="143">
        <f>CJ120</f>
        <v/>
      </c>
    </row>
    <row r="118" outlineLevel="1">
      <c r="A118" s="502" t="inlineStr">
        <is>
          <t>Cash and cash equivalents - Ending balance</t>
        </is>
      </c>
      <c r="B118" s="145" t="n"/>
      <c r="C118" s="145" t="n"/>
      <c r="D118" s="145" t="n"/>
      <c r="E118" s="145" t="n"/>
      <c r="F118" s="145" t="n"/>
      <c r="G118" s="145" t="n"/>
      <c r="H118" s="145" t="n"/>
      <c r="I118" s="145" t="n"/>
      <c r="J118" s="145" t="n"/>
      <c r="K118" s="145" t="n"/>
      <c r="L118" s="145" t="n"/>
      <c r="M118" s="145" t="n"/>
      <c r="N118" s="509" t="n"/>
      <c r="O118" s="143" t="n"/>
      <c r="P118" s="143" t="n"/>
      <c r="Q118" s="143" t="n"/>
      <c r="R118" s="143" t="n"/>
      <c r="S118" s="143" t="n"/>
      <c r="T118" s="143" t="n"/>
      <c r="U118" s="143" t="n"/>
      <c r="V118" s="143" t="n"/>
      <c r="W118" s="143" t="n"/>
      <c r="X118" s="143" t="n"/>
      <c r="Y118" s="143" t="n"/>
      <c r="Z118" s="143" t="n"/>
      <c r="AA118" s="143" t="n"/>
      <c r="AB118" s="143" t="n"/>
      <c r="AC118" s="143" t="n"/>
      <c r="AD118" s="143" t="n"/>
      <c r="AE118" s="143" t="n"/>
      <c r="AF118" s="143" t="n"/>
      <c r="AG118" s="143" t="n"/>
      <c r="AH118" s="143" t="n"/>
      <c r="AI118" s="143" t="n"/>
      <c r="AJ118" s="143" t="n"/>
      <c r="AK118" s="143" t="n"/>
      <c r="AL118" s="143" t="n"/>
      <c r="AM118" s="143" t="n"/>
      <c r="AN118" s="143" t="n"/>
      <c r="AO118" s="143" t="n"/>
      <c r="AP118" s="143" t="n"/>
      <c r="AQ118" s="143" t="n"/>
      <c r="AR118" s="143" t="n"/>
      <c r="AS118" s="143" t="n"/>
      <c r="AT118" s="143" t="n"/>
      <c r="AU118" s="143" t="n"/>
      <c r="AV118" s="143" t="n"/>
      <c r="AW118" s="143" t="n"/>
      <c r="AX118" s="143" t="n"/>
      <c r="AY118" s="143" t="n"/>
      <c r="AZ118" s="143" t="n"/>
      <c r="BA118" s="147">
        <f>BA117+BA116</f>
        <v/>
      </c>
      <c r="BB118" s="147">
        <f>BB117+BB116</f>
        <v/>
      </c>
      <c r="BC118" s="147">
        <f>BC117+BC116</f>
        <v/>
      </c>
      <c r="BD118" s="147">
        <f>BD117+BD116</f>
        <v/>
      </c>
      <c r="BE118" s="147">
        <f>BE117+BE116</f>
        <v/>
      </c>
      <c r="BF118" s="147">
        <f>BF117+BF116</f>
        <v/>
      </c>
      <c r="BG118" s="147">
        <f>BG117+BG116</f>
        <v/>
      </c>
      <c r="BH118" s="147">
        <f>BH117+BH116</f>
        <v/>
      </c>
      <c r="BI118" s="147">
        <f>BI117+BI116</f>
        <v/>
      </c>
      <c r="BJ118" s="147">
        <f>BJ117+BJ116</f>
        <v/>
      </c>
      <c r="BK118" s="147">
        <f>BK117+BK116</f>
        <v/>
      </c>
      <c r="BL118" s="147">
        <f>BL117+BL116</f>
        <v/>
      </c>
      <c r="BM118" s="147">
        <f>BM117+BM116</f>
        <v/>
      </c>
      <c r="BN118" s="147">
        <f>BN117+BN116</f>
        <v/>
      </c>
      <c r="BO118" s="147">
        <f>BO117+BO116</f>
        <v/>
      </c>
      <c r="BP118" s="147">
        <f>BP117+BP116</f>
        <v/>
      </c>
      <c r="BQ118" s="147">
        <f>BQ117+BQ116</f>
        <v/>
      </c>
      <c r="BR118" s="147">
        <f>BR117+BR116</f>
        <v/>
      </c>
      <c r="BS118" s="143" t="n"/>
      <c r="BT118" s="143" t="n"/>
      <c r="BU118" s="143" t="n"/>
      <c r="BV118" s="143" t="n"/>
      <c r="BW118" s="143" t="n"/>
      <c r="BX118" s="143" t="n"/>
      <c r="BY118" s="143" t="n"/>
      <c r="BZ118" s="143" t="n"/>
      <c r="CA118" s="143" t="n"/>
      <c r="CB118" s="143" t="n"/>
      <c r="CC118" s="143" t="n"/>
      <c r="CD118" s="143" t="n"/>
      <c r="CE118" s="143" t="n"/>
      <c r="CF118" s="143" t="n"/>
      <c r="CG118" s="143" t="n"/>
      <c r="CH118" s="143" t="n"/>
      <c r="CI118" s="143" t="n"/>
      <c r="CJ118" s="143" t="n"/>
      <c r="CK118" s="143" t="n"/>
    </row>
    <row r="119" outlineLevel="1">
      <c r="A119" s="502" t="inlineStr">
        <is>
          <t>Less: restricted cash included in other current assets and other assets</t>
        </is>
      </c>
      <c r="B119" s="145" t="n"/>
      <c r="C119" s="145" t="n"/>
      <c r="D119" s="145" t="n"/>
      <c r="E119" s="145" t="n"/>
      <c r="F119" s="145" t="n"/>
      <c r="G119" s="145" t="n"/>
      <c r="H119" s="145" t="n"/>
      <c r="I119" s="145" t="n"/>
      <c r="J119" s="145" t="n"/>
      <c r="K119" s="145" t="n"/>
      <c r="L119" s="145" t="n"/>
      <c r="M119" s="145" t="n"/>
      <c r="N119" s="509" t="n"/>
      <c r="O119" s="143" t="n"/>
      <c r="P119" s="143" t="n"/>
      <c r="Q119" s="143" t="n"/>
      <c r="R119" s="143" t="n"/>
      <c r="S119" s="143" t="n"/>
      <c r="T119" s="143" t="n"/>
      <c r="U119" s="143" t="n"/>
      <c r="V119" s="143" t="n"/>
      <c r="W119" s="143" t="n"/>
      <c r="X119" s="143" t="n"/>
      <c r="Y119" s="143" t="n"/>
      <c r="Z119" s="143" t="n"/>
      <c r="AA119" s="143" t="n"/>
      <c r="AB119" s="143" t="n"/>
      <c r="AC119" s="143" t="n"/>
      <c r="AD119" s="143" t="n"/>
      <c r="AE119" s="143" t="n"/>
      <c r="AF119" s="143" t="n"/>
      <c r="AG119" s="143" t="n"/>
      <c r="AH119" s="143" t="n"/>
      <c r="AI119" s="143" t="n"/>
      <c r="AJ119" s="143" t="n"/>
      <c r="AK119" s="143" t="n"/>
      <c r="AL119" s="143" t="n"/>
      <c r="AM119" s="143" t="n"/>
      <c r="AN119" s="143" t="n"/>
      <c r="AO119" s="143" t="n"/>
      <c r="AP119" s="143" t="n"/>
      <c r="AQ119" s="143" t="n"/>
      <c r="AR119" s="143" t="n"/>
      <c r="AS119" s="143" t="n"/>
      <c r="AT119" s="143" t="n"/>
      <c r="AU119" s="143" t="n"/>
      <c r="AV119" s="143" t="n"/>
      <c r="AW119" s="143" t="n"/>
      <c r="AX119" s="143" t="n"/>
      <c r="AY119" s="143" t="n"/>
      <c r="AZ119" s="143" t="n"/>
      <c r="BA119" s="509">
        <f>Reported!BA218</f>
        <v/>
      </c>
      <c r="BB119" s="509">
        <f>Reported!BB218</f>
        <v/>
      </c>
      <c r="BC119" s="509">
        <f>Reported!BC218</f>
        <v/>
      </c>
      <c r="BD119" s="509">
        <f>Reported!BD218</f>
        <v/>
      </c>
      <c r="BE119" s="509">
        <f>Reported!BE218</f>
        <v/>
      </c>
      <c r="BF119" s="509">
        <f>Reported!BF218</f>
        <v/>
      </c>
      <c r="BG119" s="509">
        <f>Reported!BG218</f>
        <v/>
      </c>
      <c r="BH119" s="509">
        <f>Reported!BH218</f>
        <v/>
      </c>
      <c r="BI119" s="509">
        <f>Reported!BI218</f>
        <v/>
      </c>
      <c r="BJ119" s="509">
        <f>Reported!BJ218</f>
        <v/>
      </c>
      <c r="BK119" s="509">
        <f>Reported!BK218</f>
        <v/>
      </c>
      <c r="BL119" s="509">
        <f>Reported!BL218</f>
        <v/>
      </c>
      <c r="BM119" s="509">
        <f>Reported!BM218</f>
        <v/>
      </c>
      <c r="BN119" s="509">
        <f>Reported!BN218</f>
        <v/>
      </c>
      <c r="BO119" s="509">
        <f>Reported!BO218</f>
        <v/>
      </c>
      <c r="BP119" s="509">
        <f>Reported!BP218</f>
        <v/>
      </c>
      <c r="BQ119" s="509">
        <f>Reported!BQ218</f>
        <v/>
      </c>
      <c r="BR119" s="509">
        <f>Reported!BR218</f>
        <v/>
      </c>
      <c r="BS119" s="143" t="n"/>
      <c r="BT119" s="143" t="n"/>
      <c r="BU119" s="143" t="n"/>
      <c r="BV119" s="143" t="n"/>
      <c r="BW119" s="143" t="n"/>
      <c r="BX119" s="143" t="n"/>
      <c r="BY119" s="143" t="n"/>
      <c r="BZ119" s="143" t="n"/>
      <c r="CA119" s="143" t="n"/>
      <c r="CB119" s="143" t="n"/>
      <c r="CC119" s="143" t="n"/>
      <c r="CD119" s="143" t="n"/>
      <c r="CE119" s="143" t="n"/>
      <c r="CF119" s="143" t="n"/>
      <c r="CG119" s="143" t="n"/>
      <c r="CH119" s="143" t="n"/>
      <c r="CI119" s="143" t="n"/>
      <c r="CJ119" s="143" t="n"/>
      <c r="CK119" s="143" t="n"/>
    </row>
    <row r="120">
      <c r="A120" s="502" t="inlineStr">
        <is>
          <t>Cash and cash equivalents - End of period</t>
        </is>
      </c>
      <c r="B120" s="145" t="n"/>
      <c r="C120" s="145" t="n"/>
      <c r="D120" s="145" t="n"/>
      <c r="E120" s="145" t="n"/>
      <c r="F120" s="145" t="n"/>
      <c r="G120" s="145" t="n"/>
      <c r="H120" s="145" t="n"/>
      <c r="I120" s="145" t="n"/>
      <c r="J120" s="145" t="n"/>
      <c r="K120" s="145" t="n"/>
      <c r="L120" s="145" t="n"/>
      <c r="M120" s="145" t="n"/>
      <c r="N120" s="509">
        <f>Reported!N219</f>
        <v/>
      </c>
      <c r="O120" s="509">
        <f>Reported!O219</f>
        <v/>
      </c>
      <c r="P120" s="509">
        <f>Reported!P219</f>
        <v/>
      </c>
      <c r="Q120" s="509">
        <f>Reported!Q219</f>
        <v/>
      </c>
      <c r="R120" s="509">
        <f>Reported!R219</f>
        <v/>
      </c>
      <c r="S120" s="509">
        <f>Reported!S219</f>
        <v/>
      </c>
      <c r="T120" s="509">
        <f>Reported!T219</f>
        <v/>
      </c>
      <c r="U120" s="509">
        <f>Reported!U219</f>
        <v/>
      </c>
      <c r="V120" s="509">
        <f>Reported!V219</f>
        <v/>
      </c>
      <c r="W120" s="509">
        <f>Reported!W219</f>
        <v/>
      </c>
      <c r="X120" s="509">
        <f>Reported!X219</f>
        <v/>
      </c>
      <c r="Y120" s="509">
        <f>Reported!Y219</f>
        <v/>
      </c>
      <c r="Z120" s="509">
        <f>Reported!Z219</f>
        <v/>
      </c>
      <c r="AA120" s="509">
        <f>Reported!AA219</f>
        <v/>
      </c>
      <c r="AB120" s="509">
        <f>Reported!AB219</f>
        <v/>
      </c>
      <c r="AC120" s="509">
        <f>Reported!AC219</f>
        <v/>
      </c>
      <c r="AD120" s="509">
        <f>Reported!AD219</f>
        <v/>
      </c>
      <c r="AE120" s="509">
        <f>Reported!AE219</f>
        <v/>
      </c>
      <c r="AF120" s="509">
        <f>Reported!AF219</f>
        <v/>
      </c>
      <c r="AG120" s="509">
        <f>Reported!AG219</f>
        <v/>
      </c>
      <c r="AH120" s="509">
        <f>Reported!AH219</f>
        <v/>
      </c>
      <c r="AI120" s="509">
        <f>Reported!AI219</f>
        <v/>
      </c>
      <c r="AJ120" s="509">
        <f>Reported!AJ219</f>
        <v/>
      </c>
      <c r="AK120" s="509">
        <f>Reported!AK219</f>
        <v/>
      </c>
      <c r="AL120" s="509">
        <f>Reported!AL219</f>
        <v/>
      </c>
      <c r="AM120" s="509">
        <f>Reported!AM219</f>
        <v/>
      </c>
      <c r="AN120" s="509">
        <f>Reported!AN219</f>
        <v/>
      </c>
      <c r="AO120" s="509">
        <f>Reported!AO219</f>
        <v/>
      </c>
      <c r="AP120" s="509">
        <f>Reported!AP219</f>
        <v/>
      </c>
      <c r="AQ120" s="509">
        <f>Reported!AQ219</f>
        <v/>
      </c>
      <c r="AR120" s="509">
        <f>Reported!AR219</f>
        <v/>
      </c>
      <c r="AS120" s="509">
        <f>Reported!AS219</f>
        <v/>
      </c>
      <c r="AT120" s="509">
        <f>Reported!AT219</f>
        <v/>
      </c>
      <c r="AU120" s="509">
        <f>Reported!AU219</f>
        <v/>
      </c>
      <c r="AV120" s="509">
        <f>Reported!AV219</f>
        <v/>
      </c>
      <c r="AW120" s="509">
        <f>Reported!AW219</f>
        <v/>
      </c>
      <c r="AX120" s="509">
        <f>Reported!AX219</f>
        <v/>
      </c>
      <c r="AY120" s="509">
        <f>Reported!AY219</f>
        <v/>
      </c>
      <c r="AZ120" s="509">
        <f>Reported!AZ219</f>
        <v/>
      </c>
      <c r="BA120" s="509">
        <f>Reported!BA219</f>
        <v/>
      </c>
      <c r="BB120" s="509">
        <f>Reported!BB219</f>
        <v/>
      </c>
      <c r="BC120" s="509">
        <f>Reported!BC219</f>
        <v/>
      </c>
      <c r="BD120" s="509">
        <f>Reported!BD219</f>
        <v/>
      </c>
      <c r="BE120" s="509">
        <f>Reported!BE219</f>
        <v/>
      </c>
      <c r="BF120" s="509">
        <f>Reported!BF219</f>
        <v/>
      </c>
      <c r="BG120" s="509">
        <f>Reported!BG219</f>
        <v/>
      </c>
      <c r="BH120" s="509">
        <f>Reported!BH219</f>
        <v/>
      </c>
      <c r="BI120" s="509">
        <f>Reported!BI219</f>
        <v/>
      </c>
      <c r="BJ120" s="509">
        <f>Reported!BJ219</f>
        <v/>
      </c>
      <c r="BK120" s="509">
        <f>Reported!BK219</f>
        <v/>
      </c>
      <c r="BL120" s="509">
        <f>Reported!BL219</f>
        <v/>
      </c>
      <c r="BM120" s="509">
        <f>Reported!BM219</f>
        <v/>
      </c>
      <c r="BN120" s="509">
        <f>Reported!BN219</f>
        <v/>
      </c>
      <c r="BO120" s="509">
        <f>Reported!BO219</f>
        <v/>
      </c>
      <c r="BP120" s="509">
        <f>Reported!BP219</f>
        <v/>
      </c>
      <c r="BQ120" s="509">
        <f>Reported!BQ219</f>
        <v/>
      </c>
      <c r="BR120" s="509">
        <f>Reported!BR219</f>
        <v/>
      </c>
      <c r="BS120" s="108">
        <f>BS117+BS116</f>
        <v/>
      </c>
      <c r="BT120" s="108">
        <f>BT117+BT116</f>
        <v/>
      </c>
      <c r="BU120" s="108">
        <f>BU117+BU116</f>
        <v/>
      </c>
      <c r="BV120" s="108">
        <f>BV117+BV116</f>
        <v/>
      </c>
      <c r="BW120" s="108">
        <f>BW117+BW116</f>
        <v/>
      </c>
      <c r="BX120" s="108">
        <f>BX117+BX116</f>
        <v/>
      </c>
      <c r="BY120" s="108">
        <f>BY117+BY116</f>
        <v/>
      </c>
      <c r="BZ120" s="108">
        <f>BZ117+BZ116</f>
        <v/>
      </c>
      <c r="CA120" s="108">
        <f>CA117+CA116</f>
        <v/>
      </c>
      <c r="CB120" s="108">
        <f>CB117+CB116</f>
        <v/>
      </c>
      <c r="CC120" s="108">
        <f>CC117+CC116</f>
        <v/>
      </c>
      <c r="CD120" s="108">
        <f>CD117+CD116</f>
        <v/>
      </c>
      <c r="CE120" s="108">
        <f>CE117+CE116</f>
        <v/>
      </c>
      <c r="CF120" s="108">
        <f>CF117+CF116</f>
        <v/>
      </c>
      <c r="CG120" s="108">
        <f>CG117+CG116</f>
        <v/>
      </c>
      <c r="CH120" s="108">
        <f>CH117+CH116</f>
        <v/>
      </c>
      <c r="CI120" s="108">
        <f>CI117+CI116</f>
        <v/>
      </c>
      <c r="CJ120" s="108">
        <f>CJ117+CJ116</f>
        <v/>
      </c>
      <c r="CK120" s="108">
        <f>CK117+CK116</f>
        <v/>
      </c>
    </row>
    <row r="122">
      <c r="A122" s="455" t="inlineStr">
        <is>
          <t>Check</t>
        </is>
      </c>
      <c r="B122" s="400">
        <f>B91-B25</f>
        <v/>
      </c>
      <c r="C122" s="400">
        <f>C91-C25</f>
        <v/>
      </c>
      <c r="D122" s="400">
        <f>D91-D25</f>
        <v/>
      </c>
      <c r="E122" s="400">
        <f>E91-E25</f>
        <v/>
      </c>
      <c r="F122" s="400">
        <f>F91-F25</f>
        <v/>
      </c>
      <c r="G122" s="400">
        <f>G91-G25</f>
        <v/>
      </c>
      <c r="H122" s="400">
        <f>H91-H25</f>
        <v/>
      </c>
      <c r="I122" s="400">
        <f>I91-I25</f>
        <v/>
      </c>
      <c r="J122" s="400">
        <f>J91-J25</f>
        <v/>
      </c>
      <c r="K122" s="400">
        <f>K91-K25</f>
        <v/>
      </c>
      <c r="L122" s="400">
        <f>L91-L25</f>
        <v/>
      </c>
      <c r="M122" s="400">
        <f>M91-M25</f>
        <v/>
      </c>
      <c r="N122" s="400">
        <f>N91-N25</f>
        <v/>
      </c>
      <c r="O122" s="400">
        <f>O91-O25</f>
        <v/>
      </c>
      <c r="P122" s="400">
        <f>P91-P25</f>
        <v/>
      </c>
      <c r="Q122" s="400">
        <f>Q91-Q25</f>
        <v/>
      </c>
      <c r="R122" s="400">
        <f>R91-R25</f>
        <v/>
      </c>
      <c r="S122" s="400">
        <f>S91-S25</f>
        <v/>
      </c>
      <c r="T122" s="400">
        <f>T91-T25</f>
        <v/>
      </c>
      <c r="U122" s="400">
        <f>U91-U25</f>
        <v/>
      </c>
      <c r="V122" s="400">
        <f>V91-V25</f>
        <v/>
      </c>
      <c r="W122" s="400">
        <f>W91-W25</f>
        <v/>
      </c>
      <c r="X122" s="400">
        <f>X91-X25</f>
        <v/>
      </c>
      <c r="Y122" s="400">
        <f>Y91-Y25</f>
        <v/>
      </c>
      <c r="Z122" s="400">
        <f>Z91-Z25</f>
        <v/>
      </c>
      <c r="AA122" s="400">
        <f>AA91-AA25</f>
        <v/>
      </c>
      <c r="AB122" s="400">
        <f>AB91-AB25</f>
        <v/>
      </c>
      <c r="AC122" s="400">
        <f>AC91-AC25</f>
        <v/>
      </c>
      <c r="AD122" s="400">
        <f>AD91-AD25</f>
        <v/>
      </c>
      <c r="AE122" s="400">
        <f>AE91-AE25</f>
        <v/>
      </c>
      <c r="AF122" s="400">
        <f>AF91-AF25</f>
        <v/>
      </c>
      <c r="AG122" s="400">
        <f>AG91-AG25</f>
        <v/>
      </c>
      <c r="AH122" s="400">
        <f>AH91-AH25</f>
        <v/>
      </c>
      <c r="AI122" s="400">
        <f>AI91-AI25</f>
        <v/>
      </c>
      <c r="AJ122" s="400">
        <f>AJ91-AJ25</f>
        <v/>
      </c>
      <c r="AK122" s="400">
        <f>AK91-AK25</f>
        <v/>
      </c>
      <c r="AL122" s="400">
        <f>AL91-AL25</f>
        <v/>
      </c>
      <c r="AM122" s="400">
        <f>AM91-AM25</f>
        <v/>
      </c>
      <c r="AN122" s="400">
        <f>AN91-AN25</f>
        <v/>
      </c>
      <c r="AO122" s="400">
        <f>AO91-AO25</f>
        <v/>
      </c>
      <c r="AP122" s="400">
        <f>AP91-AP25</f>
        <v/>
      </c>
      <c r="AQ122" s="400">
        <f>AQ91-AQ25</f>
        <v/>
      </c>
      <c r="AR122" s="400">
        <f>AR91-AR25</f>
        <v/>
      </c>
      <c r="AS122" s="400">
        <f>AS91-AS25</f>
        <v/>
      </c>
      <c r="AT122" s="400">
        <f>AT91-AT25</f>
        <v/>
      </c>
      <c r="AU122" s="400">
        <f>AU91-AU25</f>
        <v/>
      </c>
      <c r="AV122" s="400">
        <f>AV91-AV25</f>
        <v/>
      </c>
      <c r="AW122" s="400">
        <f>AW91-AW25</f>
        <v/>
      </c>
      <c r="AX122" s="400">
        <f>AX91-AX25</f>
        <v/>
      </c>
      <c r="AY122" s="400">
        <f>AY91-AY25</f>
        <v/>
      </c>
      <c r="AZ122" s="400">
        <f>AZ91-AZ25</f>
        <v/>
      </c>
      <c r="BA122" s="400">
        <f>BA91-BA25</f>
        <v/>
      </c>
      <c r="BB122" s="400">
        <f>BB91-BB25</f>
        <v/>
      </c>
      <c r="BC122" s="400">
        <f>BC91-BC25</f>
        <v/>
      </c>
      <c r="BD122" s="400">
        <f>BD91-BD25</f>
        <v/>
      </c>
      <c r="BE122" s="400">
        <f>BE91-BE25</f>
        <v/>
      </c>
      <c r="BF122" s="400">
        <f>BF91-BF25</f>
        <v/>
      </c>
      <c r="BG122" s="400">
        <f>BG91-BG25</f>
        <v/>
      </c>
      <c r="BH122" s="400">
        <f>BH91-BH25</f>
        <v/>
      </c>
      <c r="BI122" s="400">
        <f>BI91-BI25</f>
        <v/>
      </c>
      <c r="BJ122" s="400">
        <f>BJ91-BJ25</f>
        <v/>
      </c>
      <c r="BK122" s="400">
        <f>BK91-BK25</f>
        <v/>
      </c>
      <c r="BL122" s="400">
        <f>BL91-BL25</f>
        <v/>
      </c>
      <c r="BM122" s="400">
        <f>BM91-BM25</f>
        <v/>
      </c>
      <c r="BN122" s="400">
        <f>BN91-BN25</f>
        <v/>
      </c>
      <c r="BO122" s="400">
        <f>BO91-BO25</f>
        <v/>
      </c>
      <c r="BP122" s="400">
        <f>BP91-BP25</f>
        <v/>
      </c>
      <c r="BQ122" s="400">
        <f>BQ91-BQ25</f>
        <v/>
      </c>
      <c r="BR122" s="400">
        <f>BR91-BR25</f>
        <v/>
      </c>
      <c r="BS122" s="400">
        <f>BS91-BS25</f>
        <v/>
      </c>
      <c r="BT122" s="400">
        <f>BT91-BT25</f>
        <v/>
      </c>
      <c r="BU122" s="400">
        <f>BU91-BU25</f>
        <v/>
      </c>
      <c r="BV122" s="400">
        <f>BV91-BV25</f>
        <v/>
      </c>
      <c r="BW122" s="400">
        <f>BW91-BW25</f>
        <v/>
      </c>
      <c r="BX122" s="400">
        <f>BX91-BX25</f>
        <v/>
      </c>
      <c r="BY122" s="400">
        <f>BY91-BY25</f>
        <v/>
      </c>
      <c r="BZ122" s="400">
        <f>BZ91-BZ25</f>
        <v/>
      </c>
      <c r="CA122" s="400">
        <f>CA91-CA25</f>
        <v/>
      </c>
      <c r="CB122" s="400">
        <f>CB91-CB25</f>
        <v/>
      </c>
      <c r="CC122" s="400">
        <f>CC91-CC25</f>
        <v/>
      </c>
      <c r="CD122" s="400">
        <f>CD91-CD25</f>
        <v/>
      </c>
      <c r="CE122" s="400">
        <f>CE91-CE25</f>
        <v/>
      </c>
      <c r="CF122" s="400">
        <f>CF91-CF25</f>
        <v/>
      </c>
      <c r="CG122" s="400">
        <f>CG91-CG25</f>
        <v/>
      </c>
      <c r="CH122" s="400">
        <f>CH91-CH25</f>
        <v/>
      </c>
      <c r="CI122" s="400">
        <f>CI91-CI25</f>
        <v/>
      </c>
      <c r="CJ122" s="400">
        <f>CJ91-CJ25</f>
        <v/>
      </c>
      <c r="CK122" s="400">
        <f>CK91-CK25</f>
        <v/>
      </c>
    </row>
    <row r="123">
      <c r="A123" s="455" t="inlineStr">
        <is>
          <t>Check</t>
        </is>
      </c>
      <c r="B123" s="400">
        <f>SUM(B91:B100)-B102</f>
        <v/>
      </c>
      <c r="C123" s="400">
        <f>SUM(C91:C100)-C102</f>
        <v/>
      </c>
      <c r="D123" s="400">
        <f>SUM(D91:D100)-D102</f>
        <v/>
      </c>
      <c r="E123" s="400">
        <f>SUM(E91:E100)-E102</f>
        <v/>
      </c>
      <c r="F123" s="400">
        <f>SUM(F91:F100)-F102</f>
        <v/>
      </c>
      <c r="G123" s="400">
        <f>SUM(G91:G100)-G102</f>
        <v/>
      </c>
      <c r="H123" s="400">
        <f>SUM(H91:H100)-H102</f>
        <v/>
      </c>
      <c r="I123" s="400">
        <f>SUM(I91:I100)-I102</f>
        <v/>
      </c>
      <c r="J123" s="400">
        <f>SUM(J91:J100)-J102</f>
        <v/>
      </c>
      <c r="K123" s="400">
        <f>SUM(K91:K100)-K102</f>
        <v/>
      </c>
      <c r="L123" s="400">
        <f>SUM(L91:L100)-L102</f>
        <v/>
      </c>
      <c r="M123" s="400">
        <f>SUM(M91:M100)-M102</f>
        <v/>
      </c>
      <c r="N123" s="400">
        <f>SUM(N91:N101)-N102</f>
        <v/>
      </c>
      <c r="O123" s="400">
        <f>SUM(O91:O101)-O102</f>
        <v/>
      </c>
      <c r="P123" s="400">
        <f>SUM(P91:P101)-P102</f>
        <v/>
      </c>
      <c r="Q123" s="400">
        <f>SUM(Q91:Q101)-Q102</f>
        <v/>
      </c>
      <c r="R123" s="400">
        <f>SUM(R91:R101)-R102</f>
        <v/>
      </c>
      <c r="S123" s="400">
        <f>SUM(S91:S101)-S102</f>
        <v/>
      </c>
      <c r="T123" s="400">
        <f>SUM(T91:T101)-T102</f>
        <v/>
      </c>
      <c r="U123" s="400">
        <f>SUM(U91:U101)-U102</f>
        <v/>
      </c>
      <c r="V123" s="400">
        <f>SUM(V91:V101)-V102</f>
        <v/>
      </c>
      <c r="W123" s="400">
        <f>SUM(W91:W101)-W102</f>
        <v/>
      </c>
      <c r="X123" s="400">
        <f>SUM(X91:X101)-X102</f>
        <v/>
      </c>
      <c r="Y123" s="400">
        <f>SUM(Y91:Y101)-Y102</f>
        <v/>
      </c>
      <c r="Z123" s="400">
        <f>SUM(Z91:Z101)-Z102</f>
        <v/>
      </c>
      <c r="AA123" s="400">
        <f>SUM(AA91:AA101)-AA102</f>
        <v/>
      </c>
      <c r="AB123" s="400">
        <f>SUM(AB91:AB101)-AB102</f>
        <v/>
      </c>
      <c r="AC123" s="400">
        <f>SUM(AC91:AC101)-AC102</f>
        <v/>
      </c>
      <c r="AD123" s="400">
        <f>SUM(AD91:AD101)-AD102</f>
        <v/>
      </c>
      <c r="AE123" s="400">
        <f>SUM(AE91:AE101)-AE102</f>
        <v/>
      </c>
      <c r="AF123" s="400">
        <f>SUM(AF91:AF101)-AF102</f>
        <v/>
      </c>
      <c r="AG123" s="400">
        <f>SUM(AG91:AG101)-AG102</f>
        <v/>
      </c>
      <c r="AH123" s="400">
        <f>SUM(AH91:AH101)-AH102</f>
        <v/>
      </c>
      <c r="AI123" s="400">
        <f>SUM(AI91:AI101)-AI102</f>
        <v/>
      </c>
      <c r="AJ123" s="400">
        <f>SUM(AJ91:AJ101)-AJ102</f>
        <v/>
      </c>
      <c r="AK123" s="400">
        <f>SUM(AK91:AK101)-AK102</f>
        <v/>
      </c>
      <c r="AL123" s="400">
        <f>SUM(AL91:AL101)-AL102</f>
        <v/>
      </c>
      <c r="AM123" s="400">
        <f>SUM(AM91:AM101)-AM102</f>
        <v/>
      </c>
      <c r="AN123" s="400">
        <f>SUM(AN91:AN101)-AN102</f>
        <v/>
      </c>
      <c r="AO123" s="400">
        <f>SUM(AO91:AO101)-AO102</f>
        <v/>
      </c>
      <c r="AP123" s="400">
        <f>SUM(AP91:AP101)-AP102</f>
        <v/>
      </c>
      <c r="AQ123" s="400">
        <f>SUM(AQ91:AQ101)-AQ102</f>
        <v/>
      </c>
      <c r="AR123" s="400">
        <f>SUM(AR91:AR101)-AR102</f>
        <v/>
      </c>
      <c r="AS123" s="400">
        <f>SUM(AS91:AS101)-AS102</f>
        <v/>
      </c>
      <c r="AT123" s="400">
        <f>SUM(AT91:AT101)-AT102</f>
        <v/>
      </c>
      <c r="AU123" s="400">
        <f>SUM(AU91:AU101)-AU102</f>
        <v/>
      </c>
      <c r="AV123" s="400">
        <f>SUM(AV91:AV101)-AV102</f>
        <v/>
      </c>
      <c r="AW123" s="400">
        <f>SUM(AW91:AW101)-AW102</f>
        <v/>
      </c>
      <c r="AX123" s="400">
        <f>SUM(AX91:AX101)-AX102</f>
        <v/>
      </c>
      <c r="AY123" s="400">
        <f>SUM(AY91:AY101)-AY102</f>
        <v/>
      </c>
      <c r="AZ123" s="400">
        <f>SUM(AZ91:AZ101)-AZ102</f>
        <v/>
      </c>
      <c r="BA123" s="400">
        <f>SUM(BA91:BA101)-BA102</f>
        <v/>
      </c>
      <c r="BB123" s="400">
        <f>SUM(BB91:BB101)-BB102</f>
        <v/>
      </c>
      <c r="BC123" s="400">
        <f>SUM(BC91:BC101)-BC102</f>
        <v/>
      </c>
      <c r="BD123" s="400">
        <f>SUM(BD91:BD101)-BD102</f>
        <v/>
      </c>
      <c r="BE123" s="400">
        <f>SUM(BE91:BE101)-BE102</f>
        <v/>
      </c>
      <c r="BF123" s="400">
        <f>SUM(BF91:BF101)-BF102</f>
        <v/>
      </c>
      <c r="BG123" s="400">
        <f>SUM(BG91:BG101)-BG102</f>
        <v/>
      </c>
      <c r="BH123" s="400">
        <f>SUM(BH91:BH101)-BH102</f>
        <v/>
      </c>
      <c r="BI123" s="400">
        <f>SUM(BI91:BI101)-BI102</f>
        <v/>
      </c>
      <c r="BJ123" s="400">
        <f>SUM(BJ91:BJ101)-BJ102</f>
        <v/>
      </c>
      <c r="BK123" s="400">
        <f>SUM(BK91:BK101)-BK102</f>
        <v/>
      </c>
      <c r="BL123" s="400">
        <f>SUM(BL91:BL101)-BL102</f>
        <v/>
      </c>
      <c r="BM123" s="400">
        <f>SUM(BM91:BM101)-BM102</f>
        <v/>
      </c>
      <c r="BN123" s="400">
        <f>SUM(BN91:BN101)-BN102</f>
        <v/>
      </c>
      <c r="BO123" s="400">
        <f>SUM(BO91:BO101)-BO102</f>
        <v/>
      </c>
      <c r="BP123" s="400">
        <f>SUM(BP91:BP101)-BP102</f>
        <v/>
      </c>
      <c r="BQ123" s="400">
        <f>SUM(BQ91:BQ101)-BQ102</f>
        <v/>
      </c>
      <c r="BR123" s="400">
        <f>SUM(BR91:BR101)-BR102</f>
        <v/>
      </c>
      <c r="BS123" s="400">
        <f>SUM(BS91:BS101)-BS102</f>
        <v/>
      </c>
      <c r="BT123" s="400">
        <f>SUM(BT91:BT101)-BT102</f>
        <v/>
      </c>
      <c r="BU123" s="400">
        <f>SUM(BU91:BU101)-BU102</f>
        <v/>
      </c>
      <c r="BV123" s="400">
        <f>SUM(BV91:BV101)-BV102</f>
        <v/>
      </c>
      <c r="BW123" s="400">
        <f>SUM(BW91:BW101)-BW102</f>
        <v/>
      </c>
      <c r="BX123" s="400">
        <f>SUM(BX91:BX101)-BX102</f>
        <v/>
      </c>
      <c r="BY123" s="400">
        <f>SUM(BY91:BY101)-BY102</f>
        <v/>
      </c>
      <c r="BZ123" s="400">
        <f>SUM(BZ91:BZ101)-BZ102</f>
        <v/>
      </c>
      <c r="CA123" s="400">
        <f>SUM(CA91:CA101)-CA102</f>
        <v/>
      </c>
      <c r="CB123" s="400">
        <f>SUM(CB91:CB101)-CB102</f>
        <v/>
      </c>
      <c r="CC123" s="400">
        <f>SUM(CC91:CC101)-CC102</f>
        <v/>
      </c>
      <c r="CD123" s="400">
        <f>SUM(CD91:CD101)-CD102</f>
        <v/>
      </c>
      <c r="CE123" s="400">
        <f>SUM(CE91:CE101)-CE102</f>
        <v/>
      </c>
      <c r="CF123" s="400">
        <f>SUM(CF91:CF101)-CF102</f>
        <v/>
      </c>
      <c r="CG123" s="400">
        <f>SUM(CG91:CG101)-CG102</f>
        <v/>
      </c>
      <c r="CH123" s="400">
        <f>SUM(CH91:CH101)-CH102</f>
        <v/>
      </c>
      <c r="CI123" s="400">
        <f>SUM(CI91:CI101)-CI102</f>
        <v/>
      </c>
      <c r="CJ123" s="400">
        <f>SUM(CJ91:CJ101)-CJ102</f>
        <v/>
      </c>
      <c r="CK123" s="400">
        <f>SUM(CK91:CK101)-CK102</f>
        <v/>
      </c>
    </row>
    <row r="124">
      <c r="A124" s="455" t="inlineStr">
        <is>
          <t>Check</t>
        </is>
      </c>
      <c r="B124" s="400">
        <f>SUM(B105:B106)-B107</f>
        <v/>
      </c>
      <c r="C124" s="400">
        <f>SUM(C105:C106)-C107</f>
        <v/>
      </c>
      <c r="D124" s="400">
        <f>SUM(D105:D106)-D107</f>
        <v/>
      </c>
      <c r="E124" s="400">
        <f>SUM(E105:E106)-E107</f>
        <v/>
      </c>
      <c r="F124" s="400">
        <f>SUM(F105:F106)-F107</f>
        <v/>
      </c>
      <c r="G124" s="400">
        <f>SUM(G105:G106)-G107</f>
        <v/>
      </c>
      <c r="H124" s="400">
        <f>SUM(H105:H106)-H107</f>
        <v/>
      </c>
      <c r="I124" s="400">
        <f>SUM(I105:I106)-I107</f>
        <v/>
      </c>
      <c r="J124" s="400">
        <f>SUM(J105:J106)-J107</f>
        <v/>
      </c>
      <c r="K124" s="400">
        <f>SUM(K105:K106)-K107</f>
        <v/>
      </c>
      <c r="L124" s="400">
        <f>SUM(L105:L106)-L107</f>
        <v/>
      </c>
      <c r="M124" s="400">
        <f>SUM(M105:M106)-M107</f>
        <v/>
      </c>
      <c r="N124" s="400">
        <f>SUM(N105:N106)-N107</f>
        <v/>
      </c>
      <c r="O124" s="400">
        <f>SUM(O105:O106)-O107</f>
        <v/>
      </c>
      <c r="P124" s="400">
        <f>SUM(P105:P106)-P107</f>
        <v/>
      </c>
      <c r="Q124" s="400">
        <f>SUM(Q105:Q106)-Q107</f>
        <v/>
      </c>
      <c r="R124" s="400">
        <f>SUM(R105:R106)-R107</f>
        <v/>
      </c>
      <c r="S124" s="400">
        <f>SUM(S105:S106)-S107</f>
        <v/>
      </c>
      <c r="T124" s="400">
        <f>SUM(T105:T106)-T107</f>
        <v/>
      </c>
      <c r="U124" s="400">
        <f>SUM(U105:U106)-U107</f>
        <v/>
      </c>
      <c r="V124" s="400">
        <f>SUM(V105:V106)-V107</f>
        <v/>
      </c>
      <c r="W124" s="400">
        <f>SUM(W105:W106)-W107</f>
        <v/>
      </c>
      <c r="X124" s="400">
        <f>SUM(X105:X106)-X107</f>
        <v/>
      </c>
      <c r="Y124" s="400">
        <f>SUM(Y105:Y106)-Y107</f>
        <v/>
      </c>
      <c r="Z124" s="400">
        <f>SUM(Z105:Z106)-Z107</f>
        <v/>
      </c>
      <c r="AA124" s="400">
        <f>SUM(AA105:AA106)-AA107</f>
        <v/>
      </c>
      <c r="AB124" s="400">
        <f>SUM(AB105:AB106)-AB107</f>
        <v/>
      </c>
      <c r="AC124" s="400">
        <f>SUM(AC105:AC106)-AC107</f>
        <v/>
      </c>
      <c r="AD124" s="400">
        <f>SUM(AD105:AD106)-AD107</f>
        <v/>
      </c>
      <c r="AE124" s="400">
        <f>SUM(AE105:AE106)-AE107</f>
        <v/>
      </c>
      <c r="AF124" s="400">
        <f>SUM(AF105:AF106)-AF107</f>
        <v/>
      </c>
      <c r="AG124" s="400">
        <f>SUM(AG105:AG106)-AG107</f>
        <v/>
      </c>
      <c r="AH124" s="400">
        <f>SUM(AH105:AH106)-AH107</f>
        <v/>
      </c>
      <c r="AI124" s="400">
        <f>SUM(AI105:AI106)-AI107</f>
        <v/>
      </c>
      <c r="AJ124" s="400">
        <f>SUM(AJ105:AJ106)-AJ107</f>
        <v/>
      </c>
      <c r="AK124" s="400">
        <f>SUM(AK105:AK106)-AK107</f>
        <v/>
      </c>
      <c r="AL124" s="400">
        <f>SUM(AL105:AL106)-AL107</f>
        <v/>
      </c>
      <c r="AM124" s="400">
        <f>SUM(AM105:AM106)-AM107</f>
        <v/>
      </c>
      <c r="AN124" s="400">
        <f>SUM(AN105:AN106)-AN107</f>
        <v/>
      </c>
      <c r="AO124" s="400">
        <f>SUM(AO105:AO106)-AO107</f>
        <v/>
      </c>
      <c r="AP124" s="400">
        <f>SUM(AP105:AP106)-AP107</f>
        <v/>
      </c>
      <c r="AQ124" s="400">
        <f>SUM(AQ105:AQ106)-AQ107</f>
        <v/>
      </c>
      <c r="AR124" s="400">
        <f>SUM(AR105:AR106)-AR107</f>
        <v/>
      </c>
      <c r="AS124" s="400">
        <f>SUM(AS105:AS106)-AS107</f>
        <v/>
      </c>
      <c r="AT124" s="400">
        <f>SUM(AT105:AT106)-AT107</f>
        <v/>
      </c>
      <c r="AU124" s="400">
        <f>SUM(AU105:AU106)-AU107</f>
        <v/>
      </c>
      <c r="AV124" s="400">
        <f>SUM(AV105:AV106)-AV107</f>
        <v/>
      </c>
      <c r="AW124" s="400">
        <f>SUM(AW105:AW106)-AW107</f>
        <v/>
      </c>
      <c r="AX124" s="400">
        <f>SUM(AX105:AX106)-AX107</f>
        <v/>
      </c>
      <c r="AY124" s="400">
        <f>SUM(AY105:AY106)-AY107</f>
        <v/>
      </c>
      <c r="AZ124" s="400">
        <f>SUM(AZ105:AZ106)-AZ107</f>
        <v/>
      </c>
      <c r="BA124" s="400">
        <f>SUM(BA105:BA106)-BA107</f>
        <v/>
      </c>
      <c r="BB124" s="400">
        <f>SUM(BB105:BB106)-BB107</f>
        <v/>
      </c>
      <c r="BC124" s="400">
        <f>SUM(BC105:BC106)-BC107</f>
        <v/>
      </c>
      <c r="BD124" s="400">
        <f>SUM(BD105:BD106)-BD107</f>
        <v/>
      </c>
      <c r="BE124" s="400">
        <f>SUM(BE105:BE106)-BE107</f>
        <v/>
      </c>
      <c r="BF124" s="400">
        <f>SUM(BF105:BF106)-BF107</f>
        <v/>
      </c>
      <c r="BG124" s="400">
        <f>SUM(BG105:BG106)-BG107</f>
        <v/>
      </c>
      <c r="BH124" s="400">
        <f>SUM(BH105:BH106)-BH107</f>
        <v/>
      </c>
      <c r="BI124" s="400">
        <f>SUM(BI105:BI106)-BI107</f>
        <v/>
      </c>
      <c r="BJ124" s="400">
        <f>SUM(BJ105:BJ106)-BJ107</f>
        <v/>
      </c>
      <c r="BK124" s="400">
        <f>SUM(BK105:BK106)-BK107</f>
        <v/>
      </c>
      <c r="BL124" s="400">
        <f>SUM(BL105:BL106)-BL107</f>
        <v/>
      </c>
      <c r="BM124" s="400">
        <f>SUM(BM105:BM106)-BM107</f>
        <v/>
      </c>
      <c r="BN124" s="400">
        <f>SUM(BN105:BN106)-BN107</f>
        <v/>
      </c>
      <c r="BO124" s="400">
        <f>SUM(BO105:BO106)-BO107</f>
        <v/>
      </c>
      <c r="BP124" s="400">
        <f>SUM(BP105:BP106)-BP107</f>
        <v/>
      </c>
      <c r="BQ124" s="400">
        <f>SUM(BQ105:BQ106)-BQ107</f>
        <v/>
      </c>
      <c r="BR124" s="400">
        <f>SUM(BR105:BR106)-BR107</f>
        <v/>
      </c>
      <c r="BS124" s="400">
        <f>SUM(BS105:BS106)-BS107</f>
        <v/>
      </c>
      <c r="BT124" s="400">
        <f>SUM(BT105:BT106)-BT107</f>
        <v/>
      </c>
      <c r="BU124" s="400">
        <f>SUM(BU105:BU106)-BU107</f>
        <v/>
      </c>
      <c r="BV124" s="400">
        <f>SUM(BV105:BV106)-BV107</f>
        <v/>
      </c>
      <c r="BW124" s="400">
        <f>SUM(BW105:BW106)-BW107</f>
        <v/>
      </c>
      <c r="BX124" s="400">
        <f>SUM(BX105:BX106)-BX107</f>
        <v/>
      </c>
      <c r="BY124" s="400">
        <f>SUM(BY105:BY106)-BY107</f>
        <v/>
      </c>
      <c r="BZ124" s="400">
        <f>SUM(BZ105:BZ106)-BZ107</f>
        <v/>
      </c>
      <c r="CA124" s="400">
        <f>SUM(CA105:CA106)-CA107</f>
        <v/>
      </c>
      <c r="CB124" s="400">
        <f>SUM(CB105:CB106)-CB107</f>
        <v/>
      </c>
      <c r="CC124" s="400">
        <f>SUM(CC105:CC106)-CC107</f>
        <v/>
      </c>
      <c r="CD124" s="400">
        <f>SUM(CD105:CD106)-CD107</f>
        <v/>
      </c>
      <c r="CE124" s="400">
        <f>SUM(CE105:CE106)-CE107</f>
        <v/>
      </c>
      <c r="CF124" s="400">
        <f>SUM(CF105:CF106)-CF107</f>
        <v/>
      </c>
      <c r="CG124" s="400">
        <f>SUM(CG105:CG106)-CG107</f>
        <v/>
      </c>
      <c r="CH124" s="400">
        <f>SUM(CH105:CH106)-CH107</f>
        <v/>
      </c>
      <c r="CI124" s="400">
        <f>SUM(CI105:CI106)-CI107</f>
        <v/>
      </c>
      <c r="CJ124" s="400">
        <f>SUM(CJ105:CJ106)-CJ107</f>
        <v/>
      </c>
      <c r="CK124" s="400">
        <f>SUM(CK105:CK106)-CK107</f>
        <v/>
      </c>
    </row>
    <row r="125">
      <c r="A125" s="455" t="inlineStr">
        <is>
          <t>Check</t>
        </is>
      </c>
      <c r="B125" s="400">
        <f>SUM(B110:B112)-B113</f>
        <v/>
      </c>
      <c r="C125" s="400">
        <f>SUM(C110:C112)-C113</f>
        <v/>
      </c>
      <c r="D125" s="400">
        <f>SUM(D110:D112)-D113</f>
        <v/>
      </c>
      <c r="E125" s="400">
        <f>SUM(E110:E112)-E113</f>
        <v/>
      </c>
      <c r="F125" s="400">
        <f>SUM(F110:F112)-F113</f>
        <v/>
      </c>
      <c r="G125" s="400">
        <f>SUM(G110:G112)-G113</f>
        <v/>
      </c>
      <c r="H125" s="400">
        <f>SUM(H110:H112)-H113</f>
        <v/>
      </c>
      <c r="I125" s="400">
        <f>SUM(I110:I112)-I113</f>
        <v/>
      </c>
      <c r="J125" s="400">
        <f>SUM(J110:J112)-J113</f>
        <v/>
      </c>
      <c r="K125" s="400">
        <f>SUM(K110:K112)-K113</f>
        <v/>
      </c>
      <c r="L125" s="400">
        <f>SUM(L110:L112)-L113</f>
        <v/>
      </c>
      <c r="M125" s="400">
        <f>SUM(M110:M112)-M113</f>
        <v/>
      </c>
      <c r="N125" s="400">
        <f>SUM(N110:N112)-N113</f>
        <v/>
      </c>
      <c r="O125" s="400">
        <f>SUM(O110:O112)-O113</f>
        <v/>
      </c>
      <c r="P125" s="400">
        <f>SUM(P110:P112)-P113</f>
        <v/>
      </c>
      <c r="Q125" s="400">
        <f>SUM(Q110:Q112)-Q113</f>
        <v/>
      </c>
      <c r="R125" s="400">
        <f>SUM(R110:R112)-R113</f>
        <v/>
      </c>
      <c r="S125" s="400">
        <f>SUM(S110:S112)-S113</f>
        <v/>
      </c>
      <c r="T125" s="400">
        <f>SUM(T110:T112)-T113</f>
        <v/>
      </c>
      <c r="U125" s="400">
        <f>SUM(U110:U112)-U113</f>
        <v/>
      </c>
      <c r="V125" s="400">
        <f>SUM(V110:V112)-V113</f>
        <v/>
      </c>
      <c r="W125" s="400">
        <f>SUM(W110:W112)-W113</f>
        <v/>
      </c>
      <c r="X125" s="400">
        <f>SUM(X110:X112)-X113</f>
        <v/>
      </c>
      <c r="Y125" s="400">
        <f>SUM(Y110:Y112)-Y113</f>
        <v/>
      </c>
      <c r="Z125" s="400">
        <f>SUM(Z110:Z112)-Z113</f>
        <v/>
      </c>
      <c r="AA125" s="400">
        <f>SUM(AA110:AA112)-AA113</f>
        <v/>
      </c>
      <c r="AB125" s="400">
        <f>SUM(AB110:AB112)-AB113</f>
        <v/>
      </c>
      <c r="AC125" s="400">
        <f>SUM(AC110:AC112)-AC113</f>
        <v/>
      </c>
      <c r="AD125" s="400">
        <f>SUM(AD110:AD112)-AD113</f>
        <v/>
      </c>
      <c r="AE125" s="400">
        <f>SUM(AE110:AE112)-AE113</f>
        <v/>
      </c>
      <c r="AF125" s="400">
        <f>SUM(AF110:AF112)-AF113</f>
        <v/>
      </c>
      <c r="AG125" s="400">
        <f>SUM(AG110:AG112)-AG113</f>
        <v/>
      </c>
      <c r="AH125" s="400">
        <f>SUM(AH110:AH112)-AH113</f>
        <v/>
      </c>
      <c r="AI125" s="400">
        <f>SUM(AI110:AI112)-AI113</f>
        <v/>
      </c>
      <c r="AJ125" s="400">
        <f>SUM(AJ110:AJ112)-AJ113</f>
        <v/>
      </c>
      <c r="AK125" s="400">
        <f>SUM(AK110:AK112)-AK113</f>
        <v/>
      </c>
      <c r="AL125" s="400">
        <f>SUM(AL110:AL112)-AL113</f>
        <v/>
      </c>
      <c r="AM125" s="400">
        <f>SUM(AM110:AM112)-AM113</f>
        <v/>
      </c>
      <c r="AN125" s="400">
        <f>SUM(AN110:AN112)-AN113</f>
        <v/>
      </c>
      <c r="AO125" s="400">
        <f>SUM(AO110:AO112)-AO113</f>
        <v/>
      </c>
      <c r="AP125" s="400">
        <f>SUM(AP110:AP112)-AP113</f>
        <v/>
      </c>
      <c r="AQ125" s="400">
        <f>SUM(AQ110:AQ112)-AQ113</f>
        <v/>
      </c>
      <c r="AR125" s="400">
        <f>SUM(AR110:AR112)-AR113</f>
        <v/>
      </c>
      <c r="AS125" s="400">
        <f>SUM(AS110:AS112)-AS113</f>
        <v/>
      </c>
      <c r="AT125" s="400">
        <f>SUM(AT110:AT112)-AT113</f>
        <v/>
      </c>
      <c r="AU125" s="400">
        <f>SUM(AU110:AU112)-AU113</f>
        <v/>
      </c>
      <c r="AV125" s="400">
        <f>SUM(AV110:AV112)-AV113</f>
        <v/>
      </c>
      <c r="AW125" s="400">
        <f>SUM(AW110:AW112)-AW113</f>
        <v/>
      </c>
      <c r="AX125" s="400">
        <f>SUM(AX110:AX112)-AX113</f>
        <v/>
      </c>
      <c r="AY125" s="400">
        <f>SUM(AY110:AY112)-AY113</f>
        <v/>
      </c>
      <c r="AZ125" s="400">
        <f>SUM(AZ110:AZ112)-AZ113</f>
        <v/>
      </c>
      <c r="BA125" s="400">
        <f>SUM(BA110:BA112)-BA113</f>
        <v/>
      </c>
      <c r="BB125" s="400">
        <f>SUM(BB110:BB112)-BB113</f>
        <v/>
      </c>
      <c r="BC125" s="400">
        <f>SUM(BC110:BC112)-BC113</f>
        <v/>
      </c>
      <c r="BD125" s="400">
        <f>SUM(BD110:BD112)-BD113</f>
        <v/>
      </c>
      <c r="BE125" s="400">
        <f>SUM(BE110:BE112)-BE113</f>
        <v/>
      </c>
      <c r="BF125" s="400">
        <f>SUM(BF110:BF112)-BF113</f>
        <v/>
      </c>
      <c r="BG125" s="400">
        <f>SUM(BG110:BG112)-BG113</f>
        <v/>
      </c>
      <c r="BH125" s="400">
        <f>SUM(BH110:BH112)-BH113</f>
        <v/>
      </c>
      <c r="BI125" s="400">
        <f>SUM(BI110:BI112)-BI113</f>
        <v/>
      </c>
      <c r="BJ125" s="400">
        <f>SUM(BJ110:BJ112)-BJ113</f>
        <v/>
      </c>
      <c r="BK125" s="400">
        <f>SUM(BK110:BK112)-BK113</f>
        <v/>
      </c>
      <c r="BL125" s="400">
        <f>SUM(BL110:BL112)-BL113</f>
        <v/>
      </c>
      <c r="BM125" s="400">
        <f>SUM(BM110:BM112)-BM113</f>
        <v/>
      </c>
      <c r="BN125" s="400">
        <f>SUM(BN110:BN112)-BN113</f>
        <v/>
      </c>
      <c r="BO125" s="400">
        <f>SUM(BO110:BO112)-BO113</f>
        <v/>
      </c>
      <c r="BP125" s="400">
        <f>SUM(BP110:BP112)-BP113</f>
        <v/>
      </c>
      <c r="BQ125" s="400">
        <f>SUM(BQ110:BQ112)-BQ113</f>
        <v/>
      </c>
      <c r="BR125" s="400">
        <f>SUM(BR110:BR112)-BR113</f>
        <v/>
      </c>
      <c r="BS125" s="400">
        <f>SUM(BS110:BS112)-BS113</f>
        <v/>
      </c>
      <c r="BT125" s="400">
        <f>SUM(BT110:BT112)-BT113</f>
        <v/>
      </c>
      <c r="BU125" s="400">
        <f>SUM(BU110:BU112)-BU113</f>
        <v/>
      </c>
      <c r="BV125" s="400">
        <f>SUM(BV110:BV112)-BV113</f>
        <v/>
      </c>
      <c r="BW125" s="400">
        <f>SUM(BW110:BW112)-BW113</f>
        <v/>
      </c>
      <c r="BX125" s="400">
        <f>SUM(BX110:BX112)-BX113</f>
        <v/>
      </c>
      <c r="BY125" s="400">
        <f>SUM(BY110:BY112)-BY113</f>
        <v/>
      </c>
      <c r="BZ125" s="400">
        <f>SUM(BZ110:BZ112)-BZ113</f>
        <v/>
      </c>
      <c r="CA125" s="400">
        <f>SUM(CA110:CA112)-CA113</f>
        <v/>
      </c>
      <c r="CB125" s="400">
        <f>SUM(CB110:CB112)-CB113</f>
        <v/>
      </c>
      <c r="CC125" s="400">
        <f>SUM(CC110:CC112)-CC113</f>
        <v/>
      </c>
      <c r="CD125" s="400">
        <f>SUM(CD110:CD112)-CD113</f>
        <v/>
      </c>
      <c r="CE125" s="400">
        <f>SUM(CE110:CE112)-CE113</f>
        <v/>
      </c>
      <c r="CF125" s="400">
        <f>SUM(CF110:CF112)-CF113</f>
        <v/>
      </c>
      <c r="CG125" s="400">
        <f>SUM(CG110:CG112)-CG113</f>
        <v/>
      </c>
      <c r="CH125" s="400">
        <f>SUM(CH110:CH112)-CH113</f>
        <v/>
      </c>
      <c r="CI125" s="400">
        <f>SUM(CI110:CI112)-CI113</f>
        <v/>
      </c>
      <c r="CJ125" s="400">
        <f>SUM(CJ110:CJ112)-CJ113</f>
        <v/>
      </c>
      <c r="CK125" s="400">
        <f>SUM(CK110:CK112)-CK113</f>
        <v/>
      </c>
    </row>
    <row r="126">
      <c r="A126" s="455" t="inlineStr">
        <is>
          <t>Check</t>
        </is>
      </c>
      <c r="B126" s="400">
        <f>SUM(B102,B107,B113,B115)-B116</f>
        <v/>
      </c>
      <c r="C126" s="400">
        <f>SUM(C102,C107,C113,C115)-C116</f>
        <v/>
      </c>
      <c r="D126" s="400">
        <f>SUM(D102,D107,D113,D115)-D116</f>
        <v/>
      </c>
      <c r="E126" s="400">
        <f>SUM(E102,E107,E113,E115)-E116</f>
        <v/>
      </c>
      <c r="F126" s="400">
        <f>SUM(F102,F107,F113,F115)-F116</f>
        <v/>
      </c>
      <c r="G126" s="400">
        <f>SUM(G102,G107,G113,G115)-G116</f>
        <v/>
      </c>
      <c r="H126" s="400">
        <f>SUM(H102,H107,H113,H115)-H116</f>
        <v/>
      </c>
      <c r="I126" s="400">
        <f>SUM(I102,I107,I113,I115)-I116</f>
        <v/>
      </c>
      <c r="J126" s="400">
        <f>SUM(J102,J107,J113,J115)-J116</f>
        <v/>
      </c>
      <c r="K126" s="400">
        <f>SUM(K102,K107,K113,K115)-K116</f>
        <v/>
      </c>
      <c r="L126" s="400">
        <f>SUM(L102,L107,L113,L115)-L116</f>
        <v/>
      </c>
      <c r="M126" s="400">
        <f>SUM(M102,M107,M113,M115)-M116</f>
        <v/>
      </c>
      <c r="N126" s="400">
        <f>SUM(N102,N107,N113,N115)-N116</f>
        <v/>
      </c>
      <c r="O126" s="400">
        <f>SUM(O102,O107,O113,O115)-O116</f>
        <v/>
      </c>
      <c r="P126" s="400">
        <f>SUM(P102,P107,P113,P115)-P116</f>
        <v/>
      </c>
      <c r="Q126" s="400">
        <f>SUM(Q102,Q107,Q113,Q115)-Q116</f>
        <v/>
      </c>
      <c r="R126" s="400">
        <f>SUM(R102,R107,R113,R115)-R116</f>
        <v/>
      </c>
      <c r="S126" s="400">
        <f>SUM(S102,S107,S113,S115)-S116</f>
        <v/>
      </c>
      <c r="T126" s="400">
        <f>SUM(T102,T107,T113,T115)-T116</f>
        <v/>
      </c>
      <c r="U126" s="400">
        <f>SUM(U102,U107,U113,U115)-U116</f>
        <v/>
      </c>
      <c r="V126" s="400">
        <f>SUM(V102,V107,V113,V115)-V116</f>
        <v/>
      </c>
      <c r="W126" s="400">
        <f>SUM(W102,W107,W113,W115)-W116</f>
        <v/>
      </c>
      <c r="X126" s="400">
        <f>SUM(X102,X107,X113,X115)-X116</f>
        <v/>
      </c>
      <c r="Y126" s="400">
        <f>SUM(Y102,Y107,Y113,Y115)-Y116</f>
        <v/>
      </c>
      <c r="Z126" s="400">
        <f>SUM(Z102,Z107,Z113,Z115)-Z116</f>
        <v/>
      </c>
      <c r="AA126" s="400">
        <f>SUM(AA102,AA107,AA113,AA115)-AA116</f>
        <v/>
      </c>
      <c r="AB126" s="400">
        <f>SUM(AB102,AB107,AB113,AB115)-AB116</f>
        <v/>
      </c>
      <c r="AC126" s="400">
        <f>SUM(AC102,AC107,AC113,AC115)-AC116</f>
        <v/>
      </c>
      <c r="AD126" s="400">
        <f>SUM(AD102,AD107,AD113,AD115)-AD116</f>
        <v/>
      </c>
      <c r="AE126" s="400">
        <f>SUM(AE102,AE107,AE113,AE115)-AE116</f>
        <v/>
      </c>
      <c r="AF126" s="400">
        <f>SUM(AF102,AF107,AF113,AF115)-AF116</f>
        <v/>
      </c>
      <c r="AG126" s="400">
        <f>SUM(AG102,AG107,AG113,AG115)-AG116</f>
        <v/>
      </c>
      <c r="AH126" s="400">
        <f>SUM(AH102,AH107,AH113,AH115)-AH116</f>
        <v/>
      </c>
      <c r="AI126" s="400">
        <f>SUM(AI102,AI107,AI113,AI115)-AI116</f>
        <v/>
      </c>
      <c r="AJ126" s="400">
        <f>SUM(AJ102,AJ107,AJ113,AJ115)-AJ116</f>
        <v/>
      </c>
      <c r="AK126" s="400">
        <f>SUM(AK102,AK107,AK113,AK115)-AK116</f>
        <v/>
      </c>
      <c r="AL126" s="400">
        <f>SUM(AL102,AL107,AL113,AL115)-AL116</f>
        <v/>
      </c>
      <c r="AM126" s="400">
        <f>SUM(AM102,AM107,AM113,AM115)-AM116</f>
        <v/>
      </c>
      <c r="AN126" s="400">
        <f>SUM(AN102,AN107,AN113,AN115)-AN116</f>
        <v/>
      </c>
      <c r="AO126" s="400">
        <f>SUM(AO102,AO107,AO113,AO115)-AO116</f>
        <v/>
      </c>
      <c r="AP126" s="400">
        <f>SUM(AP102,AP107,AP113,AP115)-AP116</f>
        <v/>
      </c>
      <c r="AQ126" s="400">
        <f>SUM(AQ102,AQ107,AQ113,AQ115)-AQ116</f>
        <v/>
      </c>
      <c r="AR126" s="400">
        <f>SUM(AR102,AR107,AR113,AR115)-AR116</f>
        <v/>
      </c>
      <c r="AS126" s="400">
        <f>SUM(AS102,AS107,AS113,AS115)-AS116</f>
        <v/>
      </c>
      <c r="AT126" s="400">
        <f>SUM(AT102,AT107,AT113,AT115)-AT116</f>
        <v/>
      </c>
      <c r="AU126" s="400">
        <f>SUM(AU102,AU107,AU113,AU115)-AU116</f>
        <v/>
      </c>
      <c r="AV126" s="400">
        <f>SUM(AV102,AV107,AV113,AV115)-AV116</f>
        <v/>
      </c>
      <c r="AW126" s="400">
        <f>SUM(AW102,AW107,AW113,AW115)-AW116</f>
        <v/>
      </c>
      <c r="AX126" s="400">
        <f>SUM(AX102,AX107,AX113,AX115)-AX116</f>
        <v/>
      </c>
      <c r="AY126" s="400">
        <f>SUM(AY102,AY107,AY113,AY115)-AY116</f>
        <v/>
      </c>
      <c r="AZ126" s="400">
        <f>SUM(AZ102,AZ107,AZ113,AZ115)-AZ116</f>
        <v/>
      </c>
      <c r="BA126" s="400">
        <f>SUM(BA102,BA107,BA113,BA115)-BA116</f>
        <v/>
      </c>
      <c r="BB126" s="400">
        <f>SUM(BB102,BB107,BB113,BB115)-BB116</f>
        <v/>
      </c>
      <c r="BC126" s="400">
        <f>SUM(BC102,BC107,BC113,BC115)-BC116</f>
        <v/>
      </c>
      <c r="BD126" s="400">
        <f>SUM(BD102,BD107,BD113,BD115)-BD116</f>
        <v/>
      </c>
      <c r="BE126" s="400">
        <f>SUM(BE102,BE107,BE113,BE115)-BE116</f>
        <v/>
      </c>
      <c r="BF126" s="400">
        <f>SUM(BF102,BF107,BF113,BF115)-BF116</f>
        <v/>
      </c>
      <c r="BG126" s="400">
        <f>SUM(BG102,BG107,BG113,BG115)-BG116</f>
        <v/>
      </c>
      <c r="BH126" s="400">
        <f>SUM(BH102,BH107,BH113,BH115)-BH116</f>
        <v/>
      </c>
      <c r="BI126" s="400">
        <f>SUM(BI102,BI107,BI113,BI115)-BI116</f>
        <v/>
      </c>
      <c r="BJ126" s="400">
        <f>SUM(BJ102,BJ107,BJ113,BJ115)-BJ116</f>
        <v/>
      </c>
      <c r="BK126" s="400">
        <f>SUM(BK102,BK107,BK113,BK115)-BK116</f>
        <v/>
      </c>
      <c r="BL126" s="400">
        <f>SUM(BL102,BL107,BL113,BL115)-BL116</f>
        <v/>
      </c>
      <c r="BM126" s="400">
        <f>SUM(BM102,BM107,BM113,BM115)-BM116</f>
        <v/>
      </c>
      <c r="BN126" s="400">
        <f>SUM(BN102,BN107,BN113,BN115)-BN116</f>
        <v/>
      </c>
      <c r="BO126" s="400">
        <f>SUM(BO102,BO107,BO113,BO115)-BO116</f>
        <v/>
      </c>
      <c r="BP126" s="400">
        <f>SUM(BP102,BP107,BP113,BP115)-BP116</f>
        <v/>
      </c>
      <c r="BQ126" s="400">
        <f>SUM(BQ102,BQ107,BQ113,BQ115)-BQ116</f>
        <v/>
      </c>
      <c r="BR126" s="400">
        <f>SUM(BR102,BR107,BR113,BR115)-BR116</f>
        <v/>
      </c>
      <c r="BS126" s="400">
        <f>SUM(BS102,BS107,BS113,BS115)-BS116</f>
        <v/>
      </c>
      <c r="BT126" s="400">
        <f>SUM(BT102,BT107,BT113,BT115)-BT116</f>
        <v/>
      </c>
      <c r="BU126" s="400">
        <f>SUM(BU102,BU107,BU113,BU115)-BU116</f>
        <v/>
      </c>
      <c r="BV126" s="400">
        <f>SUM(BV102,BV107,BV113,BV115)-BV116</f>
        <v/>
      </c>
      <c r="BW126" s="400">
        <f>SUM(BW102,BW107,BW113,BW115)-BW116</f>
        <v/>
      </c>
      <c r="BX126" s="400">
        <f>SUM(BX102,BX107,BX113,BX115)-BX116</f>
        <v/>
      </c>
      <c r="BY126" s="400">
        <f>SUM(BY102,BY107,BY113,BY115)-BY116</f>
        <v/>
      </c>
      <c r="BZ126" s="400">
        <f>SUM(BZ102,BZ107,BZ113,BZ115)-BZ116</f>
        <v/>
      </c>
      <c r="CA126" s="400">
        <f>SUM(CA102,CA107,CA113,CA115)-CA116</f>
        <v/>
      </c>
      <c r="CB126" s="400">
        <f>SUM(CB102,CB107,CB113,CB115)-CB116</f>
        <v/>
      </c>
      <c r="CC126" s="400">
        <f>SUM(CC102,CC107,CC113,CC115)-CC116</f>
        <v/>
      </c>
      <c r="CD126" s="400">
        <f>SUM(CD102,CD107,CD113,CD115)-CD116</f>
        <v/>
      </c>
      <c r="CE126" s="400">
        <f>SUM(CE102,CE107,CE113,CE115)-CE116</f>
        <v/>
      </c>
      <c r="CF126" s="400">
        <f>SUM(CF102,CF107,CF113,CF115)-CF116</f>
        <v/>
      </c>
      <c r="CG126" s="400">
        <f>SUM(CG102,CG107,CG113,CG115)-CG116</f>
        <v/>
      </c>
      <c r="CH126" s="400">
        <f>SUM(CH102,CH107,CH113,CH115)-CH116</f>
        <v/>
      </c>
      <c r="CI126" s="400">
        <f>SUM(CI102,CI107,CI113,CI115)-CI116</f>
        <v/>
      </c>
      <c r="CJ126" s="400">
        <f>SUM(CJ102,CJ107,CJ113,CJ115)-CJ116</f>
        <v/>
      </c>
      <c r="CK126" s="400">
        <f>SUM(CK102,CK107,CK113,CK115)-CK116</f>
        <v/>
      </c>
    </row>
    <row r="127">
      <c r="A127" s="455" t="inlineStr">
        <is>
          <t>Check</t>
        </is>
      </c>
      <c r="B127" s="400">
        <f>B117+B116-B120</f>
        <v/>
      </c>
      <c r="C127" s="400">
        <f>C117+C116-C120</f>
        <v/>
      </c>
      <c r="D127" s="400">
        <f>D117+D116-D120</f>
        <v/>
      </c>
      <c r="E127" s="400">
        <f>E117+E116-E120</f>
        <v/>
      </c>
      <c r="F127" s="400">
        <f>F117+F116-F120</f>
        <v/>
      </c>
      <c r="G127" s="400">
        <f>G117+G116-G120</f>
        <v/>
      </c>
      <c r="H127" s="400">
        <f>H117+H116-H120</f>
        <v/>
      </c>
      <c r="I127" s="400">
        <f>I117+I116-I120</f>
        <v/>
      </c>
      <c r="J127" s="400">
        <f>J117+J116-J120</f>
        <v/>
      </c>
      <c r="K127" s="400">
        <f>K117+K116-K120</f>
        <v/>
      </c>
      <c r="L127" s="400">
        <f>L117+L116-L120</f>
        <v/>
      </c>
      <c r="M127" s="400">
        <f>M117+M116-M120</f>
        <v/>
      </c>
      <c r="N127" s="400">
        <f>N117+N116-N120</f>
        <v/>
      </c>
      <c r="O127" s="400">
        <f>O117+O116-O120</f>
        <v/>
      </c>
      <c r="P127" s="400">
        <f>P117+P116-P120</f>
        <v/>
      </c>
      <c r="Q127" s="400">
        <f>Q117+Q116-Q120</f>
        <v/>
      </c>
      <c r="R127" s="400">
        <f>R117+R116-R120</f>
        <v/>
      </c>
      <c r="S127" s="400">
        <f>S117+S116-S120</f>
        <v/>
      </c>
      <c r="T127" s="400">
        <f>T117+T116-T120</f>
        <v/>
      </c>
      <c r="U127" s="400">
        <f>U117+U116-U120</f>
        <v/>
      </c>
      <c r="V127" s="400">
        <f>V117+V116-V120</f>
        <v/>
      </c>
      <c r="W127" s="400">
        <f>W117+W116-W120</f>
        <v/>
      </c>
      <c r="X127" s="400">
        <f>X117+X116-X120</f>
        <v/>
      </c>
      <c r="Y127" s="400">
        <f>Y117+Y116-Y120</f>
        <v/>
      </c>
      <c r="Z127" s="400">
        <f>Z117+Z116-Z120</f>
        <v/>
      </c>
      <c r="AA127" s="400">
        <f>AA117+AA116-AA120</f>
        <v/>
      </c>
      <c r="AB127" s="400">
        <f>AB117+AB116-AB120</f>
        <v/>
      </c>
      <c r="AC127" s="400">
        <f>AC117+AC116-AC120</f>
        <v/>
      </c>
      <c r="AD127" s="400">
        <f>AD117+AD116-AD120</f>
        <v/>
      </c>
      <c r="AE127" s="400">
        <f>AE117+AE116-AE120</f>
        <v/>
      </c>
      <c r="AF127" s="400">
        <f>AF117+AF116-AF120</f>
        <v/>
      </c>
      <c r="AG127" s="400">
        <f>AG117+AG116-AG120</f>
        <v/>
      </c>
      <c r="AH127" s="400">
        <f>AH117+AH116-AH120</f>
        <v/>
      </c>
      <c r="AI127" s="400">
        <f>AI117+AI116-AI120</f>
        <v/>
      </c>
      <c r="AJ127" s="400">
        <f>AJ117+AJ116-AJ120</f>
        <v/>
      </c>
      <c r="AK127" s="400">
        <f>AK117+AK116-AK120</f>
        <v/>
      </c>
      <c r="AL127" s="400">
        <f>AL117+AL116-AL120</f>
        <v/>
      </c>
      <c r="AM127" s="400">
        <f>AM117+AM116-AM120</f>
        <v/>
      </c>
      <c r="AN127" s="400">
        <f>AN117+AN116-AN120</f>
        <v/>
      </c>
      <c r="AO127" s="400">
        <f>AO117+AO116-AO120</f>
        <v/>
      </c>
      <c r="AP127" s="400">
        <f>AP117+AP116-AP120</f>
        <v/>
      </c>
      <c r="AQ127" s="400">
        <f>AQ117+AQ116-AQ120</f>
        <v/>
      </c>
      <c r="AR127" s="400">
        <f>AR117+AR116-AR120</f>
        <v/>
      </c>
      <c r="AS127" s="400">
        <f>AS117+AS116-AS120</f>
        <v/>
      </c>
      <c r="AT127" s="400">
        <f>AT117+AT116-AT120</f>
        <v/>
      </c>
      <c r="AU127" s="400">
        <f>AU117+AU116-AU120</f>
        <v/>
      </c>
      <c r="AV127" s="400">
        <f>AV117+AV116-AV120</f>
        <v/>
      </c>
      <c r="AW127" s="400">
        <f>AW117+AW116-AW120</f>
        <v/>
      </c>
      <c r="AX127" s="400">
        <f>AX117+AX116-AX120</f>
        <v/>
      </c>
      <c r="AY127" s="400">
        <f>AY117+AY116-AY120</f>
        <v/>
      </c>
      <c r="AZ127" s="400">
        <f>AZ117+AZ116-AZ120</f>
        <v/>
      </c>
      <c r="BA127" s="400">
        <f>BA117+BA116-BA120-BA119</f>
        <v/>
      </c>
      <c r="BB127" s="400">
        <f>BB117+BB116-BB120-BB119</f>
        <v/>
      </c>
      <c r="BC127" s="400">
        <f>BC117+BC116-BC120-BC119</f>
        <v/>
      </c>
      <c r="BD127" s="400">
        <f>BD117+BD116-BD120-BD119</f>
        <v/>
      </c>
      <c r="BE127" s="400">
        <f>BE117+BE116-BE120-BE119</f>
        <v/>
      </c>
      <c r="BF127" s="400">
        <f>BF117+BF116-BF120</f>
        <v/>
      </c>
      <c r="BG127" s="400">
        <f>BG117+BG116-BG120</f>
        <v/>
      </c>
      <c r="BH127" s="400">
        <f>BH117+BH116-BH120</f>
        <v/>
      </c>
      <c r="BI127" s="400">
        <f>BI117+BI116-BI120</f>
        <v/>
      </c>
      <c r="BJ127" s="400">
        <f>BJ117+BJ116-BJ120</f>
        <v/>
      </c>
      <c r="BK127" s="400">
        <f>BK117+BK116-BK120</f>
        <v/>
      </c>
      <c r="BL127" s="400">
        <f>BL117+BL116-BL120</f>
        <v/>
      </c>
      <c r="BM127" s="400">
        <f>BM117+BM116-BM120</f>
        <v/>
      </c>
      <c r="BN127" s="400">
        <f>BN117+BN116-BN120</f>
        <v/>
      </c>
      <c r="BO127" s="400">
        <f>BO117+BO116-BO120</f>
        <v/>
      </c>
      <c r="BP127" s="400">
        <f>BP117+BP116-BP120</f>
        <v/>
      </c>
      <c r="BQ127" s="400">
        <f>BQ117+BQ116-BQ120</f>
        <v/>
      </c>
      <c r="BR127" s="400">
        <f>BR117+BR116-BR120</f>
        <v/>
      </c>
      <c r="BS127" s="400">
        <f>BS117+BS116-BS120</f>
        <v/>
      </c>
      <c r="BT127" s="400">
        <f>BT117+BT116-BT120</f>
        <v/>
      </c>
      <c r="BU127" s="400">
        <f>BU117+BU116-BU120</f>
        <v/>
      </c>
      <c r="BV127" s="400">
        <f>BV117+BV116-BV120</f>
        <v/>
      </c>
      <c r="BW127" s="400">
        <f>BW117+BW116-BW120</f>
        <v/>
      </c>
      <c r="BX127" s="400">
        <f>BX117+BX116-BX120</f>
        <v/>
      </c>
      <c r="BY127" s="400">
        <f>BY117+BY116-BY120</f>
        <v/>
      </c>
      <c r="BZ127" s="400">
        <f>BZ117+BZ116-BZ120</f>
        <v/>
      </c>
      <c r="CA127" s="400">
        <f>CA117+CA116-CA120</f>
        <v/>
      </c>
      <c r="CB127" s="400">
        <f>CB117+CB116-CB120</f>
        <v/>
      </c>
      <c r="CC127" s="400">
        <f>CC117+CC116-CC120</f>
        <v/>
      </c>
      <c r="CD127" s="400">
        <f>CD117+CD116-CD120</f>
        <v/>
      </c>
      <c r="CE127" s="400">
        <f>CE117+CE116-CE120</f>
        <v/>
      </c>
      <c r="CF127" s="400">
        <f>CF117+CF116-CF120</f>
        <v/>
      </c>
      <c r="CG127" s="400">
        <f>CG117+CG116-CG120</f>
        <v/>
      </c>
      <c r="CH127" s="400">
        <f>CH117+CH116-CH120</f>
        <v/>
      </c>
      <c r="CI127" s="400">
        <f>CI117+CI116-CI120</f>
        <v/>
      </c>
      <c r="CJ127" s="400">
        <f>CJ117+CJ116-CJ120</f>
        <v/>
      </c>
      <c r="CK127" s="400">
        <f>CK117+CK116-CK120</f>
        <v/>
      </c>
    </row>
    <row r="128">
      <c r="A128" s="455" t="inlineStr">
        <is>
          <t>Check</t>
        </is>
      </c>
      <c r="B128" s="400">
        <f>B120-B44</f>
        <v/>
      </c>
      <c r="C128" s="400">
        <f>C120-C44</f>
        <v/>
      </c>
      <c r="D128" s="400">
        <f>D120-D44</f>
        <v/>
      </c>
      <c r="E128" s="400">
        <f>E120-E44</f>
        <v/>
      </c>
      <c r="F128" s="400">
        <f>F120-F44</f>
        <v/>
      </c>
      <c r="G128" s="400">
        <f>G120-G44</f>
        <v/>
      </c>
      <c r="H128" s="400">
        <f>H120-H44</f>
        <v/>
      </c>
      <c r="I128" s="400">
        <f>I120-I44</f>
        <v/>
      </c>
      <c r="J128" s="400">
        <f>J120-J44</f>
        <v/>
      </c>
      <c r="K128" s="400">
        <f>K120-K44</f>
        <v/>
      </c>
      <c r="L128" s="400">
        <f>L120-L44</f>
        <v/>
      </c>
      <c r="M128" s="400">
        <f>M120-M44</f>
        <v/>
      </c>
      <c r="N128" s="400">
        <f>N120-N44</f>
        <v/>
      </c>
      <c r="O128" s="400">
        <f>O120-O44</f>
        <v/>
      </c>
      <c r="P128" s="400">
        <f>P120-P44</f>
        <v/>
      </c>
      <c r="Q128" s="400">
        <f>Q120-Q44</f>
        <v/>
      </c>
      <c r="R128" s="400">
        <f>R120-R44</f>
        <v/>
      </c>
      <c r="S128" s="400">
        <f>S120-S44</f>
        <v/>
      </c>
      <c r="T128" s="400">
        <f>T120-T44</f>
        <v/>
      </c>
      <c r="U128" s="400">
        <f>U120-U44</f>
        <v/>
      </c>
      <c r="V128" s="400">
        <f>V120-V44</f>
        <v/>
      </c>
      <c r="W128" s="400">
        <f>W120-W44</f>
        <v/>
      </c>
      <c r="X128" s="400">
        <f>X120-X44</f>
        <v/>
      </c>
      <c r="Y128" s="400">
        <f>Y120-Y44</f>
        <v/>
      </c>
      <c r="Z128" s="400">
        <f>Z120-Z44</f>
        <v/>
      </c>
      <c r="AA128" s="400">
        <f>AA120-AA44</f>
        <v/>
      </c>
      <c r="AB128" s="400">
        <f>AB120-AB44</f>
        <v/>
      </c>
      <c r="AC128" s="400">
        <f>AC120-AC44</f>
        <v/>
      </c>
      <c r="AD128" s="400">
        <f>AD120-AD44</f>
        <v/>
      </c>
      <c r="AE128" s="400">
        <f>AE120-AE44</f>
        <v/>
      </c>
      <c r="AF128" s="400">
        <f>AF120-AF44</f>
        <v/>
      </c>
      <c r="AG128" s="400">
        <f>AG120-AG44</f>
        <v/>
      </c>
      <c r="AH128" s="400">
        <f>AH120-AH44</f>
        <v/>
      </c>
      <c r="AI128" s="400">
        <f>AI120-AI44</f>
        <v/>
      </c>
      <c r="AJ128" s="400">
        <f>AJ120-AJ44</f>
        <v/>
      </c>
      <c r="AK128" s="400">
        <f>AK120-AK44</f>
        <v/>
      </c>
      <c r="AL128" s="400">
        <f>AL120-AL44</f>
        <v/>
      </c>
      <c r="AM128" s="400">
        <f>AM120-AM44</f>
        <v/>
      </c>
      <c r="AN128" s="400">
        <f>AN120-AN44</f>
        <v/>
      </c>
      <c r="AO128" s="400">
        <f>AO120-AO44</f>
        <v/>
      </c>
      <c r="AP128" s="400">
        <f>AP120-AP44</f>
        <v/>
      </c>
      <c r="AQ128" s="400">
        <f>AQ120-AQ44</f>
        <v/>
      </c>
      <c r="AR128" s="400">
        <f>AR120-AR44</f>
        <v/>
      </c>
      <c r="AS128" s="400">
        <f>AS120-AS44</f>
        <v/>
      </c>
      <c r="AT128" s="400">
        <f>AT120-AT44</f>
        <v/>
      </c>
      <c r="AU128" s="400">
        <f>AU120-AU44</f>
        <v/>
      </c>
      <c r="AV128" s="400">
        <f>AV120-AV44</f>
        <v/>
      </c>
      <c r="AW128" s="400">
        <f>AW120-AW44</f>
        <v/>
      </c>
      <c r="AX128" s="400">
        <f>AX120-AX44</f>
        <v/>
      </c>
      <c r="AY128" s="400">
        <f>AY120-AY44</f>
        <v/>
      </c>
      <c r="AZ128" s="400">
        <f>AZ120-AZ44</f>
        <v/>
      </c>
      <c r="BA128" s="400">
        <f>BA120-BA44</f>
        <v/>
      </c>
      <c r="BB128" s="400">
        <f>BB120-BB44</f>
        <v/>
      </c>
      <c r="BC128" s="400">
        <f>BC120-BC44</f>
        <v/>
      </c>
      <c r="BD128" s="400">
        <f>BD120-BD44</f>
        <v/>
      </c>
      <c r="BE128" s="400">
        <f>BE120-BE44</f>
        <v/>
      </c>
      <c r="BF128" s="400">
        <f>BF120-BF44</f>
        <v/>
      </c>
      <c r="BG128" s="400">
        <f>BG120-BG44</f>
        <v/>
      </c>
      <c r="BH128" s="400">
        <f>BH120-BH44</f>
        <v/>
      </c>
      <c r="BI128" s="400">
        <f>BI120-BI44</f>
        <v/>
      </c>
      <c r="BJ128" s="400">
        <f>BJ120-BJ44</f>
        <v/>
      </c>
      <c r="BK128" s="400">
        <f>BK120-BK44</f>
        <v/>
      </c>
      <c r="BL128" s="400">
        <f>BL120-BL44</f>
        <v/>
      </c>
      <c r="BM128" s="400">
        <f>BM120-BM44</f>
        <v/>
      </c>
      <c r="BN128" s="400">
        <f>BN120-BN44</f>
        <v/>
      </c>
      <c r="BO128" s="400">
        <f>BO120-BO44</f>
        <v/>
      </c>
      <c r="BP128" s="400">
        <f>BP120-BP44</f>
        <v/>
      </c>
      <c r="BQ128" s="400">
        <f>BQ120-BQ44</f>
        <v/>
      </c>
      <c r="BR128" s="400">
        <f>BR120-BR44</f>
        <v/>
      </c>
      <c r="BS128" s="400">
        <f>BS120-BS44</f>
        <v/>
      </c>
      <c r="BT128" s="400">
        <f>BT120-BT44</f>
        <v/>
      </c>
      <c r="BU128" s="400">
        <f>BU120-BU44</f>
        <v/>
      </c>
      <c r="BV128" s="400">
        <f>BV120-BV44</f>
        <v/>
      </c>
      <c r="BW128" s="400">
        <f>BW120-BW44</f>
        <v/>
      </c>
      <c r="BX128" s="400">
        <f>BX120-BX44</f>
        <v/>
      </c>
      <c r="BY128" s="400">
        <f>BY120-BY44</f>
        <v/>
      </c>
      <c r="BZ128" s="400">
        <f>BZ120-BZ44</f>
        <v/>
      </c>
      <c r="CA128" s="400">
        <f>CA120-CA44</f>
        <v/>
      </c>
      <c r="CB128" s="400">
        <f>CB120-CB44</f>
        <v/>
      </c>
      <c r="CC128" s="400">
        <f>CC120-CC44</f>
        <v/>
      </c>
      <c r="CD128" s="400">
        <f>CD120-CD44</f>
        <v/>
      </c>
      <c r="CE128" s="400">
        <f>CE120-CE44</f>
        <v/>
      </c>
      <c r="CF128" s="400">
        <f>CF120-CF44</f>
        <v/>
      </c>
      <c r="CG128" s="400">
        <f>CG120-CG44</f>
        <v/>
      </c>
      <c r="CH128" s="400">
        <f>CH120-CH44</f>
        <v/>
      </c>
      <c r="CI128" s="400">
        <f>CI120-CI44</f>
        <v/>
      </c>
      <c r="CJ128" s="400">
        <f>CJ120-CJ44</f>
        <v/>
      </c>
      <c r="CK128" s="400">
        <f>CK120-CK44</f>
        <v/>
      </c>
    </row>
  </sheetData>
  <pageMargins left="0.7" right="0.7" top="0.75" bottom="0.75" header="0.3" footer="0.3"/>
  <pageSetup orientation="portrait" paperSize="9"/>
  <legacyDrawing xmlns:r="http://schemas.openxmlformats.org/officeDocument/2006/relationships" r:id="anysvml"/>
</worksheet>
</file>

<file path=xl/worksheets/sheet8.xml><?xml version="1.0" encoding="utf-8"?>
<worksheet xmlns="http://schemas.openxmlformats.org/spreadsheetml/2006/main">
  <sheetPr codeName="Sheet8">
    <tabColor rgb="FF92D050"/>
    <outlinePr summaryBelow="1" summaryRight="1"/>
    <pageSetUpPr/>
  </sheetPr>
  <dimension ref="A1:DS272"/>
  <sheetViews>
    <sheetView zoomScale="125" zoomScaleNormal="80" workbookViewId="0">
      <pane xSplit="41" ySplit="7" topLeftCell="BM144" activePane="bottomRight" state="frozen"/>
      <selection pane="topRight" activeCell="AP1" sqref="AP1"/>
      <selection pane="bottomLeft" activeCell="A8" sqref="A8"/>
      <selection pane="bottomRight" activeCell="CE191" sqref="CE191"/>
    </sheetView>
  </sheetViews>
  <sheetFormatPr baseColWidth="10" defaultColWidth="9.33203125" defaultRowHeight="13" outlineLevelRow="1"/>
  <cols>
    <col width="57.33203125" bestFit="1" customWidth="1" style="20" min="1" max="1"/>
    <col hidden="1" width="10.5" customWidth="1" style="20" min="2" max="3"/>
    <col hidden="1" width="11.5" customWidth="1" style="20" min="4" max="4"/>
    <col hidden="1" width="10.5" customWidth="1" style="20" min="5" max="7"/>
    <col hidden="1" width="11.5" customWidth="1" style="20" min="8" max="8"/>
    <col hidden="1" width="10.5" customWidth="1" style="20" min="9" max="11"/>
    <col hidden="1" width="11.5" customWidth="1" style="20" min="12" max="12"/>
    <col hidden="1" width="10.5" customWidth="1" style="20" min="13" max="13"/>
    <col hidden="1" width="12.6640625" customWidth="1" style="20" min="14" max="41"/>
    <col width="12.6640625" customWidth="1" style="20" min="42" max="54"/>
    <col width="13" customWidth="1" style="20" min="55" max="55"/>
    <col width="12.6640625" customWidth="1" style="20" min="56" max="89"/>
    <col width="11.33203125" customWidth="1" style="20" min="90" max="90"/>
    <col hidden="1" width="12.33203125" customWidth="1" style="20" min="91" max="91"/>
    <col hidden="1" width="11.5" customWidth="1" style="20" min="92" max="97"/>
    <col hidden="1" width="12.33203125" customWidth="1" style="20" min="98" max="103"/>
    <col hidden="1" width="9.33203125" customWidth="1" style="20" min="104" max="104"/>
    <col width="12.6640625" customWidth="1" style="20" min="105" max="123"/>
    <col width="9.33203125" customWidth="1" style="20" min="124" max="16384"/>
  </cols>
  <sheetData>
    <row r="1">
      <c r="A1" s="22" t="inlineStr">
        <is>
          <t>IPG Photonics Corp.</t>
        </is>
      </c>
      <c r="B1" s="23">
        <f>Reported!B1</f>
        <v/>
      </c>
      <c r="C1" s="23">
        <f>Reported!C1</f>
        <v/>
      </c>
      <c r="D1" s="23">
        <f>Reported!D1</f>
        <v/>
      </c>
      <c r="E1" s="23">
        <f>Reported!E1</f>
        <v/>
      </c>
      <c r="F1" s="23">
        <f>Reported!F1</f>
        <v/>
      </c>
      <c r="G1" s="23">
        <f>Reported!G1</f>
        <v/>
      </c>
      <c r="H1" s="23">
        <f>Reported!H1</f>
        <v/>
      </c>
      <c r="I1" s="23">
        <f>Reported!I1</f>
        <v/>
      </c>
      <c r="J1" s="23">
        <f>Reported!J1</f>
        <v/>
      </c>
      <c r="K1" s="23">
        <f>Reported!K1</f>
        <v/>
      </c>
      <c r="L1" s="23">
        <f>Reported!L1</f>
        <v/>
      </c>
      <c r="M1" s="23">
        <f>Reported!M1</f>
        <v/>
      </c>
      <c r="N1" s="23">
        <f>Reported!N1</f>
        <v/>
      </c>
      <c r="O1" s="23">
        <f>Reported!O1</f>
        <v/>
      </c>
      <c r="P1" s="23">
        <f>Reported!P1</f>
        <v/>
      </c>
      <c r="Q1" s="23">
        <f>Reported!Q1</f>
        <v/>
      </c>
      <c r="R1" s="23">
        <f>Reported!R1</f>
        <v/>
      </c>
      <c r="S1" s="23">
        <f>Reported!S1</f>
        <v/>
      </c>
      <c r="T1" s="23">
        <f>Reported!T1</f>
        <v/>
      </c>
      <c r="U1" s="23">
        <f>Reported!U1</f>
        <v/>
      </c>
      <c r="V1" s="23">
        <f>Reported!V1</f>
        <v/>
      </c>
      <c r="W1" s="23">
        <f>Reported!W1</f>
        <v/>
      </c>
      <c r="X1" s="23">
        <f>Reported!X1</f>
        <v/>
      </c>
      <c r="Y1" s="23">
        <f>Reported!Y1</f>
        <v/>
      </c>
      <c r="Z1" s="23">
        <f>Reported!Z1</f>
        <v/>
      </c>
      <c r="AA1" s="23">
        <f>Reported!AA1</f>
        <v/>
      </c>
      <c r="AB1" s="23">
        <f>Reported!AB1</f>
        <v/>
      </c>
      <c r="AC1" s="23">
        <f>Reported!AC1</f>
        <v/>
      </c>
      <c r="AD1" s="23">
        <f>Reported!AD1</f>
        <v/>
      </c>
      <c r="AE1" s="23">
        <f>Reported!AE1</f>
        <v/>
      </c>
      <c r="AF1" s="23">
        <f>Reported!AF1</f>
        <v/>
      </c>
      <c r="AG1" s="23">
        <f>Reported!AG1</f>
        <v/>
      </c>
      <c r="AH1" s="23">
        <f>Reported!AH1</f>
        <v/>
      </c>
      <c r="AI1" s="23">
        <f>Reported!AI1</f>
        <v/>
      </c>
      <c r="AJ1" s="23">
        <f>Reported!AJ1</f>
        <v/>
      </c>
      <c r="AK1" s="23">
        <f>Reported!AK1</f>
        <v/>
      </c>
      <c r="AL1" s="23">
        <f>Reported!AL1</f>
        <v/>
      </c>
      <c r="AM1" s="23">
        <f>Reported!AM1</f>
        <v/>
      </c>
      <c r="AN1" s="23">
        <f>Reported!AN1</f>
        <v/>
      </c>
      <c r="AO1" s="23">
        <f>Reported!AO1</f>
        <v/>
      </c>
      <c r="AP1" s="23">
        <f>Reported!AP1</f>
        <v/>
      </c>
      <c r="AQ1" s="23">
        <f>Reported!AQ1</f>
        <v/>
      </c>
      <c r="AR1" s="23">
        <f>Reported!AR1</f>
        <v/>
      </c>
      <c r="AS1" s="23">
        <f>Reported!AS1</f>
        <v/>
      </c>
      <c r="AT1" s="23">
        <f>Reported!AT1</f>
        <v/>
      </c>
      <c r="AU1" s="23">
        <f>Reported!AU1</f>
        <v/>
      </c>
      <c r="AV1" s="23">
        <f>Reported!AV1</f>
        <v/>
      </c>
      <c r="AW1" s="23">
        <f>Reported!AW1</f>
        <v/>
      </c>
      <c r="AX1" s="23">
        <f>Reported!AX1</f>
        <v/>
      </c>
      <c r="AY1" s="23">
        <f>Reported!AY1</f>
        <v/>
      </c>
      <c r="AZ1" s="23">
        <f>Reported!AZ1</f>
        <v/>
      </c>
      <c r="BA1" s="23">
        <f>Reported!BA1</f>
        <v/>
      </c>
      <c r="BB1" s="23">
        <f>Reported!BB1</f>
        <v/>
      </c>
      <c r="BC1" s="23">
        <f>Reported!BC1</f>
        <v/>
      </c>
      <c r="BD1" s="23">
        <f>Reported!BD1</f>
        <v/>
      </c>
      <c r="BE1" s="23">
        <f>Reported!BE1</f>
        <v/>
      </c>
      <c r="BF1" s="23">
        <f>Reported!BF1</f>
        <v/>
      </c>
      <c r="BG1" s="23">
        <f>Reported!BG1</f>
        <v/>
      </c>
      <c r="BH1" s="23">
        <f>Reported!BH1</f>
        <v/>
      </c>
      <c r="BI1" s="23">
        <f>Reported!BI1</f>
        <v/>
      </c>
      <c r="BJ1" s="23">
        <f>Reported!BJ1</f>
        <v/>
      </c>
      <c r="BK1" s="23">
        <f>Reported!BK1</f>
        <v/>
      </c>
      <c r="BL1" s="23">
        <f>Reported!BL1</f>
        <v/>
      </c>
      <c r="BM1" s="23">
        <f>Reported!BM1</f>
        <v/>
      </c>
      <c r="BN1" s="23">
        <f>Reported!BN1</f>
        <v/>
      </c>
      <c r="BO1" s="23">
        <f>Reported!BO1</f>
        <v/>
      </c>
      <c r="BP1" s="23">
        <f>Reported!BP1</f>
        <v/>
      </c>
      <c r="BQ1" s="23">
        <f>Reported!BQ1</f>
        <v/>
      </c>
      <c r="BR1" s="23">
        <f>Reported!BR1</f>
        <v/>
      </c>
      <c r="BS1" s="23">
        <f>Reported!BS1</f>
        <v/>
      </c>
      <c r="BT1" s="23">
        <f>Reported!BT1</f>
        <v/>
      </c>
      <c r="BU1" s="23">
        <f>Reported!BU1</f>
        <v/>
      </c>
      <c r="BV1" s="23">
        <f>Reported!BV1</f>
        <v/>
      </c>
      <c r="BW1" s="23">
        <f>Reported!BW1</f>
        <v/>
      </c>
      <c r="BX1" s="23">
        <f>Reported!BX1</f>
        <v/>
      </c>
      <c r="BY1" s="23">
        <f>Reported!BY1</f>
        <v/>
      </c>
      <c r="BZ1" s="23">
        <f>Reported!BZ1</f>
        <v/>
      </c>
      <c r="CA1" s="23">
        <f>Reported!CA1</f>
        <v/>
      </c>
      <c r="CB1" s="23">
        <f>Reported!CB1</f>
        <v/>
      </c>
      <c r="CC1" s="23">
        <f>Reported!CC1</f>
        <v/>
      </c>
      <c r="CD1" s="23">
        <f>Reported!CD1</f>
        <v/>
      </c>
      <c r="CE1" s="23">
        <f>Reported!CE1</f>
        <v/>
      </c>
      <c r="CF1" s="23">
        <f>Reported!CF1</f>
        <v/>
      </c>
      <c r="CG1" s="23">
        <f>Reported!CG1</f>
        <v/>
      </c>
      <c r="CH1" s="23">
        <f>Reported!CH1</f>
        <v/>
      </c>
      <c r="CI1" s="23">
        <f>Reported!CI1</f>
        <v/>
      </c>
      <c r="CJ1" s="23">
        <f>Reported!CJ1</f>
        <v/>
      </c>
      <c r="CK1" s="23">
        <f>Reported!CK1</f>
        <v/>
      </c>
      <c r="CL1" s="23" t="n"/>
      <c r="CM1" s="23" t="n"/>
      <c r="CN1" s="23" t="n"/>
      <c r="CO1" s="23" t="n"/>
      <c r="CP1" s="23" t="n"/>
      <c r="CQ1" s="23" t="n"/>
      <c r="CR1" s="23" t="n"/>
      <c r="CS1" s="23" t="n"/>
      <c r="CT1" s="23" t="n"/>
      <c r="CU1" s="23" t="n"/>
      <c r="CV1" s="23" t="n"/>
      <c r="CW1" s="23" t="n"/>
      <c r="CX1" s="23" t="n"/>
      <c r="CY1" s="23" t="n"/>
      <c r="DA1" s="23" t="n">
        <v>2010</v>
      </c>
      <c r="DB1" s="23">
        <f>DA1+1</f>
        <v/>
      </c>
      <c r="DC1" s="23">
        <f>DB1+1</f>
        <v/>
      </c>
      <c r="DD1" s="23">
        <f>DC1+1</f>
        <v/>
      </c>
      <c r="DE1" s="23">
        <f>DD1+1</f>
        <v/>
      </c>
      <c r="DF1" s="23">
        <f>DE1+1</f>
        <v/>
      </c>
      <c r="DG1" s="23">
        <f>DF1+1</f>
        <v/>
      </c>
      <c r="DH1" s="23">
        <f>DG1+1</f>
        <v/>
      </c>
      <c r="DI1" s="23">
        <f>DH1+1</f>
        <v/>
      </c>
      <c r="DJ1" s="23">
        <f>DI1+1</f>
        <v/>
      </c>
      <c r="DK1" s="23">
        <f>DJ1+1</f>
        <v/>
      </c>
      <c r="DL1" s="23">
        <f>DK1+1</f>
        <v/>
      </c>
      <c r="DM1" s="23">
        <f>DL1+1</f>
        <v/>
      </c>
      <c r="DN1" s="23">
        <f>DM1+1</f>
        <v/>
      </c>
      <c r="DO1" s="23">
        <f>DN1+1</f>
        <v/>
      </c>
      <c r="DP1" s="23">
        <f>DO1+1</f>
        <v/>
      </c>
      <c r="DQ1" s="23">
        <f>DP1+1</f>
        <v/>
      </c>
      <c r="DR1" s="23">
        <f>DQ1+1</f>
        <v/>
      </c>
      <c r="DS1" s="23">
        <f>DR1+1</f>
        <v/>
      </c>
    </row>
    <row r="2">
      <c r="A2" t="inlineStr">
        <is>
          <t>Forecast</t>
        </is>
      </c>
      <c r="B2" s="24">
        <f>Reported!B2</f>
        <v/>
      </c>
      <c r="C2" s="24">
        <f>Reported!C2</f>
        <v/>
      </c>
      <c r="D2" s="24">
        <f>Reported!D2</f>
        <v/>
      </c>
      <c r="E2" s="24">
        <f>Reported!E2</f>
        <v/>
      </c>
      <c r="F2" s="24">
        <f>Reported!F2</f>
        <v/>
      </c>
      <c r="G2" s="24">
        <f>Reported!G2</f>
        <v/>
      </c>
      <c r="H2" s="24">
        <f>Reported!H2</f>
        <v/>
      </c>
      <c r="I2" s="24">
        <f>Reported!I2</f>
        <v/>
      </c>
      <c r="J2" s="24">
        <f>Reported!J2</f>
        <v/>
      </c>
      <c r="K2" s="24">
        <f>Reported!K2</f>
        <v/>
      </c>
      <c r="L2" s="24">
        <f>Reported!L2</f>
        <v/>
      </c>
      <c r="M2" s="24">
        <f>Reported!M2</f>
        <v/>
      </c>
      <c r="N2" s="24">
        <f>Reported!N2</f>
        <v/>
      </c>
      <c r="O2" s="24">
        <f>Reported!O2</f>
        <v/>
      </c>
      <c r="P2" s="24">
        <f>Reported!P2</f>
        <v/>
      </c>
      <c r="Q2" s="24">
        <f>Reported!Q2</f>
        <v/>
      </c>
      <c r="R2" s="24">
        <f>Reported!R2</f>
        <v/>
      </c>
      <c r="S2" s="24">
        <f>Reported!S2</f>
        <v/>
      </c>
      <c r="T2" s="24">
        <f>Reported!T2</f>
        <v/>
      </c>
      <c r="U2" s="24">
        <f>Reported!U2</f>
        <v/>
      </c>
      <c r="V2" s="24">
        <f>Reported!V2</f>
        <v/>
      </c>
      <c r="W2" s="24">
        <f>Reported!W2</f>
        <v/>
      </c>
      <c r="X2" s="24">
        <f>Reported!X2</f>
        <v/>
      </c>
      <c r="Y2" s="24">
        <f>Reported!Y2</f>
        <v/>
      </c>
      <c r="Z2" s="24">
        <f>Reported!Z2</f>
        <v/>
      </c>
      <c r="AA2" s="24">
        <f>Reported!AA2</f>
        <v/>
      </c>
      <c r="AB2" s="24">
        <f>Reported!AB2</f>
        <v/>
      </c>
      <c r="AC2" s="24">
        <f>Reported!AC2</f>
        <v/>
      </c>
      <c r="AD2" s="24">
        <f>Reported!AD2</f>
        <v/>
      </c>
      <c r="AE2" s="24">
        <f>Reported!AE2</f>
        <v/>
      </c>
      <c r="AF2" s="24">
        <f>Reported!AF2</f>
        <v/>
      </c>
      <c r="AG2" s="24">
        <f>Reported!AG2</f>
        <v/>
      </c>
      <c r="AH2" s="24">
        <f>Reported!AH2</f>
        <v/>
      </c>
      <c r="AI2" s="24">
        <f>Reported!AI2</f>
        <v/>
      </c>
      <c r="AJ2" s="24">
        <f>Reported!AJ2</f>
        <v/>
      </c>
      <c r="AK2" s="24">
        <f>Reported!AK2</f>
        <v/>
      </c>
      <c r="AL2" s="24">
        <f>Reported!AL2</f>
        <v/>
      </c>
      <c r="AM2" s="24">
        <f>Reported!AM2</f>
        <v/>
      </c>
      <c r="AN2" s="24">
        <f>Reported!AN2</f>
        <v/>
      </c>
      <c r="AO2" s="24">
        <f>Reported!AO2</f>
        <v/>
      </c>
      <c r="AP2" s="24">
        <f>Reported!AP2</f>
        <v/>
      </c>
      <c r="AQ2" s="24">
        <f>Reported!AQ2</f>
        <v/>
      </c>
      <c r="AR2" s="24">
        <f>Reported!AR2</f>
        <v/>
      </c>
      <c r="AS2" s="24">
        <f>Reported!AS2</f>
        <v/>
      </c>
      <c r="AT2" s="24">
        <f>Reported!AT2</f>
        <v/>
      </c>
      <c r="AU2" s="24">
        <f>Reported!AU2</f>
        <v/>
      </c>
      <c r="AV2" s="24">
        <f>Reported!AV2</f>
        <v/>
      </c>
      <c r="AW2" s="24">
        <f>Reported!AW2</f>
        <v/>
      </c>
      <c r="AX2" s="24">
        <f>Reported!AX2</f>
        <v/>
      </c>
      <c r="AY2" s="24">
        <f>Reported!AY2</f>
        <v/>
      </c>
      <c r="AZ2" s="24">
        <f>Reported!AZ2</f>
        <v/>
      </c>
      <c r="BA2" s="24">
        <f>Reported!BA2</f>
        <v/>
      </c>
      <c r="BB2" s="24">
        <f>Reported!BB2</f>
        <v/>
      </c>
      <c r="BC2" s="24">
        <f>Reported!BC2</f>
        <v/>
      </c>
      <c r="BD2" s="24">
        <f>Reported!BD2</f>
        <v/>
      </c>
      <c r="BE2" s="24">
        <f>Reported!BE2</f>
        <v/>
      </c>
      <c r="BF2" s="24">
        <f>Reported!BF2</f>
        <v/>
      </c>
      <c r="BG2" s="24">
        <f>Reported!BG2</f>
        <v/>
      </c>
      <c r="BH2" s="24">
        <f>Reported!BH2</f>
        <v/>
      </c>
      <c r="BI2" s="24">
        <f>Reported!BI2</f>
        <v/>
      </c>
      <c r="BJ2" s="24">
        <f>Reported!BJ2</f>
        <v/>
      </c>
      <c r="BK2" s="24">
        <f>Reported!BK2</f>
        <v/>
      </c>
      <c r="BL2" s="24">
        <f>Reported!BL2</f>
        <v/>
      </c>
      <c r="BM2" s="24">
        <f>Reported!BM2</f>
        <v/>
      </c>
      <c r="BN2" s="24">
        <f>Reported!BN2</f>
        <v/>
      </c>
      <c r="BO2" s="24">
        <f>Reported!BO2</f>
        <v/>
      </c>
      <c r="BP2" s="24">
        <f>Reported!BP2</f>
        <v/>
      </c>
      <c r="BQ2" s="24">
        <f>Reported!BQ2</f>
        <v/>
      </c>
      <c r="BR2" s="24">
        <f>Reported!BR2</f>
        <v/>
      </c>
      <c r="BS2" s="24">
        <f>Reported!BS2</f>
        <v/>
      </c>
      <c r="BT2" s="24">
        <f>Reported!BT2</f>
        <v/>
      </c>
      <c r="BU2" s="24">
        <f>Reported!BU2</f>
        <v/>
      </c>
      <c r="BV2" s="24">
        <f>Reported!BV2</f>
        <v/>
      </c>
      <c r="BW2" s="24">
        <f>Reported!BW2</f>
        <v/>
      </c>
      <c r="BX2" s="24">
        <f>Reported!BX2</f>
        <v/>
      </c>
      <c r="BY2" s="24">
        <f>Reported!BY2</f>
        <v/>
      </c>
      <c r="BZ2" s="24">
        <f>Reported!BZ2</f>
        <v/>
      </c>
      <c r="CA2" s="24">
        <f>Reported!CA2</f>
        <v/>
      </c>
      <c r="CB2" s="24">
        <f>Reported!CB2</f>
        <v/>
      </c>
      <c r="CC2" s="24">
        <f>Reported!CC2</f>
        <v/>
      </c>
      <c r="CD2" s="24">
        <f>Reported!CD2</f>
        <v/>
      </c>
      <c r="CE2" s="24">
        <f>Reported!CE2</f>
        <v/>
      </c>
      <c r="CF2" s="24">
        <f>Reported!CF2</f>
        <v/>
      </c>
      <c r="CG2" s="24">
        <f>Reported!CG2</f>
        <v/>
      </c>
      <c r="CH2" s="24">
        <f>Reported!CH2</f>
        <v/>
      </c>
      <c r="CI2" s="24">
        <f>Reported!CI2</f>
        <v/>
      </c>
      <c r="CJ2" s="24">
        <f>Reported!CJ2</f>
        <v/>
      </c>
      <c r="CK2" s="24">
        <f>Reported!CK2</f>
        <v/>
      </c>
      <c r="CL2" s="24" t="n"/>
      <c r="CM2" s="24" t="n"/>
      <c r="CN2" s="24" t="n"/>
      <c r="CO2" s="24" t="n"/>
      <c r="CP2" s="24" t="n"/>
      <c r="CQ2" s="24" t="n"/>
      <c r="CR2" s="24" t="n"/>
      <c r="CS2" s="24" t="n"/>
      <c r="CT2" s="24" t="n"/>
      <c r="CU2" s="24" t="n"/>
      <c r="CV2" s="24" t="n"/>
      <c r="CW2" s="24" t="n"/>
      <c r="CX2" s="24" t="n"/>
      <c r="CY2" s="24" t="n"/>
    </row>
    <row r="3">
      <c r="A3" t="inlineStr">
        <is>
          <t>Quarterly</t>
        </is>
      </c>
      <c r="B3" s="24">
        <f>B2&amp;"Q"&amp;RIGHT(B1,2)</f>
        <v/>
      </c>
      <c r="C3" s="24">
        <f>C2&amp;"Q"&amp;RIGHT(C1,2)</f>
        <v/>
      </c>
      <c r="D3" s="24">
        <f>D2&amp;"Q"&amp;RIGHT(D1,2)</f>
        <v/>
      </c>
      <c r="E3" s="24">
        <f>E2&amp;"Q"&amp;RIGHT(E1,2)</f>
        <v/>
      </c>
      <c r="F3" s="24">
        <f>F2&amp;"Q"&amp;RIGHT(F1,2)</f>
        <v/>
      </c>
      <c r="G3" s="24">
        <f>G2&amp;"Q"&amp;RIGHT(G1,2)</f>
        <v/>
      </c>
      <c r="H3" s="24">
        <f>H2&amp;"Q"&amp;RIGHT(H1,2)</f>
        <v/>
      </c>
      <c r="I3" s="24">
        <f>I2&amp;"Q"&amp;RIGHT(I1,2)</f>
        <v/>
      </c>
      <c r="J3" s="24">
        <f>J2&amp;"Q"&amp;RIGHT(J1,2)</f>
        <v/>
      </c>
      <c r="K3" s="24">
        <f>K2&amp;"Q"&amp;RIGHT(K1,2)</f>
        <v/>
      </c>
      <c r="L3" s="24">
        <f>L2&amp;"Q"&amp;RIGHT(L1,2)</f>
        <v/>
      </c>
      <c r="M3" s="24">
        <f>M2&amp;"Q"&amp;RIGHT(M1,2)</f>
        <v/>
      </c>
      <c r="N3" s="24">
        <f>N2&amp;"Q"&amp;RIGHT(N1,2)</f>
        <v/>
      </c>
      <c r="O3" s="24">
        <f>O2&amp;"Q"&amp;RIGHT(O1,2)</f>
        <v/>
      </c>
      <c r="P3" s="24">
        <f>P2&amp;"Q"&amp;RIGHT(P1,2)</f>
        <v/>
      </c>
      <c r="Q3" s="24">
        <f>Q2&amp;"Q"&amp;RIGHT(Q1,2)</f>
        <v/>
      </c>
      <c r="R3" s="24">
        <f>R2&amp;"Q"&amp;RIGHT(R1,2)</f>
        <v/>
      </c>
      <c r="S3" s="24">
        <f>S2&amp;"Q"&amp;RIGHT(S1,2)</f>
        <v/>
      </c>
      <c r="T3" s="24">
        <f>T2&amp;"Q"&amp;RIGHT(T1,2)</f>
        <v/>
      </c>
      <c r="U3" s="24">
        <f>U2&amp;"Q"&amp;RIGHT(U1,2)</f>
        <v/>
      </c>
      <c r="V3" s="24">
        <f>V2&amp;"Q"&amp;RIGHT(V1,2)</f>
        <v/>
      </c>
      <c r="W3" s="24">
        <f>W2&amp;"Q"&amp;RIGHT(W1,2)</f>
        <v/>
      </c>
      <c r="X3" s="24">
        <f>X2&amp;"Q"&amp;RIGHT(X1,2)</f>
        <v/>
      </c>
      <c r="Y3" s="24">
        <f>Y2&amp;"Q"&amp;RIGHT(Y1,2)</f>
        <v/>
      </c>
      <c r="Z3" s="24">
        <f>Z2&amp;"Q"&amp;RIGHT(Z1,2)</f>
        <v/>
      </c>
      <c r="AA3" s="24">
        <f>AA2&amp;"Q"&amp;RIGHT(AA1,2)</f>
        <v/>
      </c>
      <c r="AB3" s="24">
        <f>AB2&amp;"Q"&amp;RIGHT(AB1,2)</f>
        <v/>
      </c>
      <c r="AC3" s="24">
        <f>AC2&amp;"Q"&amp;RIGHT(AC1,2)</f>
        <v/>
      </c>
      <c r="AD3" s="24">
        <f>AD2&amp;"Q"&amp;RIGHT(AD1,2)</f>
        <v/>
      </c>
      <c r="AE3" s="24">
        <f>AE2&amp;"Q"&amp;RIGHT(AE1,2)</f>
        <v/>
      </c>
      <c r="AF3" s="24">
        <f>AF2&amp;"Q"&amp;RIGHT(AF1,2)</f>
        <v/>
      </c>
      <c r="AG3" s="24">
        <f>AG2&amp;"Q"&amp;RIGHT(AG1,2)</f>
        <v/>
      </c>
      <c r="AH3" s="24">
        <f>AH2&amp;"Q"&amp;RIGHT(AH1,2)</f>
        <v/>
      </c>
      <c r="AI3" s="24">
        <f>AI2&amp;"Q"&amp;RIGHT(AI1,2)</f>
        <v/>
      </c>
      <c r="AJ3" s="24">
        <f>AJ2&amp;"Q"&amp;RIGHT(AJ1,2)</f>
        <v/>
      </c>
      <c r="AK3" s="24">
        <f>AK2&amp;"Q"&amp;RIGHT(AK1,2)</f>
        <v/>
      </c>
      <c r="AL3" s="24">
        <f>AL2&amp;"Q"&amp;RIGHT(AL1,2)</f>
        <v/>
      </c>
      <c r="AM3" s="24">
        <f>AM2&amp;"Q"&amp;RIGHT(AM1,2)</f>
        <v/>
      </c>
      <c r="AN3" s="24">
        <f>AN2&amp;"Q"&amp;RIGHT(AN1,2)</f>
        <v/>
      </c>
      <c r="AO3" s="24">
        <f>AO2&amp;"Q"&amp;RIGHT(AO1,2)</f>
        <v/>
      </c>
      <c r="AP3" s="24">
        <f>AP2&amp;"Q"&amp;RIGHT(AP1,2)</f>
        <v/>
      </c>
      <c r="AQ3" s="24">
        <f>AQ2&amp;"Q"&amp;RIGHT(AQ1,2)</f>
        <v/>
      </c>
      <c r="AR3" s="24">
        <f>AR2&amp;"Q"&amp;RIGHT(AR1,2)</f>
        <v/>
      </c>
      <c r="AS3" s="24">
        <f>AS2&amp;"Q"&amp;RIGHT(AS1,2)</f>
        <v/>
      </c>
      <c r="AT3" s="24">
        <f>AT2&amp;"Q"&amp;RIGHT(AT1,2)</f>
        <v/>
      </c>
      <c r="AU3" s="24">
        <f>AU2&amp;"Q"&amp;RIGHT(AU1,2)</f>
        <v/>
      </c>
      <c r="AV3" s="24">
        <f>AV2&amp;"Q"&amp;RIGHT(AV1,2)</f>
        <v/>
      </c>
      <c r="AW3" s="24">
        <f>AW2&amp;"Q"&amp;RIGHT(AW1,2)</f>
        <v/>
      </c>
      <c r="AX3" s="24">
        <f>AX2&amp;"Q"&amp;RIGHT(AX1,2)</f>
        <v/>
      </c>
      <c r="AY3" s="24">
        <f>AY2&amp;"Q"&amp;RIGHT(AY1,2)</f>
        <v/>
      </c>
      <c r="AZ3" s="24">
        <f>AZ2&amp;"Q"&amp;RIGHT(AZ1,2)</f>
        <v/>
      </c>
      <c r="BA3" s="24">
        <f>BA2&amp;"Q"&amp;RIGHT(BA1,2)</f>
        <v/>
      </c>
      <c r="BB3" s="24">
        <f>BB2&amp;"Q"&amp;RIGHT(BB1,2)</f>
        <v/>
      </c>
      <c r="BC3" s="24">
        <f>BC2&amp;"Q"&amp;RIGHT(BC1,2)</f>
        <v/>
      </c>
      <c r="BD3" s="24">
        <f>BD2&amp;"Q"&amp;RIGHT(BD1,2)</f>
        <v/>
      </c>
      <c r="BE3" s="24">
        <f>BE2&amp;"Q"&amp;RIGHT(BE1,2)</f>
        <v/>
      </c>
      <c r="BF3" s="24">
        <f>BF2&amp;"Q"&amp;RIGHT(BF1,2)</f>
        <v/>
      </c>
      <c r="BG3" s="24">
        <f>BG2&amp;"Q"&amp;RIGHT(BG1,2)</f>
        <v/>
      </c>
      <c r="BH3" s="24">
        <f>BH2&amp;"Q"&amp;RIGHT(BH1,2)</f>
        <v/>
      </c>
      <c r="BI3" s="24">
        <f>BI2&amp;"Q"&amp;RIGHT(BI1,2)</f>
        <v/>
      </c>
      <c r="BJ3" s="24">
        <f>BJ2&amp;"Q"&amp;RIGHT(BJ1,2)</f>
        <v/>
      </c>
      <c r="BK3" s="24">
        <f>BK2&amp;"Q"&amp;RIGHT(BK1,2)</f>
        <v/>
      </c>
      <c r="BL3" s="24">
        <f>BL2&amp;"Q"&amp;RIGHT(BL1,2)</f>
        <v/>
      </c>
      <c r="BM3" s="24">
        <f>BM2&amp;"Q"&amp;RIGHT(BM1,2)</f>
        <v/>
      </c>
      <c r="BN3" s="24">
        <f>BN2&amp;"Q"&amp;RIGHT(BN1,2)</f>
        <v/>
      </c>
      <c r="BO3" s="24">
        <f>BO2&amp;"Q"&amp;RIGHT(BO1,2)</f>
        <v/>
      </c>
      <c r="BP3" s="24">
        <f>BP2&amp;"Q"&amp;RIGHT(BP1,2)</f>
        <v/>
      </c>
      <c r="BQ3" s="24">
        <f>BQ2&amp;"Q"&amp;RIGHT(BQ1,2)</f>
        <v/>
      </c>
      <c r="BR3" s="24">
        <f>BR2&amp;"Q"&amp;RIGHT(BR1,2)</f>
        <v/>
      </c>
      <c r="BS3" s="24">
        <f>BS2&amp;"Q"&amp;RIGHT(BS1,2)</f>
        <v/>
      </c>
      <c r="BT3" s="24">
        <f>BT2&amp;"Q"&amp;RIGHT(BT1,2)</f>
        <v/>
      </c>
      <c r="BU3" s="24">
        <f>BU2&amp;"Q"&amp;RIGHT(BU1,2)</f>
        <v/>
      </c>
      <c r="BV3" s="24">
        <f>BV2&amp;"Q"&amp;RIGHT(BV1,2)</f>
        <v/>
      </c>
      <c r="BW3" s="24">
        <f>BW2&amp;"Q"&amp;RIGHT(BW1,2)</f>
        <v/>
      </c>
      <c r="BX3" s="24">
        <f>BX2&amp;"Q"&amp;RIGHT(BX1,2)</f>
        <v/>
      </c>
      <c r="BY3" s="24">
        <f>BY2&amp;"Q"&amp;RIGHT(BY1,2)</f>
        <v/>
      </c>
      <c r="BZ3" s="24">
        <f>BZ2&amp;"Q"&amp;RIGHT(BZ1,2)</f>
        <v/>
      </c>
      <c r="CA3" s="24">
        <f>CA2&amp;"Q"&amp;RIGHT(CA1,2)</f>
        <v/>
      </c>
      <c r="CB3" s="24">
        <f>CB2&amp;"Q"&amp;RIGHT(CB1,2)</f>
        <v/>
      </c>
      <c r="CC3" s="24">
        <f>CC2&amp;"Q"&amp;RIGHT(CC1,2)</f>
        <v/>
      </c>
      <c r="CD3" s="24">
        <f>CD2&amp;"Q"&amp;RIGHT(CD1,2)</f>
        <v/>
      </c>
      <c r="CE3" s="24">
        <f>CE2&amp;"Q"&amp;RIGHT(CE1,2)</f>
        <v/>
      </c>
      <c r="CF3" s="24">
        <f>CF2&amp;"Q"&amp;RIGHT(CF1,2)</f>
        <v/>
      </c>
      <c r="CG3" s="24">
        <f>CG2&amp;"Q"&amp;RIGHT(CG1,2)</f>
        <v/>
      </c>
      <c r="CH3" s="24">
        <f>CH2&amp;"Q"&amp;RIGHT(CH1,2)</f>
        <v/>
      </c>
      <c r="CI3" s="24">
        <f>CI2&amp;"Q"&amp;RIGHT(CI1,2)</f>
        <v/>
      </c>
      <c r="CJ3" s="24">
        <f>CJ2&amp;"Q"&amp;RIGHT(CJ1,2)</f>
        <v/>
      </c>
      <c r="CK3" s="24">
        <f>CK2&amp;"Q"&amp;RIGHT(CK1,2)</f>
        <v/>
      </c>
    </row>
    <row r="4"/>
    <row r="5">
      <c r="A5" s="25" t="n"/>
      <c r="B5" s="26">
        <f>B3</f>
        <v/>
      </c>
      <c r="C5" s="26">
        <f>C3</f>
        <v/>
      </c>
      <c r="D5" s="26">
        <f>D3</f>
        <v/>
      </c>
      <c r="E5" s="26">
        <f>E3</f>
        <v/>
      </c>
      <c r="F5" s="26">
        <f>F3</f>
        <v/>
      </c>
      <c r="G5" s="26">
        <f>G3</f>
        <v/>
      </c>
      <c r="H5" s="26">
        <f>H3</f>
        <v/>
      </c>
      <c r="I5" s="26">
        <f>I3</f>
        <v/>
      </c>
      <c r="J5" s="26">
        <f>J3</f>
        <v/>
      </c>
      <c r="K5" s="26">
        <f>K3</f>
        <v/>
      </c>
      <c r="L5" s="26">
        <f>L3</f>
        <v/>
      </c>
      <c r="M5" s="26">
        <f>M3</f>
        <v/>
      </c>
      <c r="N5" s="26">
        <f>N3</f>
        <v/>
      </c>
      <c r="O5" s="26">
        <f>O3</f>
        <v/>
      </c>
      <c r="P5" s="26">
        <f>P3</f>
        <v/>
      </c>
      <c r="Q5" s="26">
        <f>Q3</f>
        <v/>
      </c>
      <c r="R5" s="26">
        <f>R3</f>
        <v/>
      </c>
      <c r="S5" s="26">
        <f>S3</f>
        <v/>
      </c>
      <c r="T5" s="26">
        <f>T3</f>
        <v/>
      </c>
      <c r="U5" s="26">
        <f>U3</f>
        <v/>
      </c>
      <c r="V5" s="26">
        <f>V3</f>
        <v/>
      </c>
      <c r="W5" s="26">
        <f>W3</f>
        <v/>
      </c>
      <c r="X5" s="26">
        <f>X3</f>
        <v/>
      </c>
      <c r="Y5" s="26">
        <f>Y3</f>
        <v/>
      </c>
      <c r="Z5" s="26">
        <f>Z3</f>
        <v/>
      </c>
      <c r="AA5" s="26">
        <f>AA3</f>
        <v/>
      </c>
      <c r="AB5" s="26">
        <f>AB3</f>
        <v/>
      </c>
      <c r="AC5" s="26">
        <f>AC3</f>
        <v/>
      </c>
      <c r="AD5" s="26">
        <f>AD3</f>
        <v/>
      </c>
      <c r="AE5" s="26">
        <f>AE3</f>
        <v/>
      </c>
      <c r="AF5" s="26">
        <f>AF3</f>
        <v/>
      </c>
      <c r="AG5" s="26">
        <f>AG3</f>
        <v/>
      </c>
      <c r="AH5" s="26">
        <f>AH3</f>
        <v/>
      </c>
      <c r="AI5" s="26">
        <f>AI3</f>
        <v/>
      </c>
      <c r="AJ5" s="26">
        <f>AJ3</f>
        <v/>
      </c>
      <c r="AK5" s="26">
        <f>AK3</f>
        <v/>
      </c>
      <c r="AL5" s="26">
        <f>AL3</f>
        <v/>
      </c>
      <c r="AM5" s="26">
        <f>AM3</f>
        <v/>
      </c>
      <c r="AN5" s="26">
        <f>AN3</f>
        <v/>
      </c>
      <c r="AO5" s="26">
        <f>AO3</f>
        <v/>
      </c>
      <c r="AP5" s="26">
        <f>AP3</f>
        <v/>
      </c>
      <c r="AQ5" s="26">
        <f>AQ3</f>
        <v/>
      </c>
      <c r="AR5" s="26">
        <f>AR3</f>
        <v/>
      </c>
      <c r="AS5" s="26">
        <f>AS3</f>
        <v/>
      </c>
      <c r="AT5" s="26">
        <f>AT3</f>
        <v/>
      </c>
      <c r="AU5" s="26">
        <f>AU3</f>
        <v/>
      </c>
      <c r="AV5" s="26">
        <f>AV3</f>
        <v/>
      </c>
      <c r="AW5" s="26">
        <f>AW3</f>
        <v/>
      </c>
      <c r="AX5" s="26">
        <f>AX3</f>
        <v/>
      </c>
      <c r="AY5" s="26">
        <f>AY3</f>
        <v/>
      </c>
      <c r="AZ5" s="26">
        <f>AZ3</f>
        <v/>
      </c>
      <c r="BA5" s="26">
        <f>BA3</f>
        <v/>
      </c>
      <c r="BB5" s="26">
        <f>BB3</f>
        <v/>
      </c>
      <c r="BC5" s="26">
        <f>BC3</f>
        <v/>
      </c>
      <c r="BD5" s="26">
        <f>BD3</f>
        <v/>
      </c>
      <c r="BE5" s="26">
        <f>BE3</f>
        <v/>
      </c>
      <c r="BF5" s="26">
        <f>BF3</f>
        <v/>
      </c>
      <c r="BG5" s="26">
        <f>BG3</f>
        <v/>
      </c>
      <c r="BH5" s="26">
        <f>BH3</f>
        <v/>
      </c>
      <c r="BI5" s="26">
        <f>BI3</f>
        <v/>
      </c>
      <c r="BJ5" s="26">
        <f>BJ3</f>
        <v/>
      </c>
      <c r="BK5" s="26">
        <f>BK3</f>
        <v/>
      </c>
      <c r="BL5" s="26">
        <f>BL3</f>
        <v/>
      </c>
      <c r="BM5" s="26">
        <f>BM3</f>
        <v/>
      </c>
      <c r="BN5" s="26">
        <f>BN3</f>
        <v/>
      </c>
      <c r="BO5" s="26">
        <f>BO3</f>
        <v/>
      </c>
      <c r="BP5" s="26">
        <f>BP3</f>
        <v/>
      </c>
      <c r="BQ5" s="26">
        <f>BQ3</f>
        <v/>
      </c>
      <c r="BR5" s="26">
        <f>BR3</f>
        <v/>
      </c>
      <c r="BS5" s="26">
        <f>BS3&amp;"E"</f>
        <v/>
      </c>
      <c r="BT5" s="26">
        <f>BT3&amp;"E"</f>
        <v/>
      </c>
      <c r="BU5" s="26">
        <f>BU3&amp;"E"</f>
        <v/>
      </c>
      <c r="BV5" s="26">
        <f>BV3&amp;"E"</f>
        <v/>
      </c>
      <c r="BW5" s="26">
        <f>BW3&amp;"E"</f>
        <v/>
      </c>
      <c r="BX5" s="26">
        <f>BX3&amp;"E"</f>
        <v/>
      </c>
      <c r="BY5" s="26">
        <f>BY3&amp;"E"</f>
        <v/>
      </c>
      <c r="BZ5" s="26">
        <f>BZ3&amp;"E"</f>
        <v/>
      </c>
      <c r="CA5" s="26">
        <f>CA3&amp;"E"</f>
        <v/>
      </c>
      <c r="CB5" s="26">
        <f>CB3&amp;"E"</f>
        <v/>
      </c>
      <c r="CC5" s="26">
        <f>CC3&amp;"E"</f>
        <v/>
      </c>
      <c r="CD5" s="26">
        <f>CD3&amp;"E"</f>
        <v/>
      </c>
      <c r="CE5" s="26">
        <f>CE3&amp;"E"</f>
        <v/>
      </c>
      <c r="CF5" s="26">
        <f>CF3&amp;"E"</f>
        <v/>
      </c>
      <c r="CG5" s="26">
        <f>CG3&amp;"E"</f>
        <v/>
      </c>
      <c r="CH5" s="26">
        <f>CH3&amp;"E"</f>
        <v/>
      </c>
      <c r="CI5" s="26">
        <f>CI3&amp;"E"</f>
        <v/>
      </c>
      <c r="CJ5" s="26">
        <f>CJ3&amp;"E"</f>
        <v/>
      </c>
      <c r="CK5" s="26">
        <f>CK3&amp;"E"</f>
        <v/>
      </c>
      <c r="CL5" s="22" t="n"/>
      <c r="CM5" s="26" t="n"/>
      <c r="CN5" s="26" t="n"/>
      <c r="CO5" s="26" t="n"/>
      <c r="CP5" s="26" t="n"/>
      <c r="CQ5" s="26" t="n"/>
      <c r="CR5" s="26" t="n"/>
      <c r="CS5" s="26" t="n"/>
      <c r="CT5" s="26" t="n"/>
      <c r="CU5" s="26" t="n"/>
      <c r="CV5" s="26" t="n"/>
      <c r="CW5" s="26" t="n"/>
      <c r="CX5" s="26" t="n"/>
      <c r="CY5" s="26" t="n"/>
      <c r="DA5" s="22">
        <f>DA1</f>
        <v/>
      </c>
      <c r="DB5" s="22">
        <f>DB1</f>
        <v/>
      </c>
      <c r="DC5" s="22">
        <f>DC1</f>
        <v/>
      </c>
      <c r="DD5" s="22">
        <f>DD1</f>
        <v/>
      </c>
      <c r="DE5" s="22">
        <f>DE1</f>
        <v/>
      </c>
      <c r="DF5" s="22">
        <f>DF1</f>
        <v/>
      </c>
      <c r="DG5" s="22">
        <f>DG1</f>
        <v/>
      </c>
      <c r="DH5" s="22">
        <f>DH1</f>
        <v/>
      </c>
      <c r="DI5" s="22">
        <f>DI1</f>
        <v/>
      </c>
      <c r="DJ5" s="22">
        <f>DJ1</f>
        <v/>
      </c>
      <c r="DK5" s="22">
        <f>DK1</f>
        <v/>
      </c>
      <c r="DL5" s="22">
        <f>DL1</f>
        <v/>
      </c>
      <c r="DM5" s="22">
        <f>DM1</f>
        <v/>
      </c>
      <c r="DN5" s="22">
        <f>DN1</f>
        <v/>
      </c>
      <c r="DO5" s="22">
        <f>DO1</f>
        <v/>
      </c>
      <c r="DP5" s="22">
        <f>DP1</f>
        <v/>
      </c>
      <c r="DQ5" s="22">
        <f>DQ1</f>
        <v/>
      </c>
      <c r="DR5" s="22">
        <f>DR1</f>
        <v/>
      </c>
      <c r="DS5" s="22">
        <f>DS1</f>
        <v/>
      </c>
    </row>
    <row r="6">
      <c r="B6" s="36" t="n"/>
      <c r="D6" s="36" t="n"/>
      <c r="E6" s="36" t="n"/>
      <c r="F6" s="36" t="n"/>
      <c r="G6" s="36" t="n"/>
      <c r="H6" s="36" t="n"/>
      <c r="I6" s="36" t="n"/>
      <c r="J6" s="36" t="n"/>
      <c r="K6" s="36" t="n"/>
      <c r="L6" s="36" t="n"/>
      <c r="M6" s="36" t="n"/>
      <c r="N6" s="36" t="n"/>
      <c r="O6" s="36" t="n"/>
      <c r="P6" s="36" t="n"/>
      <c r="Q6" s="36" t="n"/>
      <c r="R6" s="36" t="n"/>
      <c r="S6" s="36" t="n"/>
      <c r="T6" s="36" t="n"/>
      <c r="U6" s="36" t="n"/>
      <c r="V6" s="36" t="n"/>
      <c r="W6" s="36" t="n"/>
      <c r="X6" s="36" t="n"/>
      <c r="Y6" s="36" t="n"/>
      <c r="Z6" s="36" t="n"/>
      <c r="AA6" s="36" t="n"/>
      <c r="AB6" s="36" t="n"/>
      <c r="AC6" s="36" t="n"/>
    </row>
    <row r="7" ht="16" customHeight="1">
      <c r="A7" s="27" t="inlineStr">
        <is>
          <t>Model Drivers</t>
        </is>
      </c>
      <c r="B7" s="28" t="n"/>
      <c r="C7" s="37" t="n"/>
      <c r="D7" s="28" t="n"/>
      <c r="E7" s="28" t="n"/>
      <c r="F7" s="28" t="n"/>
      <c r="G7" s="28" t="n"/>
      <c r="H7" s="28" t="n"/>
      <c r="I7" s="28" t="n"/>
      <c r="J7" s="28" t="n"/>
      <c r="K7" s="28" t="n"/>
      <c r="L7" s="28" t="n"/>
      <c r="M7" s="28" t="n"/>
      <c r="N7" s="28" t="n"/>
      <c r="O7" s="28" t="n"/>
      <c r="P7" s="28" t="n"/>
      <c r="Q7" s="28" t="n"/>
      <c r="R7" s="28" t="n"/>
      <c r="S7" s="28" t="n"/>
      <c r="T7" s="28" t="n"/>
      <c r="U7" s="28" t="n"/>
      <c r="V7" s="28" t="n"/>
      <c r="W7" s="28" t="n"/>
      <c r="X7" s="28" t="n"/>
      <c r="Y7" s="28" t="n"/>
      <c r="Z7" s="28" t="n"/>
      <c r="AA7" s="28" t="n"/>
      <c r="AB7" s="28" t="n"/>
      <c r="AC7" s="28"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S7" s="39" t="n"/>
      <c r="BT7" s="39" t="n"/>
      <c r="BU7" s="39" t="n"/>
      <c r="BV7" s="39" t="n"/>
      <c r="BW7" s="39" t="n"/>
      <c r="BX7" s="39" t="n"/>
      <c r="BY7" s="39" t="n"/>
      <c r="BZ7" s="39" t="n"/>
      <c r="CA7" s="39" t="n"/>
      <c r="CB7" s="39" t="n"/>
      <c r="CC7" s="39" t="n"/>
      <c r="CD7" s="39" t="n"/>
      <c r="CE7" s="39" t="n"/>
      <c r="CF7" s="39" t="n"/>
      <c r="CG7" s="39" t="n"/>
      <c r="CH7" s="39" t="n"/>
      <c r="CI7" s="39" t="n"/>
      <c r="CJ7" s="39" t="n"/>
      <c r="CK7" s="39" t="n"/>
      <c r="DA7" s="39" t="n"/>
      <c r="DB7" s="39" t="n"/>
      <c r="DC7" s="39" t="n"/>
      <c r="DD7" s="39" t="n"/>
      <c r="DE7" s="39" t="n"/>
      <c r="DF7" s="39" t="n"/>
      <c r="DG7" s="39" t="n"/>
      <c r="DH7" s="39" t="n"/>
      <c r="DI7" s="39" t="n"/>
      <c r="DJ7" s="39" t="n"/>
      <c r="DK7" s="39" t="n"/>
      <c r="DL7" s="39" t="n"/>
      <c r="DM7" s="39" t="n"/>
      <c r="DN7" s="39" t="n"/>
      <c r="DO7" s="39" t="n"/>
      <c r="DP7" s="39" t="n"/>
      <c r="DQ7" s="39" t="n"/>
      <c r="DR7" s="39" t="n"/>
      <c r="DS7" s="39" t="n"/>
    </row>
    <row r="8"/>
    <row r="9" ht="16" customHeight="1">
      <c r="A9" s="409" t="inlineStr">
        <is>
          <t>Income statement assumptions</t>
        </is>
      </c>
    </row>
    <row r="10">
      <c r="BA10" s="110" t="n"/>
    </row>
    <row r="11">
      <c r="A11" s="81" t="inlineStr">
        <is>
          <t>Revenue (in '000 USD)</t>
        </is>
      </c>
    </row>
    <row r="12">
      <c r="A12" s="169" t="n"/>
      <c r="AW12" s="517" t="n"/>
      <c r="BA12" s="517" t="n"/>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c r="DS12" s="406" t="n"/>
    </row>
    <row r="13">
      <c r="A13" s="22">
        <f>Reported!A29</f>
        <v/>
      </c>
      <c r="Z13" s="516" t="n"/>
      <c r="AA13" s="516" t="n"/>
      <c r="AB13" s="516" t="n"/>
      <c r="AC13" s="516" t="n"/>
      <c r="AD13" s="516" t="n"/>
      <c r="AE13" s="516" t="n"/>
      <c r="AF13" s="516" t="n"/>
      <c r="AG13" s="516" t="n"/>
      <c r="CZ13" s="26" t="n"/>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c r="DS13" s="406" t="n"/>
    </row>
    <row r="14">
      <c r="A14" s="74">
        <f>Reported!A30</f>
        <v/>
      </c>
      <c r="B14" s="140" t="n"/>
      <c r="C14" s="140" t="n"/>
      <c r="D14" s="140" t="n"/>
      <c r="E14" s="140" t="n"/>
      <c r="F14" s="140" t="n"/>
      <c r="G14" s="140" t="n"/>
      <c r="H14" s="140" t="n"/>
      <c r="I14" s="140" t="n"/>
      <c r="J14" s="140" t="n"/>
      <c r="K14" s="140" t="n"/>
      <c r="L14" s="140" t="n"/>
      <c r="M14" s="140" t="n"/>
      <c r="N14" s="515">
        <f>IF(ISBLANK(Reported!N30),"",IF(N$2=1,Reported!N30,Reported!N30-Reported!M30))</f>
        <v/>
      </c>
      <c r="O14" s="515">
        <f>IF(ISBLANK(Reported!O30),"",IF(O$2=1,Reported!O30,Reported!O30-Reported!N30))</f>
        <v/>
      </c>
      <c r="P14" s="515">
        <f>IF(ISBLANK(Reported!P30),"",IF(P$2=1,Reported!P30,Reported!P30-Reported!O30))</f>
        <v/>
      </c>
      <c r="Q14" s="515">
        <f>IF(ISBLANK(Reported!Q30),"",IF(Q$2=1,Reported!Q30,Reported!Q30-Reported!P30))</f>
        <v/>
      </c>
      <c r="R14" s="515">
        <f>IF(ISBLANK(Reported!R30),"",IF(R$2=1,Reported!R30,Reported!R30-Reported!Q30))</f>
        <v/>
      </c>
      <c r="S14" s="515">
        <f>IF(ISBLANK(Reported!S30),"",IF(S$2=1,Reported!S30,Reported!S30-Reported!R30))</f>
        <v/>
      </c>
      <c r="T14" s="515">
        <f>IF(ISBLANK(Reported!T30),"",IF(T$2=1,Reported!T30,Reported!T30-Reported!S30))</f>
        <v/>
      </c>
      <c r="U14" s="515">
        <f>IF(ISBLANK(Reported!U30),"",IF(U$2=1,Reported!U30,Reported!U30-Reported!T30))</f>
        <v/>
      </c>
      <c r="V14" s="515">
        <f>IF(ISBLANK(Reported!V30),"",IF(V$2=1,Reported!V30,Reported!V30-Reported!U30))</f>
        <v/>
      </c>
      <c r="W14" s="515">
        <f>IF(ISBLANK(Reported!W30),"",IF(W$2=1,Reported!W30,Reported!W30-Reported!V30))</f>
        <v/>
      </c>
      <c r="X14" s="515">
        <f>IF(ISBLANK(Reported!X30),"",IF(X$2=1,Reported!X30,Reported!X30-Reported!W30))</f>
        <v/>
      </c>
      <c r="Y14" s="515">
        <f>IF(ISBLANK(Reported!Y30),"",IF(Y$2=1,Reported!Y30,Reported!Y30-Reported!X30))</f>
        <v/>
      </c>
      <c r="Z14" s="516">
        <f>IF(ISBLANK(Reported!Z30),"",IF(Z$2=1,Reported!Z30,Reported!Z30-Reported!Y30))</f>
        <v/>
      </c>
      <c r="AA14" s="516">
        <f>IF(ISBLANK(Reported!AA30),"",IF(AA$2=1,Reported!AA30,Reported!AA30-Reported!Z30))</f>
        <v/>
      </c>
      <c r="AB14" s="516">
        <f>IF(ISBLANK(Reported!AB30),"",IF(AB$2=1,Reported!AB30,Reported!AB30-Reported!AA30))</f>
        <v/>
      </c>
      <c r="AC14" s="516">
        <f>IF(ISBLANK(Reported!AC30),"",IF(AC$2=1,Reported!AC30,Reported!AC30-Reported!AB30))</f>
        <v/>
      </c>
      <c r="AD14" s="516">
        <f>IF(ISBLANK(Reported!AD30),"",IF(AD$2=1,Reported!AD30,Reported!AD30-Reported!AC30))</f>
        <v/>
      </c>
      <c r="AE14" s="516">
        <f>IF(ISBLANK(Reported!AE30),"",IF(AE$2=1,Reported!AE30,Reported!AE30-Reported!AD30))</f>
        <v/>
      </c>
      <c r="AF14" s="516">
        <f>IF(ISBLANK(Reported!AF30),"",IF(AF$2=1,Reported!AF30,Reported!AF30-Reported!AE30))</f>
        <v/>
      </c>
      <c r="AG14" s="516">
        <f>IF(ISBLANK(Reported!AG30),"",IF(AG$2=1,Reported!AG30,Reported!AG30-Reported!AF30))</f>
        <v/>
      </c>
      <c r="AH14" s="516">
        <f>IF(ISBLANK(Reported!AH30),"",IF(AH$2=1,Reported!AH30,Reported!AH30-Reported!AG30))</f>
        <v/>
      </c>
      <c r="AI14" s="516">
        <f>IF(ISBLANK(Reported!AI30),"",IF(AI$2=1,Reported!AI30,Reported!AI30-Reported!AH30))</f>
        <v/>
      </c>
      <c r="AJ14" s="516">
        <f>IF(ISBLANK(Reported!AJ30),"",IF(AJ$2=1,Reported!AJ30,Reported!AJ30-Reported!AI30))</f>
        <v/>
      </c>
      <c r="AK14" s="516">
        <f>IF(ISBLANK(Reported!AK30),"",IF(AK$2=1,Reported!AK30,Reported!AK30-Reported!AJ30))</f>
        <v/>
      </c>
      <c r="AL14" s="516">
        <f>IF(ISBLANK(Reported!AL30),"",IF(AL$2=1,Reported!AL30,Reported!AL30-Reported!AK30))</f>
        <v/>
      </c>
      <c r="AM14" s="516">
        <f>IF(ISBLANK(Reported!AM30),"",IF(AM$2=1,Reported!AM30,Reported!AM30-Reported!AL30))</f>
        <v/>
      </c>
      <c r="AN14" s="516">
        <f>IF(ISBLANK(Reported!AN30),"",IF(AN$2=1,Reported!AN30,Reported!AN30-Reported!AM30))</f>
        <v/>
      </c>
      <c r="AO14" s="516">
        <f>IF(ISBLANK(Reported!AO30),"",IF(AO$2=1,Reported!AO30,Reported!AO30-Reported!AN30))</f>
        <v/>
      </c>
      <c r="AP14" s="516">
        <f>IF(ISBLANK(Reported!AP30),"",IF(AP$2=1,Reported!AP30,Reported!AP30-Reported!AO30))</f>
        <v/>
      </c>
      <c r="AQ14" s="516">
        <f>IF(ISBLANK(Reported!AQ30),"",IF(AQ$2=1,Reported!AQ30,Reported!AQ30-Reported!AP30))</f>
        <v/>
      </c>
      <c r="AR14" s="516">
        <f>IF(ISBLANK(Reported!AR30),"",IF(AR$2=1,Reported!AR30,Reported!AR30-Reported!AQ30))</f>
        <v/>
      </c>
      <c r="AS14" s="516">
        <f>IF(ISBLANK(Reported!AS30),"",IF(AS$2=1,Reported!AS30,Reported!AS30-Reported!AR30))</f>
        <v/>
      </c>
      <c r="AT14" s="516">
        <f>IF(ISBLANK(Reported!AT30),"",IF(AT$2=1,Reported!AT30,Reported!AT30-Reported!AS30))</f>
        <v/>
      </c>
      <c r="AU14" s="516">
        <f>IF(ISBLANK(Reported!AU30),"",IF(AU$2=1,Reported!AU30,Reported!AU30-Reported!AT30))</f>
        <v/>
      </c>
      <c r="AV14" s="516">
        <f>IF(ISBLANK(Reported!AV30),"",IF(AV$2=1,Reported!AV30,Reported!AV30-Reported!AU30))</f>
        <v/>
      </c>
      <c r="AW14" s="516">
        <f>IF(ISBLANK(Reported!AW30),"",IF(AW$2=1,Reported!AW30,Reported!AW30-Reported!AV30))</f>
        <v/>
      </c>
      <c r="AX14" s="516">
        <f>IF(ISBLANK(Reported!AX30),"",IF(AX$2=1,Reported!AX30,Reported!AX30-Reported!AW30))</f>
        <v/>
      </c>
      <c r="AY14" s="516">
        <f>IF(ISBLANK(Reported!AY30),"",IF(AY$2=1,Reported!AY30,Reported!AY30-Reported!AX30))</f>
        <v/>
      </c>
      <c r="AZ14" s="516">
        <f>IF(ISBLANK(Reported!AZ30),"",IF(AZ$2=1,Reported!AZ30,Reported!AZ30-Reported!AY30))</f>
        <v/>
      </c>
      <c r="BA14" s="516">
        <f>IF(ISBLANK(Reported!BA30),"",IF(BA$2=1,Reported!BA30,Reported!BA30-Reported!AZ30))</f>
        <v/>
      </c>
      <c r="BB14" s="516">
        <f>IF(ISBLANK(Reported!BB30),"",IF(BB$2=1,Reported!BB30,Reported!BB30-Reported!BA30))</f>
        <v/>
      </c>
      <c r="BC14" s="516">
        <f>IF(ISBLANK(Reported!BC30),"",IF(BC$2=1,Reported!BC30,Reported!BC30-Reported!BB30))</f>
        <v/>
      </c>
      <c r="BD14" s="516">
        <f>IF(ISBLANK(Reported!BD30),"",IF(BD$2=1,Reported!BD30,Reported!BD30-Reported!BC30))</f>
        <v/>
      </c>
      <c r="BE14" s="516">
        <f>IF(ISBLANK(Reported!BE30),"",IF(BE$2=1,Reported!BE30,Reported!BE30-Reported!BD30))</f>
        <v/>
      </c>
      <c r="BF14" s="516">
        <f>IF(ISBLANK(Reported!BF30),"",IF(BF$2=1,Reported!BF30,Reported!BF30-Reported!BE30))</f>
        <v/>
      </c>
      <c r="BG14" s="516">
        <f>IF(ISBLANK(Reported!BG30),"",IF(BG$2=1,Reported!BG30,Reported!BG30-Reported!BF30))</f>
        <v/>
      </c>
      <c r="BH14" s="516">
        <f>IF(ISBLANK(Reported!BH30),"",IF(BH$2=1,Reported!BH30,Reported!BH30-Reported!BG30))</f>
        <v/>
      </c>
      <c r="BI14" s="516">
        <f>IF(ISBLANK(Reported!BI30),"",IF(BI$2=1,Reported!BI30,Reported!BI30-Reported!BH30))</f>
        <v/>
      </c>
      <c r="BJ14" s="516">
        <f>IF(ISBLANK(Reported!BJ30),"",IF(BJ$2=1,Reported!BJ30,Reported!BJ30-Reported!BI30))</f>
        <v/>
      </c>
      <c r="BK14" s="516">
        <f>IF(ISBLANK(Reported!BK30),"",IF(BK$2=1,Reported!BK30,Reported!BK30-Reported!BJ30))</f>
        <v/>
      </c>
      <c r="BL14" s="516">
        <f>IF(ISBLANK(Reported!BL30),"",IF(BL$2=1,Reported!BL30,Reported!BL30-Reported!BK30))</f>
        <v/>
      </c>
      <c r="BM14" s="516">
        <f>IF(ISBLANK(Reported!BM30),"",IF(BM$2=1,Reported!BM30,Reported!BM30-Reported!BL30))</f>
        <v/>
      </c>
      <c r="BN14" s="516">
        <f>IF(ISBLANK(Reported!BN30),"",IF(BN$2=1,Reported!BN30,Reported!BN30-Reported!BM30))</f>
        <v/>
      </c>
      <c r="BO14" s="516">
        <f>IF(ISBLANK(Reported!BO30),"",IF(BO$2=1,Reported!BO30,Reported!BO30-Reported!BN30))</f>
        <v/>
      </c>
      <c r="BP14" s="516">
        <f>IF(ISBLANK(Reported!BP30),"",IF(BP$2=1,Reported!BP30,Reported!BP30-Reported!BO30))</f>
        <v/>
      </c>
      <c r="BQ14" s="516">
        <f>IF(ISBLANK(Reported!BQ30),"",IF(BQ$2=1,Reported!BQ30,Reported!BQ30-Reported!BP30))</f>
        <v/>
      </c>
      <c r="BR14" s="516">
        <f>IF(ISBLANK(Reported!BR30),"",IF(BR$2=1,Reported!BR30,Reported!BR30-Reported!BQ30))</f>
        <v/>
      </c>
      <c r="BS14" s="517">
        <f>BO14*(1+BS23)</f>
        <v/>
      </c>
      <c r="BT14" s="517">
        <f>BP14*(1+BT23)</f>
        <v/>
      </c>
      <c r="BU14" s="517">
        <f>BQ14*(1+BU23)</f>
        <v/>
      </c>
      <c r="BV14" s="517">
        <f>BR14*(1+BV23)</f>
        <v/>
      </c>
      <c r="BW14" s="517">
        <f>BS14*(1+BW23)</f>
        <v/>
      </c>
      <c r="BX14" s="517">
        <f>BT14*(1+BX23)</f>
        <v/>
      </c>
      <c r="BY14" s="517">
        <f>BU14*(1+BY23)</f>
        <v/>
      </c>
      <c r="BZ14" s="517">
        <f>BV14*(1+BZ23)</f>
        <v/>
      </c>
      <c r="CA14" s="517">
        <f>BW14*(1+CA23)</f>
        <v/>
      </c>
      <c r="CB14" s="517">
        <f>BX14*(1+CB23)</f>
        <v/>
      </c>
      <c r="CC14" s="517">
        <f>BY14*(1+CC23)</f>
        <v/>
      </c>
      <c r="CD14" s="517">
        <f>BZ14*(1+CD23)</f>
        <v/>
      </c>
      <c r="CE14" s="517">
        <f>CA14*(1+CE23)</f>
        <v/>
      </c>
      <c r="CF14" s="517">
        <f>CB14*(1+CF23)</f>
        <v/>
      </c>
      <c r="CG14" s="517">
        <f>CC14*(1+CG23)</f>
        <v/>
      </c>
      <c r="CH14" s="517">
        <f>CD14*(1+CH23)</f>
        <v/>
      </c>
      <c r="CI14" s="517">
        <f>CE14*(1+CI23)</f>
        <v/>
      </c>
      <c r="CJ14" s="517">
        <f>CF14*(1+CJ23)</f>
        <v/>
      </c>
      <c r="CK14" s="517">
        <f>CG14*(1+CK23)</f>
        <v/>
      </c>
      <c r="CZ14" s="440" t="n"/>
      <c r="DA14" s="517">
        <f>SUMIF($N$1:$CG$1,DA$1,$N14:$CG14)</f>
        <v/>
      </c>
      <c r="DB14" s="517">
        <f>SUMIF($N$1:$CG$1,DB$1,$N14:$CG14)</f>
        <v/>
      </c>
      <c r="DC14" s="517">
        <f>SUMIF($N$1:$CG$1,DC$1,$N14:$CG14)</f>
        <v/>
      </c>
      <c r="DD14" s="517">
        <f>SUMIF($N$1:$CG$1,DD$1,$N14:$CG14)</f>
        <v/>
      </c>
      <c r="DE14" s="517">
        <f>SUMIF($N$1:$CG$1,DE$1,$N14:$CG14)</f>
        <v/>
      </c>
      <c r="DF14" s="517">
        <f>SUMIF($N$1:$CG$1,DF$1,$N14:$CG14)</f>
        <v/>
      </c>
      <c r="DG14" s="517">
        <f>SUMIF($N$1:$CG$1,DG$1,$N14:$CG14)</f>
        <v/>
      </c>
      <c r="DH14" s="517">
        <f>SUMIF($N$1:$CG$1,DH$1,$N14:$CG14)</f>
        <v/>
      </c>
      <c r="DI14" s="517">
        <f>SUMIF($N$1:$CG$1,DI$1,$N14:$CG14)</f>
        <v/>
      </c>
      <c r="DJ14" s="517">
        <f>SUMIF($N$1:$CG$1,DJ$1,$N14:$CG14)</f>
        <v/>
      </c>
      <c r="DK14" s="517">
        <f>SUMIF($N$1:$CG$1,DK$1,$N14:$CG14)</f>
        <v/>
      </c>
      <c r="DL14" s="517">
        <f>SUMIF($N$1:$CG$1,DL$1,$N14:$CG14)</f>
        <v/>
      </c>
      <c r="DM14" s="517">
        <f>SUMIF($N$1:$CG$1,DM$1,$N14:$CG14)</f>
        <v/>
      </c>
      <c r="DN14" s="517">
        <f>SUMIF($N$1:$CG$1,DN$1,$N14:$CG14)</f>
        <v/>
      </c>
      <c r="DO14" s="517">
        <f>SUMIF($N$1:$CG$1,DO$1,$N14:$CG14)</f>
        <v/>
      </c>
      <c r="DP14" s="517">
        <f>SUMIF($N$1:$CG$1,DP$1,$N14:$CG14)</f>
        <v/>
      </c>
      <c r="DQ14" s="517">
        <f>SUMIF($N$1:$CG$1,DQ$1,$N14:$CG14)</f>
        <v/>
      </c>
      <c r="DR14" s="517">
        <f>SUMIF($N$1:$CG$1,DR$1,$N14:$CG14)</f>
        <v/>
      </c>
      <c r="DS14" s="517">
        <f>SUMIF($N$1:$CK$1,DS$1,$N14:$CK14)</f>
        <v/>
      </c>
    </row>
    <row r="15">
      <c r="A15" s="74">
        <f>Reported!A31</f>
        <v/>
      </c>
      <c r="B15" s="140" t="n"/>
      <c r="C15" s="140" t="n"/>
      <c r="D15" s="140" t="n"/>
      <c r="E15" s="140" t="n"/>
      <c r="F15" s="140" t="n"/>
      <c r="G15" s="140" t="n"/>
      <c r="H15" s="140" t="n"/>
      <c r="I15" s="140" t="n"/>
      <c r="J15" s="140" t="n"/>
      <c r="K15" s="140" t="n"/>
      <c r="L15" s="140" t="n"/>
      <c r="M15" s="140" t="n"/>
      <c r="N15" s="515">
        <f>IF(ISBLANK(Reported!N31),"",IF(N$2=1,Reported!N31,Reported!N31-Reported!M31))</f>
        <v/>
      </c>
      <c r="O15" s="515">
        <f>IF(ISBLANK(Reported!O31),"",IF(O$2=1,Reported!O31,Reported!O31-Reported!N31))</f>
        <v/>
      </c>
      <c r="P15" s="515">
        <f>IF(ISBLANK(Reported!P31),"",IF(P$2=1,Reported!P31,Reported!P31-Reported!O31))</f>
        <v/>
      </c>
      <c r="Q15" s="515">
        <f>IF(ISBLANK(Reported!Q31),"",IF(Q$2=1,Reported!Q31,Reported!Q31-Reported!P31))</f>
        <v/>
      </c>
      <c r="R15" s="515">
        <f>IF(ISBLANK(Reported!R31),"",IF(R$2=1,Reported!R31,Reported!R31-Reported!Q31))</f>
        <v/>
      </c>
      <c r="S15" s="515">
        <f>IF(ISBLANK(Reported!S31),"",IF(S$2=1,Reported!S31,Reported!S31-Reported!R31))</f>
        <v/>
      </c>
      <c r="T15" s="515">
        <f>IF(ISBLANK(Reported!T31),"",IF(T$2=1,Reported!T31,Reported!T31-Reported!S31))</f>
        <v/>
      </c>
      <c r="U15" s="515">
        <f>IF(ISBLANK(Reported!U31),"",IF(U$2=1,Reported!U31,Reported!U31-Reported!T31))</f>
        <v/>
      </c>
      <c r="V15" s="515">
        <f>IF(ISBLANK(Reported!V31),"",IF(V$2=1,Reported!V31,Reported!V31-Reported!U31))</f>
        <v/>
      </c>
      <c r="W15" s="515">
        <f>IF(ISBLANK(Reported!W31),"",IF(W$2=1,Reported!W31,Reported!W31-Reported!V31))</f>
        <v/>
      </c>
      <c r="X15" s="515">
        <f>IF(ISBLANK(Reported!X31),"",IF(X$2=1,Reported!X31,Reported!X31-Reported!W31))</f>
        <v/>
      </c>
      <c r="Y15" s="515">
        <f>IF(ISBLANK(Reported!Y31),"",IF(Y$2=1,Reported!Y31,Reported!Y31-Reported!X31))</f>
        <v/>
      </c>
      <c r="Z15" s="516">
        <f>IF(ISBLANK(Reported!Z31),"",IF(Z$2=1,Reported!Z31,Reported!Z31-Reported!Y31))</f>
        <v/>
      </c>
      <c r="AA15" s="516">
        <f>IF(ISBLANK(Reported!AA31),"",IF(AA$2=1,Reported!AA31,Reported!AA31-Reported!Z31))</f>
        <v/>
      </c>
      <c r="AB15" s="516">
        <f>IF(ISBLANK(Reported!AB31),"",IF(AB$2=1,Reported!AB31,Reported!AB31-Reported!AA31))</f>
        <v/>
      </c>
      <c r="AC15" s="516">
        <f>IF(ISBLANK(Reported!AC31),"",IF(AC$2=1,Reported!AC31,Reported!AC31-Reported!AB31))</f>
        <v/>
      </c>
      <c r="AD15" s="516">
        <f>IF(ISBLANK(Reported!AD31),"",IF(AD$2=1,Reported!AD31,Reported!AD31-Reported!AC31))</f>
        <v/>
      </c>
      <c r="AE15" s="516">
        <f>IF(ISBLANK(Reported!AE31),"",IF(AE$2=1,Reported!AE31,Reported!AE31-Reported!AD31))</f>
        <v/>
      </c>
      <c r="AF15" s="516">
        <f>IF(ISBLANK(Reported!AF31),"",IF(AF$2=1,Reported!AF31,Reported!AF31-Reported!AE31))</f>
        <v/>
      </c>
      <c r="AG15" s="516">
        <f>IF(ISBLANK(Reported!AG31),"",IF(AG$2=1,Reported!AG31,Reported!AG31-Reported!AF31))</f>
        <v/>
      </c>
      <c r="AH15" s="516">
        <f>IF(ISBLANK(Reported!AH31),"",IF(AH$2=1,Reported!AH31,Reported!AH31-Reported!AG31))</f>
        <v/>
      </c>
      <c r="AI15" s="516">
        <f>IF(ISBLANK(Reported!AI31),"",IF(AI$2=1,Reported!AI31,Reported!AI31-Reported!AH31))</f>
        <v/>
      </c>
      <c r="AJ15" s="516">
        <f>IF(ISBLANK(Reported!AJ31),"",IF(AJ$2=1,Reported!AJ31,Reported!AJ31-Reported!AI31))</f>
        <v/>
      </c>
      <c r="AK15" s="516">
        <f>IF(ISBLANK(Reported!AK31),"",IF(AK$2=1,Reported!AK31,Reported!AK31-Reported!AJ31))</f>
        <v/>
      </c>
      <c r="AL15" s="516">
        <f>IF(ISBLANK(Reported!AL31),"",IF(AL$2=1,Reported!AL31,Reported!AL31-Reported!AK31))</f>
        <v/>
      </c>
      <c r="AM15" s="516">
        <f>IF(ISBLANK(Reported!AM31),"",IF(AM$2=1,Reported!AM31,Reported!AM31-Reported!AL31))</f>
        <v/>
      </c>
      <c r="AN15" s="516">
        <f>IF(ISBLANK(Reported!AN31),"",IF(AN$2=1,Reported!AN31,Reported!AN31-Reported!AM31))</f>
        <v/>
      </c>
      <c r="AO15" s="516">
        <f>IF(ISBLANK(Reported!AO31),"",IF(AO$2=1,Reported!AO31,Reported!AO31-Reported!AN31))</f>
        <v/>
      </c>
      <c r="AP15" s="516">
        <f>IF(ISBLANK(Reported!AP31),"",IF(AP$2=1,Reported!AP31,Reported!AP31-Reported!AO31))</f>
        <v/>
      </c>
      <c r="AQ15" s="516">
        <f>IF(ISBLANK(Reported!AQ31),"",IF(AQ$2=1,Reported!AQ31,Reported!AQ31-Reported!AP31))</f>
        <v/>
      </c>
      <c r="AR15" s="516">
        <f>IF(ISBLANK(Reported!AR31),"",IF(AR$2=1,Reported!AR31,Reported!AR31-Reported!AQ31))</f>
        <v/>
      </c>
      <c r="AS15" s="516">
        <f>IF(ISBLANK(Reported!AS31),"",IF(AS$2=1,Reported!AS31,Reported!AS31-Reported!AR31))</f>
        <v/>
      </c>
      <c r="AT15" s="516">
        <f>IF(ISBLANK(Reported!AT31),"",IF(AT$2=1,Reported!AT31,Reported!AT31-Reported!AS31))</f>
        <v/>
      </c>
      <c r="AU15" s="516">
        <f>IF(ISBLANK(Reported!AU31),"",IF(AU$2=1,Reported!AU31,Reported!AU31-Reported!AT31))</f>
        <v/>
      </c>
      <c r="AV15" s="516">
        <f>IF(ISBLANK(Reported!AV31),"",IF(AV$2=1,Reported!AV31,Reported!AV31-Reported!AU31))</f>
        <v/>
      </c>
      <c r="AW15" s="516">
        <f>IF(ISBLANK(Reported!AW31),"",IF(AW$2=1,Reported!AW31,Reported!AW31-Reported!AV31))</f>
        <v/>
      </c>
      <c r="AX15" s="516">
        <f>IF(ISBLANK(Reported!AX31),"",IF(AX$2=1,Reported!AX31,Reported!AX31-Reported!AW31))</f>
        <v/>
      </c>
      <c r="AY15" s="516">
        <f>IF(ISBLANK(Reported!AY31),"",IF(AY$2=1,Reported!AY31,Reported!AY31-Reported!AX31))</f>
        <v/>
      </c>
      <c r="AZ15" s="516">
        <f>IF(ISBLANK(Reported!AZ31),"",IF(AZ$2=1,Reported!AZ31,Reported!AZ31-Reported!AY31))</f>
        <v/>
      </c>
      <c r="BA15" s="516">
        <f>IF(ISBLANK(Reported!BA31),"",IF(BA$2=1,Reported!BA31,Reported!BA31-Reported!AZ31))</f>
        <v/>
      </c>
      <c r="BB15" s="516">
        <f>IF(ISBLANK(Reported!BB31),"",IF(BB$2=1,Reported!BB31,Reported!BB31-Reported!BA31))</f>
        <v/>
      </c>
      <c r="BC15" s="516">
        <f>IF(ISBLANK(Reported!BC31),"",IF(BC$2=1,Reported!BC31,Reported!BC31-Reported!BB31))</f>
        <v/>
      </c>
      <c r="BD15" s="516">
        <f>IF(ISBLANK(Reported!BD31),"",IF(BD$2=1,Reported!BD31,Reported!BD31-Reported!BC31))</f>
        <v/>
      </c>
      <c r="BE15" s="516">
        <f>IF(ISBLANK(Reported!BE31),"",IF(BE$2=1,Reported!BE31,Reported!BE31-Reported!BD31))</f>
        <v/>
      </c>
      <c r="BF15" s="516">
        <f>IF(ISBLANK(Reported!BF31),"",IF(BF$2=1,Reported!BF31,Reported!BF31-Reported!BE31))</f>
        <v/>
      </c>
      <c r="BG15" s="516">
        <f>IF(ISBLANK(Reported!BG31),"",IF(BG$2=1,Reported!BG31,Reported!BG31-Reported!BF31))</f>
        <v/>
      </c>
      <c r="BH15" s="516">
        <f>IF(ISBLANK(Reported!BH31),"",IF(BH$2=1,Reported!BH31,Reported!BH31-Reported!BG31))</f>
        <v/>
      </c>
      <c r="BI15" s="516">
        <f>IF(ISBLANK(Reported!BI31),"",IF(BI$2=1,Reported!BI31,Reported!BI31-Reported!BH31))</f>
        <v/>
      </c>
      <c r="BJ15" s="516">
        <f>IF(ISBLANK(Reported!BJ31),"",IF(BJ$2=1,Reported!BJ31,Reported!BJ31-Reported!BI31))</f>
        <v/>
      </c>
      <c r="BK15" s="516">
        <f>IF(ISBLANK(Reported!BK31),"",IF(BK$2=1,Reported!BK31,Reported!BK31-Reported!BJ31))</f>
        <v/>
      </c>
      <c r="BL15" s="516">
        <f>IF(ISBLANK(Reported!BL31),"",IF(BL$2=1,Reported!BL31,Reported!BL31-Reported!BK31))</f>
        <v/>
      </c>
      <c r="BM15" s="516">
        <f>IF(ISBLANK(Reported!BM31),"",IF(BM$2=1,Reported!BM31,Reported!BM31-Reported!BL31))</f>
        <v/>
      </c>
      <c r="BN15" s="516">
        <f>IF(ISBLANK(Reported!BN31),"",IF(BN$2=1,Reported!BN31,Reported!BN31-Reported!BM31))</f>
        <v/>
      </c>
      <c r="BO15" s="516">
        <f>IF(ISBLANK(Reported!BO31),"",IF(BO$2=1,Reported!BO31,Reported!BO31-Reported!BN31))</f>
        <v/>
      </c>
      <c r="BP15" s="516">
        <f>IF(ISBLANK(Reported!BP31),"",IF(BP$2=1,Reported!BP31,Reported!BP31-Reported!BO31))</f>
        <v/>
      </c>
      <c r="BQ15" s="516">
        <f>IF(ISBLANK(Reported!BQ31),"",IF(BQ$2=1,Reported!BQ31,Reported!BQ31-Reported!BP31))</f>
        <v/>
      </c>
      <c r="BR15" s="516">
        <f>IF(ISBLANK(Reported!BR31),"",IF(BR$2=1,Reported!BR31,Reported!BR31-Reported!BQ31))</f>
        <v/>
      </c>
      <c r="BS15" s="517">
        <f>BO15*(1+BS24)</f>
        <v/>
      </c>
      <c r="BT15" s="517">
        <f>BP15*(1+BT24)</f>
        <v/>
      </c>
      <c r="BU15" s="517">
        <f>BQ15*(1+BU24)</f>
        <v/>
      </c>
      <c r="BV15" s="517">
        <f>BR15*(1+BV24)</f>
        <v/>
      </c>
      <c r="BW15" s="517">
        <f>BS15*(1+BW24)</f>
        <v/>
      </c>
      <c r="BX15" s="517">
        <f>BT15*(1+BX24)</f>
        <v/>
      </c>
      <c r="BY15" s="517">
        <f>BU15*(1+BY24)</f>
        <v/>
      </c>
      <c r="BZ15" s="517">
        <f>BV15*(1+BZ24)</f>
        <v/>
      </c>
      <c r="CA15" s="517">
        <f>BW15*(1+CA24)</f>
        <v/>
      </c>
      <c r="CB15" s="517">
        <f>BX15*(1+CB24)</f>
        <v/>
      </c>
      <c r="CC15" s="517">
        <f>BY15*(1+CC24)</f>
        <v/>
      </c>
      <c r="CD15" s="517">
        <f>BZ15*(1+CD24)</f>
        <v/>
      </c>
      <c r="CE15" s="517">
        <f>CA15*(1+CE24)</f>
        <v/>
      </c>
      <c r="CF15" s="517">
        <f>CB15*(1+CF24)</f>
        <v/>
      </c>
      <c r="CG15" s="517">
        <f>CC15*(1+CG24)</f>
        <v/>
      </c>
      <c r="CH15" s="517">
        <f>CD15*(1+CH24)</f>
        <v/>
      </c>
      <c r="CI15" s="517">
        <f>CE15*(1+CI24)</f>
        <v/>
      </c>
      <c r="CJ15" s="517">
        <f>CF15*(1+CJ24)</f>
        <v/>
      </c>
      <c r="CK15" s="517">
        <f>CG15*(1+CK24)</f>
        <v/>
      </c>
      <c r="CZ15" s="440" t="n"/>
      <c r="DA15" s="517">
        <f>SUMIF($N$1:$CG$1,DA$1,$N15:$CG15)</f>
        <v/>
      </c>
      <c r="DB15" s="517">
        <f>SUMIF($N$1:$CG$1,DB$1,$N15:$CG15)</f>
        <v/>
      </c>
      <c r="DC15" s="517">
        <f>SUMIF($N$1:$CG$1,DC$1,$N15:$CG15)</f>
        <v/>
      </c>
      <c r="DD15" s="517">
        <f>SUMIF($N$1:$CG$1,DD$1,$N15:$CG15)</f>
        <v/>
      </c>
      <c r="DE15" s="517">
        <f>SUMIF($N$1:$CG$1,DE$1,$N15:$CG15)</f>
        <v/>
      </c>
      <c r="DF15" s="517">
        <f>SUMIF($N$1:$CG$1,DF$1,$N15:$CG15)</f>
        <v/>
      </c>
      <c r="DG15" s="517">
        <f>SUMIF($N$1:$CG$1,DG$1,$N15:$CG15)</f>
        <v/>
      </c>
      <c r="DH15" s="517">
        <f>SUMIF($N$1:$CG$1,DH$1,$N15:$CG15)</f>
        <v/>
      </c>
      <c r="DI15" s="517">
        <f>SUMIF($N$1:$CG$1,DI$1,$N15:$CG15)</f>
        <v/>
      </c>
      <c r="DJ15" s="517">
        <f>SUMIF($N$1:$CG$1,DJ$1,$N15:$CG15)</f>
        <v/>
      </c>
      <c r="DK15" s="517">
        <f>SUMIF($N$1:$CG$1,DK$1,$N15:$CG15)</f>
        <v/>
      </c>
      <c r="DL15" s="517">
        <f>SUMIF($N$1:$CG$1,DL$1,$N15:$CG15)</f>
        <v/>
      </c>
      <c r="DM15" s="517">
        <f>SUMIF($N$1:$CG$1,DM$1,$N15:$CG15)</f>
        <v/>
      </c>
      <c r="DN15" s="517">
        <f>SUMIF($N$1:$CG$1,DN$1,$N15:$CG15)</f>
        <v/>
      </c>
      <c r="DO15" s="517">
        <f>SUMIF($N$1:$CG$1,DO$1,$N15:$CG15)</f>
        <v/>
      </c>
      <c r="DP15" s="517">
        <f>SUMIF($N$1:$CG$1,DP$1,$N15:$CG15)</f>
        <v/>
      </c>
      <c r="DQ15" s="517">
        <f>SUMIF($N$1:$CG$1,DQ$1,$N15:$CG15)</f>
        <v/>
      </c>
      <c r="DR15" s="517">
        <f>SUMIF($N$1:$CG$1,DR$1,$N15:$CG15)</f>
        <v/>
      </c>
      <c r="DS15" s="517">
        <f>SUMIF($N$1:$CK$1,DS$1,$N15:$CK15)</f>
        <v/>
      </c>
    </row>
    <row r="16">
      <c r="A16" s="74">
        <f>Reported!A32</f>
        <v/>
      </c>
      <c r="B16" s="140" t="n"/>
      <c r="C16" s="140" t="n"/>
      <c r="D16" s="140" t="n"/>
      <c r="E16" s="140" t="n"/>
      <c r="F16" s="140" t="n"/>
      <c r="G16" s="140" t="n"/>
      <c r="H16" s="140" t="n"/>
      <c r="I16" s="140" t="n"/>
      <c r="J16" s="140" t="n"/>
      <c r="K16" s="140" t="n"/>
      <c r="L16" s="140" t="n"/>
      <c r="M16" s="140" t="n"/>
      <c r="N16" s="515">
        <f>IF(ISBLANK(Reported!N32),"",IF(N$2=1,Reported!N32,Reported!N32-Reported!M32))</f>
        <v/>
      </c>
      <c r="O16" s="515">
        <f>IF(ISBLANK(Reported!O32),"",IF(O$2=1,Reported!O32,Reported!O32-Reported!N32))</f>
        <v/>
      </c>
      <c r="P16" s="515">
        <f>IF(ISBLANK(Reported!P32),"",IF(P$2=1,Reported!P32,Reported!P32-Reported!O32))</f>
        <v/>
      </c>
      <c r="Q16" s="515">
        <f>IF(ISBLANK(Reported!Q32),"",IF(Q$2=1,Reported!Q32,Reported!Q32-Reported!P32))</f>
        <v/>
      </c>
      <c r="R16" s="515">
        <f>IF(ISBLANK(Reported!R32),"",IF(R$2=1,Reported!R32,Reported!R32-Reported!Q32))</f>
        <v/>
      </c>
      <c r="S16" s="515">
        <f>IF(ISBLANK(Reported!S32),"",IF(S$2=1,Reported!S32,Reported!S32-Reported!R32))</f>
        <v/>
      </c>
      <c r="T16" s="515">
        <f>IF(ISBLANK(Reported!T32),"",IF(T$2=1,Reported!T32,Reported!T32-Reported!S32))</f>
        <v/>
      </c>
      <c r="U16" s="515">
        <f>IF(ISBLANK(Reported!U32),"",IF(U$2=1,Reported!U32,Reported!U32-Reported!T32))</f>
        <v/>
      </c>
      <c r="V16" s="515">
        <f>IF(ISBLANK(Reported!V32),"",IF(V$2=1,Reported!V32,Reported!V32-Reported!U32))</f>
        <v/>
      </c>
      <c r="W16" s="515">
        <f>IF(ISBLANK(Reported!W32),"",IF(W$2=1,Reported!W32,Reported!W32-Reported!V32))</f>
        <v/>
      </c>
      <c r="X16" s="515">
        <f>IF(ISBLANK(Reported!X32),"",IF(X$2=1,Reported!X32,Reported!X32-Reported!W32))</f>
        <v/>
      </c>
      <c r="Y16" s="515">
        <f>IF(ISBLANK(Reported!Y32),"",IF(Y$2=1,Reported!Y32,Reported!Y32-Reported!X32))</f>
        <v/>
      </c>
      <c r="Z16" s="516">
        <f>IF(ISBLANK(Reported!Z32),"",IF(Z$2=1,Reported!Z32,Reported!Z32-Reported!Y32))</f>
        <v/>
      </c>
      <c r="AA16" s="516">
        <f>IF(ISBLANK(Reported!AA32),"",IF(AA$2=1,Reported!AA32,Reported!AA32-Reported!Z32))</f>
        <v/>
      </c>
      <c r="AB16" s="516">
        <f>IF(ISBLANK(Reported!AB32),"",IF(AB$2=1,Reported!AB32,Reported!AB32-Reported!AA32))</f>
        <v/>
      </c>
      <c r="AC16" s="516">
        <f>IF(ISBLANK(Reported!AC32),"",IF(AC$2=1,Reported!AC32,Reported!AC32-Reported!AB32))</f>
        <v/>
      </c>
      <c r="AD16" s="516">
        <f>IF(ISBLANK(Reported!AD32),"",IF(AD$2=1,Reported!AD32,Reported!AD32-Reported!AC32))</f>
        <v/>
      </c>
      <c r="AE16" s="516">
        <f>IF(ISBLANK(Reported!AE32),"",IF(AE$2=1,Reported!AE32,Reported!AE32-Reported!AD32))</f>
        <v/>
      </c>
      <c r="AF16" s="516">
        <f>IF(ISBLANK(Reported!AF32),"",IF(AF$2=1,Reported!AF32,Reported!AF32-Reported!AE32))</f>
        <v/>
      </c>
      <c r="AG16" s="516">
        <f>IF(ISBLANK(Reported!AG32),"",IF(AG$2=1,Reported!AG32,Reported!AG32-Reported!AF32))</f>
        <v/>
      </c>
      <c r="AH16" s="516">
        <f>IF(ISBLANK(Reported!AH32),"",IF(AH$2=1,Reported!AH32,Reported!AH32-Reported!AG32))</f>
        <v/>
      </c>
      <c r="AI16" s="516">
        <f>IF(ISBLANK(Reported!AI32),"",IF(AI$2=1,Reported!AI32,Reported!AI32-Reported!AH32))</f>
        <v/>
      </c>
      <c r="AJ16" s="516">
        <f>IF(ISBLANK(Reported!AJ32),"",IF(AJ$2=1,Reported!AJ32,Reported!AJ32-Reported!AI32))</f>
        <v/>
      </c>
      <c r="AK16" s="516">
        <f>IF(ISBLANK(Reported!AK32),"",IF(AK$2=1,Reported!AK32,Reported!AK32-Reported!AJ32))</f>
        <v/>
      </c>
      <c r="AL16" s="516">
        <f>IF(ISBLANK(Reported!AL32),"",IF(AL$2=1,Reported!AL32,Reported!AL32-Reported!AK32))</f>
        <v/>
      </c>
      <c r="AM16" s="516">
        <f>IF(ISBLANK(Reported!AM32),"",IF(AM$2=1,Reported!AM32,Reported!AM32-Reported!AL32))</f>
        <v/>
      </c>
      <c r="AN16" s="516">
        <f>IF(ISBLANK(Reported!AN32),"",IF(AN$2=1,Reported!AN32,Reported!AN32-Reported!AM32))</f>
        <v/>
      </c>
      <c r="AO16" s="516">
        <f>IF(ISBLANK(Reported!AO32),"",IF(AO$2=1,Reported!AO32,Reported!AO32-Reported!AN32))</f>
        <v/>
      </c>
      <c r="AP16" s="516">
        <f>IF(ISBLANK(Reported!AP32),"",IF(AP$2=1,Reported!AP32,Reported!AP32-Reported!AO32))</f>
        <v/>
      </c>
      <c r="AQ16" s="516">
        <f>IF(ISBLANK(Reported!AQ32),"",IF(AQ$2=1,Reported!AQ32,Reported!AQ32-Reported!AP32))</f>
        <v/>
      </c>
      <c r="AR16" s="516">
        <f>IF(ISBLANK(Reported!AR32),"",IF(AR$2=1,Reported!AR32,Reported!AR32-Reported!AQ32))</f>
        <v/>
      </c>
      <c r="AS16" s="516">
        <f>IF(ISBLANK(Reported!AS32),"",IF(AS$2=1,Reported!AS32,Reported!AS32-Reported!AR32))</f>
        <v/>
      </c>
      <c r="AT16" s="516">
        <f>IF(ISBLANK(Reported!AT32),"",IF(AT$2=1,Reported!AT32,Reported!AT32-Reported!AS32))</f>
        <v/>
      </c>
      <c r="AU16" s="516">
        <f>IF(ISBLANK(Reported!AU32),"",IF(AU$2=1,Reported!AU32,Reported!AU32-Reported!AT32))</f>
        <v/>
      </c>
      <c r="AV16" s="516">
        <f>IF(ISBLANK(Reported!AV32),"",IF(AV$2=1,Reported!AV32,Reported!AV32-Reported!AU32))</f>
        <v/>
      </c>
      <c r="AW16" s="516">
        <f>IF(ISBLANK(Reported!AW32),"",IF(AW$2=1,Reported!AW32,Reported!AW32-Reported!AV32))</f>
        <v/>
      </c>
      <c r="AX16" s="516">
        <f>IF(ISBLANK(Reported!AX32),"",IF(AX$2=1,Reported!AX32,Reported!AX32-Reported!AW32))</f>
        <v/>
      </c>
      <c r="AY16" s="516">
        <f>IF(ISBLANK(Reported!AY32),"",IF(AY$2=1,Reported!AY32,Reported!AY32-Reported!AX32))</f>
        <v/>
      </c>
      <c r="AZ16" s="516">
        <f>IF(ISBLANK(Reported!AZ32),"",IF(AZ$2=1,Reported!AZ32,Reported!AZ32-Reported!AY32))</f>
        <v/>
      </c>
      <c r="BA16" s="516">
        <f>IF(ISBLANK(Reported!BA32),"",IF(BA$2=1,Reported!BA32,Reported!BA32-Reported!AZ32))</f>
        <v/>
      </c>
      <c r="BB16" s="516">
        <f>IF(ISBLANK(Reported!BB32),"",IF(BB$2=1,Reported!BB32,Reported!BB32-Reported!BA32))</f>
        <v/>
      </c>
      <c r="BC16" s="516">
        <f>IF(ISBLANK(Reported!BC32),"",IF(BC$2=1,Reported!BC32,Reported!BC32-Reported!BB32))</f>
        <v/>
      </c>
      <c r="BD16" s="516">
        <f>IF(ISBLANK(Reported!BD32),"",IF(BD$2=1,Reported!BD32,Reported!BD32-Reported!BC32))</f>
        <v/>
      </c>
      <c r="BE16" s="516">
        <f>IF(ISBLANK(Reported!BE32),"",IF(BE$2=1,Reported!BE32,Reported!BE32-Reported!BD32))</f>
        <v/>
      </c>
      <c r="BF16" s="516">
        <f>IF(ISBLANK(Reported!BF32),"",IF(BF$2=1,Reported!BF32,Reported!BF32-Reported!BE32))</f>
        <v/>
      </c>
      <c r="BG16" s="516">
        <f>IF(ISBLANK(Reported!BG32),"",IF(BG$2=1,Reported!BG32,Reported!BG32-Reported!BF32))</f>
        <v/>
      </c>
      <c r="BH16" s="516">
        <f>IF(ISBLANK(Reported!BH32),"",IF(BH$2=1,Reported!BH32,Reported!BH32-Reported!BG32))</f>
        <v/>
      </c>
      <c r="BI16" s="516">
        <f>IF(ISBLANK(Reported!BI32),"",IF(BI$2=1,Reported!BI32,Reported!BI32-Reported!BH32))</f>
        <v/>
      </c>
      <c r="BJ16" s="516">
        <f>IF(ISBLANK(Reported!BJ32),"",IF(BJ$2=1,Reported!BJ32,Reported!BJ32-Reported!BI32))</f>
        <v/>
      </c>
      <c r="BK16" s="516">
        <f>IF(ISBLANK(Reported!BK32),"",IF(BK$2=1,Reported!BK32,Reported!BK32-Reported!BJ32))</f>
        <v/>
      </c>
      <c r="BL16" s="516">
        <f>IF(ISBLANK(Reported!BL32),"",IF(BL$2=1,Reported!BL32,Reported!BL32-Reported!BK32))</f>
        <v/>
      </c>
      <c r="BM16" s="516">
        <f>IF(ISBLANK(Reported!BM32),"",IF(BM$2=1,Reported!BM32,Reported!BM32-Reported!BL32))</f>
        <v/>
      </c>
      <c r="BN16" s="516">
        <f>IF(ISBLANK(Reported!BN32),"",IF(BN$2=1,Reported!BN32,Reported!BN32-Reported!BM32))</f>
        <v/>
      </c>
      <c r="BO16" s="516">
        <f>IF(ISBLANK(Reported!BO32),"",IF(BO$2=1,Reported!BO32,Reported!BO32-Reported!BN32))</f>
        <v/>
      </c>
      <c r="BP16" s="516">
        <f>IF(ISBLANK(Reported!BP32),"",IF(BP$2=1,Reported!BP32,Reported!BP32-Reported!BO32))</f>
        <v/>
      </c>
      <c r="BQ16" s="516">
        <f>IF(ISBLANK(Reported!BQ32),"",IF(BQ$2=1,Reported!BQ32,Reported!BQ32-Reported!BP32))</f>
        <v/>
      </c>
      <c r="BR16" s="516">
        <f>IF(ISBLANK(Reported!BR32),"",IF(BR$2=1,Reported!BR32,Reported!BR32-Reported!BQ32))</f>
        <v/>
      </c>
      <c r="BS16" s="517">
        <f>BO16*(1+BS25)</f>
        <v/>
      </c>
      <c r="BT16" s="517">
        <f>BP16*(1+BT25)</f>
        <v/>
      </c>
      <c r="BU16" s="517">
        <f>BQ16*(1+BU25)</f>
        <v/>
      </c>
      <c r="BV16" s="517">
        <f>BR16*(1+BV25)</f>
        <v/>
      </c>
      <c r="BW16" s="517">
        <f>BS16*(1+BW25)</f>
        <v/>
      </c>
      <c r="BX16" s="517">
        <f>BT16*(1+BX25)</f>
        <v/>
      </c>
      <c r="BY16" s="517">
        <f>BU16*(1+BY25)</f>
        <v/>
      </c>
      <c r="BZ16" s="517">
        <f>BV16*(1+BZ25)</f>
        <v/>
      </c>
      <c r="CA16" s="517">
        <f>BW16*(1+CA25)</f>
        <v/>
      </c>
      <c r="CB16" s="517">
        <f>BX16*(1+CB25)</f>
        <v/>
      </c>
      <c r="CC16" s="517">
        <f>BY16*(1+CC25)</f>
        <v/>
      </c>
      <c r="CD16" s="517">
        <f>BZ16*(1+CD25)</f>
        <v/>
      </c>
      <c r="CE16" s="517">
        <f>CA16*(1+CE25)</f>
        <v/>
      </c>
      <c r="CF16" s="517">
        <f>CB16*(1+CF25)</f>
        <v/>
      </c>
      <c r="CG16" s="517">
        <f>CC16*(1+CG25)</f>
        <v/>
      </c>
      <c r="CH16" s="517">
        <f>CD16*(1+CH25)</f>
        <v/>
      </c>
      <c r="CI16" s="517">
        <f>CE16*(1+CI25)</f>
        <v/>
      </c>
      <c r="CJ16" s="517">
        <f>CF16*(1+CJ25)</f>
        <v/>
      </c>
      <c r="CK16" s="517">
        <f>CG16*(1+CK25)</f>
        <v/>
      </c>
      <c r="CZ16" s="440" t="n"/>
      <c r="DA16" s="517">
        <f>SUMIF($N$1:$CG$1,DA$1,$N16:$CG16)</f>
        <v/>
      </c>
      <c r="DB16" s="517">
        <f>SUMIF($N$1:$CG$1,DB$1,$N16:$CG16)</f>
        <v/>
      </c>
      <c r="DC16" s="517">
        <f>SUMIF($N$1:$CG$1,DC$1,$N16:$CG16)</f>
        <v/>
      </c>
      <c r="DD16" s="517">
        <f>SUMIF($N$1:$CG$1,DD$1,$N16:$CG16)</f>
        <v/>
      </c>
      <c r="DE16" s="517">
        <f>SUMIF($N$1:$CG$1,DE$1,$N16:$CG16)</f>
        <v/>
      </c>
      <c r="DF16" s="517">
        <f>SUMIF($N$1:$CG$1,DF$1,$N16:$CG16)</f>
        <v/>
      </c>
      <c r="DG16" s="517">
        <f>SUMIF($N$1:$CG$1,DG$1,$N16:$CG16)</f>
        <v/>
      </c>
      <c r="DH16" s="517">
        <f>SUMIF($N$1:$CG$1,DH$1,$N16:$CG16)</f>
        <v/>
      </c>
      <c r="DI16" s="517">
        <f>SUMIF($N$1:$CG$1,DI$1,$N16:$CG16)</f>
        <v/>
      </c>
      <c r="DJ16" s="517">
        <f>SUMIF($N$1:$CG$1,DJ$1,$N16:$CG16)</f>
        <v/>
      </c>
      <c r="DK16" s="517">
        <f>SUMIF($N$1:$CG$1,DK$1,$N16:$CG16)</f>
        <v/>
      </c>
      <c r="DL16" s="517">
        <f>SUMIF($N$1:$CG$1,DL$1,$N16:$CG16)</f>
        <v/>
      </c>
      <c r="DM16" s="517">
        <f>SUMIF($N$1:$CG$1,DM$1,$N16:$CG16)</f>
        <v/>
      </c>
      <c r="DN16" s="517">
        <f>SUMIF($N$1:$CG$1,DN$1,$N16:$CG16)</f>
        <v/>
      </c>
      <c r="DO16" s="517">
        <f>SUMIF($N$1:$CG$1,DO$1,$N16:$CG16)</f>
        <v/>
      </c>
      <c r="DP16" s="517">
        <f>SUMIF($N$1:$CG$1,DP$1,$N16:$CG16)</f>
        <v/>
      </c>
      <c r="DQ16" s="517">
        <f>SUMIF($N$1:$CG$1,DQ$1,$N16:$CG16)</f>
        <v/>
      </c>
      <c r="DR16" s="517">
        <f>SUMIF($N$1:$CG$1,DR$1,$N16:$CG16)</f>
        <v/>
      </c>
      <c r="DS16" s="517">
        <f>SUMIF($N$1:$CK$1,DS$1,$N16:$CK16)</f>
        <v/>
      </c>
    </row>
    <row r="17">
      <c r="A17" s="74">
        <f>Reported!A33</f>
        <v/>
      </c>
      <c r="B17" s="140" t="n"/>
      <c r="C17" s="140" t="n"/>
      <c r="D17" s="140" t="n"/>
      <c r="E17" s="140" t="n"/>
      <c r="F17" s="140" t="n"/>
      <c r="G17" s="140" t="n"/>
      <c r="H17" s="140" t="n"/>
      <c r="I17" s="140" t="n"/>
      <c r="J17" s="140" t="n"/>
      <c r="K17" s="140" t="n"/>
      <c r="L17" s="140" t="n"/>
      <c r="M17" s="140" t="n"/>
      <c r="N17" s="515">
        <f>IF(ISBLANK(Reported!N33),"",IF(N$2=1,Reported!N33,Reported!N33-Reported!M33))</f>
        <v/>
      </c>
      <c r="O17" s="515">
        <f>IF(ISBLANK(Reported!O33),"",IF(O$2=1,Reported!O33,Reported!O33-Reported!N33))</f>
        <v/>
      </c>
      <c r="P17" s="515">
        <f>IF(ISBLANK(Reported!P33),"",IF(P$2=1,Reported!P33,Reported!P33-Reported!O33))</f>
        <v/>
      </c>
      <c r="Q17" s="515">
        <f>IF(ISBLANK(Reported!Q33),"",IF(Q$2=1,Reported!Q33,Reported!Q33-Reported!P33))</f>
        <v/>
      </c>
      <c r="R17" s="515">
        <f>IF(ISBLANK(Reported!R33),"",IF(R$2=1,Reported!R33,Reported!R33-Reported!Q33))</f>
        <v/>
      </c>
      <c r="S17" s="515">
        <f>IF(ISBLANK(Reported!S33),"",IF(S$2=1,Reported!S33,Reported!S33-Reported!R33))</f>
        <v/>
      </c>
      <c r="T17" s="515">
        <f>IF(ISBLANK(Reported!T33),"",IF(T$2=1,Reported!T33,Reported!T33-Reported!S33))</f>
        <v/>
      </c>
      <c r="U17" s="515">
        <f>IF(ISBLANK(Reported!U33),"",IF(U$2=1,Reported!U33,Reported!U33-Reported!T33))</f>
        <v/>
      </c>
      <c r="V17" s="515">
        <f>IF(ISBLANK(Reported!V33),"",IF(V$2=1,Reported!V33,Reported!V33-Reported!U33))</f>
        <v/>
      </c>
      <c r="W17" s="515">
        <f>IF(ISBLANK(Reported!W33),"",IF(W$2=1,Reported!W33,Reported!W33-Reported!V33))</f>
        <v/>
      </c>
      <c r="X17" s="515">
        <f>IF(ISBLANK(Reported!X33),"",IF(X$2=1,Reported!X33,Reported!X33-Reported!W33))</f>
        <v/>
      </c>
      <c r="Y17" s="515">
        <f>IF(ISBLANK(Reported!Y33),"",IF(Y$2=1,Reported!Y33,Reported!Y33-Reported!X33))</f>
        <v/>
      </c>
      <c r="Z17" s="516">
        <f>IF(ISBLANK(Reported!Z33),"",IF(Z$2=1,Reported!Z33,Reported!Z33-Reported!Y33))</f>
        <v/>
      </c>
      <c r="AA17" s="516">
        <f>IF(ISBLANK(Reported!AA33),"",IF(AA$2=1,Reported!AA33,Reported!AA33-Reported!Z33))</f>
        <v/>
      </c>
      <c r="AB17" s="516">
        <f>IF(ISBLANK(Reported!AB33),"",IF(AB$2=1,Reported!AB33,Reported!AB33-Reported!AA33))</f>
        <v/>
      </c>
      <c r="AC17" s="516">
        <f>IF(ISBLANK(Reported!AC33),"",IF(AC$2=1,Reported!AC33,Reported!AC33-Reported!AB33))</f>
        <v/>
      </c>
      <c r="AD17" s="516">
        <f>IF(ISBLANK(Reported!AD33),"",IF(AD$2=1,Reported!AD33,Reported!AD33-Reported!AC33))</f>
        <v/>
      </c>
      <c r="AE17" s="516">
        <f>IF(ISBLANK(Reported!AE33),"",IF(AE$2=1,Reported!AE33,Reported!AE33-Reported!AD33))</f>
        <v/>
      </c>
      <c r="AF17" s="516">
        <f>IF(ISBLANK(Reported!AF33),"",IF(AF$2=1,Reported!AF33,Reported!AF33-Reported!AE33))</f>
        <v/>
      </c>
      <c r="AG17" s="516">
        <f>IF(ISBLANK(Reported!AG33),"",IF(AG$2=1,Reported!AG33,Reported!AG33-Reported!AF33))</f>
        <v/>
      </c>
      <c r="AH17" s="516">
        <f>IF(ISBLANK(Reported!AH33),"",IF(AH$2=1,Reported!AH33,Reported!AH33-Reported!AG33))</f>
        <v/>
      </c>
      <c r="AI17" s="516">
        <f>IF(ISBLANK(Reported!AI33),"",IF(AI$2=1,Reported!AI33,Reported!AI33-Reported!AH33))</f>
        <v/>
      </c>
      <c r="AJ17" s="516">
        <f>IF(ISBLANK(Reported!AJ33),"",IF(AJ$2=1,Reported!AJ33,Reported!AJ33-Reported!AI33))</f>
        <v/>
      </c>
      <c r="AK17" s="516">
        <f>IF(ISBLANK(Reported!AK33),"",IF(AK$2=1,Reported!AK33,Reported!AK33-Reported!AJ33))</f>
        <v/>
      </c>
      <c r="AL17" s="516">
        <f>IF(ISBLANK(Reported!AL33),"",IF(AL$2=1,Reported!AL33,Reported!AL33-Reported!AK33))</f>
        <v/>
      </c>
      <c r="AM17" s="516">
        <f>IF(ISBLANK(Reported!AM33),"",IF(AM$2=1,Reported!AM33,Reported!AM33-Reported!AL33))</f>
        <v/>
      </c>
      <c r="AN17" s="516">
        <f>IF(ISBLANK(Reported!AN33),"",IF(AN$2=1,Reported!AN33,Reported!AN33-Reported!AM33))</f>
        <v/>
      </c>
      <c r="AO17" s="516">
        <f>IF(ISBLANK(Reported!AO33),"",IF(AO$2=1,Reported!AO33,Reported!AO33-Reported!AN33))</f>
        <v/>
      </c>
      <c r="AP17" s="516">
        <f>IF(ISBLANK(Reported!AP33),"",IF(AP$2=1,Reported!AP33,Reported!AP33-Reported!AO33))</f>
        <v/>
      </c>
      <c r="AQ17" s="516">
        <f>IF(ISBLANK(Reported!AQ33),"",IF(AQ$2=1,Reported!AQ33,Reported!AQ33-Reported!AP33))</f>
        <v/>
      </c>
      <c r="AR17" s="516">
        <f>IF(ISBLANK(Reported!AR33),"",IF(AR$2=1,Reported!AR33,Reported!AR33-Reported!AQ33))</f>
        <v/>
      </c>
      <c r="AS17" s="516">
        <f>IF(ISBLANK(Reported!AS33),"",IF(AS$2=1,Reported!AS33,Reported!AS33-Reported!AR33))</f>
        <v/>
      </c>
      <c r="AT17" s="516">
        <f>IF(ISBLANK(Reported!AT33),"",IF(AT$2=1,Reported!AT33,Reported!AT33-Reported!AS33))</f>
        <v/>
      </c>
      <c r="AU17" s="516">
        <f>IF(ISBLANK(Reported!AU33),"",IF(AU$2=1,Reported!AU33,Reported!AU33-Reported!AT33))</f>
        <v/>
      </c>
      <c r="AV17" s="516">
        <f>IF(ISBLANK(Reported!AV33),"",IF(AV$2=1,Reported!AV33,Reported!AV33-Reported!AU33))</f>
        <v/>
      </c>
      <c r="AW17" s="516">
        <f>IF(ISBLANK(Reported!AW33),"",IF(AW$2=1,Reported!AW33,Reported!AW33-Reported!AV33))</f>
        <v/>
      </c>
      <c r="AX17" s="516">
        <f>IF(ISBLANK(Reported!AX33),"",IF(AX$2=1,Reported!AX33,Reported!AX33-Reported!AW33))</f>
        <v/>
      </c>
      <c r="AY17" s="516">
        <f>IF(ISBLANK(Reported!AY33),"",IF(AY$2=1,Reported!AY33,Reported!AY33-Reported!AX33))</f>
        <v/>
      </c>
      <c r="AZ17" s="516">
        <f>IF(ISBLANK(Reported!AZ33),"",IF(AZ$2=1,Reported!AZ33,Reported!AZ33-Reported!AY33))</f>
        <v/>
      </c>
      <c r="BA17" s="516">
        <f>IF(ISBLANK(Reported!BA33),"",IF(BA$2=1,Reported!BA33,Reported!BA33-Reported!AZ33))</f>
        <v/>
      </c>
      <c r="BB17" s="516">
        <f>IF(ISBLANK(Reported!BB33),"",IF(BB$2=1,Reported!BB33,Reported!BB33-Reported!BA33))</f>
        <v/>
      </c>
      <c r="BC17" s="516">
        <f>IF(ISBLANK(Reported!BC33),"",IF(BC$2=1,Reported!BC33,Reported!BC33-Reported!BB33))</f>
        <v/>
      </c>
      <c r="BD17" s="516">
        <f>IF(ISBLANK(Reported!BD33),"",IF(BD$2=1,Reported!BD33,Reported!BD33-Reported!BC33))</f>
        <v/>
      </c>
      <c r="BE17" s="516">
        <f>IF(ISBLANK(Reported!BE33),"",IF(BE$2=1,Reported!BE33,Reported!BE33-Reported!BD33))</f>
        <v/>
      </c>
      <c r="BF17" s="516">
        <f>IF(ISBLANK(Reported!BF33),"",IF(BF$2=1,Reported!BF33,Reported!BF33-Reported!BE33))</f>
        <v/>
      </c>
      <c r="BG17" s="516">
        <f>IF(ISBLANK(Reported!BG33),"",IF(BG$2=1,Reported!BG33,Reported!BG33-Reported!BF33))</f>
        <v/>
      </c>
      <c r="BH17" s="516">
        <f>IF(ISBLANK(Reported!BH33),"",IF(BH$2=1,Reported!BH33,Reported!BH33-Reported!BG33))</f>
        <v/>
      </c>
      <c r="BI17" s="516">
        <f>IF(ISBLANK(Reported!BI33),"",IF(BI$2=1,Reported!BI33,Reported!BI33-Reported!BH33))</f>
        <v/>
      </c>
      <c r="BJ17" s="516">
        <f>IF(ISBLANK(Reported!BJ33),"",IF(BJ$2=1,Reported!BJ33,Reported!BJ33-Reported!BI33))</f>
        <v/>
      </c>
      <c r="BK17" s="516">
        <f>IF(ISBLANK(Reported!BK33),"",IF(BK$2=1,Reported!BK33,Reported!BK33-Reported!BJ33))</f>
        <v/>
      </c>
      <c r="BL17" s="516">
        <f>IF(ISBLANK(Reported!BL33),"",IF(BL$2=1,Reported!BL33,Reported!BL33-Reported!BK33))</f>
        <v/>
      </c>
      <c r="BM17" s="516">
        <f>IF(ISBLANK(Reported!BM33),"",IF(BM$2=1,Reported!BM33,Reported!BM33-Reported!BL33))</f>
        <v/>
      </c>
      <c r="BN17" s="516">
        <f>IF(ISBLANK(Reported!BN33),"",IF(BN$2=1,Reported!BN33,Reported!BN33-Reported!BM33))</f>
        <v/>
      </c>
      <c r="BO17" s="516">
        <f>IF(ISBLANK(Reported!BO33),"",IF(BO$2=1,Reported!BO33,Reported!BO33-Reported!BN33))</f>
        <v/>
      </c>
      <c r="BP17" s="516">
        <f>IF(ISBLANK(Reported!BP33),"",IF(BP$2=1,Reported!BP33,Reported!BP33-Reported!BO33))</f>
        <v/>
      </c>
      <c r="BQ17" s="516">
        <f>IF(ISBLANK(Reported!BQ33),"",IF(BQ$2=1,Reported!BQ33,Reported!BQ33-Reported!BP33))</f>
        <v/>
      </c>
      <c r="BR17" s="516">
        <f>IF(ISBLANK(Reported!BR33),"",IF(BR$2=1,Reported!BR33,Reported!BR33-Reported!BQ33))</f>
        <v/>
      </c>
      <c r="BS17" s="517">
        <f>BO17*(1+BS26)</f>
        <v/>
      </c>
      <c r="BT17" s="517">
        <f>BP17*(1+BT26)</f>
        <v/>
      </c>
      <c r="BU17" s="517">
        <f>BQ17*(1+BU26)</f>
        <v/>
      </c>
      <c r="BV17" s="517">
        <f>BR17*(1+BV26)</f>
        <v/>
      </c>
      <c r="BW17" s="517">
        <f>BS17*(1+BW26)</f>
        <v/>
      </c>
      <c r="BX17" s="517">
        <f>BT17*(1+BX26)</f>
        <v/>
      </c>
      <c r="BY17" s="517">
        <f>BU17*(1+BY26)</f>
        <v/>
      </c>
      <c r="BZ17" s="517">
        <f>BV17*(1+BZ26)</f>
        <v/>
      </c>
      <c r="CA17" s="517">
        <f>BW17*(1+CA26)</f>
        <v/>
      </c>
      <c r="CB17" s="517">
        <f>BX17*(1+CB26)</f>
        <v/>
      </c>
      <c r="CC17" s="517">
        <f>BY17*(1+CC26)</f>
        <v/>
      </c>
      <c r="CD17" s="517">
        <f>BZ17*(1+CD26)</f>
        <v/>
      </c>
      <c r="CE17" s="517">
        <f>CA17*(1+CE26)</f>
        <v/>
      </c>
      <c r="CF17" s="517">
        <f>CB17*(1+CF26)</f>
        <v/>
      </c>
      <c r="CG17" s="517">
        <f>CC17*(1+CG26)</f>
        <v/>
      </c>
      <c r="CH17" s="517">
        <f>CD17*(1+CH26)</f>
        <v/>
      </c>
      <c r="CI17" s="517">
        <f>CE17*(1+CI26)</f>
        <v/>
      </c>
      <c r="CJ17" s="517">
        <f>CF17*(1+CJ26)</f>
        <v/>
      </c>
      <c r="CK17" s="517">
        <f>CG17*(1+CK26)</f>
        <v/>
      </c>
      <c r="DA17" s="517">
        <f>SUMIF($N$1:$CG$1,DA$1,$N17:$CG17)</f>
        <v/>
      </c>
      <c r="DB17" s="517">
        <f>SUMIF($N$1:$CG$1,DB$1,$N17:$CG17)</f>
        <v/>
      </c>
      <c r="DC17" s="517">
        <f>SUMIF($N$1:$CG$1,DC$1,$N17:$CG17)</f>
        <v/>
      </c>
      <c r="DD17" s="517">
        <f>SUMIF($N$1:$CG$1,DD$1,$N17:$CG17)</f>
        <v/>
      </c>
      <c r="DE17" s="517">
        <f>SUMIF($N$1:$CG$1,DE$1,$N17:$CG17)</f>
        <v/>
      </c>
      <c r="DF17" s="517">
        <f>SUMIF($N$1:$CG$1,DF$1,$N17:$CG17)</f>
        <v/>
      </c>
      <c r="DG17" s="517">
        <f>SUMIF($N$1:$CG$1,DG$1,$N17:$CG17)</f>
        <v/>
      </c>
      <c r="DH17" s="517">
        <f>SUMIF($N$1:$CG$1,DH$1,$N17:$CG17)</f>
        <v/>
      </c>
      <c r="DI17" s="517">
        <f>SUMIF($N$1:$CG$1,DI$1,$N17:$CG17)</f>
        <v/>
      </c>
      <c r="DJ17" s="517">
        <f>SUMIF($N$1:$CG$1,DJ$1,$N17:$CG17)</f>
        <v/>
      </c>
      <c r="DK17" s="517">
        <f>SUMIF($N$1:$CG$1,DK$1,$N17:$CG17)</f>
        <v/>
      </c>
      <c r="DL17" s="517">
        <f>SUMIF($N$1:$CG$1,DL$1,$N17:$CG17)</f>
        <v/>
      </c>
      <c r="DM17" s="517">
        <f>SUMIF($N$1:$CG$1,DM$1,$N17:$CG17)</f>
        <v/>
      </c>
      <c r="DN17" s="517">
        <f>SUMIF($N$1:$CG$1,DN$1,$N17:$CG17)</f>
        <v/>
      </c>
      <c r="DO17" s="517">
        <f>SUMIF($N$1:$CG$1,DO$1,$N17:$CG17)</f>
        <v/>
      </c>
      <c r="DP17" s="517">
        <f>SUMIF($N$1:$CG$1,DP$1,$N17:$CG17)</f>
        <v/>
      </c>
      <c r="DQ17" s="517">
        <f>SUMIF($N$1:$CG$1,DQ$1,$N17:$CG17)</f>
        <v/>
      </c>
      <c r="DR17" s="517">
        <f>SUMIF($N$1:$CG$1,DR$1,$N17:$CG17)</f>
        <v/>
      </c>
      <c r="DS17" s="517">
        <f>SUMIF($N$1:$CK$1,DS$1,$N17:$CK17)</f>
        <v/>
      </c>
    </row>
    <row r="18">
      <c r="A18" s="74">
        <f>Reported!A34</f>
        <v/>
      </c>
      <c r="B18" s="140" t="n"/>
      <c r="C18" s="140" t="n"/>
      <c r="D18" s="140" t="n"/>
      <c r="E18" s="140" t="n"/>
      <c r="F18" s="140" t="n"/>
      <c r="G18" s="140" t="n"/>
      <c r="H18" s="140" t="n"/>
      <c r="I18" s="140" t="n"/>
      <c r="J18" s="140" t="n"/>
      <c r="K18" s="140" t="n"/>
      <c r="L18" s="140" t="n"/>
      <c r="M18" s="140" t="n"/>
      <c r="N18" s="515">
        <f>IF(ISBLANK(Reported!N34),"",IF(N$2=1,Reported!N34,Reported!N34-Reported!M34))</f>
        <v/>
      </c>
      <c r="O18" s="515">
        <f>IF(ISBLANK(Reported!O34),"",IF(O$2=1,Reported!O34,Reported!O34-Reported!N34))</f>
        <v/>
      </c>
      <c r="P18" s="515">
        <f>IF(ISBLANK(Reported!P34),"",IF(P$2=1,Reported!P34,Reported!P34-Reported!O34))</f>
        <v/>
      </c>
      <c r="Q18" s="515">
        <f>IF(ISBLANK(Reported!Q34),"",IF(Q$2=1,Reported!Q34,Reported!Q34-Reported!P34))</f>
        <v/>
      </c>
      <c r="R18" s="515">
        <f>IF(ISBLANK(Reported!R34),"",IF(R$2=1,Reported!R34,Reported!R34-Reported!Q34))</f>
        <v/>
      </c>
      <c r="S18" s="515">
        <f>IF(ISBLANK(Reported!S34),"",IF(S$2=1,Reported!S34,Reported!S34-Reported!R34))</f>
        <v/>
      </c>
      <c r="T18" s="515">
        <f>IF(ISBLANK(Reported!T34),"",IF(T$2=1,Reported!T34,Reported!T34-Reported!S34))</f>
        <v/>
      </c>
      <c r="U18" s="515">
        <f>IF(ISBLANK(Reported!U34),"",IF(U$2=1,Reported!U34,Reported!U34-Reported!T34))</f>
        <v/>
      </c>
      <c r="V18" s="515">
        <f>IF(ISBLANK(Reported!V34),"",IF(V$2=1,Reported!V34,Reported!V34-Reported!U34))</f>
        <v/>
      </c>
      <c r="W18" s="515">
        <f>IF(ISBLANK(Reported!W34),"",IF(W$2=1,Reported!W34,Reported!W34-Reported!V34))</f>
        <v/>
      </c>
      <c r="X18" s="515">
        <f>IF(ISBLANK(Reported!X34),"",IF(X$2=1,Reported!X34,Reported!X34-Reported!W34))</f>
        <v/>
      </c>
      <c r="Y18" s="515">
        <f>IF(ISBLANK(Reported!Y34),"",IF(Y$2=1,Reported!Y34,Reported!Y34-Reported!X34))</f>
        <v/>
      </c>
      <c r="Z18" s="516">
        <f>IF(ISBLANK(Reported!Z34),"",IF(Z$2=1,Reported!Z34,Reported!Z34-Reported!Y34))</f>
        <v/>
      </c>
      <c r="AA18" s="516">
        <f>IF(ISBLANK(Reported!AA34),"",IF(AA$2=1,Reported!AA34,Reported!AA34-Reported!Z34))</f>
        <v/>
      </c>
      <c r="AB18" s="516">
        <f>IF(ISBLANK(Reported!AB34),"",IF(AB$2=1,Reported!AB34,Reported!AB34-Reported!AA34))</f>
        <v/>
      </c>
      <c r="AC18" s="516">
        <f>IF(ISBLANK(Reported!AC34),"",IF(AC$2=1,Reported!AC34,Reported!AC34-Reported!AB34))</f>
        <v/>
      </c>
      <c r="AD18" s="516">
        <f>IF(ISBLANK(Reported!AD34),"",IF(AD$2=1,Reported!AD34,Reported!AD34-Reported!AC34))</f>
        <v/>
      </c>
      <c r="AE18" s="516">
        <f>IF(ISBLANK(Reported!AE34),"",IF(AE$2=1,Reported!AE34,Reported!AE34-Reported!AD34))</f>
        <v/>
      </c>
      <c r="AF18" s="516">
        <f>IF(ISBLANK(Reported!AF34),"",IF(AF$2=1,Reported!AF34,Reported!AF34-Reported!AE34))</f>
        <v/>
      </c>
      <c r="AG18" s="516">
        <f>IF(ISBLANK(Reported!AG34),"",IF(AG$2=1,Reported!AG34,Reported!AG34-Reported!AF34))</f>
        <v/>
      </c>
      <c r="AH18" s="516">
        <f>IF(ISBLANK(Reported!AH34),"",IF(AH$2=1,Reported!AH34,Reported!AH34-Reported!AG34))</f>
        <v/>
      </c>
      <c r="AI18" s="516">
        <f>IF(ISBLANK(Reported!AI34),"",IF(AI$2=1,Reported!AI34,Reported!AI34-Reported!AH34))</f>
        <v/>
      </c>
      <c r="AJ18" s="516">
        <f>IF(ISBLANK(Reported!AJ34),"",IF(AJ$2=1,Reported!AJ34,Reported!AJ34-Reported!AI34))</f>
        <v/>
      </c>
      <c r="AK18" s="516">
        <f>IF(ISBLANK(Reported!AK34),"",IF(AK$2=1,Reported!AK34,Reported!AK34-Reported!AJ34))</f>
        <v/>
      </c>
      <c r="AL18" s="516">
        <f>IF(ISBLANK(Reported!AL34),"",IF(AL$2=1,Reported!AL34,Reported!AL34-Reported!AK34))</f>
        <v/>
      </c>
      <c r="AM18" s="516">
        <f>IF(ISBLANK(Reported!AM34),"",IF(AM$2=1,Reported!AM34,Reported!AM34-Reported!AL34))</f>
        <v/>
      </c>
      <c r="AN18" s="516">
        <f>IF(ISBLANK(Reported!AN34),"",IF(AN$2=1,Reported!AN34,Reported!AN34-Reported!AM34))</f>
        <v/>
      </c>
      <c r="AO18" s="516">
        <f>IF(ISBLANK(Reported!AO34),"",IF(AO$2=1,Reported!AO34,Reported!AO34-Reported!AN34))</f>
        <v/>
      </c>
      <c r="AP18" s="516">
        <f>IF(ISBLANK(Reported!AP34),"",IF(AP$2=1,Reported!AP34,Reported!AP34-Reported!AO34))</f>
        <v/>
      </c>
      <c r="AQ18" s="516">
        <f>IF(ISBLANK(Reported!AQ34),"",IF(AQ$2=1,Reported!AQ34,Reported!AQ34-Reported!AP34))</f>
        <v/>
      </c>
      <c r="AR18" s="516">
        <f>IF(ISBLANK(Reported!AR34),"",IF(AR$2=1,Reported!AR34,Reported!AR34-Reported!AQ34))</f>
        <v/>
      </c>
      <c r="AS18" s="516">
        <f>IF(ISBLANK(Reported!AS34),"",IF(AS$2=1,Reported!AS34,Reported!AS34-Reported!AR34))</f>
        <v/>
      </c>
      <c r="AT18" s="516">
        <f>IF(ISBLANK(Reported!AT34),"",IF(AT$2=1,Reported!AT34,Reported!AT34-Reported!AS34))</f>
        <v/>
      </c>
      <c r="AU18" s="516">
        <f>IF(ISBLANK(Reported!AU34),"",IF(AU$2=1,Reported!AU34,Reported!AU34-Reported!AT34))</f>
        <v/>
      </c>
      <c r="AV18" s="516">
        <f>IF(ISBLANK(Reported!AV34),"",IF(AV$2=1,Reported!AV34,Reported!AV34-Reported!AU34))</f>
        <v/>
      </c>
      <c r="AW18" s="516">
        <f>IF(ISBLANK(Reported!AW34),"",IF(AW$2=1,Reported!AW34,Reported!AW34-Reported!AV34))</f>
        <v/>
      </c>
      <c r="AX18" s="516">
        <f>IF(ISBLANK(Reported!AX34),"",IF(AX$2=1,Reported!AX34,Reported!AX34-Reported!AW34))</f>
        <v/>
      </c>
      <c r="AY18" s="516">
        <f>IF(ISBLANK(Reported!AY34),"",IF(AY$2=1,Reported!AY34,Reported!AY34-Reported!AX34))</f>
        <v/>
      </c>
      <c r="AZ18" s="516">
        <f>IF(ISBLANK(Reported!AZ34),"",IF(AZ$2=1,Reported!AZ34,Reported!AZ34-Reported!AY34))</f>
        <v/>
      </c>
      <c r="BA18" s="516">
        <f>IF(ISBLANK(Reported!BA34),"",IF(BA$2=1,Reported!BA34,Reported!BA34-Reported!AZ34))</f>
        <v/>
      </c>
      <c r="BB18" s="516">
        <f>IF(ISBLANK(Reported!BB34),"",IF(BB$2=1,Reported!BB34,Reported!BB34-Reported!BA34))</f>
        <v/>
      </c>
      <c r="BC18" s="516">
        <f>IF(ISBLANK(Reported!BC34),"",IF(BC$2=1,Reported!BC34,Reported!BC34-Reported!BB34))</f>
        <v/>
      </c>
      <c r="BD18" s="516">
        <f>IF(ISBLANK(Reported!BD34),"",IF(BD$2=1,Reported!BD34,Reported!BD34-Reported!BC34))</f>
        <v/>
      </c>
      <c r="BE18" s="516">
        <f>IF(ISBLANK(Reported!BE34),"",IF(BE$2=1,Reported!BE34,Reported!BE34-Reported!BD34))</f>
        <v/>
      </c>
      <c r="BF18" s="516">
        <f>IF(ISBLANK(Reported!BF34),"",IF(BF$2=1,Reported!BF34,Reported!BF34-Reported!BE34))</f>
        <v/>
      </c>
      <c r="BG18" s="516">
        <f>IF(ISBLANK(Reported!BG34),"",IF(BG$2=1,Reported!BG34,Reported!BG34-Reported!BF34))</f>
        <v/>
      </c>
      <c r="BH18" s="516">
        <f>IF(ISBLANK(Reported!BH34),"",IF(BH$2=1,Reported!BH34,Reported!BH34-Reported!BG34))</f>
        <v/>
      </c>
      <c r="BI18" s="516">
        <f>IF(ISBLANK(Reported!BI34),"",IF(BI$2=1,Reported!BI34,Reported!BI34-Reported!BH34))</f>
        <v/>
      </c>
      <c r="BJ18" s="516">
        <f>IF(ISBLANK(Reported!BJ34),"",IF(BJ$2=1,Reported!BJ34,Reported!BJ34-Reported!BI34))</f>
        <v/>
      </c>
      <c r="BK18" s="516">
        <f>IF(ISBLANK(Reported!BK34),"",IF(BK$2=1,Reported!BK34,Reported!BK34-Reported!BJ34))</f>
        <v/>
      </c>
      <c r="BL18" s="516">
        <f>IF(ISBLANK(Reported!BL34),"",IF(BL$2=1,Reported!BL34,Reported!BL34-Reported!BK34))</f>
        <v/>
      </c>
      <c r="BM18" s="516">
        <f>IF(ISBLANK(Reported!BM34),"",IF(BM$2=1,Reported!BM34,Reported!BM34-Reported!BL34))</f>
        <v/>
      </c>
      <c r="BN18" s="516">
        <f>IF(ISBLANK(Reported!BN34),"",IF(BN$2=1,Reported!BN34,Reported!BN34-Reported!BM34))</f>
        <v/>
      </c>
      <c r="BO18" s="516">
        <f>IF(ISBLANK(Reported!BO34),"",IF(BO$2=1,Reported!BO34,Reported!BO34-Reported!BN34))</f>
        <v/>
      </c>
      <c r="BP18" s="516">
        <f>IF(ISBLANK(Reported!BP34),"",IF(BP$2=1,Reported!BP34,Reported!BP34-Reported!BO34))</f>
        <v/>
      </c>
      <c r="BQ18" s="516">
        <f>IF(ISBLANK(Reported!BQ34),"",IF(BQ$2=1,Reported!BQ34,Reported!BQ34-Reported!BP34))</f>
        <v/>
      </c>
      <c r="BR18" s="516">
        <f>IF(ISBLANK(Reported!BR34),"",IF(BR$2=1,Reported!BR34,Reported!BR34-Reported!BQ34))</f>
        <v/>
      </c>
      <c r="BS18" s="517">
        <f>BO18*(1+BS27)</f>
        <v/>
      </c>
      <c r="BT18" s="517">
        <f>BP18*(1+BT27)</f>
        <v/>
      </c>
      <c r="BU18" s="517">
        <f>BQ18*(1+BU27)</f>
        <v/>
      </c>
      <c r="BV18" s="517">
        <f>BR18*(1+BV27)</f>
        <v/>
      </c>
      <c r="BW18" s="517">
        <f>BS18*(1+BW27)</f>
        <v/>
      </c>
      <c r="BX18" s="517">
        <f>BT18*(1+BX27)</f>
        <v/>
      </c>
      <c r="BY18" s="517">
        <f>BU18*(1+BY27)</f>
        <v/>
      </c>
      <c r="BZ18" s="517">
        <f>BV18*(1+BZ27)</f>
        <v/>
      </c>
      <c r="CA18" s="517">
        <f>BW18*(1+CA27)</f>
        <v/>
      </c>
      <c r="CB18" s="517">
        <f>BX18*(1+CB27)</f>
        <v/>
      </c>
      <c r="CC18" s="517">
        <f>BY18*(1+CC27)</f>
        <v/>
      </c>
      <c r="CD18" s="517">
        <f>BZ18*(1+CD27)</f>
        <v/>
      </c>
      <c r="CE18" s="517">
        <f>CA18*(1+CE27)</f>
        <v/>
      </c>
      <c r="CF18" s="517">
        <f>CB18*(1+CF27)</f>
        <v/>
      </c>
      <c r="CG18" s="517">
        <f>CC18*(1+CG27)</f>
        <v/>
      </c>
      <c r="CH18" s="517">
        <f>CD18*(1+CH27)</f>
        <v/>
      </c>
      <c r="CI18" s="517">
        <f>CE18*(1+CI27)</f>
        <v/>
      </c>
      <c r="CJ18" s="517">
        <f>CF18*(1+CJ27)</f>
        <v/>
      </c>
      <c r="CK18" s="517">
        <f>CG18*(1+CK27)</f>
        <v/>
      </c>
      <c r="DA18" s="517">
        <f>SUMIF($N$1:$CG$1,DA$1,$N18:$CG18)</f>
        <v/>
      </c>
      <c r="DB18" s="517">
        <f>SUMIF($N$1:$CG$1,DB$1,$N18:$CG18)</f>
        <v/>
      </c>
      <c r="DC18" s="517">
        <f>SUMIF($N$1:$CG$1,DC$1,$N18:$CG18)</f>
        <v/>
      </c>
      <c r="DD18" s="517">
        <f>SUMIF($N$1:$CG$1,DD$1,$N18:$CG18)</f>
        <v/>
      </c>
      <c r="DE18" s="517">
        <f>SUMIF($N$1:$CG$1,DE$1,$N18:$CG18)</f>
        <v/>
      </c>
      <c r="DF18" s="517">
        <f>SUMIF($N$1:$CG$1,DF$1,$N18:$CG18)</f>
        <v/>
      </c>
      <c r="DG18" s="517">
        <f>SUMIF($N$1:$CG$1,DG$1,$N18:$CG18)</f>
        <v/>
      </c>
      <c r="DH18" s="517">
        <f>SUMIF($N$1:$CG$1,DH$1,$N18:$CG18)</f>
        <v/>
      </c>
      <c r="DI18" s="517">
        <f>SUMIF($N$1:$CG$1,DI$1,$N18:$CG18)</f>
        <v/>
      </c>
      <c r="DJ18" s="517">
        <f>SUMIF($N$1:$CG$1,DJ$1,$N18:$CG18)</f>
        <v/>
      </c>
      <c r="DK18" s="517">
        <f>SUMIF($N$1:$CG$1,DK$1,$N18:$CG18)</f>
        <v/>
      </c>
      <c r="DL18" s="517">
        <f>SUMIF($N$1:$CG$1,DL$1,$N18:$CG18)</f>
        <v/>
      </c>
      <c r="DM18" s="517">
        <f>SUMIF($N$1:$CG$1,DM$1,$N18:$CG18)</f>
        <v/>
      </c>
      <c r="DN18" s="517">
        <f>SUMIF($N$1:$CG$1,DN$1,$N18:$CG18)</f>
        <v/>
      </c>
      <c r="DO18" s="517">
        <f>SUMIF($N$1:$CG$1,DO$1,$N18:$CG18)</f>
        <v/>
      </c>
      <c r="DP18" s="517">
        <f>SUMIF($N$1:$CG$1,DP$1,$N18:$CG18)</f>
        <v/>
      </c>
      <c r="DQ18" s="517">
        <f>SUMIF($N$1:$CG$1,DQ$1,$N18:$CG18)</f>
        <v/>
      </c>
      <c r="DR18" s="517">
        <f>SUMIF($N$1:$CG$1,DR$1,$N18:$CG18)</f>
        <v/>
      </c>
      <c r="DS18" s="517">
        <f>SUMIF($N$1:$CK$1,DS$1,$N18:$CK18)</f>
        <v/>
      </c>
    </row>
    <row r="19">
      <c r="A19" s="74" t="inlineStr">
        <is>
          <t>Other Revenue (Service, and Accessories)</t>
        </is>
      </c>
      <c r="B19" s="140" t="n"/>
      <c r="C19" s="140" t="n"/>
      <c r="D19" s="140" t="n"/>
      <c r="E19" s="140" t="n"/>
      <c r="F19" s="140" t="n"/>
      <c r="G19" s="140" t="n"/>
      <c r="H19" s="140" t="n"/>
      <c r="I19" s="140" t="n"/>
      <c r="J19" s="140" t="n"/>
      <c r="K19" s="140" t="n"/>
      <c r="L19" s="140" t="n"/>
      <c r="M19" s="140" t="n"/>
      <c r="N19" s="515">
        <f>IF(ISBLANK(Reported!N35),"",IF(N$2=1,Reported!N35,Reported!N35-Reported!M35))</f>
        <v/>
      </c>
      <c r="O19" s="515">
        <f>IF(ISBLANK(Reported!O35),"",IF(O$2=1,Reported!O35,Reported!O35-Reported!N35))</f>
        <v/>
      </c>
      <c r="P19" s="515">
        <f>IF(ISBLANK(Reported!P35),"",IF(P$2=1,Reported!P35,Reported!P35-Reported!O35))</f>
        <v/>
      </c>
      <c r="Q19" s="515">
        <f>IF(ISBLANK(Reported!Q35),"",IF(Q$2=1,Reported!Q35,Reported!Q35-Reported!P35))</f>
        <v/>
      </c>
      <c r="R19" s="515">
        <f>IF(ISBLANK(Reported!R35),"",IF(R$2=1,Reported!R35,Reported!R35-Reported!Q35))</f>
        <v/>
      </c>
      <c r="S19" s="515">
        <f>IF(ISBLANK(Reported!S35),"",IF(S$2=1,Reported!S35,Reported!S35-Reported!R35))</f>
        <v/>
      </c>
      <c r="T19" s="515">
        <f>IF(ISBLANK(Reported!T35),"",IF(T$2=1,Reported!T35,Reported!T35-Reported!S35))</f>
        <v/>
      </c>
      <c r="U19" s="515">
        <f>IF(ISBLANK(Reported!U35),"",IF(U$2=1,Reported!U35,Reported!U35-Reported!T35))</f>
        <v/>
      </c>
      <c r="V19" s="515">
        <f>IF(ISBLANK(Reported!V35),"",IF(V$2=1,Reported!V35,Reported!V35-Reported!U35))</f>
        <v/>
      </c>
      <c r="W19" s="515">
        <f>IF(ISBLANK(Reported!W35),"",IF(W$2=1,Reported!W35,Reported!W35-Reported!V35))</f>
        <v/>
      </c>
      <c r="X19" s="515">
        <f>IF(ISBLANK(Reported!X35),"",IF(X$2=1,Reported!X35,Reported!X35-Reported!W35))</f>
        <v/>
      </c>
      <c r="Y19" s="515">
        <f>IF(ISBLANK(Reported!Y35),"",IF(Y$2=1,Reported!Y35,Reported!Y35-Reported!X35))</f>
        <v/>
      </c>
      <c r="Z19" s="516">
        <f>IF(ISBLANK(Reported!Z35),"",IF(Z$2=1,Reported!Z35,Reported!Z35-Reported!Y35))</f>
        <v/>
      </c>
      <c r="AA19" s="516">
        <f>IF(ISBLANK(Reported!AA35),"",IF(AA$2=1,Reported!AA35,Reported!AA35-Reported!Z35))</f>
        <v/>
      </c>
      <c r="AB19" s="516">
        <f>IF(ISBLANK(Reported!AB35),"",IF(AB$2=1,Reported!AB35,Reported!AB35-Reported!AA35))</f>
        <v/>
      </c>
      <c r="AC19" s="516">
        <f>IF(ISBLANK(Reported!AC35),"",IF(AC$2=1,Reported!AC35,Reported!AC35-Reported!AB35))</f>
        <v/>
      </c>
      <c r="AD19" s="516">
        <f>IF(ISBLANK(Reported!AD35),"",IF(AD$2=1,Reported!AD35,Reported!AD35-Reported!AC35))</f>
        <v/>
      </c>
      <c r="AE19" s="516">
        <f>IF(ISBLANK(Reported!AE35),"",IF(AE$2=1,Reported!AE35,Reported!AE35-Reported!AD35))</f>
        <v/>
      </c>
      <c r="AF19" s="516">
        <f>IF(ISBLANK(Reported!AF35),"",IF(AF$2=1,Reported!AF35,Reported!AF35-Reported!AE35))</f>
        <v/>
      </c>
      <c r="AG19" s="516">
        <f>IF(ISBLANK(Reported!AG35),"",IF(AG$2=1,Reported!AG35,Reported!AG35-Reported!AF35))</f>
        <v/>
      </c>
      <c r="AH19" s="516">
        <f>IF(ISBLANK(Reported!AH35),"",IF(AH$2=1,Reported!AH35,Reported!AH35-Reported!AG35))</f>
        <v/>
      </c>
      <c r="AI19" s="516">
        <f>IF(ISBLANK(Reported!AI35),"",IF(AI$2=1,Reported!AI35,Reported!AI35-Reported!AH35))</f>
        <v/>
      </c>
      <c r="AJ19" s="516">
        <f>IF(ISBLANK(Reported!AJ35),"",IF(AJ$2=1,Reported!AJ35,Reported!AJ35-Reported!AI35))</f>
        <v/>
      </c>
      <c r="AK19" s="516">
        <f>IF(ISBLANK(Reported!AK35),"",IF(AK$2=1,Reported!AK35,Reported!AK35-Reported!AJ35))</f>
        <v/>
      </c>
      <c r="AL19" s="516">
        <f>IF(ISBLANK(Reported!AL35),"",IF(AL$2=1,Reported!AL35,Reported!AL35-Reported!AK35))</f>
        <v/>
      </c>
      <c r="AM19" s="516">
        <f>IF(ISBLANK(Reported!AM35),"",IF(AM$2=1,Reported!AM35,Reported!AM35-Reported!AL35))</f>
        <v/>
      </c>
      <c r="AN19" s="516">
        <f>IF(ISBLANK(Reported!AN35),"",IF(AN$2=1,Reported!AN35,Reported!AN35-Reported!AM35))</f>
        <v/>
      </c>
      <c r="AO19" s="516">
        <f>IF(ISBLANK(Reported!AO35),"",IF(AO$2=1,Reported!AO35,Reported!AO35-Reported!AN35))</f>
        <v/>
      </c>
      <c r="AP19" s="516">
        <f>IF(ISBLANK(Reported!AP35),"",IF(AP$2=1,Reported!AP35,Reported!AP35-Reported!AO35))</f>
        <v/>
      </c>
      <c r="AQ19" s="516">
        <f>IF(ISBLANK(Reported!AQ35),"",IF(AQ$2=1,Reported!AQ35,Reported!AQ35-Reported!AP35))</f>
        <v/>
      </c>
      <c r="AR19" s="516">
        <f>IF(ISBLANK(Reported!AR35),"",IF(AR$2=1,Reported!AR35,Reported!AR35-Reported!AQ35))</f>
        <v/>
      </c>
      <c r="AS19" s="516">
        <f>IF(ISBLANK(Reported!AS35),"",IF(AS$2=1,Reported!AS35,Reported!AS35-Reported!AR35))</f>
        <v/>
      </c>
      <c r="AT19" s="516">
        <f>IF(ISBLANK(Reported!AT35),"",IF(AT$2=1,Reported!AT35,Reported!AT35-Reported!AS35))</f>
        <v/>
      </c>
      <c r="AU19" s="516">
        <f>IF(ISBLANK(Reported!AU35),"",IF(AU$2=1,Reported!AU35,Reported!AU35-Reported!AT35))</f>
        <v/>
      </c>
      <c r="AV19" s="516">
        <f>IF(ISBLANK(Reported!AV35),"",IF(AV$2=1,Reported!AV35,Reported!AV35-Reported!AU35))</f>
        <v/>
      </c>
      <c r="AW19" s="516">
        <f>IF(ISBLANK(Reported!AW35),"",IF(AW$2=1,Reported!AW35,Reported!AW35-Reported!AV35))</f>
        <v/>
      </c>
      <c r="AX19" s="516">
        <f>IF(ISBLANK(Reported!AX35),"",IF(AX$2=1,Reported!AX35,Reported!AX35-Reported!AW35))</f>
        <v/>
      </c>
      <c r="AY19" s="516">
        <f>IF(ISBLANK(Reported!AY35),"",IF(AY$2=1,Reported!AY35,Reported!AY35-Reported!AX35))</f>
        <v/>
      </c>
      <c r="AZ19" s="516">
        <f>IF(ISBLANK(Reported!AZ35),"",IF(AZ$2=1,Reported!AZ35,Reported!AZ35-Reported!AY35))</f>
        <v/>
      </c>
      <c r="BA19" s="516">
        <f>IF(ISBLANK(Reported!BA35),"",IF(BA$2=1,Reported!BA35,Reported!BA35-Reported!AZ35))</f>
        <v/>
      </c>
      <c r="BB19" s="516">
        <f>IF(ISBLANK(Reported!BB35),"",IF(BB$2=1,Reported!BB35,Reported!BB35-Reported!BA35))</f>
        <v/>
      </c>
      <c r="BC19" s="516">
        <f>IF(ISBLANK(Reported!BC35),"",IF(BC$2=1,Reported!BC35,Reported!BC35-Reported!BB35))</f>
        <v/>
      </c>
      <c r="BD19" s="516">
        <f>IF(ISBLANK(Reported!BD35),"",IF(BD$2=1,Reported!BD35,Reported!BD35-Reported!BC35))</f>
        <v/>
      </c>
      <c r="BE19" s="516">
        <f>IF(ISBLANK(Reported!BE35),"",IF(BE$2=1,Reported!BE35,Reported!BE35-Reported!BD35))</f>
        <v/>
      </c>
      <c r="BF19" s="516">
        <f>IF(ISBLANK(Reported!BF35),"",IF(BF$2=1,Reported!BF35,Reported!BF35-Reported!BE35))</f>
        <v/>
      </c>
      <c r="BG19" s="516">
        <f>IF(ISBLANK(Reported!BG35),"",IF(BG$2=1,Reported!BG35,Reported!BG35-Reported!BF35))</f>
        <v/>
      </c>
      <c r="BH19" s="516">
        <f>IF(ISBLANK(Reported!BH35),"",IF(BH$2=1,Reported!BH35,Reported!BH35-Reported!BG35))</f>
        <v/>
      </c>
      <c r="BI19" s="516">
        <f>IF(ISBLANK(Reported!BI35),"",IF(BI$2=1,Reported!BI35,Reported!BI35-Reported!BH35))</f>
        <v/>
      </c>
      <c r="BJ19" s="516">
        <f>IF(ISBLANK(Reported!BJ35),"",IF(BJ$2=1,Reported!BJ35,Reported!BJ35-Reported!BI35))</f>
        <v/>
      </c>
      <c r="BK19" s="516">
        <f>IF(ISBLANK(Reported!BK35),"",IF(BK$2=1,Reported!BK35,Reported!BK35-Reported!BJ35))</f>
        <v/>
      </c>
      <c r="BL19" s="516">
        <f>IF(ISBLANK(Reported!BL35),"",IF(BL$2=1,Reported!BL35,Reported!BL35-Reported!BK35))</f>
        <v/>
      </c>
      <c r="BM19" s="516">
        <f>IF(ISBLANK(Reported!BM35),"",IF(BM$2=1,Reported!BM35,Reported!BM35-Reported!BL35))</f>
        <v/>
      </c>
      <c r="BN19" s="516">
        <f>IF(ISBLANK(Reported!BN35),"",IF(BN$2=1,Reported!BN35,Reported!BN35-Reported!BM35))</f>
        <v/>
      </c>
      <c r="BO19" s="516">
        <f>IF(ISBLANK(Reported!BO35),"",IF(BO$2=1,Reported!BO35,Reported!BO35-Reported!BN35))</f>
        <v/>
      </c>
      <c r="BP19" s="516">
        <f>IF(ISBLANK(Reported!BP35),"",IF(BP$2=1,Reported!BP35,Reported!BP35-Reported!BO35))</f>
        <v/>
      </c>
      <c r="BQ19" s="516">
        <f>IF(ISBLANK(Reported!BQ35),"",IF(BQ$2=1,Reported!BQ35,Reported!BQ35-Reported!BP35))</f>
        <v/>
      </c>
      <c r="BR19" s="516">
        <f>IF(ISBLANK(Reported!BR35),"",IF(BR$2=1,Reported!BR35,Reported!BR35-Reported!BQ35))</f>
        <v/>
      </c>
      <c r="BS19" s="517">
        <f>BO19*(1+BS28)</f>
        <v/>
      </c>
      <c r="BT19" s="517">
        <f>BP19*(1+BT28)</f>
        <v/>
      </c>
      <c r="BU19" s="517">
        <f>BQ19*(1+BU28)</f>
        <v/>
      </c>
      <c r="BV19" s="517">
        <f>BR19*(1+BV28)</f>
        <v/>
      </c>
      <c r="BW19" s="517">
        <f>BS19*(1+BW28)</f>
        <v/>
      </c>
      <c r="BX19" s="517">
        <f>BT19*(1+BX28)</f>
        <v/>
      </c>
      <c r="BY19" s="517">
        <f>BU19*(1+BY28)</f>
        <v/>
      </c>
      <c r="BZ19" s="517">
        <f>BV19*(1+BZ28)</f>
        <v/>
      </c>
      <c r="CA19" s="517">
        <f>BW19*(1+CA28)</f>
        <v/>
      </c>
      <c r="CB19" s="517">
        <f>BX19*(1+CB28)</f>
        <v/>
      </c>
      <c r="CC19" s="517">
        <f>BY19*(1+CC28)</f>
        <v/>
      </c>
      <c r="CD19" s="517">
        <f>BZ19*(1+CD28)</f>
        <v/>
      </c>
      <c r="CE19" s="517">
        <f>CA19*(1+CE28)</f>
        <v/>
      </c>
      <c r="CF19" s="517">
        <f>CB19*(1+CF28)</f>
        <v/>
      </c>
      <c r="CG19" s="517">
        <f>CC19*(1+CG28)</f>
        <v/>
      </c>
      <c r="CH19" s="517">
        <f>CD19*(1+CH28)</f>
        <v/>
      </c>
      <c r="CI19" s="517">
        <f>CE19*(1+CI28)</f>
        <v/>
      </c>
      <c r="CJ19" s="517">
        <f>CF19*(1+CJ28)</f>
        <v/>
      </c>
      <c r="CK19" s="517">
        <f>CG19*(1+CK28)</f>
        <v/>
      </c>
      <c r="DA19" s="517">
        <f>SUMIF($N$1:$CG$1,DA$1,$N19:$CG19)</f>
        <v/>
      </c>
      <c r="DB19" s="517">
        <f>SUMIF($N$1:$CG$1,DB$1,$N19:$CG19)</f>
        <v/>
      </c>
      <c r="DC19" s="517">
        <f>SUMIF($N$1:$CG$1,DC$1,$N19:$CG19)</f>
        <v/>
      </c>
      <c r="DD19" s="517">
        <f>SUMIF($N$1:$CG$1,DD$1,$N19:$CG19)</f>
        <v/>
      </c>
      <c r="DE19" s="517">
        <f>SUMIF($N$1:$CG$1,DE$1,$N19:$CG19)</f>
        <v/>
      </c>
      <c r="DF19" s="517">
        <f>SUMIF($N$1:$CG$1,DF$1,$N19:$CG19)</f>
        <v/>
      </c>
      <c r="DG19" s="517">
        <f>SUMIF($N$1:$CG$1,DG$1,$N19:$CG19)</f>
        <v/>
      </c>
      <c r="DH19" s="517">
        <f>SUMIF($N$1:$CG$1,DH$1,$N19:$CG19)</f>
        <v/>
      </c>
      <c r="DI19" s="517">
        <f>SUMIF($N$1:$CG$1,DI$1,$N19:$CG19)</f>
        <v/>
      </c>
      <c r="DJ19" s="517">
        <f>SUMIF($N$1:$CG$1,DJ$1,$N19:$CG19)</f>
        <v/>
      </c>
      <c r="DK19" s="517">
        <f>SUMIF($N$1:$CG$1,DK$1,$N19:$CG19)</f>
        <v/>
      </c>
      <c r="DL19" s="517">
        <f>SUMIF($N$1:$CG$1,DL$1,$N19:$CG19)</f>
        <v/>
      </c>
      <c r="DM19" s="517">
        <f>SUMIF($N$1:$CG$1,DM$1,$N19:$CG19)</f>
        <v/>
      </c>
      <c r="DN19" s="517">
        <f>SUMIF($N$1:$CG$1,DN$1,$N19:$CG19)</f>
        <v/>
      </c>
      <c r="DO19" s="517">
        <f>SUMIF($N$1:$CG$1,DO$1,$N19:$CG19)</f>
        <v/>
      </c>
      <c r="DP19" s="517">
        <f>SUMIF($N$1:$CG$1,DP$1,$N19:$CG19)</f>
        <v/>
      </c>
      <c r="DQ19" s="517">
        <f>SUMIF($N$1:$CG$1,DQ$1,$N19:$CG19)</f>
        <v/>
      </c>
      <c r="DR19" s="517">
        <f>SUMIF($N$1:$CG$1,DR$1,$N19:$CG19)</f>
        <v/>
      </c>
      <c r="DS19" s="517">
        <f>SUMIF($N$1:$CK$1,DS$1,$N19:$CK19)</f>
        <v/>
      </c>
    </row>
    <row r="20">
      <c r="A20" s="40" t="inlineStr">
        <is>
          <t>Total</t>
        </is>
      </c>
      <c r="B20" s="72" t="n"/>
      <c r="C20" s="72" t="n"/>
      <c r="D20" s="72" t="n"/>
      <c r="E20" s="72" t="n"/>
      <c r="F20" s="72" t="n"/>
      <c r="G20" s="72" t="n"/>
      <c r="H20" s="72" t="n"/>
      <c r="I20" s="72" t="n"/>
      <c r="J20" s="72" t="n"/>
      <c r="K20" s="72" t="n"/>
      <c r="L20" s="72" t="n"/>
      <c r="M20" s="72" t="n"/>
      <c r="N20" s="537">
        <f>FS_Q!N11</f>
        <v/>
      </c>
      <c r="O20" s="537">
        <f>FS_Q!O11</f>
        <v/>
      </c>
      <c r="P20" s="537">
        <f>FS_Q!P11</f>
        <v/>
      </c>
      <c r="Q20" s="537">
        <f>FS_Q!Q11</f>
        <v/>
      </c>
      <c r="R20" s="537">
        <f>FS_Q!R11</f>
        <v/>
      </c>
      <c r="S20" s="537">
        <f>FS_Q!S11</f>
        <v/>
      </c>
      <c r="T20" s="537">
        <f>FS_Q!T11</f>
        <v/>
      </c>
      <c r="U20" s="537">
        <f>FS_Q!U11</f>
        <v/>
      </c>
      <c r="V20" s="537">
        <f>FS_Q!V11</f>
        <v/>
      </c>
      <c r="W20" s="537">
        <f>FS_Q!W11</f>
        <v/>
      </c>
      <c r="X20" s="537">
        <f>FS_Q!X11</f>
        <v/>
      </c>
      <c r="Y20" s="537">
        <f>FS_Q!Y11</f>
        <v/>
      </c>
      <c r="Z20" s="537">
        <f>FS_Q!Z11</f>
        <v/>
      </c>
      <c r="AA20" s="537">
        <f>FS_Q!AA11</f>
        <v/>
      </c>
      <c r="AB20" s="537">
        <f>FS_Q!AB11</f>
        <v/>
      </c>
      <c r="AC20" s="537">
        <f>FS_Q!AC11</f>
        <v/>
      </c>
      <c r="AD20" s="537">
        <f>FS_Q!AD11</f>
        <v/>
      </c>
      <c r="AE20" s="537">
        <f>FS_Q!AE11</f>
        <v/>
      </c>
      <c r="AF20" s="537">
        <f>FS_Q!AF11</f>
        <v/>
      </c>
      <c r="AG20" s="537">
        <f>FS_Q!AG11</f>
        <v/>
      </c>
      <c r="AH20" s="537">
        <f>FS_Q!AH11</f>
        <v/>
      </c>
      <c r="AI20" s="537">
        <f>FS_Q!AI11</f>
        <v/>
      </c>
      <c r="AJ20" s="537">
        <f>FS_Q!AJ11</f>
        <v/>
      </c>
      <c r="AK20" s="537">
        <f>FS_Q!AK11</f>
        <v/>
      </c>
      <c r="AL20" s="537">
        <f>FS_Q!AL11</f>
        <v/>
      </c>
      <c r="AM20" s="537">
        <f>FS_Q!AM11</f>
        <v/>
      </c>
      <c r="AN20" s="537">
        <f>FS_Q!AN11</f>
        <v/>
      </c>
      <c r="AO20" s="537">
        <f>FS_Q!AO11</f>
        <v/>
      </c>
      <c r="AP20" s="537">
        <f>FS_Q!AP11</f>
        <v/>
      </c>
      <c r="AQ20" s="537">
        <f>FS_Q!AQ11</f>
        <v/>
      </c>
      <c r="AR20" s="537">
        <f>FS_Q!AR11</f>
        <v/>
      </c>
      <c r="AS20" s="537">
        <f>FS_Q!AS11</f>
        <v/>
      </c>
      <c r="AT20" s="537">
        <f>FS_Q!AT11</f>
        <v/>
      </c>
      <c r="AU20" s="537">
        <f>FS_Q!AU11</f>
        <v/>
      </c>
      <c r="AV20" s="537">
        <f>FS_Q!AV11</f>
        <v/>
      </c>
      <c r="AW20" s="537">
        <f>FS_Q!AW11</f>
        <v/>
      </c>
      <c r="AX20" s="537">
        <f>FS_Q!AX11</f>
        <v/>
      </c>
      <c r="AY20" s="537">
        <f>FS_Q!AY11</f>
        <v/>
      </c>
      <c r="AZ20" s="537">
        <f>FS_Q!AZ11</f>
        <v/>
      </c>
      <c r="BA20" s="537">
        <f>FS_Q!BA11</f>
        <v/>
      </c>
      <c r="BB20" s="537">
        <f>FS_Q!BB11</f>
        <v/>
      </c>
      <c r="BC20" s="537">
        <f>FS_Q!BC11</f>
        <v/>
      </c>
      <c r="BD20" s="537">
        <f>FS_Q!BD11</f>
        <v/>
      </c>
      <c r="BE20" s="537">
        <f>FS_Q!BE11</f>
        <v/>
      </c>
      <c r="BF20" s="537">
        <f>FS_Q!BF11</f>
        <v/>
      </c>
      <c r="BG20" s="537">
        <f>FS_Q!BG11</f>
        <v/>
      </c>
      <c r="BH20" s="537">
        <f>FS_Q!BH11</f>
        <v/>
      </c>
      <c r="BI20" s="537">
        <f>FS_Q!BI11</f>
        <v/>
      </c>
      <c r="BJ20" s="537">
        <f>FS_Q!BJ11</f>
        <v/>
      </c>
      <c r="BK20" s="537">
        <f>FS_Q!BK11</f>
        <v/>
      </c>
      <c r="BL20" s="537">
        <f>FS_Q!BL11</f>
        <v/>
      </c>
      <c r="BM20" s="537">
        <f>FS_Q!BM11</f>
        <v/>
      </c>
      <c r="BN20" s="537">
        <f>FS_Q!BN11</f>
        <v/>
      </c>
      <c r="BO20" s="537">
        <f>FS_Q!BO11</f>
        <v/>
      </c>
      <c r="BP20" s="537">
        <f>FS_Q!BP11</f>
        <v/>
      </c>
      <c r="BQ20" s="537">
        <f>FS_Q!BQ11</f>
        <v/>
      </c>
      <c r="BR20" s="537">
        <f>FS_Q!BR11</f>
        <v/>
      </c>
      <c r="BS20" s="519">
        <f>SUM(BS14:BS19)</f>
        <v/>
      </c>
      <c r="BT20" s="519">
        <f>SUM(BT14:BT19)</f>
        <v/>
      </c>
      <c r="BU20" s="519">
        <f>SUM(BU14:BU19)</f>
        <v/>
      </c>
      <c r="BV20" s="519">
        <f>SUM(BV14:BV19)</f>
        <v/>
      </c>
      <c r="BW20" s="519">
        <f>SUM(BW14:BW19)</f>
        <v/>
      </c>
      <c r="BX20" s="519">
        <f>SUM(BX14:BX19)</f>
        <v/>
      </c>
      <c r="BY20" s="519">
        <f>SUM(BY14:BY19)</f>
        <v/>
      </c>
      <c r="BZ20" s="519">
        <f>SUM(BZ14:BZ19)</f>
        <v/>
      </c>
      <c r="CA20" s="519">
        <f>SUM(CA14:CA19)</f>
        <v/>
      </c>
      <c r="CB20" s="519">
        <f>SUM(CB14:CB19)</f>
        <v/>
      </c>
      <c r="CC20" s="519">
        <f>SUM(CC14:CC19)</f>
        <v/>
      </c>
      <c r="CD20" s="519">
        <f>SUM(CD14:CD19)</f>
        <v/>
      </c>
      <c r="CE20" s="519">
        <f>SUM(CE14:CE19)</f>
        <v/>
      </c>
      <c r="CF20" s="519">
        <f>SUM(CF14:CF19)</f>
        <v/>
      </c>
      <c r="CG20" s="519">
        <f>SUM(CG14:CG19)</f>
        <v/>
      </c>
      <c r="CH20" s="519">
        <f>SUM(CH14:CH19)</f>
        <v/>
      </c>
      <c r="CI20" s="519">
        <f>SUM(CI14:CI19)</f>
        <v/>
      </c>
      <c r="CJ20" s="519">
        <f>SUM(CJ14:CJ19)</f>
        <v/>
      </c>
      <c r="CK20" s="519">
        <f>SUM(CK14:CK19)</f>
        <v/>
      </c>
      <c r="CZ20" s="442" t="n"/>
      <c r="DA20" s="519">
        <f>SUMIF($N$1:$CG$1,DA$1,$N20:$CG20)</f>
        <v/>
      </c>
      <c r="DB20" s="519">
        <f>SUMIF($N$1:$CG$1,DB$1,$N20:$CG20)</f>
        <v/>
      </c>
      <c r="DC20" s="519">
        <f>SUMIF($N$1:$CG$1,DC$1,$N20:$CG20)</f>
        <v/>
      </c>
      <c r="DD20" s="519">
        <f>SUMIF($N$1:$CG$1,DD$1,$N20:$CG20)</f>
        <v/>
      </c>
      <c r="DE20" s="519">
        <f>SUMIF($N$1:$CG$1,DE$1,$N20:$CG20)</f>
        <v/>
      </c>
      <c r="DF20" s="519">
        <f>SUMIF($N$1:$CG$1,DF$1,$N20:$CG20)</f>
        <v/>
      </c>
      <c r="DG20" s="519">
        <f>SUMIF($N$1:$CG$1,DG$1,$N20:$CG20)</f>
        <v/>
      </c>
      <c r="DH20" s="519">
        <f>SUMIF($N$1:$CG$1,DH$1,$N20:$CG20)</f>
        <v/>
      </c>
      <c r="DI20" s="519">
        <f>SUMIF($N$1:$CG$1,DI$1,$N20:$CG20)</f>
        <v/>
      </c>
      <c r="DJ20" s="519">
        <f>SUMIF($N$1:$CG$1,DJ$1,$N20:$CG20)</f>
        <v/>
      </c>
      <c r="DK20" s="519">
        <f>SUMIF($N$1:$CG$1,DK$1,$N20:$CG20)</f>
        <v/>
      </c>
      <c r="DL20" s="519">
        <f>SUMIF($N$1:$CG$1,DL$1,$N20:$CG20)</f>
        <v/>
      </c>
      <c r="DM20" s="519">
        <f>SUMIF($N$1:$CG$1,DM$1,$N20:$CG20)</f>
        <v/>
      </c>
      <c r="DN20" s="519">
        <f>SUMIF($N$1:$CG$1,DN$1,$N20:$CG20)</f>
        <v/>
      </c>
      <c r="DO20" s="519">
        <f>SUMIF($N$1:$CG$1,DO$1,$N20:$CG20)</f>
        <v/>
      </c>
      <c r="DP20" s="519">
        <f>SUMIF($N$1:$CG$1,DP$1,$N20:$CG20)</f>
        <v/>
      </c>
      <c r="DQ20" s="519">
        <f>SUMIF($N$1:$CG$1,DQ$1,$N20:$CG20)</f>
        <v/>
      </c>
      <c r="DR20" s="519">
        <f>SUMIF($N$1:$CG$1,DR$1,$N20:$CG20)</f>
        <v/>
      </c>
      <c r="DS20" s="519">
        <f>SUMIF($N$1:$CK$1,DS$1,$N20:$CK20)</f>
        <v/>
      </c>
    </row>
    <row r="21">
      <c r="B21" s="50" t="n"/>
      <c r="C21" s="50" t="n"/>
      <c r="D21" s="50" t="n"/>
      <c r="E21" s="50" t="n"/>
      <c r="F21" s="50" t="n"/>
      <c r="G21" s="50" t="n"/>
      <c r="H21" s="50" t="n"/>
      <c r="I21" s="50" t="n"/>
      <c r="J21" s="50" t="n"/>
      <c r="K21" s="50" t="n"/>
      <c r="L21" s="50" t="n"/>
      <c r="M21" s="50" t="n"/>
      <c r="AY21" s="517" t="n"/>
      <c r="AZ21" s="517" t="n"/>
      <c r="BA21" s="517" t="n"/>
      <c r="BQ21" s="517">
        <f>BQ20+BP20</f>
        <v/>
      </c>
      <c r="BR21" s="906" t="n"/>
      <c r="BU21" s="517">
        <f>BU20+BT20</f>
        <v/>
      </c>
    </row>
    <row r="22">
      <c r="A22" s="40" t="inlineStr">
        <is>
          <t>Y/Y Growth</t>
        </is>
      </c>
      <c r="AY22" s="517" t="n"/>
      <c r="AZ22" s="517" t="n"/>
      <c r="BA22" s="517" t="n"/>
      <c r="CZ22" s="26" t="n"/>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c r="DS22" s="406" t="n"/>
    </row>
    <row r="23">
      <c r="A23" s="74">
        <f>+A14</f>
        <v/>
      </c>
      <c r="B23" s="890" t="n"/>
      <c r="C23" s="890" t="n"/>
      <c r="D23" s="890" t="n"/>
      <c r="E23" s="890" t="n"/>
      <c r="F23" s="907" t="n"/>
      <c r="G23" s="907" t="n"/>
      <c r="H23" s="907" t="n"/>
      <c r="I23" s="907" t="n"/>
      <c r="J23" s="907" t="n"/>
      <c r="K23" s="907" t="n"/>
      <c r="L23" s="907" t="n"/>
      <c r="M23" s="907" t="n"/>
      <c r="N23" s="515" t="n"/>
      <c r="O23" s="515" t="n"/>
      <c r="P23" s="515" t="n"/>
      <c r="Q23" s="515" t="n"/>
      <c r="R23" s="515" t="n"/>
      <c r="S23" s="515" t="n"/>
      <c r="T23" s="515" t="n"/>
      <c r="U23" s="515" t="n"/>
      <c r="V23" s="515" t="n"/>
      <c r="W23" s="515" t="n"/>
      <c r="X23" s="515" t="n"/>
      <c r="Y23" s="515" t="n"/>
      <c r="Z23" s="515" t="n"/>
      <c r="AA23" s="515" t="n"/>
      <c r="AB23" s="515" t="n"/>
      <c r="AC23" s="515" t="n"/>
      <c r="AD23" s="908">
        <f>AD14/Z14-1</f>
        <v/>
      </c>
      <c r="AE23" s="908">
        <f>AE14/AA14-1</f>
        <v/>
      </c>
      <c r="AF23" s="908">
        <f>AF14/AB14-1</f>
        <v/>
      </c>
      <c r="AG23" s="908">
        <f>AG14/AC14-1</f>
        <v/>
      </c>
      <c r="AH23" s="908">
        <f>AH14/AD14-1</f>
        <v/>
      </c>
      <c r="AI23" s="908">
        <f>AI14/AE14-1</f>
        <v/>
      </c>
      <c r="AJ23" s="908">
        <f>AJ14/AF14-1</f>
        <v/>
      </c>
      <c r="AK23" s="908">
        <f>AK14/AG14-1</f>
        <v/>
      </c>
      <c r="AL23" s="908">
        <f>AL14/AH14-1</f>
        <v/>
      </c>
      <c r="AM23" s="908">
        <f>AM14/AI14-1</f>
        <v/>
      </c>
      <c r="AN23" s="908">
        <f>AN14/AJ14-1</f>
        <v/>
      </c>
      <c r="AO23" s="908">
        <f>AO14/AK14-1</f>
        <v/>
      </c>
      <c r="AP23" s="908">
        <f>AP14/AL14-1</f>
        <v/>
      </c>
      <c r="AQ23" s="908">
        <f>AQ14/AM14-1</f>
        <v/>
      </c>
      <c r="AR23" s="908">
        <f>AR14/AN14-1</f>
        <v/>
      </c>
      <c r="AS23" s="908">
        <f>AS14/AO14-1</f>
        <v/>
      </c>
      <c r="AT23" s="908">
        <f>AT14/AP14-1</f>
        <v/>
      </c>
      <c r="AU23" s="908">
        <f>AU14/AQ14-1</f>
        <v/>
      </c>
      <c r="AV23" s="908">
        <f>AV14/AR14-1</f>
        <v/>
      </c>
      <c r="AW23" s="908">
        <f>AW14/AS14-1</f>
        <v/>
      </c>
      <c r="AX23" s="908">
        <f>AX14/AT14-1</f>
        <v/>
      </c>
      <c r="AY23" s="908">
        <f>AY14/AU14-1</f>
        <v/>
      </c>
      <c r="AZ23" s="908">
        <f>AZ14/AV14-1</f>
        <v/>
      </c>
      <c r="BA23" s="908">
        <f>BA14/AW14-1</f>
        <v/>
      </c>
      <c r="BB23" s="908">
        <f>BB14/AX14-1</f>
        <v/>
      </c>
      <c r="BC23" s="908">
        <f>BC14/AY14-1</f>
        <v/>
      </c>
      <c r="BD23" s="908">
        <f>BD14/AZ14-1</f>
        <v/>
      </c>
      <c r="BE23" s="908">
        <f>BE14/BA14-1</f>
        <v/>
      </c>
      <c r="BF23" s="908">
        <f>BF14/BB14-1</f>
        <v/>
      </c>
      <c r="BG23" s="908">
        <f>BG14/BC14-1</f>
        <v/>
      </c>
      <c r="BH23" s="908">
        <f>BH14/BD14-1</f>
        <v/>
      </c>
      <c r="BI23" s="908">
        <f>BI14/BE14-1</f>
        <v/>
      </c>
      <c r="BJ23" s="908">
        <f>BJ14/BF14-1</f>
        <v/>
      </c>
      <c r="BK23" s="908">
        <f>BK14/BG14-1</f>
        <v/>
      </c>
      <c r="BL23" s="908">
        <f>BL14/BH14-1</f>
        <v/>
      </c>
      <c r="BM23" s="908">
        <f>BM14/BI14-1</f>
        <v/>
      </c>
      <c r="BN23" s="908">
        <f>BN14/BJ14-1</f>
        <v/>
      </c>
      <c r="BO23" s="908">
        <f>BO14/BK14-1</f>
        <v/>
      </c>
      <c r="BP23" s="908">
        <f>BP14/BL14-1</f>
        <v/>
      </c>
      <c r="BQ23" s="908">
        <f>BQ14/BM14-1</f>
        <v/>
      </c>
      <c r="BR23" s="908">
        <f>BR14/BN14-1</f>
        <v/>
      </c>
      <c r="BS23" s="909" t="n">
        <v>-0.35</v>
      </c>
      <c r="BT23" s="909" t="n">
        <v>-0.05</v>
      </c>
      <c r="BU23" s="909" t="n">
        <v>0.1</v>
      </c>
      <c r="BV23" s="909" t="n">
        <v>0.15</v>
      </c>
      <c r="BW23" s="909" t="n">
        <v>0.2</v>
      </c>
      <c r="BX23" s="909" t="n">
        <v>0.2</v>
      </c>
      <c r="BY23" s="909" t="n">
        <v>0.15</v>
      </c>
      <c r="BZ23" s="909" t="n">
        <v>0</v>
      </c>
      <c r="CA23" s="909" t="n">
        <v>-0.1</v>
      </c>
      <c r="CB23" s="909" t="n">
        <v>-0.1</v>
      </c>
      <c r="CC23" s="909" t="n">
        <v>0</v>
      </c>
      <c r="CD23" s="909" t="n">
        <v>0.05</v>
      </c>
      <c r="CE23" s="909" t="n">
        <v>0.07000000000000001</v>
      </c>
      <c r="CF23" s="909" t="n">
        <v>0.18</v>
      </c>
      <c r="CG23" s="909" t="n">
        <v>0.18</v>
      </c>
      <c r="CH23" s="909" t="n">
        <v>0.18</v>
      </c>
      <c r="CI23" s="909" t="n">
        <v>0.18</v>
      </c>
      <c r="CJ23" s="909" t="n">
        <v>0.15</v>
      </c>
      <c r="CK23" s="909" t="n">
        <v>0.15</v>
      </c>
      <c r="CZ23" s="441" t="n"/>
      <c r="DA23" s="406" t="n"/>
      <c r="DB23" s="406" t="n"/>
      <c r="DC23" s="406" t="n"/>
      <c r="DD23" s="406" t="n"/>
      <c r="DE23" s="905">
        <f>DE14/DD14-1</f>
        <v/>
      </c>
      <c r="DF23" s="905">
        <f>DF14/DE14-1</f>
        <v/>
      </c>
      <c r="DG23" s="905">
        <f>DG14/DF14-1</f>
        <v/>
      </c>
      <c r="DH23" s="905">
        <f>DH14/DG14-1</f>
        <v/>
      </c>
      <c r="DI23" s="905">
        <f>DI14/DH14-1</f>
        <v/>
      </c>
      <c r="DJ23" s="905">
        <f>DJ14/DI14-1</f>
        <v/>
      </c>
      <c r="DK23" s="905">
        <f>DK14/DJ14-1</f>
        <v/>
      </c>
      <c r="DL23" s="905">
        <f>DL14/DK14-1</f>
        <v/>
      </c>
      <c r="DM23" s="905">
        <f>DM14/DL14-1</f>
        <v/>
      </c>
      <c r="DN23" s="905">
        <f>DN14/DM14-1</f>
        <v/>
      </c>
      <c r="DO23" s="905">
        <f>DO14/DN14-1</f>
        <v/>
      </c>
      <c r="DP23" s="905">
        <f>DP14/DO14-1</f>
        <v/>
      </c>
      <c r="DQ23" s="905">
        <f>DQ14/DP14-1</f>
        <v/>
      </c>
      <c r="DR23" s="905">
        <f>DR14/DQ14-1</f>
        <v/>
      </c>
      <c r="DS23" s="905">
        <f>DS14/DR14-1</f>
        <v/>
      </c>
    </row>
    <row r="24">
      <c r="A24" s="74">
        <f>+A15</f>
        <v/>
      </c>
      <c r="B24" s="890" t="n"/>
      <c r="C24" s="890" t="n"/>
      <c r="D24" s="890" t="n"/>
      <c r="E24" s="890" t="n"/>
      <c r="F24" s="907" t="n"/>
      <c r="G24" s="907" t="n"/>
      <c r="H24" s="907" t="n"/>
      <c r="I24" s="907" t="n"/>
      <c r="J24" s="907" t="n"/>
      <c r="K24" s="907" t="n"/>
      <c r="L24" s="907" t="n"/>
      <c r="M24" s="907" t="n"/>
      <c r="N24" s="515" t="n"/>
      <c r="O24" s="515" t="n"/>
      <c r="P24" s="515" t="n"/>
      <c r="Q24" s="515" t="n"/>
      <c r="R24" s="515" t="n"/>
      <c r="S24" s="515" t="n"/>
      <c r="T24" s="515" t="n"/>
      <c r="U24" s="515" t="n"/>
      <c r="V24" s="515" t="n"/>
      <c r="W24" s="515" t="n"/>
      <c r="X24" s="515" t="n"/>
      <c r="Y24" s="515" t="n"/>
      <c r="Z24" s="515" t="n"/>
      <c r="AA24" s="515" t="n"/>
      <c r="AB24" s="515" t="n"/>
      <c r="AC24" s="515" t="n"/>
      <c r="AD24" s="908">
        <f>AD15/Z15-1</f>
        <v/>
      </c>
      <c r="AE24" s="908">
        <f>AE15/AA15-1</f>
        <v/>
      </c>
      <c r="AF24" s="908">
        <f>AF15/AB15-1</f>
        <v/>
      </c>
      <c r="AG24" s="908">
        <f>AG15/AC15-1</f>
        <v/>
      </c>
      <c r="AH24" s="908">
        <f>AH15/AD15-1</f>
        <v/>
      </c>
      <c r="AI24" s="908">
        <f>AI15/AE15-1</f>
        <v/>
      </c>
      <c r="AJ24" s="908">
        <f>AJ15/AF15-1</f>
        <v/>
      </c>
      <c r="AK24" s="908">
        <f>AK15/AG15-1</f>
        <v/>
      </c>
      <c r="AL24" s="908">
        <f>AL15/AH15-1</f>
        <v/>
      </c>
      <c r="AM24" s="908">
        <f>AM15/AI15-1</f>
        <v/>
      </c>
      <c r="AN24" s="908">
        <f>AN15/AJ15-1</f>
        <v/>
      </c>
      <c r="AO24" s="908">
        <f>AO15/AK15-1</f>
        <v/>
      </c>
      <c r="AP24" s="908">
        <f>AP15/AL15-1</f>
        <v/>
      </c>
      <c r="AQ24" s="908">
        <f>AQ15/AM15-1</f>
        <v/>
      </c>
      <c r="AR24" s="908">
        <f>AR15/AN15-1</f>
        <v/>
      </c>
      <c r="AS24" s="908">
        <f>AS15/AO15-1</f>
        <v/>
      </c>
      <c r="AT24" s="908">
        <f>AT15/AP15-1</f>
        <v/>
      </c>
      <c r="AU24" s="908">
        <f>AU15/AQ15-1</f>
        <v/>
      </c>
      <c r="AV24" s="908">
        <f>AV15/AR15-1</f>
        <v/>
      </c>
      <c r="AW24" s="908">
        <f>AW15/AS15-1</f>
        <v/>
      </c>
      <c r="AX24" s="908">
        <f>AX15/AT15-1</f>
        <v/>
      </c>
      <c r="AY24" s="908">
        <f>AY15/AU15-1</f>
        <v/>
      </c>
      <c r="AZ24" s="908">
        <f>AZ15/AV15-1</f>
        <v/>
      </c>
      <c r="BA24" s="908">
        <f>BA15/AW15-1</f>
        <v/>
      </c>
      <c r="BB24" s="908">
        <f>BB15/AX15-1</f>
        <v/>
      </c>
      <c r="BC24" s="908">
        <f>BC15/AY15-1</f>
        <v/>
      </c>
      <c r="BD24" s="908">
        <f>BD15/AZ15-1</f>
        <v/>
      </c>
      <c r="BE24" s="908">
        <f>BE15/BA15-1</f>
        <v/>
      </c>
      <c r="BF24" s="908">
        <f>BF15/BB15-1</f>
        <v/>
      </c>
      <c r="BG24" s="908">
        <f>BG15/BC15-1</f>
        <v/>
      </c>
      <c r="BH24" s="908">
        <f>BH15/BD15-1</f>
        <v/>
      </c>
      <c r="BI24" s="908">
        <f>BI15/BE15-1</f>
        <v/>
      </c>
      <c r="BJ24" s="908">
        <f>BJ15/BF15-1</f>
        <v/>
      </c>
      <c r="BK24" s="908">
        <f>BK15/BG15-1</f>
        <v/>
      </c>
      <c r="BL24" s="908">
        <f>BL15/BH15-1</f>
        <v/>
      </c>
      <c r="BM24" s="908">
        <f>BM15/BI15-1</f>
        <v/>
      </c>
      <c r="BN24" s="908">
        <f>BN15/BJ15-1</f>
        <v/>
      </c>
      <c r="BO24" s="908">
        <f>BO15/BK15-1</f>
        <v/>
      </c>
      <c r="BP24" s="908">
        <f>BP15/BL15-1</f>
        <v/>
      </c>
      <c r="BQ24" s="908">
        <f>BQ15/BM15-1</f>
        <v/>
      </c>
      <c r="BR24" s="908">
        <f>BR15/BN15-1</f>
        <v/>
      </c>
      <c r="BS24" s="909" t="n">
        <v>0.05</v>
      </c>
      <c r="BT24" s="909" t="n">
        <v>0.15</v>
      </c>
      <c r="BU24" s="909" t="n">
        <v>0.15</v>
      </c>
      <c r="BV24" s="909" t="n">
        <v>0.15</v>
      </c>
      <c r="BW24" s="909" t="n">
        <v>0.15</v>
      </c>
      <c r="BX24" s="909">
        <f>BW24</f>
        <v/>
      </c>
      <c r="BY24" s="909" t="n">
        <v>0.18</v>
      </c>
      <c r="BZ24" s="909" t="n">
        <v>0.05</v>
      </c>
      <c r="CA24" s="909" t="n">
        <v>0.02</v>
      </c>
      <c r="CB24" s="909" t="n">
        <v>-0.03</v>
      </c>
      <c r="CC24" s="909" t="n">
        <v>0</v>
      </c>
      <c r="CD24" s="909" t="n">
        <v>0.05</v>
      </c>
      <c r="CE24" s="909" t="n">
        <v>0.05</v>
      </c>
      <c r="CF24" s="909" t="n">
        <v>0.15</v>
      </c>
      <c r="CG24" s="909" t="n">
        <v>0.15</v>
      </c>
      <c r="CH24" s="909" t="n">
        <v>0.15</v>
      </c>
      <c r="CI24" s="909" t="n">
        <v>0.15</v>
      </c>
      <c r="CJ24" s="909" t="n">
        <v>0.12</v>
      </c>
      <c r="CK24" s="909" t="n">
        <v>0.12</v>
      </c>
      <c r="CZ24" s="441" t="n"/>
      <c r="DA24" s="406" t="n"/>
      <c r="DB24" s="406" t="n"/>
      <c r="DC24" s="406" t="n"/>
      <c r="DD24" s="406" t="n"/>
      <c r="DE24" s="905">
        <f>DE15/DD15-1</f>
        <v/>
      </c>
      <c r="DF24" s="905">
        <f>DF15/DE15-1</f>
        <v/>
      </c>
      <c r="DG24" s="905">
        <f>DG15/DF15-1</f>
        <v/>
      </c>
      <c r="DH24" s="905">
        <f>DH15/DG15-1</f>
        <v/>
      </c>
      <c r="DI24" s="905">
        <f>DI15/DH15-1</f>
        <v/>
      </c>
      <c r="DJ24" s="905">
        <f>DJ15/DI15-1</f>
        <v/>
      </c>
      <c r="DK24" s="905">
        <f>DK15/DJ15-1</f>
        <v/>
      </c>
      <c r="DL24" s="905">
        <f>DL15/DK15-1</f>
        <v/>
      </c>
      <c r="DM24" s="905">
        <f>DM15/DL15-1</f>
        <v/>
      </c>
      <c r="DN24" s="905">
        <f>DN15/DM15-1</f>
        <v/>
      </c>
      <c r="DO24" s="905">
        <f>DO15/DN15-1</f>
        <v/>
      </c>
      <c r="DP24" s="905">
        <f>DP15/DO15-1</f>
        <v/>
      </c>
      <c r="DQ24" s="905">
        <f>DQ15/DP15-1</f>
        <v/>
      </c>
      <c r="DR24" s="905">
        <f>DR15/DQ15-1</f>
        <v/>
      </c>
      <c r="DS24" s="905">
        <f>DS15/DR15-1</f>
        <v/>
      </c>
    </row>
    <row r="25">
      <c r="A25" s="74">
        <f>+A16</f>
        <v/>
      </c>
      <c r="B25" s="890" t="n"/>
      <c r="C25" s="890" t="n"/>
      <c r="D25" s="890" t="n"/>
      <c r="E25" s="890" t="n"/>
      <c r="F25" s="907" t="n"/>
      <c r="G25" s="907" t="n"/>
      <c r="H25" s="907" t="n"/>
      <c r="I25" s="907" t="n"/>
      <c r="J25" s="907" t="n"/>
      <c r="K25" s="907" t="n"/>
      <c r="L25" s="907" t="n"/>
      <c r="M25" s="907" t="n"/>
      <c r="N25" s="515" t="n"/>
      <c r="O25" s="515" t="n"/>
      <c r="P25" s="515" t="n"/>
      <c r="Q25" s="515" t="n"/>
      <c r="R25" s="515" t="n"/>
      <c r="S25" s="515" t="n"/>
      <c r="T25" s="515" t="n"/>
      <c r="U25" s="515" t="n"/>
      <c r="V25" s="515" t="n"/>
      <c r="W25" s="515" t="n"/>
      <c r="X25" s="515" t="n"/>
      <c r="Y25" s="515" t="n"/>
      <c r="Z25" s="515" t="n"/>
      <c r="AA25" s="515" t="n"/>
      <c r="AB25" s="515" t="n"/>
      <c r="AC25" s="515" t="n"/>
      <c r="AD25" s="908">
        <f>AD16/Z16-1</f>
        <v/>
      </c>
      <c r="AE25" s="908">
        <f>AE16/AA16-1</f>
        <v/>
      </c>
      <c r="AF25" s="908">
        <f>AF16/AB16-1</f>
        <v/>
      </c>
      <c r="AG25" s="908">
        <f>AG16/AC16-1</f>
        <v/>
      </c>
      <c r="AH25" s="908">
        <f>AH16/AD16-1</f>
        <v/>
      </c>
      <c r="AI25" s="908">
        <f>AI16/AE16-1</f>
        <v/>
      </c>
      <c r="AJ25" s="908">
        <f>AJ16/AF16-1</f>
        <v/>
      </c>
      <c r="AK25" s="908">
        <f>AK16/AG16-1</f>
        <v/>
      </c>
      <c r="AL25" s="908">
        <f>AL16/AH16-1</f>
        <v/>
      </c>
      <c r="AM25" s="908">
        <f>AM16/AI16-1</f>
        <v/>
      </c>
      <c r="AN25" s="908">
        <f>AN16/AJ16-1</f>
        <v/>
      </c>
      <c r="AO25" s="908">
        <f>AO16/AK16-1</f>
        <v/>
      </c>
      <c r="AP25" s="908">
        <f>AP16/AL16-1</f>
        <v/>
      </c>
      <c r="AQ25" s="908">
        <f>AQ16/AM16-1</f>
        <v/>
      </c>
      <c r="AR25" s="908">
        <f>AR16/AN16-1</f>
        <v/>
      </c>
      <c r="AS25" s="908">
        <f>AS16/AO16-1</f>
        <v/>
      </c>
      <c r="AT25" s="908">
        <f>AT16/AP16-1</f>
        <v/>
      </c>
      <c r="AU25" s="908">
        <f>AU16/AQ16-1</f>
        <v/>
      </c>
      <c r="AV25" s="908">
        <f>AV16/AR16-1</f>
        <v/>
      </c>
      <c r="AW25" s="908">
        <f>AW16/AS16-1</f>
        <v/>
      </c>
      <c r="AX25" s="908">
        <f>AX16/AT16-1</f>
        <v/>
      </c>
      <c r="AY25" s="908">
        <f>AY16/AU16-1</f>
        <v/>
      </c>
      <c r="AZ25" s="908">
        <f>AZ16/AV16-1</f>
        <v/>
      </c>
      <c r="BA25" s="908">
        <f>BA16/AW16-1</f>
        <v/>
      </c>
      <c r="BB25" s="908">
        <f>BB16/AX16-1</f>
        <v/>
      </c>
      <c r="BC25" s="908">
        <f>BC16/AY16-1</f>
        <v/>
      </c>
      <c r="BD25" s="908">
        <f>BD16/AZ16-1</f>
        <v/>
      </c>
      <c r="BE25" s="908">
        <f>BE16/BA16-1</f>
        <v/>
      </c>
      <c r="BF25" s="908">
        <f>BF16/BB16-1</f>
        <v/>
      </c>
      <c r="BG25" s="908">
        <f>BG16/BC16-1</f>
        <v/>
      </c>
      <c r="BH25" s="908">
        <f>BH16/BD16-1</f>
        <v/>
      </c>
      <c r="BI25" s="908">
        <f>BI16/BE16-1</f>
        <v/>
      </c>
      <c r="BJ25" s="908">
        <f>BJ16/BF16-1</f>
        <v/>
      </c>
      <c r="BK25" s="908">
        <f>BK16/BG16-1</f>
        <v/>
      </c>
      <c r="BL25" s="908">
        <f>BL16/BH16-1</f>
        <v/>
      </c>
      <c r="BM25" s="908">
        <f>BM16/BI16-1</f>
        <v/>
      </c>
      <c r="BN25" s="908">
        <f>BN16/BJ16-1</f>
        <v/>
      </c>
      <c r="BO25" s="908">
        <f>BO16/BK16-1</f>
        <v/>
      </c>
      <c r="BP25" s="908">
        <f>BP16/BL16-1</f>
        <v/>
      </c>
      <c r="BQ25" s="908">
        <f>BQ16/BM16-1</f>
        <v/>
      </c>
      <c r="BR25" s="908">
        <f>BR16/BN16-1</f>
        <v/>
      </c>
      <c r="BS25" s="909" t="n">
        <v>-0.38</v>
      </c>
      <c r="BT25" s="909" t="n">
        <v>-0.1</v>
      </c>
      <c r="BU25" s="909" t="n">
        <v>-0.05</v>
      </c>
      <c r="BV25" s="909" t="n">
        <v>0.1</v>
      </c>
      <c r="BW25" s="909" t="n">
        <v>0.12</v>
      </c>
      <c r="BX25" s="909" t="n">
        <v>0.12</v>
      </c>
      <c r="BY25" s="909" t="n">
        <v>0.15</v>
      </c>
      <c r="BZ25" s="909" t="n">
        <v>0.03</v>
      </c>
      <c r="CA25" s="909" t="n">
        <v>0.02</v>
      </c>
      <c r="CB25" s="909" t="n">
        <v>-0.03</v>
      </c>
      <c r="CC25" s="909" t="n">
        <v>0</v>
      </c>
      <c r="CD25" s="909" t="n">
        <v>0.03</v>
      </c>
      <c r="CE25" s="909" t="n">
        <v>0.03</v>
      </c>
      <c r="CF25" s="909" t="n">
        <v>0.1</v>
      </c>
      <c r="CG25" s="909" t="n">
        <v>0.1</v>
      </c>
      <c r="CH25" s="909" t="n">
        <v>0.15</v>
      </c>
      <c r="CI25" s="909" t="n">
        <v>0.15</v>
      </c>
      <c r="CJ25" s="909">
        <f>CI25</f>
        <v/>
      </c>
      <c r="CK25" s="909" t="n">
        <v>0.15</v>
      </c>
      <c r="CZ25" s="441" t="n"/>
      <c r="DA25" s="406" t="n"/>
      <c r="DB25" s="406" t="n"/>
      <c r="DC25" s="406" t="n"/>
      <c r="DD25" s="406" t="n"/>
      <c r="DE25" s="905">
        <f>DE16/DD16-1</f>
        <v/>
      </c>
      <c r="DF25" s="905">
        <f>DF16/DE16-1</f>
        <v/>
      </c>
      <c r="DG25" s="905">
        <f>DG16/DF16-1</f>
        <v/>
      </c>
      <c r="DH25" s="905">
        <f>DH16/DG16-1</f>
        <v/>
      </c>
      <c r="DI25" s="905">
        <f>DI16/DH16-1</f>
        <v/>
      </c>
      <c r="DJ25" s="905">
        <f>DJ16/DI16-1</f>
        <v/>
      </c>
      <c r="DK25" s="905">
        <f>DK16/DJ16-1</f>
        <v/>
      </c>
      <c r="DL25" s="905">
        <f>DL16/DK16-1</f>
        <v/>
      </c>
      <c r="DM25" s="905">
        <f>DM16/DL16-1</f>
        <v/>
      </c>
      <c r="DN25" s="905">
        <f>DN16/DM16-1</f>
        <v/>
      </c>
      <c r="DO25" s="905">
        <f>DO16/DN16-1</f>
        <v/>
      </c>
      <c r="DP25" s="905">
        <f>DP16/DO16-1</f>
        <v/>
      </c>
      <c r="DQ25" s="905">
        <f>DQ16/DP16-1</f>
        <v/>
      </c>
      <c r="DR25" s="905">
        <f>DR16/DQ16-1</f>
        <v/>
      </c>
      <c r="DS25" s="905">
        <f>DS16/DR16-1</f>
        <v/>
      </c>
    </row>
    <row r="26">
      <c r="A26" s="74">
        <f>+A17</f>
        <v/>
      </c>
      <c r="B26" s="890" t="n"/>
      <c r="C26" s="890" t="n"/>
      <c r="D26" s="890" t="n"/>
      <c r="E26" s="890" t="n"/>
      <c r="F26" s="907" t="n"/>
      <c r="G26" s="907" t="n"/>
      <c r="H26" s="907" t="n"/>
      <c r="I26" s="907" t="n"/>
      <c r="J26" s="907" t="n"/>
      <c r="K26" s="907" t="n"/>
      <c r="L26" s="907" t="n"/>
      <c r="M26" s="907" t="n"/>
      <c r="N26" s="515" t="n"/>
      <c r="O26" s="515" t="n"/>
      <c r="P26" s="515" t="n"/>
      <c r="Q26" s="515" t="n"/>
      <c r="R26" s="515" t="n"/>
      <c r="S26" s="515" t="n"/>
      <c r="T26" s="515" t="n"/>
      <c r="U26" s="515" t="n"/>
      <c r="V26" s="515" t="n"/>
      <c r="W26" s="515" t="n"/>
      <c r="X26" s="515" t="n"/>
      <c r="Y26" s="515" t="n"/>
      <c r="Z26" s="515" t="n"/>
      <c r="AA26" s="515" t="n"/>
      <c r="AB26" s="515" t="n"/>
      <c r="AC26" s="515" t="n"/>
      <c r="AD26" s="908">
        <f>AD17/Z17-1</f>
        <v/>
      </c>
      <c r="AE26" s="908">
        <f>AE17/AA17-1</f>
        <v/>
      </c>
      <c r="AF26" s="908">
        <f>AF17/AB17-1</f>
        <v/>
      </c>
      <c r="AG26" s="908">
        <f>AG17/AC17-1</f>
        <v/>
      </c>
      <c r="AH26" s="908">
        <f>AH17/AD17-1</f>
        <v/>
      </c>
      <c r="AI26" s="908">
        <f>AI17/AE17-1</f>
        <v/>
      </c>
      <c r="AJ26" s="908">
        <f>AJ17/AF17-1</f>
        <v/>
      </c>
      <c r="AK26" s="908">
        <f>AK17/AG17-1</f>
        <v/>
      </c>
      <c r="AL26" s="908">
        <f>AL17/AH17-1</f>
        <v/>
      </c>
      <c r="AM26" s="908">
        <f>AM17/AI17-1</f>
        <v/>
      </c>
      <c r="AN26" s="908">
        <f>AN17/AJ17-1</f>
        <v/>
      </c>
      <c r="AO26" s="908">
        <f>AO17/AK17-1</f>
        <v/>
      </c>
      <c r="AP26" s="908">
        <f>AP17/AL17-1</f>
        <v/>
      </c>
      <c r="AQ26" s="908">
        <f>AQ17/AM17-1</f>
        <v/>
      </c>
      <c r="AR26" s="908">
        <f>AR17/AN17-1</f>
        <v/>
      </c>
      <c r="AS26" s="908">
        <f>AS17/AO17-1</f>
        <v/>
      </c>
      <c r="AT26" s="908">
        <f>AT17/AP17-1</f>
        <v/>
      </c>
      <c r="AU26" s="908">
        <f>AU17/AQ17-1</f>
        <v/>
      </c>
      <c r="AV26" s="908">
        <f>AV17/AR17-1</f>
        <v/>
      </c>
      <c r="AW26" s="908">
        <f>AW17/AS17-1</f>
        <v/>
      </c>
      <c r="AX26" s="908">
        <f>AX17/AT17-1</f>
        <v/>
      </c>
      <c r="AY26" s="908">
        <f>AY17/AU17-1</f>
        <v/>
      </c>
      <c r="AZ26" s="908">
        <f>AZ17/AV17-1</f>
        <v/>
      </c>
      <c r="BA26" s="908">
        <f>BA17/AW17-1</f>
        <v/>
      </c>
      <c r="BB26" s="908">
        <f>BB17/AX17-1</f>
        <v/>
      </c>
      <c r="BC26" s="908">
        <f>BC17/AY17-1</f>
        <v/>
      </c>
      <c r="BD26" s="908">
        <f>BD17/AZ17-1</f>
        <v/>
      </c>
      <c r="BE26" s="908">
        <f>BE17/BA17-1</f>
        <v/>
      </c>
      <c r="BF26" s="908">
        <f>BF17/BB17-1</f>
        <v/>
      </c>
      <c r="BG26" s="908">
        <f>BG17/BC17-1</f>
        <v/>
      </c>
      <c r="BH26" s="908">
        <f>BH17/BD17-1</f>
        <v/>
      </c>
      <c r="BI26" s="908">
        <f>BI17/BE17-1</f>
        <v/>
      </c>
      <c r="BJ26" s="908">
        <f>BJ17/BF17-1</f>
        <v/>
      </c>
      <c r="BK26" s="908">
        <f>BK17/BG17-1</f>
        <v/>
      </c>
      <c r="BL26" s="908">
        <f>BL17/BH17-1</f>
        <v/>
      </c>
      <c r="BM26" s="908">
        <f>BM17/BI17-1</f>
        <v/>
      </c>
      <c r="BN26" s="908">
        <f>BN17/BJ17-1</f>
        <v/>
      </c>
      <c r="BO26" s="908">
        <f>BO17/BK17-1</f>
        <v/>
      </c>
      <c r="BP26" s="908">
        <f>BP17/BL17-1</f>
        <v/>
      </c>
      <c r="BQ26" s="908">
        <f>BQ17/BM17-1</f>
        <v/>
      </c>
      <c r="BR26" s="908">
        <f>BR17/BN17-1</f>
        <v/>
      </c>
      <c r="BS26" s="909" t="n">
        <v>0.15</v>
      </c>
      <c r="BT26" s="909" t="n">
        <v>0.15</v>
      </c>
      <c r="BU26" s="909" t="n">
        <v>0.15</v>
      </c>
      <c r="BV26" s="909" t="n">
        <v>0.15</v>
      </c>
      <c r="BW26" s="909" t="n">
        <v>0.15</v>
      </c>
      <c r="BX26" s="909" t="n">
        <v>0.18</v>
      </c>
      <c r="BY26" s="909" t="n">
        <v>0.18</v>
      </c>
      <c r="BZ26" s="909" t="n">
        <v>0.07000000000000001</v>
      </c>
      <c r="CA26" s="909" t="n">
        <v>0.05</v>
      </c>
      <c r="CB26" s="909" t="n">
        <v>0</v>
      </c>
      <c r="CC26" s="909" t="n">
        <v>0.03</v>
      </c>
      <c r="CD26" s="909" t="n">
        <v>0.07000000000000001</v>
      </c>
      <c r="CE26" s="909" t="n">
        <v>0.07000000000000001</v>
      </c>
      <c r="CF26" s="909" t="n">
        <v>0.17</v>
      </c>
      <c r="CG26" s="909" t="n">
        <v>0.15</v>
      </c>
      <c r="CH26" s="909" t="n">
        <v>0.15</v>
      </c>
      <c r="CI26" s="909" t="n">
        <v>0.15</v>
      </c>
      <c r="CJ26" s="909" t="n">
        <v>0.12</v>
      </c>
      <c r="CK26" s="909" t="n">
        <v>0.12</v>
      </c>
      <c r="CZ26" s="333" t="n"/>
      <c r="DA26" s="406" t="n"/>
      <c r="DB26" s="406" t="n"/>
      <c r="DC26" s="406" t="n"/>
      <c r="DD26" s="406" t="n"/>
      <c r="DE26" s="905">
        <f>DE17/DD17-1</f>
        <v/>
      </c>
      <c r="DF26" s="905">
        <f>DF17/DE17-1</f>
        <v/>
      </c>
      <c r="DG26" s="905">
        <f>DG17/DF17-1</f>
        <v/>
      </c>
      <c r="DH26" s="905">
        <f>DH17/DG17-1</f>
        <v/>
      </c>
      <c r="DI26" s="905">
        <f>DI17/DH17-1</f>
        <v/>
      </c>
      <c r="DJ26" s="905">
        <f>DJ17/DI17-1</f>
        <v/>
      </c>
      <c r="DK26" s="905">
        <f>DK17/DJ17-1</f>
        <v/>
      </c>
      <c r="DL26" s="905">
        <f>DL17/DK17-1</f>
        <v/>
      </c>
      <c r="DM26" s="905">
        <f>DM17/DL17-1</f>
        <v/>
      </c>
      <c r="DN26" s="905">
        <f>DN17/DM17-1</f>
        <v/>
      </c>
      <c r="DO26" s="905">
        <f>DO17/DN17-1</f>
        <v/>
      </c>
      <c r="DP26" s="905">
        <f>DP17/DO17-1</f>
        <v/>
      </c>
      <c r="DQ26" s="905">
        <f>DQ17/DP17-1</f>
        <v/>
      </c>
      <c r="DR26" s="905">
        <f>DR17/DQ17-1</f>
        <v/>
      </c>
      <c r="DS26" s="905">
        <f>DS17/DR17-1</f>
        <v/>
      </c>
    </row>
    <row r="27">
      <c r="A27" s="74">
        <f>+A18</f>
        <v/>
      </c>
      <c r="B27" s="890" t="n"/>
      <c r="C27" s="890" t="n"/>
      <c r="D27" s="890" t="n"/>
      <c r="E27" s="890" t="n"/>
      <c r="F27" s="907" t="n"/>
      <c r="G27" s="907" t="n"/>
      <c r="H27" s="907" t="n"/>
      <c r="I27" s="907" t="n"/>
      <c r="J27" s="907" t="n"/>
      <c r="K27" s="907" t="n"/>
      <c r="L27" s="907" t="n"/>
      <c r="M27" s="907" t="n"/>
      <c r="N27" s="515" t="n"/>
      <c r="O27" s="515" t="n"/>
      <c r="P27" s="515" t="n"/>
      <c r="Q27" s="515" t="n"/>
      <c r="R27" s="515" t="n"/>
      <c r="S27" s="515" t="n"/>
      <c r="T27" s="515" t="n"/>
      <c r="U27" s="515" t="n"/>
      <c r="V27" s="515" t="n"/>
      <c r="W27" s="515" t="n"/>
      <c r="X27" s="515" t="n"/>
      <c r="Y27" s="515" t="n"/>
      <c r="Z27" s="515" t="n"/>
      <c r="AA27" s="515" t="n"/>
      <c r="AB27" s="515" t="n"/>
      <c r="AC27" s="515" t="n"/>
      <c r="AD27" s="908">
        <f>AD18/Z18-1</f>
        <v/>
      </c>
      <c r="AE27" s="908">
        <f>AE18/AA18-1</f>
        <v/>
      </c>
      <c r="AF27" s="908">
        <f>AF18/AB18-1</f>
        <v/>
      </c>
      <c r="AG27" s="908">
        <f>AG18/AC18-1</f>
        <v/>
      </c>
      <c r="AH27" s="908">
        <f>AH18/AD18-1</f>
        <v/>
      </c>
      <c r="AI27" s="908">
        <f>AI18/AE18-1</f>
        <v/>
      </c>
      <c r="AJ27" s="908">
        <f>AJ18/AF18-1</f>
        <v/>
      </c>
      <c r="AK27" s="908">
        <f>AK18/AG18-1</f>
        <v/>
      </c>
      <c r="AL27" s="908">
        <f>AL18/AH18-1</f>
        <v/>
      </c>
      <c r="AM27" s="908">
        <f>AM18/AI18-1</f>
        <v/>
      </c>
      <c r="AN27" s="908">
        <f>AN18/AJ18-1</f>
        <v/>
      </c>
      <c r="AO27" s="908">
        <f>AO18/AK18-1</f>
        <v/>
      </c>
      <c r="AP27" s="908">
        <f>AP18/AL18-1</f>
        <v/>
      </c>
      <c r="AQ27" s="908">
        <f>AQ18/AM18-1</f>
        <v/>
      </c>
      <c r="AR27" s="908">
        <f>AR18/AN18-1</f>
        <v/>
      </c>
      <c r="AS27" s="908">
        <f>AS18/AO18-1</f>
        <v/>
      </c>
      <c r="AT27" s="908">
        <f>AT18/AP18-1</f>
        <v/>
      </c>
      <c r="AU27" s="908">
        <f>AU18/AQ18-1</f>
        <v/>
      </c>
      <c r="AV27" s="908">
        <f>AV18/AR18-1</f>
        <v/>
      </c>
      <c r="AW27" s="908">
        <f>AW18/AS18-1</f>
        <v/>
      </c>
      <c r="AX27" s="908">
        <f>AX18/AT18-1</f>
        <v/>
      </c>
      <c r="AY27" s="908">
        <f>AY18/AU18-1</f>
        <v/>
      </c>
      <c r="AZ27" s="908">
        <f>AZ18/AV18-1</f>
        <v/>
      </c>
      <c r="BA27" s="908">
        <f>BA18/AW18-1</f>
        <v/>
      </c>
      <c r="BB27" s="908">
        <f>BB18/AX18-1</f>
        <v/>
      </c>
      <c r="BC27" s="908">
        <f>BC18/AY18-1</f>
        <v/>
      </c>
      <c r="BD27" s="908">
        <f>BD18/AZ18-1</f>
        <v/>
      </c>
      <c r="BE27" s="908">
        <f>BE18/BA18-1</f>
        <v/>
      </c>
      <c r="BF27" s="908">
        <f>BF18/BB18-1</f>
        <v/>
      </c>
      <c r="BG27" s="908">
        <f>BG18/BC18-1</f>
        <v/>
      </c>
      <c r="BH27" s="908">
        <f>BH18/BD18-1</f>
        <v/>
      </c>
      <c r="BI27" s="908">
        <f>BI18/BE18-1</f>
        <v/>
      </c>
      <c r="BJ27" s="908">
        <f>BJ18/BF18-1</f>
        <v/>
      </c>
      <c r="BK27" s="908">
        <f>BK18/BG18-1</f>
        <v/>
      </c>
      <c r="BL27" s="908">
        <f>BL18/BH18-1</f>
        <v/>
      </c>
      <c r="BM27" s="908">
        <f>BM18/BI18-1</f>
        <v/>
      </c>
      <c r="BN27" s="908">
        <f>BN18/BJ18-1</f>
        <v/>
      </c>
      <c r="BO27" s="908">
        <f>BO18/BK18-1</f>
        <v/>
      </c>
      <c r="BP27" s="908">
        <f>BP18/BL18-1</f>
        <v/>
      </c>
      <c r="BQ27" s="908">
        <f>BQ18/BM18-1</f>
        <v/>
      </c>
      <c r="BR27" s="908">
        <f>BR18/BN18-1</f>
        <v/>
      </c>
      <c r="BS27" s="909" t="n">
        <v>-0.1</v>
      </c>
      <c r="BT27" s="909" t="n">
        <v>0.07000000000000001</v>
      </c>
      <c r="BU27" s="909" t="n">
        <v>0.15</v>
      </c>
      <c r="BV27" s="909" t="n">
        <v>0.12</v>
      </c>
      <c r="BW27" s="909" t="n">
        <v>0.15</v>
      </c>
      <c r="BX27" s="909" t="n">
        <v>0.18</v>
      </c>
      <c r="BY27" s="909" t="n">
        <v>0.18</v>
      </c>
      <c r="BZ27" s="909" t="n">
        <v>0.07000000000000001</v>
      </c>
      <c r="CA27" s="909" t="n">
        <v>0.03</v>
      </c>
      <c r="CB27" s="909" t="n">
        <v>0</v>
      </c>
      <c r="CC27" s="909" t="n">
        <v>0</v>
      </c>
      <c r="CD27" s="909" t="n">
        <v>0.05</v>
      </c>
      <c r="CE27" s="909" t="n">
        <v>0.05</v>
      </c>
      <c r="CF27" s="909" t="n">
        <v>0.15</v>
      </c>
      <c r="CG27" s="909" t="n">
        <v>0.15</v>
      </c>
      <c r="CH27" s="909" t="n">
        <v>0.15</v>
      </c>
      <c r="CI27" s="909" t="n">
        <v>0.15</v>
      </c>
      <c r="CJ27" s="909" t="n">
        <v>0.12</v>
      </c>
      <c r="CK27" s="909" t="n">
        <v>0.12</v>
      </c>
      <c r="CZ27" s="333" t="n"/>
      <c r="DA27" s="406" t="n"/>
      <c r="DB27" s="406" t="n"/>
      <c r="DC27" s="406" t="n"/>
      <c r="DD27" s="406" t="n"/>
      <c r="DE27" s="905">
        <f>DE18/DD18-1</f>
        <v/>
      </c>
      <c r="DF27" s="905">
        <f>DF18/DE18-1</f>
        <v/>
      </c>
      <c r="DG27" s="905">
        <f>DG18/DF18-1</f>
        <v/>
      </c>
      <c r="DH27" s="905">
        <f>DH18/DG18-1</f>
        <v/>
      </c>
      <c r="DI27" s="905">
        <f>DI18/DH18-1</f>
        <v/>
      </c>
      <c r="DJ27" s="905">
        <f>DJ18/DI18-1</f>
        <v/>
      </c>
      <c r="DK27" s="905">
        <f>DK18/DJ18-1</f>
        <v/>
      </c>
      <c r="DL27" s="905">
        <f>DL18/DK18-1</f>
        <v/>
      </c>
      <c r="DM27" s="905">
        <f>DM18/DL18-1</f>
        <v/>
      </c>
      <c r="DN27" s="905">
        <f>DN18/DM18-1</f>
        <v/>
      </c>
      <c r="DO27" s="905">
        <f>DO18/DN18-1</f>
        <v/>
      </c>
      <c r="DP27" s="905">
        <f>DP18/DO18-1</f>
        <v/>
      </c>
      <c r="DQ27" s="905">
        <f>DQ18/DP18-1</f>
        <v/>
      </c>
      <c r="DR27" s="905">
        <f>DR18/DQ18-1</f>
        <v/>
      </c>
      <c r="DS27" s="905">
        <f>DS18/DR18-1</f>
        <v/>
      </c>
    </row>
    <row r="28">
      <c r="A28" s="74">
        <f>+A19</f>
        <v/>
      </c>
      <c r="B28" s="890" t="n"/>
      <c r="C28" s="890" t="n"/>
      <c r="D28" s="890" t="n"/>
      <c r="E28" s="890" t="n"/>
      <c r="F28" s="907" t="n"/>
      <c r="G28" s="907" t="n"/>
      <c r="H28" s="907" t="n"/>
      <c r="I28" s="907" t="n"/>
      <c r="J28" s="907" t="n"/>
      <c r="K28" s="907" t="n"/>
      <c r="L28" s="907" t="n"/>
      <c r="M28" s="907" t="n"/>
      <c r="N28" s="515" t="n"/>
      <c r="O28" s="515" t="n"/>
      <c r="P28" s="515" t="n"/>
      <c r="Q28" s="515" t="n"/>
      <c r="R28" s="515" t="n"/>
      <c r="S28" s="515" t="n"/>
      <c r="T28" s="515" t="n"/>
      <c r="U28" s="515" t="n"/>
      <c r="V28" s="515" t="n"/>
      <c r="W28" s="515" t="n"/>
      <c r="X28" s="515" t="n"/>
      <c r="Y28" s="515" t="n"/>
      <c r="Z28" s="515" t="n"/>
      <c r="AA28" s="515" t="n"/>
      <c r="AB28" s="515" t="n"/>
      <c r="AC28" s="515" t="n"/>
      <c r="AD28" s="908">
        <f>AD19/Z19-1</f>
        <v/>
      </c>
      <c r="AE28" s="908">
        <f>AE19/AA19-1</f>
        <v/>
      </c>
      <c r="AF28" s="908">
        <f>AF19/AB19-1</f>
        <v/>
      </c>
      <c r="AG28" s="908">
        <f>AG19/AC19-1</f>
        <v/>
      </c>
      <c r="AH28" s="908">
        <f>AH19/AD19-1</f>
        <v/>
      </c>
      <c r="AI28" s="908">
        <f>AI19/AE19-1</f>
        <v/>
      </c>
      <c r="AJ28" s="908">
        <f>AJ19/AF19-1</f>
        <v/>
      </c>
      <c r="AK28" s="908">
        <f>AK19/AG19-1</f>
        <v/>
      </c>
      <c r="AL28" s="908">
        <f>AL19/AH19-1</f>
        <v/>
      </c>
      <c r="AM28" s="908">
        <f>AM19/AI19-1</f>
        <v/>
      </c>
      <c r="AN28" s="908">
        <f>AN19/AJ19-1</f>
        <v/>
      </c>
      <c r="AO28" s="908">
        <f>AO19/AK19-1</f>
        <v/>
      </c>
      <c r="AP28" s="908">
        <f>AP19/AL19-1</f>
        <v/>
      </c>
      <c r="AQ28" s="908">
        <f>AQ19/AM19-1</f>
        <v/>
      </c>
      <c r="AR28" s="908">
        <f>AR19/AN19-1</f>
        <v/>
      </c>
      <c r="AS28" s="908">
        <f>AS19/AO19-1</f>
        <v/>
      </c>
      <c r="AT28" s="908">
        <f>AT19/AP19-1</f>
        <v/>
      </c>
      <c r="AU28" s="908">
        <f>AU19/AQ19-1</f>
        <v/>
      </c>
      <c r="AV28" s="908">
        <f>AV19/AR19-1</f>
        <v/>
      </c>
      <c r="AW28" s="908">
        <f>AW19/AS19-1</f>
        <v/>
      </c>
      <c r="AX28" s="908">
        <f>AX19/AT19-1</f>
        <v/>
      </c>
      <c r="AY28" s="908">
        <f>AY19/AU19-1</f>
        <v/>
      </c>
      <c r="AZ28" s="908">
        <f>AZ19/AV19-1</f>
        <v/>
      </c>
      <c r="BA28" s="908">
        <f>BA19/AW19-1</f>
        <v/>
      </c>
      <c r="BB28" s="908">
        <f>BB19/AX19-1</f>
        <v/>
      </c>
      <c r="BC28" s="908">
        <f>BC19/AY19-1</f>
        <v/>
      </c>
      <c r="BD28" s="908">
        <f>BD19/AZ19-1</f>
        <v/>
      </c>
      <c r="BE28" s="908">
        <f>BE19/BA19-1</f>
        <v/>
      </c>
      <c r="BF28" s="908">
        <f>BF19/BB19-1</f>
        <v/>
      </c>
      <c r="BG28" s="908">
        <f>BG19/BC19-1</f>
        <v/>
      </c>
      <c r="BH28" s="908">
        <f>BH19/BD19-1</f>
        <v/>
      </c>
      <c r="BI28" s="908">
        <f>BI19/BE19-1</f>
        <v/>
      </c>
      <c r="BJ28" s="908">
        <f>BJ19/BF19-1</f>
        <v/>
      </c>
      <c r="BK28" s="908">
        <f>BK19/BG19-1</f>
        <v/>
      </c>
      <c r="BL28" s="908">
        <f>BL19/BH19-1</f>
        <v/>
      </c>
      <c r="BM28" s="908">
        <f>BM19/BI19-1</f>
        <v/>
      </c>
      <c r="BN28" s="908">
        <f>BN19/BJ19-1</f>
        <v/>
      </c>
      <c r="BO28" s="908">
        <f>BO19/BK19-1</f>
        <v/>
      </c>
      <c r="BP28" s="908">
        <f>BP19/BL19-1</f>
        <v/>
      </c>
      <c r="BQ28" s="908">
        <f>BQ19/BM19-1</f>
        <v/>
      </c>
      <c r="BR28" s="908">
        <f>BR19/BN19-1</f>
        <v/>
      </c>
      <c r="BS28" s="909" t="n">
        <v>-0.15</v>
      </c>
      <c r="BT28" s="909" t="n">
        <v>0.05</v>
      </c>
      <c r="BU28" s="909" t="n">
        <v>0.1</v>
      </c>
      <c r="BV28" s="909" t="n">
        <v>0.08</v>
      </c>
      <c r="BW28" s="909" t="n">
        <v>0.12</v>
      </c>
      <c r="BX28" s="909" t="n">
        <v>0.15</v>
      </c>
      <c r="BY28" s="909" t="n">
        <v>0.15</v>
      </c>
      <c r="BZ28" s="909" t="n">
        <v>0.05</v>
      </c>
      <c r="CA28" s="909" t="n">
        <v>0.03</v>
      </c>
      <c r="CB28" s="909" t="n">
        <v>-0.05</v>
      </c>
      <c r="CC28" s="909" t="n">
        <v>0</v>
      </c>
      <c r="CD28" s="909" t="n">
        <v>0.05</v>
      </c>
      <c r="CE28" s="909" t="n">
        <v>0.05</v>
      </c>
      <c r="CF28" s="909" t="n">
        <v>0.15</v>
      </c>
      <c r="CG28" s="909" t="n">
        <v>0.15</v>
      </c>
      <c r="CH28" s="909" t="n">
        <v>0.15</v>
      </c>
      <c r="CI28" s="909">
        <f>CH28</f>
        <v/>
      </c>
      <c r="CJ28" s="909" t="n">
        <v>0.12</v>
      </c>
      <c r="CK28" s="909" t="n">
        <v>0.12</v>
      </c>
      <c r="CZ28" s="333" t="n"/>
      <c r="DE28" s="905">
        <f>DE19/DD19-1</f>
        <v/>
      </c>
      <c r="DF28" s="905">
        <f>DF19/DE19-1</f>
        <v/>
      </c>
      <c r="DG28" s="905">
        <f>DG19/DF19-1</f>
        <v/>
      </c>
      <c r="DH28" s="905">
        <f>DH19/DG19-1</f>
        <v/>
      </c>
      <c r="DI28" s="905">
        <f>DI19/DH19-1</f>
        <v/>
      </c>
      <c r="DJ28" s="905">
        <f>DJ19/DI19-1</f>
        <v/>
      </c>
      <c r="DK28" s="905">
        <f>DK19/DJ19-1</f>
        <v/>
      </c>
      <c r="DL28" s="905">
        <f>DL19/DK19-1</f>
        <v/>
      </c>
      <c r="DM28" s="905">
        <f>DM19/DL19-1</f>
        <v/>
      </c>
      <c r="DN28" s="905">
        <f>DN19/DM19-1</f>
        <v/>
      </c>
      <c r="DO28" s="905">
        <f>DO19/DN19-1</f>
        <v/>
      </c>
      <c r="DP28" s="905">
        <f>DP19/DO19-1</f>
        <v/>
      </c>
      <c r="DQ28" s="905">
        <f>DQ19/DP19-1</f>
        <v/>
      </c>
      <c r="DR28" s="905">
        <f>DR19/DQ19-1</f>
        <v/>
      </c>
      <c r="DS28" s="905">
        <f>DS19/DR19-1</f>
        <v/>
      </c>
    </row>
    <row r="29" customFormat="1" s="21">
      <c r="A29" s="40">
        <f>A20</f>
        <v/>
      </c>
      <c r="B29" s="881" t="n"/>
      <c r="C29" s="881" t="n"/>
      <c r="D29" s="881" t="n"/>
      <c r="E29" s="881" t="n"/>
      <c r="F29" s="907" t="n"/>
      <c r="G29" s="907" t="n"/>
      <c r="H29" s="907" t="n"/>
      <c r="I29" s="907" t="n"/>
      <c r="J29" s="907" t="n"/>
      <c r="K29" s="907" t="n"/>
      <c r="L29" s="907" t="n"/>
      <c r="M29" s="907" t="n"/>
      <c r="N29" s="515" t="n"/>
      <c r="O29" s="515" t="n"/>
      <c r="P29" s="515" t="n"/>
      <c r="Q29" s="515" t="n"/>
      <c r="R29" s="515" t="n"/>
      <c r="S29" s="515" t="n"/>
      <c r="T29" s="515" t="n"/>
      <c r="U29" s="515" t="n"/>
      <c r="V29" s="515" t="n"/>
      <c r="W29" s="515" t="n"/>
      <c r="X29" s="515" t="n"/>
      <c r="Y29" s="515" t="n"/>
      <c r="Z29" s="515" t="n"/>
      <c r="AA29" s="515" t="n"/>
      <c r="AB29" s="515" t="n"/>
      <c r="AC29" s="515" t="n"/>
      <c r="AD29" s="910">
        <f>AD20/Z20-1</f>
        <v/>
      </c>
      <c r="AE29" s="910">
        <f>AE20/AA20-1</f>
        <v/>
      </c>
      <c r="AF29" s="910">
        <f>AF20/AB20-1</f>
        <v/>
      </c>
      <c r="AG29" s="910">
        <f>AG20/AC20-1</f>
        <v/>
      </c>
      <c r="AH29" s="910">
        <f>AH20/AD20-1</f>
        <v/>
      </c>
      <c r="AI29" s="910">
        <f>AI20/AE20-1</f>
        <v/>
      </c>
      <c r="AJ29" s="910">
        <f>AJ20/AF20-1</f>
        <v/>
      </c>
      <c r="AK29" s="910">
        <f>AK20/AG20-1</f>
        <v/>
      </c>
      <c r="AL29" s="910">
        <f>AL20/AH20-1</f>
        <v/>
      </c>
      <c r="AM29" s="910">
        <f>AM20/AI20-1</f>
        <v/>
      </c>
      <c r="AN29" s="910">
        <f>AN20/AJ20-1</f>
        <v/>
      </c>
      <c r="AO29" s="910">
        <f>AO20/AK20-1</f>
        <v/>
      </c>
      <c r="AP29" s="910">
        <f>AP20/AL20-1</f>
        <v/>
      </c>
      <c r="AQ29" s="910">
        <f>AQ20/AM20-1</f>
        <v/>
      </c>
      <c r="AR29" s="910">
        <f>AR20/AN20-1</f>
        <v/>
      </c>
      <c r="AS29" s="910">
        <f>AS20/AO20-1</f>
        <v/>
      </c>
      <c r="AT29" s="910">
        <f>AT20/AP20-1</f>
        <v/>
      </c>
      <c r="AU29" s="910">
        <f>AU20/AQ20-1</f>
        <v/>
      </c>
      <c r="AV29" s="910">
        <f>AV20/AR20-1</f>
        <v/>
      </c>
      <c r="AW29" s="910">
        <f>AW20/AS20-1</f>
        <v/>
      </c>
      <c r="AX29" s="910">
        <f>AX20/AT20-1</f>
        <v/>
      </c>
      <c r="AY29" s="910">
        <f>AY20/AU20-1</f>
        <v/>
      </c>
      <c r="AZ29" s="910">
        <f>AZ20/AV20-1</f>
        <v/>
      </c>
      <c r="BA29" s="910">
        <f>BA20/AW20-1</f>
        <v/>
      </c>
      <c r="BB29" s="910">
        <f>BB20/AX20-1</f>
        <v/>
      </c>
      <c r="BC29" s="910">
        <f>BC20/AY20-1</f>
        <v/>
      </c>
      <c r="BD29" s="910">
        <f>BD20/AZ20-1</f>
        <v/>
      </c>
      <c r="BE29" s="910">
        <f>BE20/BA20-1</f>
        <v/>
      </c>
      <c r="BF29" s="910">
        <f>BF20/BB20-1</f>
        <v/>
      </c>
      <c r="BG29" s="910">
        <f>BG20/BC20-1</f>
        <v/>
      </c>
      <c r="BH29" s="910">
        <f>BH20/BD20-1</f>
        <v/>
      </c>
      <c r="BI29" s="910">
        <f>BI20/BE20-1</f>
        <v/>
      </c>
      <c r="BJ29" s="910">
        <f>BJ20/BF20-1</f>
        <v/>
      </c>
      <c r="BK29" s="910">
        <f>BK20/BG20-1</f>
        <v/>
      </c>
      <c r="BL29" s="910">
        <f>BL20/BH20-1</f>
        <v/>
      </c>
      <c r="BM29" s="910">
        <f>BM20/BI20-1</f>
        <v/>
      </c>
      <c r="BN29" s="910">
        <f>BN20/BJ20-1</f>
        <v/>
      </c>
      <c r="BO29" s="910">
        <f>BO20/BK20-1</f>
        <v/>
      </c>
      <c r="BP29" s="910">
        <f>BP20/BL20-1</f>
        <v/>
      </c>
      <c r="BQ29" s="910">
        <f>BQ20/BM20-1</f>
        <v/>
      </c>
      <c r="BR29" s="910">
        <f>BR20/BN20-1</f>
        <v/>
      </c>
      <c r="BS29" s="910">
        <f>BS20/BO20-1</f>
        <v/>
      </c>
      <c r="BT29" s="910">
        <f>BT20/BP20-1</f>
        <v/>
      </c>
      <c r="BU29" s="910">
        <f>BU20/BQ20-1</f>
        <v/>
      </c>
      <c r="BV29" s="910">
        <f>BV20/BR20-1</f>
        <v/>
      </c>
      <c r="BW29" s="910">
        <f>BW20/BS20-1</f>
        <v/>
      </c>
      <c r="BX29" s="910">
        <f>BX20/BT20-1</f>
        <v/>
      </c>
      <c r="BY29" s="910">
        <f>BY20/BU20-1</f>
        <v/>
      </c>
      <c r="BZ29" s="910">
        <f>BZ20/BV20-1</f>
        <v/>
      </c>
      <c r="CA29" s="910">
        <f>CA20/BW20-1</f>
        <v/>
      </c>
      <c r="CB29" s="910">
        <f>CB20/BX20-1</f>
        <v/>
      </c>
      <c r="CC29" s="910">
        <f>CC20/BY20-1</f>
        <v/>
      </c>
      <c r="CD29" s="910">
        <f>CD20/BZ20-1</f>
        <v/>
      </c>
      <c r="CE29" s="910">
        <f>CE20/CA20-1</f>
        <v/>
      </c>
      <c r="CF29" s="910">
        <f>CF20/CB20-1</f>
        <v/>
      </c>
      <c r="CG29" s="910">
        <f>CG20/CC20-1</f>
        <v/>
      </c>
      <c r="CH29" s="910">
        <f>CH20/CD20-1</f>
        <v/>
      </c>
      <c r="CI29" s="910">
        <f>CI20/CE20-1</f>
        <v/>
      </c>
      <c r="CJ29" s="910">
        <f>CJ20/CF20-1</f>
        <v/>
      </c>
      <c r="CK29" s="910">
        <f>CK20/CG20-1</f>
        <v/>
      </c>
      <c r="CZ29" s="441" t="n"/>
      <c r="DA29" s="911" t="n"/>
      <c r="DB29" s="911">
        <f>DB20/DA20-1</f>
        <v/>
      </c>
      <c r="DC29" s="911">
        <f>DC20/DB20-1</f>
        <v/>
      </c>
      <c r="DD29" s="911">
        <f>DD20/DC20-1</f>
        <v/>
      </c>
      <c r="DE29" s="911">
        <f>DE20/DD20-1</f>
        <v/>
      </c>
      <c r="DF29" s="911">
        <f>DF20/DE20-1</f>
        <v/>
      </c>
      <c r="DG29" s="911">
        <f>DG20/DF20-1</f>
        <v/>
      </c>
      <c r="DH29" s="911">
        <f>DH20/DG20-1</f>
        <v/>
      </c>
      <c r="DI29" s="911">
        <f>DI20/DH20-1</f>
        <v/>
      </c>
      <c r="DJ29" s="911">
        <f>DJ20/DI20-1</f>
        <v/>
      </c>
      <c r="DK29" s="911">
        <f>DK20/DJ20-1</f>
        <v/>
      </c>
      <c r="DL29" s="911">
        <f>DL20/DK20-1</f>
        <v/>
      </c>
      <c r="DM29" s="911">
        <f>DM20/DL20-1</f>
        <v/>
      </c>
      <c r="DN29" s="911">
        <f>DN20/DM20-1</f>
        <v/>
      </c>
      <c r="DO29" s="911">
        <f>DO20/DN20-1</f>
        <v/>
      </c>
      <c r="DP29" s="911">
        <f>DP20/DO20-1</f>
        <v/>
      </c>
      <c r="DQ29" s="911">
        <f>DQ20/DP20-1</f>
        <v/>
      </c>
      <c r="DR29" s="911">
        <f>DR20/DQ20-1</f>
        <v/>
      </c>
      <c r="DS29" s="911">
        <f>DS20/DR20-1</f>
        <v/>
      </c>
    </row>
    <row r="30">
      <c r="B30" s="50" t="n"/>
      <c r="C30" s="50" t="n"/>
      <c r="D30" s="50" t="n"/>
      <c r="E30" s="50" t="n"/>
      <c r="F30" s="50" t="n"/>
      <c r="G30" s="50" t="n"/>
      <c r="H30" s="50" t="n"/>
      <c r="I30" s="50" t="n"/>
      <c r="J30" s="907" t="n"/>
      <c r="K30" s="907" t="n"/>
      <c r="L30" s="50" t="n"/>
      <c r="M30" s="50" t="n"/>
      <c r="AT30" s="517" t="n"/>
      <c r="AU30" s="517" t="n"/>
      <c r="AV30" s="517" t="n"/>
      <c r="AW30" s="517" t="n"/>
      <c r="AX30" s="517" t="n"/>
      <c r="AY30" s="517" t="n"/>
      <c r="AZ30" s="517" t="n"/>
      <c r="BA30" s="517" t="n"/>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c r="DS30" s="406" t="n"/>
    </row>
    <row r="31">
      <c r="A31" s="40" t="inlineStr">
        <is>
          <t>Q/Q Growth</t>
        </is>
      </c>
      <c r="J31" s="907" t="n"/>
      <c r="K31" s="907" t="n"/>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c r="DS31" s="406" t="n"/>
    </row>
    <row r="32">
      <c r="A32" s="74">
        <f>A23</f>
        <v/>
      </c>
      <c r="B32" s="890" t="n"/>
      <c r="C32" s="890" t="n"/>
      <c r="D32" s="890" t="n"/>
      <c r="E32" s="890" t="n"/>
      <c r="F32" s="890" t="n"/>
      <c r="G32" s="890" t="n"/>
      <c r="H32" s="890" t="n"/>
      <c r="I32" s="890" t="n"/>
      <c r="J32" s="890" t="n"/>
      <c r="K32" s="890" t="n"/>
      <c r="L32" s="890" t="n"/>
      <c r="M32" s="890" t="n"/>
      <c r="N32" s="515" t="n"/>
      <c r="O32" s="515" t="n"/>
      <c r="P32" s="515" t="n"/>
      <c r="Q32" s="515" t="n"/>
      <c r="R32" s="515" t="n"/>
      <c r="S32" s="515" t="n"/>
      <c r="T32" s="515" t="n"/>
      <c r="U32" s="515" t="n"/>
      <c r="V32" s="515" t="n"/>
      <c r="W32" s="515" t="n"/>
      <c r="X32" s="515" t="n"/>
      <c r="Y32" s="515" t="n"/>
      <c r="Z32" s="515" t="n"/>
      <c r="AA32" s="908">
        <f>AA14/Z14-1</f>
        <v/>
      </c>
      <c r="AB32" s="908">
        <f>AB14/AA14-1</f>
        <v/>
      </c>
      <c r="AC32" s="908">
        <f>AC14/AB14-1</f>
        <v/>
      </c>
      <c r="AD32" s="908">
        <f>AD14/AC14-1</f>
        <v/>
      </c>
      <c r="AE32" s="908">
        <f>AE14/AD14-1</f>
        <v/>
      </c>
      <c r="AF32" s="908">
        <f>AF14/AE14-1</f>
        <v/>
      </c>
      <c r="AG32" s="908">
        <f>AG14/AF14-1</f>
        <v/>
      </c>
      <c r="AH32" s="908">
        <f>AH14/AG14-1</f>
        <v/>
      </c>
      <c r="AI32" s="908">
        <f>AI14/AH14-1</f>
        <v/>
      </c>
      <c r="AJ32" s="908">
        <f>AJ14/AI14-1</f>
        <v/>
      </c>
      <c r="AK32" s="908">
        <f>AK14/AJ14-1</f>
        <v/>
      </c>
      <c r="AL32" s="908">
        <f>AL14/AK14-1</f>
        <v/>
      </c>
      <c r="AM32" s="908">
        <f>AM14/AL14-1</f>
        <v/>
      </c>
      <c r="AN32" s="908">
        <f>AN14/AM14-1</f>
        <v/>
      </c>
      <c r="AO32" s="908">
        <f>AO14/AN14-1</f>
        <v/>
      </c>
      <c r="AP32" s="908">
        <f>AP14/AO14-1</f>
        <v/>
      </c>
      <c r="AQ32" s="908">
        <f>AQ14/AP14-1</f>
        <v/>
      </c>
      <c r="AR32" s="908">
        <f>AR14/AQ14-1</f>
        <v/>
      </c>
      <c r="AS32" s="908">
        <f>AS14/AR14-1</f>
        <v/>
      </c>
      <c r="AT32" s="908">
        <f>AT14/AS14-1</f>
        <v/>
      </c>
      <c r="AU32" s="908">
        <f>AU14/AT14-1</f>
        <v/>
      </c>
      <c r="AV32" s="908">
        <f>AV14/AU14-1</f>
        <v/>
      </c>
      <c r="AW32" s="908">
        <f>AW14/AV14-1</f>
        <v/>
      </c>
      <c r="AX32" s="908">
        <f>AX14/AW14-1</f>
        <v/>
      </c>
      <c r="AY32" s="908">
        <f>AY14/AX14-1</f>
        <v/>
      </c>
      <c r="AZ32" s="908">
        <f>AZ14/AY14-1</f>
        <v/>
      </c>
      <c r="BA32" s="908">
        <f>BA14/AZ14-1</f>
        <v/>
      </c>
      <c r="BB32" s="908">
        <f>BB14/BA14-1</f>
        <v/>
      </c>
      <c r="BC32" s="908">
        <f>BC14/BB14-1</f>
        <v/>
      </c>
      <c r="BD32" s="908">
        <f>BD14/BC14-1</f>
        <v/>
      </c>
      <c r="BE32" s="908">
        <f>BE14/BD14-1</f>
        <v/>
      </c>
      <c r="BF32" s="908">
        <f>BF14/BE14-1</f>
        <v/>
      </c>
      <c r="BG32" s="908">
        <f>BG14/BF14-1</f>
        <v/>
      </c>
      <c r="BH32" s="908">
        <f>BH14/BG14-1</f>
        <v/>
      </c>
      <c r="BI32" s="908">
        <f>BI14/BH14-1</f>
        <v/>
      </c>
      <c r="BJ32" s="908">
        <f>BJ14/BI14-1</f>
        <v/>
      </c>
      <c r="BK32" s="908">
        <f>BK14/BJ14-1</f>
        <v/>
      </c>
      <c r="BL32" s="908">
        <f>BL14/BK14-1</f>
        <v/>
      </c>
      <c r="BM32" s="908">
        <f>BM14/BL14-1</f>
        <v/>
      </c>
      <c r="BN32" s="908">
        <f>BN14/BM14-1</f>
        <v/>
      </c>
      <c r="BO32" s="908">
        <f>BO14/BN14-1</f>
        <v/>
      </c>
      <c r="BP32" s="908">
        <f>BP14/BO14-1</f>
        <v/>
      </c>
      <c r="BQ32" s="908">
        <f>BQ14/BP14-1</f>
        <v/>
      </c>
      <c r="BR32" s="908">
        <f>BR14/BQ14-1</f>
        <v/>
      </c>
      <c r="BS32" s="908">
        <f>BS14/BR14-1</f>
        <v/>
      </c>
      <c r="BT32" s="908">
        <f>BT14/BS14-1</f>
        <v/>
      </c>
      <c r="BU32" s="908">
        <f>BU14/BT14-1</f>
        <v/>
      </c>
      <c r="BV32" s="908">
        <f>BV14/BU14-1</f>
        <v/>
      </c>
      <c r="BW32" s="908">
        <f>BW14/BV14-1</f>
        <v/>
      </c>
      <c r="BX32" s="908">
        <f>BX14/BW14-1</f>
        <v/>
      </c>
      <c r="BY32" s="908">
        <f>BY14/BX14-1</f>
        <v/>
      </c>
      <c r="BZ32" s="908">
        <f>BZ14/BY14-1</f>
        <v/>
      </c>
      <c r="CA32" s="908">
        <f>CA14/BZ14-1</f>
        <v/>
      </c>
      <c r="CB32" s="908">
        <f>CB14/CA14-1</f>
        <v/>
      </c>
      <c r="CC32" s="908">
        <f>CC14/CB14-1</f>
        <v/>
      </c>
      <c r="CD32" s="908">
        <f>CD14/CC14-1</f>
        <v/>
      </c>
      <c r="CE32" s="908">
        <f>CE14/CD14-1</f>
        <v/>
      </c>
      <c r="CF32" s="908">
        <f>CF14/CE14-1</f>
        <v/>
      </c>
      <c r="CG32" s="908">
        <f>CG14/CF14-1</f>
        <v/>
      </c>
      <c r="CH32" s="908">
        <f>CH14/CG14-1</f>
        <v/>
      </c>
      <c r="CI32" s="908">
        <f>CI14/CH14-1</f>
        <v/>
      </c>
      <c r="CJ32" s="908">
        <f>CJ14/CI14-1</f>
        <v/>
      </c>
      <c r="CK32" s="908">
        <f>CK14/CJ14-1</f>
        <v/>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c r="DS32" s="406" t="n"/>
    </row>
    <row r="33">
      <c r="A33" s="74">
        <f>A24</f>
        <v/>
      </c>
      <c r="B33" s="890" t="n"/>
      <c r="C33" s="890" t="n"/>
      <c r="D33" s="890" t="n"/>
      <c r="E33" s="890" t="n"/>
      <c r="F33" s="890" t="n"/>
      <c r="G33" s="890" t="n"/>
      <c r="H33" s="890" t="n"/>
      <c r="I33" s="890" t="n"/>
      <c r="J33" s="890" t="n"/>
      <c r="K33" s="890" t="n"/>
      <c r="L33" s="890" t="n"/>
      <c r="M33" s="890" t="n"/>
      <c r="N33" s="515" t="n"/>
      <c r="O33" s="515" t="n"/>
      <c r="P33" s="515" t="n"/>
      <c r="Q33" s="515" t="n"/>
      <c r="R33" s="515" t="n"/>
      <c r="S33" s="515" t="n"/>
      <c r="T33" s="515" t="n"/>
      <c r="U33" s="515" t="n"/>
      <c r="V33" s="515" t="n"/>
      <c r="W33" s="515" t="n"/>
      <c r="X33" s="515" t="n"/>
      <c r="Y33" s="515" t="n"/>
      <c r="Z33" s="515" t="n"/>
      <c r="AA33" s="908">
        <f>AA15/Z15-1</f>
        <v/>
      </c>
      <c r="AB33" s="908">
        <f>AB15/AA15-1</f>
        <v/>
      </c>
      <c r="AC33" s="908">
        <f>AC15/AB15-1</f>
        <v/>
      </c>
      <c r="AD33" s="908">
        <f>AD15/AC15-1</f>
        <v/>
      </c>
      <c r="AE33" s="908">
        <f>AE15/AD15-1</f>
        <v/>
      </c>
      <c r="AF33" s="908">
        <f>AF15/AE15-1</f>
        <v/>
      </c>
      <c r="AG33" s="908">
        <f>AG15/AF15-1</f>
        <v/>
      </c>
      <c r="AH33" s="908">
        <f>AH15/AG15-1</f>
        <v/>
      </c>
      <c r="AI33" s="908">
        <f>AI15/AH15-1</f>
        <v/>
      </c>
      <c r="AJ33" s="908">
        <f>AJ15/AI15-1</f>
        <v/>
      </c>
      <c r="AK33" s="908">
        <f>AK15/AJ15-1</f>
        <v/>
      </c>
      <c r="AL33" s="908">
        <f>AL15/AK15-1</f>
        <v/>
      </c>
      <c r="AM33" s="908">
        <f>AM15/AL15-1</f>
        <v/>
      </c>
      <c r="AN33" s="908">
        <f>AN15/AM15-1</f>
        <v/>
      </c>
      <c r="AO33" s="908">
        <f>AO15/AN15-1</f>
        <v/>
      </c>
      <c r="AP33" s="908">
        <f>AP15/AO15-1</f>
        <v/>
      </c>
      <c r="AQ33" s="908">
        <f>AQ15/AP15-1</f>
        <v/>
      </c>
      <c r="AR33" s="908">
        <f>AR15/AQ15-1</f>
        <v/>
      </c>
      <c r="AS33" s="908">
        <f>AS15/AR15-1</f>
        <v/>
      </c>
      <c r="AT33" s="908">
        <f>AT15/AS15-1</f>
        <v/>
      </c>
      <c r="AU33" s="908">
        <f>AU15/AT15-1</f>
        <v/>
      </c>
      <c r="AV33" s="908">
        <f>AV15/AU15-1</f>
        <v/>
      </c>
      <c r="AW33" s="908">
        <f>AW15/AV15-1</f>
        <v/>
      </c>
      <c r="AX33" s="908">
        <f>AX15/AW15-1</f>
        <v/>
      </c>
      <c r="AY33" s="908">
        <f>AY15/AX15-1</f>
        <v/>
      </c>
      <c r="AZ33" s="908">
        <f>AZ15/AY15-1</f>
        <v/>
      </c>
      <c r="BA33" s="908">
        <f>BA15/AZ15-1</f>
        <v/>
      </c>
      <c r="BB33" s="908">
        <f>BB15/BA15-1</f>
        <v/>
      </c>
      <c r="BC33" s="908">
        <f>BC15/BB15-1</f>
        <v/>
      </c>
      <c r="BD33" s="908">
        <f>BD15/BC15-1</f>
        <v/>
      </c>
      <c r="BE33" s="908">
        <f>BE15/BD15-1</f>
        <v/>
      </c>
      <c r="BF33" s="908">
        <f>BF15/BE15-1</f>
        <v/>
      </c>
      <c r="BG33" s="908">
        <f>BG15/BF15-1</f>
        <v/>
      </c>
      <c r="BH33" s="908">
        <f>BH15/BG15-1</f>
        <v/>
      </c>
      <c r="BI33" s="908">
        <f>BI15/BH15-1</f>
        <v/>
      </c>
      <c r="BJ33" s="908">
        <f>BJ15/BI15-1</f>
        <v/>
      </c>
      <c r="BK33" s="908">
        <f>BK15/BJ15-1</f>
        <v/>
      </c>
      <c r="BL33" s="908">
        <f>BL15/BK15-1</f>
        <v/>
      </c>
      <c r="BM33" s="908">
        <f>BM15/BL15-1</f>
        <v/>
      </c>
      <c r="BN33" s="908">
        <f>BN15/BM15-1</f>
        <v/>
      </c>
      <c r="BO33" s="908">
        <f>BO15/BN15-1</f>
        <v/>
      </c>
      <c r="BP33" s="908">
        <f>BP15/BO15-1</f>
        <v/>
      </c>
      <c r="BQ33" s="908">
        <f>BQ15/BP15-1</f>
        <v/>
      </c>
      <c r="BR33" s="908">
        <f>BR15/BQ15-1</f>
        <v/>
      </c>
      <c r="BS33" s="908">
        <f>BS15/BR15-1</f>
        <v/>
      </c>
      <c r="BT33" s="908">
        <f>BT15/BS15-1</f>
        <v/>
      </c>
      <c r="BU33" s="908">
        <f>BU15/BT15-1</f>
        <v/>
      </c>
      <c r="BV33" s="908">
        <f>BV15/BU15-1</f>
        <v/>
      </c>
      <c r="BW33" s="908">
        <f>BW15/BV15-1</f>
        <v/>
      </c>
      <c r="BX33" s="908">
        <f>BX15/BW15-1</f>
        <v/>
      </c>
      <c r="BY33" s="908">
        <f>BY15/BX15-1</f>
        <v/>
      </c>
      <c r="BZ33" s="908">
        <f>BZ15/BY15-1</f>
        <v/>
      </c>
      <c r="CA33" s="908">
        <f>CA15/BZ15-1</f>
        <v/>
      </c>
      <c r="CB33" s="908">
        <f>CB15/CA15-1</f>
        <v/>
      </c>
      <c r="CC33" s="908">
        <f>CC15/CB15-1</f>
        <v/>
      </c>
      <c r="CD33" s="908">
        <f>CD15/CC15-1</f>
        <v/>
      </c>
      <c r="CE33" s="908">
        <f>CE15/CD15-1</f>
        <v/>
      </c>
      <c r="CF33" s="908">
        <f>CF15/CE15-1</f>
        <v/>
      </c>
      <c r="CG33" s="908">
        <f>CG15/CF15-1</f>
        <v/>
      </c>
      <c r="CH33" s="908">
        <f>CH15/CG15-1</f>
        <v/>
      </c>
      <c r="CI33" s="908">
        <f>CI15/CH15-1</f>
        <v/>
      </c>
      <c r="CJ33" s="908">
        <f>CJ15/CI15-1</f>
        <v/>
      </c>
      <c r="CK33" s="908">
        <f>CK15/CJ15-1</f>
        <v/>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c r="DS33" s="406" t="n"/>
    </row>
    <row r="34">
      <c r="A34" s="74">
        <f>A25</f>
        <v/>
      </c>
      <c r="B34" s="890" t="n"/>
      <c r="C34" s="890" t="n"/>
      <c r="D34" s="890" t="n"/>
      <c r="E34" s="890" t="n"/>
      <c r="F34" s="890" t="n"/>
      <c r="G34" s="890" t="n"/>
      <c r="H34" s="890" t="n"/>
      <c r="I34" s="890" t="n"/>
      <c r="J34" s="890" t="n"/>
      <c r="K34" s="890" t="n"/>
      <c r="L34" s="890" t="n"/>
      <c r="M34" s="890" t="n"/>
      <c r="N34" s="515" t="n"/>
      <c r="O34" s="515" t="n"/>
      <c r="P34" s="515" t="n"/>
      <c r="Q34" s="515" t="n"/>
      <c r="R34" s="515" t="n"/>
      <c r="S34" s="515" t="n"/>
      <c r="T34" s="515" t="n"/>
      <c r="U34" s="515" t="n"/>
      <c r="V34" s="515" t="n"/>
      <c r="W34" s="515" t="n"/>
      <c r="X34" s="515" t="n"/>
      <c r="Y34" s="515" t="n"/>
      <c r="Z34" s="515" t="n"/>
      <c r="AA34" s="908">
        <f>AA16/Z16-1</f>
        <v/>
      </c>
      <c r="AB34" s="908">
        <f>AB16/AA16-1</f>
        <v/>
      </c>
      <c r="AC34" s="908">
        <f>AC16/AB16-1</f>
        <v/>
      </c>
      <c r="AD34" s="908">
        <f>AD16/AC16-1</f>
        <v/>
      </c>
      <c r="AE34" s="908">
        <f>AE16/AD16-1</f>
        <v/>
      </c>
      <c r="AF34" s="908">
        <f>AF16/AE16-1</f>
        <v/>
      </c>
      <c r="AG34" s="908">
        <f>AG16/AF16-1</f>
        <v/>
      </c>
      <c r="AH34" s="908">
        <f>AH16/AG16-1</f>
        <v/>
      </c>
      <c r="AI34" s="908">
        <f>AI16/AH16-1</f>
        <v/>
      </c>
      <c r="AJ34" s="908">
        <f>AJ16/AI16-1</f>
        <v/>
      </c>
      <c r="AK34" s="908">
        <f>AK16/AJ16-1</f>
        <v/>
      </c>
      <c r="AL34" s="908">
        <f>AL16/AK16-1</f>
        <v/>
      </c>
      <c r="AM34" s="908">
        <f>AM16/AL16-1</f>
        <v/>
      </c>
      <c r="AN34" s="908">
        <f>AN16/AM16-1</f>
        <v/>
      </c>
      <c r="AO34" s="908">
        <f>AO16/AN16-1</f>
        <v/>
      </c>
      <c r="AP34" s="908">
        <f>AP16/AO16-1</f>
        <v/>
      </c>
      <c r="AQ34" s="908">
        <f>AQ16/AP16-1</f>
        <v/>
      </c>
      <c r="AR34" s="908">
        <f>AR16/AQ16-1</f>
        <v/>
      </c>
      <c r="AS34" s="908">
        <f>AS16/AR16-1</f>
        <v/>
      </c>
      <c r="AT34" s="908">
        <f>AT16/AS16-1</f>
        <v/>
      </c>
      <c r="AU34" s="908">
        <f>AU16/AT16-1</f>
        <v/>
      </c>
      <c r="AV34" s="908">
        <f>AV16/AU16-1</f>
        <v/>
      </c>
      <c r="AW34" s="908">
        <f>AW16/AV16-1</f>
        <v/>
      </c>
      <c r="AX34" s="908">
        <f>AX16/AW16-1</f>
        <v/>
      </c>
      <c r="AY34" s="908">
        <f>AY16/AX16-1</f>
        <v/>
      </c>
      <c r="AZ34" s="908">
        <f>AZ16/AY16-1</f>
        <v/>
      </c>
      <c r="BA34" s="908">
        <f>BA16/AZ16-1</f>
        <v/>
      </c>
      <c r="BB34" s="908">
        <f>BB16/BA16-1</f>
        <v/>
      </c>
      <c r="BC34" s="908">
        <f>BC16/BB16-1</f>
        <v/>
      </c>
      <c r="BD34" s="908">
        <f>BD16/BC16-1</f>
        <v/>
      </c>
      <c r="BE34" s="908">
        <f>BE16/BD16-1</f>
        <v/>
      </c>
      <c r="BF34" s="908">
        <f>BF16/BE16-1</f>
        <v/>
      </c>
      <c r="BG34" s="908">
        <f>BG16/BF16-1</f>
        <v/>
      </c>
      <c r="BH34" s="908">
        <f>BH16/BG16-1</f>
        <v/>
      </c>
      <c r="BI34" s="908">
        <f>BI16/BH16-1</f>
        <v/>
      </c>
      <c r="BJ34" s="908">
        <f>BJ16/BI16-1</f>
        <v/>
      </c>
      <c r="BK34" s="908">
        <f>BK16/BJ16-1</f>
        <v/>
      </c>
      <c r="BL34" s="908">
        <f>BL16/BK16-1</f>
        <v/>
      </c>
      <c r="BM34" s="908">
        <f>BM16/BL16-1</f>
        <v/>
      </c>
      <c r="BN34" s="908">
        <f>BN16/BM16-1</f>
        <v/>
      </c>
      <c r="BO34" s="908">
        <f>BO16/BN16-1</f>
        <v/>
      </c>
      <c r="BP34" s="908">
        <f>BP16/BO16-1</f>
        <v/>
      </c>
      <c r="BQ34" s="908">
        <f>BQ16/BP16-1</f>
        <v/>
      </c>
      <c r="BR34" s="908">
        <f>BR16/BQ16-1</f>
        <v/>
      </c>
      <c r="BS34" s="908">
        <f>BS16/BR16-1</f>
        <v/>
      </c>
      <c r="BT34" s="908">
        <f>BT16/BS16-1</f>
        <v/>
      </c>
      <c r="BU34" s="908">
        <f>BU16/BT16-1</f>
        <v/>
      </c>
      <c r="BV34" s="908">
        <f>BV16/BU16-1</f>
        <v/>
      </c>
      <c r="BW34" s="908">
        <f>BW16/BV16-1</f>
        <v/>
      </c>
      <c r="BX34" s="908">
        <f>BX16/BW16-1</f>
        <v/>
      </c>
      <c r="BY34" s="908">
        <f>BY16/BX16-1</f>
        <v/>
      </c>
      <c r="BZ34" s="908">
        <f>BZ16/BY16-1</f>
        <v/>
      </c>
      <c r="CA34" s="908">
        <f>CA16/BZ16-1</f>
        <v/>
      </c>
      <c r="CB34" s="908">
        <f>CB16/CA16-1</f>
        <v/>
      </c>
      <c r="CC34" s="908">
        <f>CC16/CB16-1</f>
        <v/>
      </c>
      <c r="CD34" s="908">
        <f>CD16/CC16-1</f>
        <v/>
      </c>
      <c r="CE34" s="908">
        <f>CE16/CD16-1</f>
        <v/>
      </c>
      <c r="CF34" s="908">
        <f>CF16/CE16-1</f>
        <v/>
      </c>
      <c r="CG34" s="908">
        <f>CG16/CF16-1</f>
        <v/>
      </c>
      <c r="CH34" s="908">
        <f>CH16/CG16-1</f>
        <v/>
      </c>
      <c r="CI34" s="908">
        <f>CI16/CH16-1</f>
        <v/>
      </c>
      <c r="CJ34" s="908">
        <f>CJ16/CI16-1</f>
        <v/>
      </c>
      <c r="CK34" s="908">
        <f>CK16/CJ16-1</f>
        <v/>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c r="DS34" s="406" t="n"/>
    </row>
    <row r="35">
      <c r="A35" s="74">
        <f>A26</f>
        <v/>
      </c>
      <c r="B35" s="890" t="n"/>
      <c r="C35" s="890" t="n"/>
      <c r="D35" s="890" t="n"/>
      <c r="E35" s="890" t="n"/>
      <c r="F35" s="890" t="n"/>
      <c r="G35" s="890" t="n"/>
      <c r="H35" s="890" t="n"/>
      <c r="I35" s="890" t="n"/>
      <c r="J35" s="890" t="n"/>
      <c r="K35" s="890" t="n"/>
      <c r="L35" s="890" t="n"/>
      <c r="M35" s="890" t="n"/>
      <c r="N35" s="515" t="n"/>
      <c r="O35" s="515" t="n"/>
      <c r="P35" s="515" t="n"/>
      <c r="Q35" s="515" t="n"/>
      <c r="R35" s="515" t="n"/>
      <c r="S35" s="515" t="n"/>
      <c r="T35" s="515" t="n"/>
      <c r="U35" s="515" t="n"/>
      <c r="V35" s="515" t="n"/>
      <c r="W35" s="515" t="n"/>
      <c r="X35" s="515" t="n"/>
      <c r="Y35" s="515" t="n"/>
      <c r="Z35" s="515" t="n"/>
      <c r="AA35" s="908">
        <f>AA17/Z17-1</f>
        <v/>
      </c>
      <c r="AB35" s="908">
        <f>AB17/AA17-1</f>
        <v/>
      </c>
      <c r="AC35" s="908">
        <f>AC17/AB17-1</f>
        <v/>
      </c>
      <c r="AD35" s="908">
        <f>AD17/AC17-1</f>
        <v/>
      </c>
      <c r="AE35" s="908">
        <f>AE17/AD17-1</f>
        <v/>
      </c>
      <c r="AF35" s="908">
        <f>AF17/AE17-1</f>
        <v/>
      </c>
      <c r="AG35" s="908">
        <f>AG17/AF17-1</f>
        <v/>
      </c>
      <c r="AH35" s="908">
        <f>AH17/AG17-1</f>
        <v/>
      </c>
      <c r="AI35" s="908">
        <f>AI17/AH17-1</f>
        <v/>
      </c>
      <c r="AJ35" s="908">
        <f>AJ17/AI17-1</f>
        <v/>
      </c>
      <c r="AK35" s="908">
        <f>AK17/AJ17-1</f>
        <v/>
      </c>
      <c r="AL35" s="908">
        <f>AL17/AK17-1</f>
        <v/>
      </c>
      <c r="AM35" s="908">
        <f>AM17/AL17-1</f>
        <v/>
      </c>
      <c r="AN35" s="908">
        <f>AN17/AM17-1</f>
        <v/>
      </c>
      <c r="AO35" s="908">
        <f>AO17/AN17-1</f>
        <v/>
      </c>
      <c r="AP35" s="908">
        <f>AP17/AO17-1</f>
        <v/>
      </c>
      <c r="AQ35" s="908">
        <f>AQ17/AP17-1</f>
        <v/>
      </c>
      <c r="AR35" s="908">
        <f>AR17/AQ17-1</f>
        <v/>
      </c>
      <c r="AS35" s="908">
        <f>AS17/AR17-1</f>
        <v/>
      </c>
      <c r="AT35" s="908">
        <f>AT17/AS17-1</f>
        <v/>
      </c>
      <c r="AU35" s="908">
        <f>AU17/AT17-1</f>
        <v/>
      </c>
      <c r="AV35" s="908">
        <f>AV17/AU17-1</f>
        <v/>
      </c>
      <c r="AW35" s="908">
        <f>AW17/AV17-1</f>
        <v/>
      </c>
      <c r="AX35" s="908">
        <f>AX17/AW17-1</f>
        <v/>
      </c>
      <c r="AY35" s="908">
        <f>AY17/AX17-1</f>
        <v/>
      </c>
      <c r="AZ35" s="908">
        <f>AZ17/AY17-1</f>
        <v/>
      </c>
      <c r="BA35" s="908">
        <f>BA17/AZ17-1</f>
        <v/>
      </c>
      <c r="BB35" s="908">
        <f>BB17/BA17-1</f>
        <v/>
      </c>
      <c r="BC35" s="908">
        <f>BC17/BB17-1</f>
        <v/>
      </c>
      <c r="BD35" s="908">
        <f>BD17/BC17-1</f>
        <v/>
      </c>
      <c r="BE35" s="908">
        <f>BE17/BD17-1</f>
        <v/>
      </c>
      <c r="BF35" s="908">
        <f>BF17/BE17-1</f>
        <v/>
      </c>
      <c r="BG35" s="908">
        <f>BG17/BF17-1</f>
        <v/>
      </c>
      <c r="BH35" s="908">
        <f>BH17/BG17-1</f>
        <v/>
      </c>
      <c r="BI35" s="908">
        <f>BI17/BH17-1</f>
        <v/>
      </c>
      <c r="BJ35" s="908">
        <f>BJ17/BI17-1</f>
        <v/>
      </c>
      <c r="BK35" s="908">
        <f>BK17/BJ17-1</f>
        <v/>
      </c>
      <c r="BL35" s="908">
        <f>BL17/BK17-1</f>
        <v/>
      </c>
      <c r="BM35" s="908">
        <f>BM17/BL17-1</f>
        <v/>
      </c>
      <c r="BN35" s="908">
        <f>BN17/BM17-1</f>
        <v/>
      </c>
      <c r="BO35" s="908">
        <f>BO17/BN17-1</f>
        <v/>
      </c>
      <c r="BP35" s="908">
        <f>BP17/BO17-1</f>
        <v/>
      </c>
      <c r="BQ35" s="908">
        <f>BQ17/BP17-1</f>
        <v/>
      </c>
      <c r="BR35" s="908">
        <f>BR17/BQ17-1</f>
        <v/>
      </c>
      <c r="BS35" s="908">
        <f>BS17/BR17-1</f>
        <v/>
      </c>
      <c r="BT35" s="908">
        <f>BT17/BS17-1</f>
        <v/>
      </c>
      <c r="BU35" s="908">
        <f>BU17/BT17-1</f>
        <v/>
      </c>
      <c r="BV35" s="908">
        <f>BV17/BU17-1</f>
        <v/>
      </c>
      <c r="BW35" s="908">
        <f>BW17/BV17-1</f>
        <v/>
      </c>
      <c r="BX35" s="908">
        <f>BX17/BW17-1</f>
        <v/>
      </c>
      <c r="BY35" s="908">
        <f>BY17/BX17-1</f>
        <v/>
      </c>
      <c r="BZ35" s="908">
        <f>BZ17/BY17-1</f>
        <v/>
      </c>
      <c r="CA35" s="908">
        <f>CA17/BZ17-1</f>
        <v/>
      </c>
      <c r="CB35" s="908">
        <f>CB17/CA17-1</f>
        <v/>
      </c>
      <c r="CC35" s="908">
        <f>CC17/CB17-1</f>
        <v/>
      </c>
      <c r="CD35" s="908">
        <f>CD17/CC17-1</f>
        <v/>
      </c>
      <c r="CE35" s="908">
        <f>CE17/CD17-1</f>
        <v/>
      </c>
      <c r="CF35" s="908">
        <f>CF17/CE17-1</f>
        <v/>
      </c>
      <c r="CG35" s="908">
        <f>CG17/CF17-1</f>
        <v/>
      </c>
      <c r="CH35" s="908">
        <f>CH17/CG17-1</f>
        <v/>
      </c>
      <c r="CI35" s="908">
        <f>CI17/CH17-1</f>
        <v/>
      </c>
      <c r="CJ35" s="908">
        <f>CJ17/CI17-1</f>
        <v/>
      </c>
      <c r="CK35" s="908">
        <f>CK17/CJ17-1</f>
        <v/>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c r="DS35" s="406" t="n"/>
    </row>
    <row r="36">
      <c r="A36" s="74">
        <f>A27</f>
        <v/>
      </c>
      <c r="B36" s="890" t="n"/>
      <c r="C36" s="890" t="n"/>
      <c r="D36" s="890" t="n"/>
      <c r="E36" s="890" t="n"/>
      <c r="F36" s="890" t="n"/>
      <c r="G36" s="890" t="n"/>
      <c r="H36" s="890" t="n"/>
      <c r="I36" s="890" t="n"/>
      <c r="J36" s="890" t="n"/>
      <c r="K36" s="890" t="n"/>
      <c r="L36" s="890" t="n"/>
      <c r="M36" s="890" t="n"/>
      <c r="N36" s="515" t="n"/>
      <c r="O36" s="515" t="n"/>
      <c r="P36" s="515" t="n"/>
      <c r="Q36" s="515" t="n"/>
      <c r="R36" s="515" t="n"/>
      <c r="S36" s="515" t="n"/>
      <c r="T36" s="515" t="n"/>
      <c r="U36" s="515" t="n"/>
      <c r="V36" s="515" t="n"/>
      <c r="W36" s="515" t="n"/>
      <c r="X36" s="515" t="n"/>
      <c r="Y36" s="515" t="n"/>
      <c r="Z36" s="515" t="n"/>
      <c r="AA36" s="908">
        <f>AA18/Z18-1</f>
        <v/>
      </c>
      <c r="AB36" s="908">
        <f>AB18/AA18-1</f>
        <v/>
      </c>
      <c r="AC36" s="908">
        <f>AC18/AB18-1</f>
        <v/>
      </c>
      <c r="AD36" s="908">
        <f>AD18/AC18-1</f>
        <v/>
      </c>
      <c r="AE36" s="908">
        <f>AE18/AD18-1</f>
        <v/>
      </c>
      <c r="AF36" s="908">
        <f>AF18/AE18-1</f>
        <v/>
      </c>
      <c r="AG36" s="908">
        <f>AG18/AF18-1</f>
        <v/>
      </c>
      <c r="AH36" s="908">
        <f>AH18/AG18-1</f>
        <v/>
      </c>
      <c r="AI36" s="908">
        <f>AI18/AH18-1</f>
        <v/>
      </c>
      <c r="AJ36" s="908">
        <f>AJ18/AI18-1</f>
        <v/>
      </c>
      <c r="AK36" s="908">
        <f>AK18/AJ18-1</f>
        <v/>
      </c>
      <c r="AL36" s="908">
        <f>AL18/AK18-1</f>
        <v/>
      </c>
      <c r="AM36" s="908">
        <f>AM18/AL18-1</f>
        <v/>
      </c>
      <c r="AN36" s="908">
        <f>AN18/AM18-1</f>
        <v/>
      </c>
      <c r="AO36" s="908">
        <f>AO18/AN18-1</f>
        <v/>
      </c>
      <c r="AP36" s="908">
        <f>AP18/AO18-1</f>
        <v/>
      </c>
      <c r="AQ36" s="908">
        <f>AQ18/AP18-1</f>
        <v/>
      </c>
      <c r="AR36" s="908">
        <f>AR18/AQ18-1</f>
        <v/>
      </c>
      <c r="AS36" s="908">
        <f>AS18/AR18-1</f>
        <v/>
      </c>
      <c r="AT36" s="908">
        <f>AT18/AS18-1</f>
        <v/>
      </c>
      <c r="AU36" s="908">
        <f>AU18/AT18-1</f>
        <v/>
      </c>
      <c r="AV36" s="908">
        <f>AV18/AU18-1</f>
        <v/>
      </c>
      <c r="AW36" s="908">
        <f>AW18/AV18-1</f>
        <v/>
      </c>
      <c r="AX36" s="908">
        <f>AX18/AW18-1</f>
        <v/>
      </c>
      <c r="AY36" s="908">
        <f>AY18/AX18-1</f>
        <v/>
      </c>
      <c r="AZ36" s="908">
        <f>AZ18/AY18-1</f>
        <v/>
      </c>
      <c r="BA36" s="908">
        <f>BA18/AZ18-1</f>
        <v/>
      </c>
      <c r="BB36" s="908">
        <f>BB18/BA18-1</f>
        <v/>
      </c>
      <c r="BC36" s="908">
        <f>BC18/BB18-1</f>
        <v/>
      </c>
      <c r="BD36" s="908">
        <f>BD18/BC18-1</f>
        <v/>
      </c>
      <c r="BE36" s="908">
        <f>BE18/BD18-1</f>
        <v/>
      </c>
      <c r="BF36" s="908">
        <f>BF18/BE18-1</f>
        <v/>
      </c>
      <c r="BG36" s="908">
        <f>BG18/BF18-1</f>
        <v/>
      </c>
      <c r="BH36" s="908">
        <f>BH18/BG18-1</f>
        <v/>
      </c>
      <c r="BI36" s="908">
        <f>BI18/BH18-1</f>
        <v/>
      </c>
      <c r="BJ36" s="908">
        <f>BJ18/BI18-1</f>
        <v/>
      </c>
      <c r="BK36" s="908">
        <f>BK18/BJ18-1</f>
        <v/>
      </c>
      <c r="BL36" s="908">
        <f>BL18/BK18-1</f>
        <v/>
      </c>
      <c r="BM36" s="908">
        <f>BM18/BL18-1</f>
        <v/>
      </c>
      <c r="BN36" s="908">
        <f>BN18/BM18-1</f>
        <v/>
      </c>
      <c r="BO36" s="908">
        <f>BO18/BN18-1</f>
        <v/>
      </c>
      <c r="BP36" s="908">
        <f>BP18/BO18-1</f>
        <v/>
      </c>
      <c r="BQ36" s="908">
        <f>BQ18/BP18-1</f>
        <v/>
      </c>
      <c r="BR36" s="908">
        <f>BR18/BQ18-1</f>
        <v/>
      </c>
      <c r="BS36" s="908">
        <f>BS18/BR18-1</f>
        <v/>
      </c>
      <c r="BT36" s="908">
        <f>BT18/BS18-1</f>
        <v/>
      </c>
      <c r="BU36" s="908">
        <f>BU18/BT18-1</f>
        <v/>
      </c>
      <c r="BV36" s="908">
        <f>BV18/BU18-1</f>
        <v/>
      </c>
      <c r="BW36" s="908">
        <f>BW18/BV18-1</f>
        <v/>
      </c>
      <c r="BX36" s="908">
        <f>BX18/BW18-1</f>
        <v/>
      </c>
      <c r="BY36" s="908">
        <f>BY18/BX18-1</f>
        <v/>
      </c>
      <c r="BZ36" s="908">
        <f>BZ18/BY18-1</f>
        <v/>
      </c>
      <c r="CA36" s="908">
        <f>CA18/BZ18-1</f>
        <v/>
      </c>
      <c r="CB36" s="908">
        <f>CB18/CA18-1</f>
        <v/>
      </c>
      <c r="CC36" s="908">
        <f>CC18/CB18-1</f>
        <v/>
      </c>
      <c r="CD36" s="908">
        <f>CD18/CC18-1</f>
        <v/>
      </c>
      <c r="CE36" s="908">
        <f>CE18/CD18-1</f>
        <v/>
      </c>
      <c r="CF36" s="908">
        <f>CF18/CE18-1</f>
        <v/>
      </c>
      <c r="CG36" s="908">
        <f>CG18/CF18-1</f>
        <v/>
      </c>
      <c r="CH36" s="908">
        <f>CH18/CG18-1</f>
        <v/>
      </c>
      <c r="CI36" s="908">
        <f>CI18/CH18-1</f>
        <v/>
      </c>
      <c r="CJ36" s="908">
        <f>CJ18/CI18-1</f>
        <v/>
      </c>
      <c r="CK36" s="908">
        <f>CK18/CJ18-1</f>
        <v/>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c r="DS36" s="406" t="n"/>
    </row>
    <row r="37">
      <c r="A37" s="74">
        <f>A28</f>
        <v/>
      </c>
      <c r="B37" s="890" t="n"/>
      <c r="C37" s="890" t="n"/>
      <c r="D37" s="890" t="n"/>
      <c r="E37" s="890" t="n"/>
      <c r="F37" s="890" t="n"/>
      <c r="G37" s="890" t="n"/>
      <c r="H37" s="890" t="n"/>
      <c r="I37" s="890" t="n"/>
      <c r="J37" s="890" t="n"/>
      <c r="K37" s="890" t="n"/>
      <c r="L37" s="890" t="n"/>
      <c r="M37" s="890" t="n"/>
      <c r="N37" s="515" t="n"/>
      <c r="O37" s="515" t="n"/>
      <c r="P37" s="515" t="n"/>
      <c r="Q37" s="515" t="n"/>
      <c r="R37" s="515" t="n"/>
      <c r="S37" s="515" t="n"/>
      <c r="T37" s="515" t="n"/>
      <c r="U37" s="515" t="n"/>
      <c r="V37" s="515" t="n"/>
      <c r="W37" s="515" t="n"/>
      <c r="X37" s="515" t="n"/>
      <c r="Y37" s="515" t="n"/>
      <c r="Z37" s="515" t="n"/>
      <c r="AA37" s="908">
        <f>AA19/Z19-1</f>
        <v/>
      </c>
      <c r="AB37" s="908">
        <f>AB19/AA19-1</f>
        <v/>
      </c>
      <c r="AC37" s="908">
        <f>AC19/AB19-1</f>
        <v/>
      </c>
      <c r="AD37" s="908">
        <f>AD19/AC19-1</f>
        <v/>
      </c>
      <c r="AE37" s="908">
        <f>AE19/AD19-1</f>
        <v/>
      </c>
      <c r="AF37" s="908">
        <f>AF19/AE19-1</f>
        <v/>
      </c>
      <c r="AG37" s="908">
        <f>AG19/AF19-1</f>
        <v/>
      </c>
      <c r="AH37" s="908">
        <f>AH19/AG19-1</f>
        <v/>
      </c>
      <c r="AI37" s="908">
        <f>AI19/AH19-1</f>
        <v/>
      </c>
      <c r="AJ37" s="908">
        <f>AJ19/AI19-1</f>
        <v/>
      </c>
      <c r="AK37" s="908">
        <f>AK19/AJ19-1</f>
        <v/>
      </c>
      <c r="AL37" s="908">
        <f>AL19/AK19-1</f>
        <v/>
      </c>
      <c r="AM37" s="908">
        <f>AM19/AL19-1</f>
        <v/>
      </c>
      <c r="AN37" s="908">
        <f>AN19/AM19-1</f>
        <v/>
      </c>
      <c r="AO37" s="908">
        <f>AO19/AN19-1</f>
        <v/>
      </c>
      <c r="AP37" s="908">
        <f>AP19/AO19-1</f>
        <v/>
      </c>
      <c r="AQ37" s="908">
        <f>AQ19/AP19-1</f>
        <v/>
      </c>
      <c r="AR37" s="908">
        <f>AR19/AQ19-1</f>
        <v/>
      </c>
      <c r="AS37" s="908">
        <f>AS19/AR19-1</f>
        <v/>
      </c>
      <c r="AT37" s="908">
        <f>AT19/AS19-1</f>
        <v/>
      </c>
      <c r="AU37" s="908">
        <f>AU19/AT19-1</f>
        <v/>
      </c>
      <c r="AV37" s="908">
        <f>AV19/AU19-1</f>
        <v/>
      </c>
      <c r="AW37" s="908">
        <f>AW19/AV19-1</f>
        <v/>
      </c>
      <c r="AX37" s="908">
        <f>AX19/AW19-1</f>
        <v/>
      </c>
      <c r="AY37" s="908">
        <f>AY19/AX19-1</f>
        <v/>
      </c>
      <c r="AZ37" s="908">
        <f>AZ19/AY19-1</f>
        <v/>
      </c>
      <c r="BA37" s="908">
        <f>BA19/AZ19-1</f>
        <v/>
      </c>
      <c r="BB37" s="908">
        <f>BB19/BA19-1</f>
        <v/>
      </c>
      <c r="BC37" s="908">
        <f>BC19/BB19-1</f>
        <v/>
      </c>
      <c r="BD37" s="908">
        <f>BD19/BC19-1</f>
        <v/>
      </c>
      <c r="BE37" s="908">
        <f>BE19/BD19-1</f>
        <v/>
      </c>
      <c r="BF37" s="908">
        <f>BF19/BE19-1</f>
        <v/>
      </c>
      <c r="BG37" s="908">
        <f>BG19/BF19-1</f>
        <v/>
      </c>
      <c r="BH37" s="908">
        <f>BH19/BG19-1</f>
        <v/>
      </c>
      <c r="BI37" s="908">
        <f>BI19/BH19-1</f>
        <v/>
      </c>
      <c r="BJ37" s="908">
        <f>BJ19/BI19-1</f>
        <v/>
      </c>
      <c r="BK37" s="908">
        <f>BK19/BJ19-1</f>
        <v/>
      </c>
      <c r="BL37" s="908">
        <f>BL19/BK19-1</f>
        <v/>
      </c>
      <c r="BM37" s="908">
        <f>BM19/BL19-1</f>
        <v/>
      </c>
      <c r="BN37" s="908">
        <f>BN19/BM19-1</f>
        <v/>
      </c>
      <c r="BO37" s="908">
        <f>BO19/BN19-1</f>
        <v/>
      </c>
      <c r="BP37" s="908">
        <f>BP19/BO19-1</f>
        <v/>
      </c>
      <c r="BQ37" s="908">
        <f>BQ19/BP19-1</f>
        <v/>
      </c>
      <c r="BR37" s="908">
        <f>BR19/BQ19-1</f>
        <v/>
      </c>
      <c r="BS37" s="908">
        <f>BS19/BR19-1</f>
        <v/>
      </c>
      <c r="BT37" s="908">
        <f>BT19/BS19-1</f>
        <v/>
      </c>
      <c r="BU37" s="908">
        <f>BU19/BT19-1</f>
        <v/>
      </c>
      <c r="BV37" s="908">
        <f>BV19/BU19-1</f>
        <v/>
      </c>
      <c r="BW37" s="908">
        <f>BW19/BV19-1</f>
        <v/>
      </c>
      <c r="BX37" s="908">
        <f>BX19/BW19-1</f>
        <v/>
      </c>
      <c r="BY37" s="908">
        <f>BY19/BX19-1</f>
        <v/>
      </c>
      <c r="BZ37" s="908">
        <f>BZ19/BY19-1</f>
        <v/>
      </c>
      <c r="CA37" s="908">
        <f>CA19/BZ19-1</f>
        <v/>
      </c>
      <c r="CB37" s="908">
        <f>CB19/CA19-1</f>
        <v/>
      </c>
      <c r="CC37" s="908">
        <f>CC19/CB19-1</f>
        <v/>
      </c>
      <c r="CD37" s="908">
        <f>CD19/CC19-1</f>
        <v/>
      </c>
      <c r="CE37" s="908">
        <f>CE19/CD19-1</f>
        <v/>
      </c>
      <c r="CF37" s="908">
        <f>CF19/CE19-1</f>
        <v/>
      </c>
      <c r="CG37" s="908">
        <f>CG19/CF19-1</f>
        <v/>
      </c>
      <c r="CH37" s="908">
        <f>CH19/CG19-1</f>
        <v/>
      </c>
      <c r="CI37" s="908">
        <f>CI19/CH19-1</f>
        <v/>
      </c>
      <c r="CJ37" s="908">
        <f>CJ19/CI19-1</f>
        <v/>
      </c>
      <c r="CK37" s="908">
        <f>CK19/CJ19-1</f>
        <v/>
      </c>
    </row>
    <row r="38" customFormat="1" s="21">
      <c r="A38" s="22">
        <f>A29</f>
        <v/>
      </c>
      <c r="B38" s="881" t="n"/>
      <c r="C38" s="881" t="n"/>
      <c r="D38" s="881" t="n"/>
      <c r="E38" s="881" t="n"/>
      <c r="F38" s="881" t="n"/>
      <c r="G38" s="881" t="n"/>
      <c r="H38" s="881" t="n"/>
      <c r="I38" s="881" t="n"/>
      <c r="J38" s="881" t="n"/>
      <c r="K38" s="881" t="n"/>
      <c r="L38" s="881" t="n"/>
      <c r="M38" s="881" t="n"/>
      <c r="AA38" s="910">
        <f>AA20/Z20-1</f>
        <v/>
      </c>
      <c r="AB38" s="910">
        <f>AB20/AA20-1</f>
        <v/>
      </c>
      <c r="AC38" s="910">
        <f>AC20/AB20-1</f>
        <v/>
      </c>
      <c r="AD38" s="910">
        <f>AD20/AC20-1</f>
        <v/>
      </c>
      <c r="AE38" s="910">
        <f>AE20/AD20-1</f>
        <v/>
      </c>
      <c r="AF38" s="910">
        <f>AF20/AE20-1</f>
        <v/>
      </c>
      <c r="AG38" s="910">
        <f>AG20/AF20-1</f>
        <v/>
      </c>
      <c r="AH38" s="910">
        <f>AH20/AG20-1</f>
        <v/>
      </c>
      <c r="AI38" s="910">
        <f>AI20/AH20-1</f>
        <v/>
      </c>
      <c r="AJ38" s="910">
        <f>AJ20/AI20-1</f>
        <v/>
      </c>
      <c r="AK38" s="910">
        <f>AK20/AJ20-1</f>
        <v/>
      </c>
      <c r="AL38" s="910">
        <f>AL20/AK20-1</f>
        <v/>
      </c>
      <c r="AM38" s="910">
        <f>AM20/AL20-1</f>
        <v/>
      </c>
      <c r="AN38" s="910">
        <f>AN20/AM20-1</f>
        <v/>
      </c>
      <c r="AO38" s="910">
        <f>AO20/AN20-1</f>
        <v/>
      </c>
      <c r="AP38" s="910">
        <f>AP20/AO20-1</f>
        <v/>
      </c>
      <c r="AQ38" s="910">
        <f>AQ20/AP20-1</f>
        <v/>
      </c>
      <c r="AR38" s="910">
        <f>AR20/AQ20-1</f>
        <v/>
      </c>
      <c r="AS38" s="910">
        <f>AS20/AR20-1</f>
        <v/>
      </c>
      <c r="AT38" s="910">
        <f>AT20/AS20-1</f>
        <v/>
      </c>
      <c r="AU38" s="910">
        <f>AU20/AT20-1</f>
        <v/>
      </c>
      <c r="AV38" s="910">
        <f>AV20/AU20-1</f>
        <v/>
      </c>
      <c r="AW38" s="910">
        <f>AW20/AV20-1</f>
        <v/>
      </c>
      <c r="AX38" s="910">
        <f>AX20/AW20-1</f>
        <v/>
      </c>
      <c r="AY38" s="910">
        <f>AY20/AX20-1</f>
        <v/>
      </c>
      <c r="AZ38" s="910">
        <f>AZ20/AY20-1</f>
        <v/>
      </c>
      <c r="BA38" s="910">
        <f>BA20/AZ20-1</f>
        <v/>
      </c>
      <c r="BB38" s="910">
        <f>BB20/BA20-1</f>
        <v/>
      </c>
      <c r="BC38" s="910">
        <f>BC20/BB20-1</f>
        <v/>
      </c>
      <c r="BD38" s="910">
        <f>BD20/BC20-1</f>
        <v/>
      </c>
      <c r="BE38" s="910">
        <f>BE20/BD20-1</f>
        <v/>
      </c>
      <c r="BF38" s="910">
        <f>BF20/BE20-1</f>
        <v/>
      </c>
      <c r="BG38" s="910">
        <f>BG20/BF20-1</f>
        <v/>
      </c>
      <c r="BH38" s="910">
        <f>BH20/BG20-1</f>
        <v/>
      </c>
      <c r="BI38" s="910">
        <f>BI20/BH20-1</f>
        <v/>
      </c>
      <c r="BJ38" s="910">
        <f>BJ20/BI20-1</f>
        <v/>
      </c>
      <c r="BK38" s="910">
        <f>BK20/BJ20-1</f>
        <v/>
      </c>
      <c r="BL38" s="910">
        <f>BL20/BK20-1</f>
        <v/>
      </c>
      <c r="BM38" s="910">
        <f>BM20/BL20-1</f>
        <v/>
      </c>
      <c r="BN38" s="910">
        <f>BN20/BM20-1</f>
        <v/>
      </c>
      <c r="BO38" s="910">
        <f>BO20/BN20-1</f>
        <v/>
      </c>
      <c r="BP38" s="910">
        <f>BP20/BO20-1</f>
        <v/>
      </c>
      <c r="BQ38" s="910">
        <f>BQ20/BP20-1</f>
        <v/>
      </c>
      <c r="BR38" s="910">
        <f>BR20/BQ20-1</f>
        <v/>
      </c>
      <c r="BS38" s="910">
        <f>BS20/BR20-1</f>
        <v/>
      </c>
      <c r="BT38" s="910">
        <f>BT20/BS20-1</f>
        <v/>
      </c>
      <c r="BU38" s="910">
        <f>BU20/BT20-1</f>
        <v/>
      </c>
      <c r="BV38" s="910">
        <f>BV20/BU20-1</f>
        <v/>
      </c>
      <c r="BW38" s="910">
        <f>BW20/BV20-1</f>
        <v/>
      </c>
      <c r="BX38" s="910">
        <f>BX20/BW20-1</f>
        <v/>
      </c>
      <c r="BY38" s="910">
        <f>BY20/BX20-1</f>
        <v/>
      </c>
      <c r="BZ38" s="910">
        <f>BZ20/BY20-1</f>
        <v/>
      </c>
      <c r="CA38" s="910">
        <f>CA20/BZ20-1</f>
        <v/>
      </c>
      <c r="CB38" s="910">
        <f>CB20/CA20-1</f>
        <v/>
      </c>
      <c r="CC38" s="910">
        <f>CC20/CB20-1</f>
        <v/>
      </c>
      <c r="CD38" s="910">
        <f>CD20/CC20-1</f>
        <v/>
      </c>
      <c r="CE38" s="910">
        <f>CE20/CD20-1</f>
        <v/>
      </c>
      <c r="CF38" s="910">
        <f>CF20/CE20-1</f>
        <v/>
      </c>
      <c r="CG38" s="910">
        <f>CG20/CF20-1</f>
        <v/>
      </c>
      <c r="CH38" s="910">
        <f>CH20/CG20-1</f>
        <v/>
      </c>
      <c r="CI38" s="910">
        <f>CI20/CH20-1</f>
        <v/>
      </c>
      <c r="CJ38" s="910">
        <f>CJ20/CI20-1</f>
        <v/>
      </c>
      <c r="CK38" s="910">
        <f>CK20/CJ20-1</f>
        <v/>
      </c>
    </row>
    <row r="39"/>
    <row r="40">
      <c r="A40" s="40" t="inlineStr">
        <is>
          <t>Product Mix (%)</t>
        </is>
      </c>
    </row>
    <row r="41">
      <c r="A41" s="74">
        <f>A32</f>
        <v/>
      </c>
      <c r="B41" s="890" t="n"/>
      <c r="C41" s="890" t="n"/>
      <c r="D41" s="890" t="n"/>
      <c r="E41" s="890" t="n"/>
      <c r="F41" s="890" t="n"/>
      <c r="G41" s="890" t="n"/>
      <c r="H41" s="890" t="n"/>
      <c r="I41" s="890" t="n"/>
      <c r="J41" s="890" t="n"/>
      <c r="K41" s="890" t="n"/>
      <c r="L41" s="890" t="n"/>
      <c r="M41" s="890" t="n"/>
      <c r="N41" s="515" t="n"/>
      <c r="O41" s="515" t="n"/>
      <c r="P41" s="515" t="n"/>
      <c r="Q41" s="515" t="n"/>
      <c r="R41" s="515" t="n"/>
      <c r="S41" s="515" t="n"/>
      <c r="T41" s="515" t="n"/>
      <c r="U41" s="515" t="n"/>
      <c r="V41" s="515" t="n"/>
      <c r="W41" s="515" t="n"/>
      <c r="X41" s="515" t="n"/>
      <c r="Y41" s="515" t="n"/>
      <c r="Z41" s="908">
        <f>Z14/Z$20</f>
        <v/>
      </c>
      <c r="AA41" s="908">
        <f>AA14/AA$20</f>
        <v/>
      </c>
      <c r="AB41" s="908">
        <f>AB14/AB$20</f>
        <v/>
      </c>
      <c r="AC41" s="908">
        <f>AC14/AC$20</f>
        <v/>
      </c>
      <c r="AD41" s="908">
        <f>AD14/AD$20</f>
        <v/>
      </c>
      <c r="AE41" s="908">
        <f>AE14/AE$20</f>
        <v/>
      </c>
      <c r="AF41" s="908">
        <f>AF14/AF$20</f>
        <v/>
      </c>
      <c r="AG41" s="908">
        <f>AG14/AG$20</f>
        <v/>
      </c>
      <c r="AH41" s="908">
        <f>AH14/AH$20</f>
        <v/>
      </c>
      <c r="AI41" s="908">
        <f>AI14/AI$20</f>
        <v/>
      </c>
      <c r="AJ41" s="908">
        <f>AJ14/AJ$20</f>
        <v/>
      </c>
      <c r="AK41" s="908">
        <f>AK14/AK$20</f>
        <v/>
      </c>
      <c r="AL41" s="908">
        <f>AL14/AL$20</f>
        <v/>
      </c>
      <c r="AM41" s="908">
        <f>AM14/AM$20</f>
        <v/>
      </c>
      <c r="AN41" s="908">
        <f>AN14/AN$20</f>
        <v/>
      </c>
      <c r="AO41" s="908">
        <f>AO14/AO$20</f>
        <v/>
      </c>
      <c r="AP41" s="908">
        <f>AP14/AP$20</f>
        <v/>
      </c>
      <c r="AQ41" s="908">
        <f>AQ14/AQ$20</f>
        <v/>
      </c>
      <c r="AR41" s="908">
        <f>AR14/AR$20</f>
        <v/>
      </c>
      <c r="AS41" s="908">
        <f>AS14/AS$20</f>
        <v/>
      </c>
      <c r="AT41" s="908">
        <f>AT14/AT$20</f>
        <v/>
      </c>
      <c r="AU41" s="908">
        <f>AU14/AU$20</f>
        <v/>
      </c>
      <c r="AV41" s="908">
        <f>AV14/AV$20</f>
        <v/>
      </c>
      <c r="AW41" s="908">
        <f>AW14/AW$20</f>
        <v/>
      </c>
      <c r="AX41" s="908">
        <f>AX14/AX$20</f>
        <v/>
      </c>
      <c r="AY41" s="908">
        <f>AY14/AY$20</f>
        <v/>
      </c>
      <c r="AZ41" s="908">
        <f>AZ14/AZ$20</f>
        <v/>
      </c>
      <c r="BA41" s="908">
        <f>BA14/BA$20</f>
        <v/>
      </c>
      <c r="BB41" s="908">
        <f>BB14/BB$20</f>
        <v/>
      </c>
      <c r="BC41" s="908">
        <f>BC14/BC$20</f>
        <v/>
      </c>
      <c r="BD41" s="908">
        <f>BD14/BD$20</f>
        <v/>
      </c>
      <c r="BE41" s="908">
        <f>BE14/BE$20</f>
        <v/>
      </c>
      <c r="BF41" s="908">
        <f>BF14/BF$20</f>
        <v/>
      </c>
      <c r="BG41" s="908">
        <f>BG14/BG$20</f>
        <v/>
      </c>
      <c r="BH41" s="908">
        <f>BH14/BH$20</f>
        <v/>
      </c>
      <c r="BI41" s="908">
        <f>BI14/BI$20</f>
        <v/>
      </c>
      <c r="BJ41" s="908">
        <f>BJ14/BJ$20</f>
        <v/>
      </c>
      <c r="BK41" s="908">
        <f>BK14/BK$20</f>
        <v/>
      </c>
      <c r="BL41" s="908">
        <f>BL14/BL$20</f>
        <v/>
      </c>
      <c r="BM41" s="908">
        <f>BM14/BM$20</f>
        <v/>
      </c>
      <c r="BN41" s="908">
        <f>BN14/BN$20</f>
        <v/>
      </c>
      <c r="BO41" s="908">
        <f>BO14/BO$20</f>
        <v/>
      </c>
      <c r="BP41" s="908">
        <f>BP14/BP$20</f>
        <v/>
      </c>
      <c r="BQ41" s="908">
        <f>BQ14/BQ$20</f>
        <v/>
      </c>
      <c r="BR41" s="908">
        <f>BR14/BR$20</f>
        <v/>
      </c>
      <c r="BS41" s="908">
        <f>BS14/BS$20</f>
        <v/>
      </c>
      <c r="BT41" s="908">
        <f>BT14/BT$20</f>
        <v/>
      </c>
      <c r="BU41" s="908">
        <f>BU14/BU$20</f>
        <v/>
      </c>
      <c r="BV41" s="908">
        <f>BV14/BV$20</f>
        <v/>
      </c>
      <c r="BW41" s="908">
        <f>BW14/BW$20</f>
        <v/>
      </c>
      <c r="BX41" s="908">
        <f>BX14/BX$20</f>
        <v/>
      </c>
      <c r="BY41" s="908">
        <f>BY14/BY$20</f>
        <v/>
      </c>
      <c r="BZ41" s="908">
        <f>BZ14/BZ$20</f>
        <v/>
      </c>
      <c r="CA41" s="908">
        <f>CA14/CA$20</f>
        <v/>
      </c>
      <c r="CB41" s="908">
        <f>CB14/CB$20</f>
        <v/>
      </c>
      <c r="CC41" s="908">
        <f>CC14/CC$20</f>
        <v/>
      </c>
      <c r="CD41" s="908">
        <f>CD14/CD$20</f>
        <v/>
      </c>
      <c r="CE41" s="908">
        <f>CE14/CE$20</f>
        <v/>
      </c>
      <c r="CF41" s="908">
        <f>CF14/CF$20</f>
        <v/>
      </c>
      <c r="CG41" s="908">
        <f>CG14/CG$20</f>
        <v/>
      </c>
      <c r="CH41" s="908">
        <f>CH14/CH$20</f>
        <v/>
      </c>
      <c r="CI41" s="908">
        <f>CI14/CI$20</f>
        <v/>
      </c>
      <c r="CJ41" s="908">
        <f>CJ14/CJ$20</f>
        <v/>
      </c>
      <c r="CK41" s="908">
        <f>CK14/CK$20</f>
        <v/>
      </c>
      <c r="DD41" s="912">
        <f>DD14/DD$20</f>
        <v/>
      </c>
      <c r="DE41" s="912">
        <f>DE14/DE$20</f>
        <v/>
      </c>
      <c r="DF41" s="912">
        <f>DF14/DF$20</f>
        <v/>
      </c>
      <c r="DG41" s="912">
        <f>DG14/DG$20</f>
        <v/>
      </c>
      <c r="DH41" s="912">
        <f>DH14/DH$20</f>
        <v/>
      </c>
      <c r="DI41" s="912">
        <f>DI14/DI$20</f>
        <v/>
      </c>
      <c r="DJ41" s="912">
        <f>DJ14/DJ$20</f>
        <v/>
      </c>
      <c r="DK41" s="912">
        <f>DK14/DK$20</f>
        <v/>
      </c>
      <c r="DL41" s="912">
        <f>DL14/DL$20</f>
        <v/>
      </c>
      <c r="DM41" s="912">
        <f>DM14/DM$20</f>
        <v/>
      </c>
      <c r="DN41" s="912">
        <f>DN14/DN$20</f>
        <v/>
      </c>
      <c r="DO41" s="912">
        <f>DO14/DO$20</f>
        <v/>
      </c>
      <c r="DP41" s="912">
        <f>DP14/DP$20</f>
        <v/>
      </c>
      <c r="DQ41" s="912">
        <f>DQ14/DQ$20</f>
        <v/>
      </c>
      <c r="DR41" s="912">
        <f>DR14/DR$20</f>
        <v/>
      </c>
      <c r="DS41" s="912">
        <f>DS14/DS$20</f>
        <v/>
      </c>
    </row>
    <row r="42">
      <c r="A42" s="74">
        <f>A33</f>
        <v/>
      </c>
      <c r="B42" s="890" t="n"/>
      <c r="C42" s="890" t="n"/>
      <c r="D42" s="890" t="n"/>
      <c r="E42" s="890" t="n"/>
      <c r="F42" s="890" t="n"/>
      <c r="G42" s="890" t="n"/>
      <c r="H42" s="890" t="n"/>
      <c r="I42" s="890" t="n"/>
      <c r="J42" s="890" t="n"/>
      <c r="K42" s="890" t="n"/>
      <c r="L42" s="890" t="n"/>
      <c r="M42" s="890" t="n"/>
      <c r="N42" s="515" t="n"/>
      <c r="O42" s="515" t="n"/>
      <c r="P42" s="515" t="n"/>
      <c r="Q42" s="515" t="n"/>
      <c r="R42" s="515" t="n"/>
      <c r="S42" s="515" t="n"/>
      <c r="T42" s="515" t="n"/>
      <c r="U42" s="515" t="n"/>
      <c r="V42" s="515" t="n"/>
      <c r="W42" s="515" t="n"/>
      <c r="X42" s="515" t="n"/>
      <c r="Y42" s="515" t="n"/>
      <c r="Z42" s="908">
        <f>Z15/Z$20</f>
        <v/>
      </c>
      <c r="AA42" s="908">
        <f>AA15/AA$20</f>
        <v/>
      </c>
      <c r="AB42" s="908">
        <f>AB15/AB$20</f>
        <v/>
      </c>
      <c r="AC42" s="908">
        <f>AC15/AC$20</f>
        <v/>
      </c>
      <c r="AD42" s="908">
        <f>AD15/AD$20</f>
        <v/>
      </c>
      <c r="AE42" s="908">
        <f>AE15/AE$20</f>
        <v/>
      </c>
      <c r="AF42" s="908">
        <f>AF15/AF$20</f>
        <v/>
      </c>
      <c r="AG42" s="908">
        <f>AG15/AG$20</f>
        <v/>
      </c>
      <c r="AH42" s="908">
        <f>AH15/AH$20</f>
        <v/>
      </c>
      <c r="AI42" s="908">
        <f>AI15/AI$20</f>
        <v/>
      </c>
      <c r="AJ42" s="908">
        <f>AJ15/AJ$20</f>
        <v/>
      </c>
      <c r="AK42" s="908">
        <f>AK15/AK$20</f>
        <v/>
      </c>
      <c r="AL42" s="908">
        <f>AL15/AL$20</f>
        <v/>
      </c>
      <c r="AM42" s="908">
        <f>AM15/AM$20</f>
        <v/>
      </c>
      <c r="AN42" s="908">
        <f>AN15/AN$20</f>
        <v/>
      </c>
      <c r="AO42" s="908">
        <f>AO15/AO$20</f>
        <v/>
      </c>
      <c r="AP42" s="908">
        <f>AP15/AP$20</f>
        <v/>
      </c>
      <c r="AQ42" s="908">
        <f>AQ15/AQ$20</f>
        <v/>
      </c>
      <c r="AR42" s="908">
        <f>AR15/AR$20</f>
        <v/>
      </c>
      <c r="AS42" s="908">
        <f>AS15/AS$20</f>
        <v/>
      </c>
      <c r="AT42" s="908">
        <f>AT15/AT$20</f>
        <v/>
      </c>
      <c r="AU42" s="908">
        <f>AU15/AU$20</f>
        <v/>
      </c>
      <c r="AV42" s="908">
        <f>AV15/AV$20</f>
        <v/>
      </c>
      <c r="AW42" s="908">
        <f>AW15/AW$20</f>
        <v/>
      </c>
      <c r="AX42" s="908">
        <f>AX15/AX$20</f>
        <v/>
      </c>
      <c r="AY42" s="908">
        <f>AY15/AY$20</f>
        <v/>
      </c>
      <c r="AZ42" s="908">
        <f>AZ15/AZ$20</f>
        <v/>
      </c>
      <c r="BA42" s="908">
        <f>BA15/BA$20</f>
        <v/>
      </c>
      <c r="BB42" s="908">
        <f>BB15/BB$20</f>
        <v/>
      </c>
      <c r="BC42" s="908">
        <f>BC15/BC$20</f>
        <v/>
      </c>
      <c r="BD42" s="908">
        <f>BD15/BD$20</f>
        <v/>
      </c>
      <c r="BE42" s="908">
        <f>BE15/BE$20</f>
        <v/>
      </c>
      <c r="BF42" s="908">
        <f>BF15/BF$20</f>
        <v/>
      </c>
      <c r="BG42" s="908">
        <f>BG15/BG$20</f>
        <v/>
      </c>
      <c r="BH42" s="908">
        <f>BH15/BH$20</f>
        <v/>
      </c>
      <c r="BI42" s="908">
        <f>BI15/BI$20</f>
        <v/>
      </c>
      <c r="BJ42" s="908">
        <f>BJ15/BJ$20</f>
        <v/>
      </c>
      <c r="BK42" s="908">
        <f>BK15/BK$20</f>
        <v/>
      </c>
      <c r="BL42" s="908">
        <f>BL15/BL$20</f>
        <v/>
      </c>
      <c r="BM42" s="908">
        <f>BM15/BM$20</f>
        <v/>
      </c>
      <c r="BN42" s="908">
        <f>BN15/BN$20</f>
        <v/>
      </c>
      <c r="BO42" s="908">
        <f>BO15/BO$20</f>
        <v/>
      </c>
      <c r="BP42" s="908">
        <f>BP15/BP$20</f>
        <v/>
      </c>
      <c r="BQ42" s="908">
        <f>BQ15/BQ$20</f>
        <v/>
      </c>
      <c r="BR42" s="908">
        <f>BR15/BR$20</f>
        <v/>
      </c>
      <c r="BS42" s="908">
        <f>BS15/BS$20</f>
        <v/>
      </c>
      <c r="BT42" s="908">
        <f>BT15/BT$20</f>
        <v/>
      </c>
      <c r="BU42" s="908">
        <f>BU15/BU$20</f>
        <v/>
      </c>
      <c r="BV42" s="908">
        <f>BV15/BV$20</f>
        <v/>
      </c>
      <c r="BW42" s="908">
        <f>BW15/BW$20</f>
        <v/>
      </c>
      <c r="BX42" s="908">
        <f>BX15/BX$20</f>
        <v/>
      </c>
      <c r="BY42" s="908">
        <f>BY15/BY$20</f>
        <v/>
      </c>
      <c r="BZ42" s="908">
        <f>BZ15/BZ$20</f>
        <v/>
      </c>
      <c r="CA42" s="908">
        <f>CA15/CA$20</f>
        <v/>
      </c>
      <c r="CB42" s="908">
        <f>CB15/CB$20</f>
        <v/>
      </c>
      <c r="CC42" s="908">
        <f>CC15/CC$20</f>
        <v/>
      </c>
      <c r="CD42" s="908">
        <f>CD15/CD$20</f>
        <v/>
      </c>
      <c r="CE42" s="908">
        <f>CE15/CE$20</f>
        <v/>
      </c>
      <c r="CF42" s="908">
        <f>CF15/CF$20</f>
        <v/>
      </c>
      <c r="CG42" s="908">
        <f>CG15/CG$20</f>
        <v/>
      </c>
      <c r="CH42" s="908">
        <f>CH15/CH$20</f>
        <v/>
      </c>
      <c r="CI42" s="908">
        <f>CI15/CI$20</f>
        <v/>
      </c>
      <c r="CJ42" s="908">
        <f>CJ15/CJ$20</f>
        <v/>
      </c>
      <c r="CK42" s="908">
        <f>CK15/CK$20</f>
        <v/>
      </c>
      <c r="DD42" s="912">
        <f>DD15/DD$20</f>
        <v/>
      </c>
      <c r="DE42" s="912">
        <f>DE15/DE$20</f>
        <v/>
      </c>
      <c r="DF42" s="912">
        <f>DF15/DF$20</f>
        <v/>
      </c>
      <c r="DG42" s="912">
        <f>DG15/DG$20</f>
        <v/>
      </c>
      <c r="DH42" s="912">
        <f>DH15/DH$20</f>
        <v/>
      </c>
      <c r="DI42" s="912">
        <f>DI15/DI$20</f>
        <v/>
      </c>
      <c r="DJ42" s="912">
        <f>DJ15/DJ$20</f>
        <v/>
      </c>
      <c r="DK42" s="912">
        <f>DK15/DK$20</f>
        <v/>
      </c>
      <c r="DL42" s="912">
        <f>DL15/DL$20</f>
        <v/>
      </c>
      <c r="DM42" s="912">
        <f>DM15/DM$20</f>
        <v/>
      </c>
      <c r="DN42" s="912">
        <f>DN15/DN$20</f>
        <v/>
      </c>
      <c r="DO42" s="912">
        <f>DO15/DO$20</f>
        <v/>
      </c>
      <c r="DP42" s="912">
        <f>DP15/DP$20</f>
        <v/>
      </c>
      <c r="DQ42" s="912">
        <f>DQ15/DQ$20</f>
        <v/>
      </c>
      <c r="DR42" s="912">
        <f>DR15/DR$20</f>
        <v/>
      </c>
      <c r="DS42" s="912">
        <f>DS15/DS$20</f>
        <v/>
      </c>
    </row>
    <row r="43">
      <c r="A43" s="74">
        <f>A34</f>
        <v/>
      </c>
      <c r="B43" s="890" t="n"/>
      <c r="C43" s="890" t="n"/>
      <c r="D43" s="890" t="n"/>
      <c r="E43" s="890" t="n"/>
      <c r="F43" s="890" t="n"/>
      <c r="G43" s="890" t="n"/>
      <c r="H43" s="890" t="n"/>
      <c r="I43" s="890" t="n"/>
      <c r="J43" s="890" t="n"/>
      <c r="K43" s="890" t="n"/>
      <c r="L43" s="890" t="n"/>
      <c r="M43" s="890" t="n"/>
      <c r="N43" s="515" t="n"/>
      <c r="O43" s="515" t="n"/>
      <c r="P43" s="515" t="n"/>
      <c r="Q43" s="515" t="n"/>
      <c r="R43" s="515" t="n"/>
      <c r="S43" s="515" t="n"/>
      <c r="T43" s="515" t="n"/>
      <c r="U43" s="515" t="n"/>
      <c r="V43" s="515" t="n"/>
      <c r="W43" s="515" t="n"/>
      <c r="X43" s="515" t="n"/>
      <c r="Y43" s="515" t="n"/>
      <c r="Z43" s="908">
        <f>Z16/Z$20</f>
        <v/>
      </c>
      <c r="AA43" s="908">
        <f>AA16/AA$20</f>
        <v/>
      </c>
      <c r="AB43" s="908">
        <f>AB16/AB$20</f>
        <v/>
      </c>
      <c r="AC43" s="908">
        <f>AC16/AC$20</f>
        <v/>
      </c>
      <c r="AD43" s="908">
        <f>AD16/AD$20</f>
        <v/>
      </c>
      <c r="AE43" s="908">
        <f>AE16/AE$20</f>
        <v/>
      </c>
      <c r="AF43" s="908">
        <f>AF16/AF$20</f>
        <v/>
      </c>
      <c r="AG43" s="908">
        <f>AG16/AG$20</f>
        <v/>
      </c>
      <c r="AH43" s="908">
        <f>AH16/AH$20</f>
        <v/>
      </c>
      <c r="AI43" s="908">
        <f>AI16/AI$20</f>
        <v/>
      </c>
      <c r="AJ43" s="908">
        <f>AJ16/AJ$20</f>
        <v/>
      </c>
      <c r="AK43" s="908">
        <f>AK16/AK$20</f>
        <v/>
      </c>
      <c r="AL43" s="908">
        <f>AL16/AL$20</f>
        <v/>
      </c>
      <c r="AM43" s="908">
        <f>AM16/AM$20</f>
        <v/>
      </c>
      <c r="AN43" s="908">
        <f>AN16/AN$20</f>
        <v/>
      </c>
      <c r="AO43" s="908">
        <f>AO16/AO$20</f>
        <v/>
      </c>
      <c r="AP43" s="908">
        <f>AP16/AP$20</f>
        <v/>
      </c>
      <c r="AQ43" s="908">
        <f>AQ16/AQ$20</f>
        <v/>
      </c>
      <c r="AR43" s="908">
        <f>AR16/AR$20</f>
        <v/>
      </c>
      <c r="AS43" s="908">
        <f>AS16/AS$20</f>
        <v/>
      </c>
      <c r="AT43" s="908">
        <f>AT16/AT$20</f>
        <v/>
      </c>
      <c r="AU43" s="908">
        <f>AU16/AU$20</f>
        <v/>
      </c>
      <c r="AV43" s="908">
        <f>AV16/AV$20</f>
        <v/>
      </c>
      <c r="AW43" s="908">
        <f>AW16/AW$20</f>
        <v/>
      </c>
      <c r="AX43" s="908">
        <f>AX16/AX$20</f>
        <v/>
      </c>
      <c r="AY43" s="908">
        <f>AY16/AY$20</f>
        <v/>
      </c>
      <c r="AZ43" s="908">
        <f>AZ16/AZ$20</f>
        <v/>
      </c>
      <c r="BA43" s="908">
        <f>BA16/BA$20</f>
        <v/>
      </c>
      <c r="BB43" s="908">
        <f>BB16/BB$20</f>
        <v/>
      </c>
      <c r="BC43" s="908">
        <f>BC16/BC$20</f>
        <v/>
      </c>
      <c r="BD43" s="908">
        <f>BD16/BD$20</f>
        <v/>
      </c>
      <c r="BE43" s="908">
        <f>BE16/BE$20</f>
        <v/>
      </c>
      <c r="BF43" s="908">
        <f>BF16/BF$20</f>
        <v/>
      </c>
      <c r="BG43" s="908">
        <f>BG16/BG$20</f>
        <v/>
      </c>
      <c r="BH43" s="908">
        <f>BH16/BH$20</f>
        <v/>
      </c>
      <c r="BI43" s="908">
        <f>BI16/BI$20</f>
        <v/>
      </c>
      <c r="BJ43" s="908">
        <f>BJ16/BJ$20</f>
        <v/>
      </c>
      <c r="BK43" s="908">
        <f>BK16/BK$20</f>
        <v/>
      </c>
      <c r="BL43" s="908">
        <f>BL16/BL$20</f>
        <v/>
      </c>
      <c r="BM43" s="908">
        <f>BM16/BM$20</f>
        <v/>
      </c>
      <c r="BN43" s="908">
        <f>BN16/BN$20</f>
        <v/>
      </c>
      <c r="BO43" s="908">
        <f>BO16/BO$20</f>
        <v/>
      </c>
      <c r="BP43" s="908">
        <f>BP16/BP$20</f>
        <v/>
      </c>
      <c r="BQ43" s="908">
        <f>BQ16/BQ$20</f>
        <v/>
      </c>
      <c r="BR43" s="908">
        <f>BR16/BR$20</f>
        <v/>
      </c>
      <c r="BS43" s="908">
        <f>BS16/BS$20</f>
        <v/>
      </c>
      <c r="BT43" s="908">
        <f>BT16/BT$20</f>
        <v/>
      </c>
      <c r="BU43" s="908">
        <f>BU16/BU$20</f>
        <v/>
      </c>
      <c r="BV43" s="908">
        <f>BV16/BV$20</f>
        <v/>
      </c>
      <c r="BW43" s="908">
        <f>BW16/BW$20</f>
        <v/>
      </c>
      <c r="BX43" s="908">
        <f>BX16/BX$20</f>
        <v/>
      </c>
      <c r="BY43" s="908">
        <f>BY16/BY$20</f>
        <v/>
      </c>
      <c r="BZ43" s="908">
        <f>BZ16/BZ$20</f>
        <v/>
      </c>
      <c r="CA43" s="908">
        <f>CA16/CA$20</f>
        <v/>
      </c>
      <c r="CB43" s="908">
        <f>CB16/CB$20</f>
        <v/>
      </c>
      <c r="CC43" s="908">
        <f>CC16/CC$20</f>
        <v/>
      </c>
      <c r="CD43" s="908">
        <f>CD16/CD$20</f>
        <v/>
      </c>
      <c r="CE43" s="908">
        <f>CE16/CE$20</f>
        <v/>
      </c>
      <c r="CF43" s="908">
        <f>CF16/CF$20</f>
        <v/>
      </c>
      <c r="CG43" s="908">
        <f>CG16/CG$20</f>
        <v/>
      </c>
      <c r="CH43" s="908">
        <f>CH16/CH$20</f>
        <v/>
      </c>
      <c r="CI43" s="908">
        <f>CI16/CI$20</f>
        <v/>
      </c>
      <c r="CJ43" s="908">
        <f>CJ16/CJ$20</f>
        <v/>
      </c>
      <c r="CK43" s="908">
        <f>CK16/CK$20</f>
        <v/>
      </c>
      <c r="DD43" s="912">
        <f>DD16/DD$20</f>
        <v/>
      </c>
      <c r="DE43" s="912">
        <f>DE16/DE$20</f>
        <v/>
      </c>
      <c r="DF43" s="912">
        <f>DF16/DF$20</f>
        <v/>
      </c>
      <c r="DG43" s="912">
        <f>DG16/DG$20</f>
        <v/>
      </c>
      <c r="DH43" s="912">
        <f>DH16/DH$20</f>
        <v/>
      </c>
      <c r="DI43" s="912">
        <f>DI16/DI$20</f>
        <v/>
      </c>
      <c r="DJ43" s="912">
        <f>DJ16/DJ$20</f>
        <v/>
      </c>
      <c r="DK43" s="912">
        <f>DK16/DK$20</f>
        <v/>
      </c>
      <c r="DL43" s="912">
        <f>DL16/DL$20</f>
        <v/>
      </c>
      <c r="DM43" s="912">
        <f>DM16/DM$20</f>
        <v/>
      </c>
      <c r="DN43" s="912">
        <f>DN16/DN$20</f>
        <v/>
      </c>
      <c r="DO43" s="912">
        <f>DO16/DO$20</f>
        <v/>
      </c>
      <c r="DP43" s="912">
        <f>DP16/DP$20</f>
        <v/>
      </c>
      <c r="DQ43" s="912">
        <f>DQ16/DQ$20</f>
        <v/>
      </c>
      <c r="DR43" s="912">
        <f>DR16/DR$20</f>
        <v/>
      </c>
      <c r="DS43" s="912">
        <f>DS16/DS$20</f>
        <v/>
      </c>
    </row>
    <row r="44">
      <c r="A44" s="74">
        <f>A35</f>
        <v/>
      </c>
      <c r="B44" s="890" t="n"/>
      <c r="C44" s="890" t="n"/>
      <c r="D44" s="890" t="n"/>
      <c r="E44" s="890" t="n"/>
      <c r="F44" s="890" t="n"/>
      <c r="G44" s="890" t="n"/>
      <c r="H44" s="890" t="n"/>
      <c r="I44" s="890" t="n"/>
      <c r="J44" s="890" t="n"/>
      <c r="K44" s="890" t="n"/>
      <c r="L44" s="890" t="n"/>
      <c r="M44" s="890" t="n"/>
      <c r="N44" s="515" t="n"/>
      <c r="O44" s="515" t="n"/>
      <c r="P44" s="515" t="n"/>
      <c r="Q44" s="515" t="n"/>
      <c r="R44" s="515" t="n"/>
      <c r="S44" s="515" t="n"/>
      <c r="T44" s="515" t="n"/>
      <c r="U44" s="515" t="n"/>
      <c r="V44" s="515" t="n"/>
      <c r="W44" s="515" t="n"/>
      <c r="X44" s="515" t="n"/>
      <c r="Y44" s="515" t="n"/>
      <c r="Z44" s="908">
        <f>Z17/Z$20</f>
        <v/>
      </c>
      <c r="AA44" s="908">
        <f>AA17/AA$20</f>
        <v/>
      </c>
      <c r="AB44" s="908">
        <f>AB17/AB$20</f>
        <v/>
      </c>
      <c r="AC44" s="908">
        <f>AC17/AC$20</f>
        <v/>
      </c>
      <c r="AD44" s="908">
        <f>AD17/AD$20</f>
        <v/>
      </c>
      <c r="AE44" s="908">
        <f>AE17/AE$20</f>
        <v/>
      </c>
      <c r="AF44" s="908">
        <f>AF17/AF$20</f>
        <v/>
      </c>
      <c r="AG44" s="908">
        <f>AG17/AG$20</f>
        <v/>
      </c>
      <c r="AH44" s="908">
        <f>AH17/AH$20</f>
        <v/>
      </c>
      <c r="AI44" s="908">
        <f>AI17/AI$20</f>
        <v/>
      </c>
      <c r="AJ44" s="908">
        <f>AJ17/AJ$20</f>
        <v/>
      </c>
      <c r="AK44" s="908">
        <f>AK17/AK$20</f>
        <v/>
      </c>
      <c r="AL44" s="908">
        <f>AL17/AL$20</f>
        <v/>
      </c>
      <c r="AM44" s="908">
        <f>AM17/AM$20</f>
        <v/>
      </c>
      <c r="AN44" s="908">
        <f>AN17/AN$20</f>
        <v/>
      </c>
      <c r="AO44" s="908">
        <f>AO17/AO$20</f>
        <v/>
      </c>
      <c r="AP44" s="908">
        <f>AP17/AP$20</f>
        <v/>
      </c>
      <c r="AQ44" s="908">
        <f>AQ17/AQ$20</f>
        <v/>
      </c>
      <c r="AR44" s="908">
        <f>AR17/AR$20</f>
        <v/>
      </c>
      <c r="AS44" s="908">
        <f>AS17/AS$20</f>
        <v/>
      </c>
      <c r="AT44" s="908">
        <f>AT17/AT$20</f>
        <v/>
      </c>
      <c r="AU44" s="908">
        <f>AU17/AU$20</f>
        <v/>
      </c>
      <c r="AV44" s="908">
        <f>AV17/AV$20</f>
        <v/>
      </c>
      <c r="AW44" s="908">
        <f>AW17/AW$20</f>
        <v/>
      </c>
      <c r="AX44" s="908">
        <f>AX17/AX$20</f>
        <v/>
      </c>
      <c r="AY44" s="908">
        <f>AY17/AY$20</f>
        <v/>
      </c>
      <c r="AZ44" s="908">
        <f>AZ17/AZ$20</f>
        <v/>
      </c>
      <c r="BA44" s="908">
        <f>BA17/BA$20</f>
        <v/>
      </c>
      <c r="BB44" s="908">
        <f>BB17/BB$20</f>
        <v/>
      </c>
      <c r="BC44" s="908">
        <f>BC17/BC$20</f>
        <v/>
      </c>
      <c r="BD44" s="908">
        <f>BD17/BD$20</f>
        <v/>
      </c>
      <c r="BE44" s="908">
        <f>BE17/BE$20</f>
        <v/>
      </c>
      <c r="BF44" s="908">
        <f>BF17/BF$20</f>
        <v/>
      </c>
      <c r="BG44" s="908">
        <f>BG17/BG$20</f>
        <v/>
      </c>
      <c r="BH44" s="908">
        <f>BH17/BH$20</f>
        <v/>
      </c>
      <c r="BI44" s="908">
        <f>BI17/BI$20</f>
        <v/>
      </c>
      <c r="BJ44" s="908">
        <f>BJ17/BJ$20</f>
        <v/>
      </c>
      <c r="BK44" s="908">
        <f>BK17/BK$20</f>
        <v/>
      </c>
      <c r="BL44" s="908">
        <f>BL17/BL$20</f>
        <v/>
      </c>
      <c r="BM44" s="908">
        <f>BM17/BM$20</f>
        <v/>
      </c>
      <c r="BN44" s="908">
        <f>BN17/BN$20</f>
        <v/>
      </c>
      <c r="BO44" s="908">
        <f>BO17/BO$20</f>
        <v/>
      </c>
      <c r="BP44" s="908">
        <f>BP17/BP$20</f>
        <v/>
      </c>
      <c r="BQ44" s="908">
        <f>BQ17/BQ$20</f>
        <v/>
      </c>
      <c r="BR44" s="908">
        <f>BR17/BR$20</f>
        <v/>
      </c>
      <c r="BS44" s="908">
        <f>BS17/BS$20</f>
        <v/>
      </c>
      <c r="BT44" s="908">
        <f>BT17/BT$20</f>
        <v/>
      </c>
      <c r="BU44" s="908">
        <f>BU17/BU$20</f>
        <v/>
      </c>
      <c r="BV44" s="908">
        <f>BV17/BV$20</f>
        <v/>
      </c>
      <c r="BW44" s="908">
        <f>BW17/BW$20</f>
        <v/>
      </c>
      <c r="BX44" s="908">
        <f>BX17/BX$20</f>
        <v/>
      </c>
      <c r="BY44" s="908">
        <f>BY17/BY$20</f>
        <v/>
      </c>
      <c r="BZ44" s="908">
        <f>BZ17/BZ$20</f>
        <v/>
      </c>
      <c r="CA44" s="908">
        <f>CA17/CA$20</f>
        <v/>
      </c>
      <c r="CB44" s="908">
        <f>CB17/CB$20</f>
        <v/>
      </c>
      <c r="CC44" s="908">
        <f>CC17/CC$20</f>
        <v/>
      </c>
      <c r="CD44" s="908">
        <f>CD17/CD$20</f>
        <v/>
      </c>
      <c r="CE44" s="908">
        <f>CE17/CE$20</f>
        <v/>
      </c>
      <c r="CF44" s="908">
        <f>CF17/CF$20</f>
        <v/>
      </c>
      <c r="CG44" s="908">
        <f>CG17/CG$20</f>
        <v/>
      </c>
      <c r="CH44" s="908">
        <f>CH17/CH$20</f>
        <v/>
      </c>
      <c r="CI44" s="908">
        <f>CI17/CI$20</f>
        <v/>
      </c>
      <c r="CJ44" s="908">
        <f>CJ17/CJ$20</f>
        <v/>
      </c>
      <c r="CK44" s="908">
        <f>CK17/CK$20</f>
        <v/>
      </c>
      <c r="DD44" s="912">
        <f>DD17/DD$20</f>
        <v/>
      </c>
      <c r="DE44" s="912">
        <f>DE17/DE$20</f>
        <v/>
      </c>
      <c r="DF44" s="912">
        <f>DF17/DF$20</f>
        <v/>
      </c>
      <c r="DG44" s="912">
        <f>DG17/DG$20</f>
        <v/>
      </c>
      <c r="DH44" s="912">
        <f>DH17/DH$20</f>
        <v/>
      </c>
      <c r="DI44" s="912">
        <f>DI17/DI$20</f>
        <v/>
      </c>
      <c r="DJ44" s="912">
        <f>DJ17/DJ$20</f>
        <v/>
      </c>
      <c r="DK44" s="912">
        <f>DK17/DK$20</f>
        <v/>
      </c>
      <c r="DL44" s="912">
        <f>DL17/DL$20</f>
        <v/>
      </c>
      <c r="DM44" s="912">
        <f>DM17/DM$20</f>
        <v/>
      </c>
      <c r="DN44" s="912">
        <f>DN17/DN$20</f>
        <v/>
      </c>
      <c r="DO44" s="912">
        <f>DO17/DO$20</f>
        <v/>
      </c>
      <c r="DP44" s="912">
        <f>DP17/DP$20</f>
        <v/>
      </c>
      <c r="DQ44" s="912">
        <f>DQ17/DQ$20</f>
        <v/>
      </c>
      <c r="DR44" s="912">
        <f>DR17/DR$20</f>
        <v/>
      </c>
      <c r="DS44" s="912">
        <f>DS17/DS$20</f>
        <v/>
      </c>
    </row>
    <row r="45">
      <c r="A45" s="74">
        <f>A36</f>
        <v/>
      </c>
      <c r="B45" s="890" t="n"/>
      <c r="C45" s="890" t="n"/>
      <c r="D45" s="890" t="n"/>
      <c r="E45" s="890" t="n"/>
      <c r="F45" s="890" t="n"/>
      <c r="G45" s="890" t="n"/>
      <c r="H45" s="890" t="n"/>
      <c r="I45" s="890" t="n"/>
      <c r="J45" s="890" t="n"/>
      <c r="K45" s="890" t="n"/>
      <c r="L45" s="890" t="n"/>
      <c r="M45" s="890" t="n"/>
      <c r="N45" s="515" t="n"/>
      <c r="O45" s="515" t="n"/>
      <c r="P45" s="515" t="n"/>
      <c r="Q45" s="515" t="n"/>
      <c r="R45" s="515" t="n"/>
      <c r="S45" s="515" t="n"/>
      <c r="T45" s="515" t="n"/>
      <c r="U45" s="515" t="n"/>
      <c r="V45" s="515" t="n"/>
      <c r="W45" s="515" t="n"/>
      <c r="X45" s="515" t="n"/>
      <c r="Y45" s="515" t="n"/>
      <c r="Z45" s="908">
        <f>Z18/Z$20</f>
        <v/>
      </c>
      <c r="AA45" s="908">
        <f>AA18/AA$20</f>
        <v/>
      </c>
      <c r="AB45" s="908">
        <f>AB18/AB$20</f>
        <v/>
      </c>
      <c r="AC45" s="908">
        <f>AC18/AC$20</f>
        <v/>
      </c>
      <c r="AD45" s="908">
        <f>AD18/AD$20</f>
        <v/>
      </c>
      <c r="AE45" s="908">
        <f>AE18/AE$20</f>
        <v/>
      </c>
      <c r="AF45" s="908">
        <f>AF18/AF$20</f>
        <v/>
      </c>
      <c r="AG45" s="908">
        <f>AG18/AG$20</f>
        <v/>
      </c>
      <c r="AH45" s="908">
        <f>AH18/AH$20</f>
        <v/>
      </c>
      <c r="AI45" s="908">
        <f>AI18/AI$20</f>
        <v/>
      </c>
      <c r="AJ45" s="908">
        <f>AJ18/AJ$20</f>
        <v/>
      </c>
      <c r="AK45" s="908">
        <f>AK18/AK$20</f>
        <v/>
      </c>
      <c r="AL45" s="908">
        <f>AL18/AL$20</f>
        <v/>
      </c>
      <c r="AM45" s="908">
        <f>AM18/AM$20</f>
        <v/>
      </c>
      <c r="AN45" s="908">
        <f>AN18/AN$20</f>
        <v/>
      </c>
      <c r="AO45" s="908">
        <f>AO18/AO$20</f>
        <v/>
      </c>
      <c r="AP45" s="908">
        <f>AP18/AP$20</f>
        <v/>
      </c>
      <c r="AQ45" s="908">
        <f>AQ18/AQ$20</f>
        <v/>
      </c>
      <c r="AR45" s="908">
        <f>AR18/AR$20</f>
        <v/>
      </c>
      <c r="AS45" s="908">
        <f>AS18/AS$20</f>
        <v/>
      </c>
      <c r="AT45" s="908">
        <f>AT18/AT$20</f>
        <v/>
      </c>
      <c r="AU45" s="908">
        <f>AU18/AU$20</f>
        <v/>
      </c>
      <c r="AV45" s="908">
        <f>AV18/AV$20</f>
        <v/>
      </c>
      <c r="AW45" s="908">
        <f>AW18/AW$20</f>
        <v/>
      </c>
      <c r="AX45" s="908">
        <f>AX18/AX$20</f>
        <v/>
      </c>
      <c r="AY45" s="908">
        <f>AY18/AY$20</f>
        <v/>
      </c>
      <c r="AZ45" s="908">
        <f>AZ18/AZ$20</f>
        <v/>
      </c>
      <c r="BA45" s="908">
        <f>BA18/BA$20</f>
        <v/>
      </c>
      <c r="BB45" s="908">
        <f>BB18/BB$20</f>
        <v/>
      </c>
      <c r="BC45" s="908">
        <f>BC18/BC$20</f>
        <v/>
      </c>
      <c r="BD45" s="908">
        <f>BD18/BD$20</f>
        <v/>
      </c>
      <c r="BE45" s="908">
        <f>BE18/BE$20</f>
        <v/>
      </c>
      <c r="BF45" s="908">
        <f>BF18/BF$20</f>
        <v/>
      </c>
      <c r="BG45" s="908">
        <f>BG18/BG$20</f>
        <v/>
      </c>
      <c r="BH45" s="908">
        <f>BH18/BH$20</f>
        <v/>
      </c>
      <c r="BI45" s="908">
        <f>BI18/BI$20</f>
        <v/>
      </c>
      <c r="BJ45" s="908">
        <f>BJ18/BJ$20</f>
        <v/>
      </c>
      <c r="BK45" s="908">
        <f>BK18/BK$20</f>
        <v/>
      </c>
      <c r="BL45" s="908">
        <f>BL18/BL$20</f>
        <v/>
      </c>
      <c r="BM45" s="908">
        <f>BM18/BM$20</f>
        <v/>
      </c>
      <c r="BN45" s="908">
        <f>BN18/BN$20</f>
        <v/>
      </c>
      <c r="BO45" s="908">
        <f>BO18/BO$20</f>
        <v/>
      </c>
      <c r="BP45" s="908">
        <f>BP18/BP$20</f>
        <v/>
      </c>
      <c r="BQ45" s="908">
        <f>BQ18/BQ$20</f>
        <v/>
      </c>
      <c r="BR45" s="908">
        <f>BR18/BR$20</f>
        <v/>
      </c>
      <c r="BS45" s="908">
        <f>BS18/BS$20</f>
        <v/>
      </c>
      <c r="BT45" s="908">
        <f>BT18/BT$20</f>
        <v/>
      </c>
      <c r="BU45" s="908">
        <f>BU18/BU$20</f>
        <v/>
      </c>
      <c r="BV45" s="908">
        <f>BV18/BV$20</f>
        <v/>
      </c>
      <c r="BW45" s="908">
        <f>BW18/BW$20</f>
        <v/>
      </c>
      <c r="BX45" s="908">
        <f>BX18/BX$20</f>
        <v/>
      </c>
      <c r="BY45" s="908">
        <f>BY18/BY$20</f>
        <v/>
      </c>
      <c r="BZ45" s="908">
        <f>BZ18/BZ$20</f>
        <v/>
      </c>
      <c r="CA45" s="908">
        <f>CA18/CA$20</f>
        <v/>
      </c>
      <c r="CB45" s="908">
        <f>CB18/CB$20</f>
        <v/>
      </c>
      <c r="CC45" s="908">
        <f>CC18/CC$20</f>
        <v/>
      </c>
      <c r="CD45" s="908">
        <f>CD18/CD$20</f>
        <v/>
      </c>
      <c r="CE45" s="908">
        <f>CE18/CE$20</f>
        <v/>
      </c>
      <c r="CF45" s="908">
        <f>CF18/CF$20</f>
        <v/>
      </c>
      <c r="CG45" s="908">
        <f>CG18/CG$20</f>
        <v/>
      </c>
      <c r="CH45" s="908">
        <f>CH18/CH$20</f>
        <v/>
      </c>
      <c r="CI45" s="908">
        <f>CI18/CI$20</f>
        <v/>
      </c>
      <c r="CJ45" s="908">
        <f>CJ18/CJ$20</f>
        <v/>
      </c>
      <c r="CK45" s="908">
        <f>CK18/CK$20</f>
        <v/>
      </c>
      <c r="DD45" s="912">
        <f>DD18/DD$20</f>
        <v/>
      </c>
      <c r="DE45" s="912">
        <f>DE18/DE$20</f>
        <v/>
      </c>
      <c r="DF45" s="912">
        <f>DF18/DF$20</f>
        <v/>
      </c>
      <c r="DG45" s="912">
        <f>DG18/DG$20</f>
        <v/>
      </c>
      <c r="DH45" s="912">
        <f>DH18/DH$20</f>
        <v/>
      </c>
      <c r="DI45" s="912">
        <f>DI18/DI$20</f>
        <v/>
      </c>
      <c r="DJ45" s="912">
        <f>DJ18/DJ$20</f>
        <v/>
      </c>
      <c r="DK45" s="912">
        <f>DK18/DK$20</f>
        <v/>
      </c>
      <c r="DL45" s="912">
        <f>DL18/DL$20</f>
        <v/>
      </c>
      <c r="DM45" s="912">
        <f>DM18/DM$20</f>
        <v/>
      </c>
      <c r="DN45" s="912">
        <f>DN18/DN$20</f>
        <v/>
      </c>
      <c r="DO45" s="912">
        <f>DO18/DO$20</f>
        <v/>
      </c>
      <c r="DP45" s="912">
        <f>DP18/DP$20</f>
        <v/>
      </c>
      <c r="DQ45" s="912">
        <f>DQ18/DQ$20</f>
        <v/>
      </c>
      <c r="DR45" s="912">
        <f>DR18/DR$20</f>
        <v/>
      </c>
      <c r="DS45" s="912">
        <f>DS18/DS$20</f>
        <v/>
      </c>
    </row>
    <row r="46">
      <c r="A46" s="74">
        <f>A37</f>
        <v/>
      </c>
      <c r="B46" s="890" t="n"/>
      <c r="C46" s="890" t="n"/>
      <c r="D46" s="890" t="n"/>
      <c r="E46" s="890" t="n"/>
      <c r="F46" s="890" t="n"/>
      <c r="G46" s="890" t="n"/>
      <c r="H46" s="890" t="n"/>
      <c r="I46" s="890" t="n"/>
      <c r="J46" s="890" t="n"/>
      <c r="K46" s="890" t="n"/>
      <c r="L46" s="890" t="n"/>
      <c r="M46" s="890" t="n"/>
      <c r="N46" s="515" t="n"/>
      <c r="O46" s="515" t="n"/>
      <c r="P46" s="515" t="n"/>
      <c r="Q46" s="515" t="n"/>
      <c r="R46" s="515" t="n"/>
      <c r="S46" s="515" t="n"/>
      <c r="T46" s="515" t="n"/>
      <c r="U46" s="515" t="n"/>
      <c r="V46" s="515" t="n"/>
      <c r="W46" s="515" t="n"/>
      <c r="X46" s="515" t="n"/>
      <c r="Y46" s="515" t="n"/>
      <c r="Z46" s="908">
        <f>Z19/Z$20</f>
        <v/>
      </c>
      <c r="AA46" s="908">
        <f>AA19/AA$20</f>
        <v/>
      </c>
      <c r="AB46" s="908">
        <f>AB19/AB$20</f>
        <v/>
      </c>
      <c r="AC46" s="908">
        <f>AC19/AC$20</f>
        <v/>
      </c>
      <c r="AD46" s="908">
        <f>AD19/AD$20</f>
        <v/>
      </c>
      <c r="AE46" s="908">
        <f>AE19/AE$20</f>
        <v/>
      </c>
      <c r="AF46" s="908">
        <f>AF19/AF$20</f>
        <v/>
      </c>
      <c r="AG46" s="908">
        <f>AG19/AG$20</f>
        <v/>
      </c>
      <c r="AH46" s="908">
        <f>AH19/AH$20</f>
        <v/>
      </c>
      <c r="AI46" s="908">
        <f>AI19/AI$20</f>
        <v/>
      </c>
      <c r="AJ46" s="908">
        <f>AJ19/AJ$20</f>
        <v/>
      </c>
      <c r="AK46" s="908">
        <f>AK19/AK$20</f>
        <v/>
      </c>
      <c r="AL46" s="908">
        <f>AL19/AL$20</f>
        <v/>
      </c>
      <c r="AM46" s="908">
        <f>AM19/AM$20</f>
        <v/>
      </c>
      <c r="AN46" s="908">
        <f>AN19/AN$20</f>
        <v/>
      </c>
      <c r="AO46" s="908">
        <f>AO19/AO$20</f>
        <v/>
      </c>
      <c r="AP46" s="908">
        <f>AP19/AP$20</f>
        <v/>
      </c>
      <c r="AQ46" s="908">
        <f>AQ19/AQ$20</f>
        <v/>
      </c>
      <c r="AR46" s="908">
        <f>AR19/AR$20</f>
        <v/>
      </c>
      <c r="AS46" s="908">
        <f>AS19/AS$20</f>
        <v/>
      </c>
      <c r="AT46" s="908">
        <f>AT19/AT$20</f>
        <v/>
      </c>
      <c r="AU46" s="908">
        <f>AU19/AU$20</f>
        <v/>
      </c>
      <c r="AV46" s="908">
        <f>AV19/AV$20</f>
        <v/>
      </c>
      <c r="AW46" s="908">
        <f>AW19/AW$20</f>
        <v/>
      </c>
      <c r="AX46" s="908">
        <f>AX19/AX$20</f>
        <v/>
      </c>
      <c r="AY46" s="908">
        <f>AY19/AY$20</f>
        <v/>
      </c>
      <c r="AZ46" s="908">
        <f>AZ19/AZ$20</f>
        <v/>
      </c>
      <c r="BA46" s="908">
        <f>BA19/BA$20</f>
        <v/>
      </c>
      <c r="BB46" s="908">
        <f>BB19/BB$20</f>
        <v/>
      </c>
      <c r="BC46" s="908">
        <f>BC19/BC$20</f>
        <v/>
      </c>
      <c r="BD46" s="908">
        <f>BD19/BD$20</f>
        <v/>
      </c>
      <c r="BE46" s="908">
        <f>BE19/BE$20</f>
        <v/>
      </c>
      <c r="BF46" s="908">
        <f>BF19/BF$20</f>
        <v/>
      </c>
      <c r="BG46" s="908">
        <f>BG19/BG$20</f>
        <v/>
      </c>
      <c r="BH46" s="908">
        <f>BH19/BH$20</f>
        <v/>
      </c>
      <c r="BI46" s="908">
        <f>BI19/BI$20</f>
        <v/>
      </c>
      <c r="BJ46" s="908">
        <f>BJ19/BJ$20</f>
        <v/>
      </c>
      <c r="BK46" s="908">
        <f>BK19/BK$20</f>
        <v/>
      </c>
      <c r="BL46" s="908">
        <f>BL19/BL$20</f>
        <v/>
      </c>
      <c r="BM46" s="908">
        <f>BM19/BM$20</f>
        <v/>
      </c>
      <c r="BN46" s="908">
        <f>BN19/BN$20</f>
        <v/>
      </c>
      <c r="BO46" s="908">
        <f>BO19/BO$20</f>
        <v/>
      </c>
      <c r="BP46" s="908">
        <f>BP19/BP$20</f>
        <v/>
      </c>
      <c r="BQ46" s="908">
        <f>BQ19/BQ$20</f>
        <v/>
      </c>
      <c r="BR46" s="908">
        <f>BR19/BR$20</f>
        <v/>
      </c>
      <c r="BS46" s="908">
        <f>BS19/BS$20</f>
        <v/>
      </c>
      <c r="BT46" s="908">
        <f>BT19/BT$20</f>
        <v/>
      </c>
      <c r="BU46" s="908">
        <f>BU19/BU$20</f>
        <v/>
      </c>
      <c r="BV46" s="908">
        <f>BV19/BV$20</f>
        <v/>
      </c>
      <c r="BW46" s="908">
        <f>BW19/BW$20</f>
        <v/>
      </c>
      <c r="BX46" s="908">
        <f>BX19/BX$20</f>
        <v/>
      </c>
      <c r="BY46" s="908">
        <f>BY19/BY$20</f>
        <v/>
      </c>
      <c r="BZ46" s="908">
        <f>BZ19/BZ$20</f>
        <v/>
      </c>
      <c r="CA46" s="908">
        <f>CA19/CA$20</f>
        <v/>
      </c>
      <c r="CB46" s="908">
        <f>CB19/CB$20</f>
        <v/>
      </c>
      <c r="CC46" s="908">
        <f>CC19/CC$20</f>
        <v/>
      </c>
      <c r="CD46" s="908">
        <f>CD19/CD$20</f>
        <v/>
      </c>
      <c r="CE46" s="908">
        <f>CE19/CE$20</f>
        <v/>
      </c>
      <c r="CF46" s="908">
        <f>CF19/CF$20</f>
        <v/>
      </c>
      <c r="CG46" s="908">
        <f>CG19/CG$20</f>
        <v/>
      </c>
      <c r="CH46" s="908">
        <f>CH19/CH$20</f>
        <v/>
      </c>
      <c r="CI46" s="908">
        <f>CI19/CI$20</f>
        <v/>
      </c>
      <c r="CJ46" s="908">
        <f>CJ19/CJ$20</f>
        <v/>
      </c>
      <c r="CK46" s="908">
        <f>CK19/CK$20</f>
        <v/>
      </c>
      <c r="DD46" s="912">
        <f>DD19/DD$20</f>
        <v/>
      </c>
      <c r="DE46" s="912">
        <f>DE19/DE$20</f>
        <v/>
      </c>
      <c r="DF46" s="912">
        <f>DF19/DF$20</f>
        <v/>
      </c>
      <c r="DG46" s="912">
        <f>DG19/DG$20</f>
        <v/>
      </c>
      <c r="DH46" s="912">
        <f>DH19/DH$20</f>
        <v/>
      </c>
      <c r="DI46" s="912">
        <f>DI19/DI$20</f>
        <v/>
      </c>
      <c r="DJ46" s="912">
        <f>DJ19/DJ$20</f>
        <v/>
      </c>
      <c r="DK46" s="912">
        <f>DK19/DK$20</f>
        <v/>
      </c>
      <c r="DL46" s="912">
        <f>DL19/DL$20</f>
        <v/>
      </c>
      <c r="DM46" s="912">
        <f>DM19/DM$20</f>
        <v/>
      </c>
      <c r="DN46" s="912">
        <f>DN19/DN$20</f>
        <v/>
      </c>
      <c r="DO46" s="912">
        <f>DO19/DO$20</f>
        <v/>
      </c>
      <c r="DP46" s="912">
        <f>DP19/DP$20</f>
        <v/>
      </c>
      <c r="DQ46" s="912">
        <f>DQ19/DQ$20</f>
        <v/>
      </c>
      <c r="DR46" s="912">
        <f>DR19/DR$20</f>
        <v/>
      </c>
      <c r="DS46" s="912">
        <f>DS19/DS$20</f>
        <v/>
      </c>
    </row>
    <row r="47">
      <c r="A47" s="22" t="inlineStr">
        <is>
          <t>Total</t>
        </is>
      </c>
      <c r="G47" s="890" t="n"/>
      <c r="H47" s="890" t="n"/>
      <c r="I47" s="890" t="n"/>
      <c r="J47" s="881" t="n"/>
      <c r="K47" s="881" t="n"/>
      <c r="L47" s="881" t="n"/>
      <c r="M47" s="881" t="n"/>
      <c r="N47" s="515" t="n"/>
      <c r="O47" s="515" t="n"/>
      <c r="P47" s="515" t="n"/>
      <c r="Q47" s="515" t="n"/>
      <c r="R47" s="515" t="n"/>
      <c r="S47" s="515" t="n"/>
      <c r="T47" s="515" t="n"/>
      <c r="U47" s="515" t="n"/>
      <c r="V47" s="515" t="n"/>
      <c r="W47" s="515" t="n"/>
      <c r="X47" s="515" t="n"/>
      <c r="Y47" s="515" t="n"/>
      <c r="Z47" s="910">
        <f>Z20/Z$20</f>
        <v/>
      </c>
      <c r="AA47" s="910">
        <f>AA20/AA$20</f>
        <v/>
      </c>
      <c r="AB47" s="910">
        <f>AB20/AB$20</f>
        <v/>
      </c>
      <c r="AC47" s="910">
        <f>AC20/AC$20</f>
        <v/>
      </c>
      <c r="AD47" s="910">
        <f>AD20/AD$20</f>
        <v/>
      </c>
      <c r="AE47" s="910">
        <f>AE20/AE$20</f>
        <v/>
      </c>
      <c r="AF47" s="910">
        <f>AF20/AF$20</f>
        <v/>
      </c>
      <c r="AG47" s="910">
        <f>AG20/AG$20</f>
        <v/>
      </c>
      <c r="AH47" s="910">
        <f>AH20/AH$20</f>
        <v/>
      </c>
      <c r="AI47" s="910">
        <f>AI20/AI$20</f>
        <v/>
      </c>
      <c r="AJ47" s="910">
        <f>AJ20/AJ$20</f>
        <v/>
      </c>
      <c r="AK47" s="910">
        <f>AK20/AK$20</f>
        <v/>
      </c>
      <c r="AL47" s="910">
        <f>AL20/AL$20</f>
        <v/>
      </c>
      <c r="AM47" s="910">
        <f>AM20/AM$20</f>
        <v/>
      </c>
      <c r="AN47" s="910">
        <f>AN20/AN$20</f>
        <v/>
      </c>
      <c r="AO47" s="910">
        <f>AO20/AO$20</f>
        <v/>
      </c>
      <c r="AP47" s="910">
        <f>AP20/AP$20</f>
        <v/>
      </c>
      <c r="AQ47" s="910">
        <f>AQ20/AQ$20</f>
        <v/>
      </c>
      <c r="AR47" s="910">
        <f>AR20/AR$20</f>
        <v/>
      </c>
      <c r="AS47" s="910">
        <f>AS20/AS$20</f>
        <v/>
      </c>
      <c r="AT47" s="910">
        <f>AT20/AT$20</f>
        <v/>
      </c>
      <c r="AU47" s="910">
        <f>AU20/AU$20</f>
        <v/>
      </c>
      <c r="AV47" s="910">
        <f>AV20/AV$20</f>
        <v/>
      </c>
      <c r="AW47" s="910">
        <f>AW20/AW$20</f>
        <v/>
      </c>
      <c r="AX47" s="910">
        <f>AX20/AX$20</f>
        <v/>
      </c>
      <c r="AY47" s="910">
        <f>AY20/AY$20</f>
        <v/>
      </c>
      <c r="AZ47" s="910">
        <f>AZ20/AZ$20</f>
        <v/>
      </c>
      <c r="BA47" s="910">
        <f>BA20/BA$20</f>
        <v/>
      </c>
      <c r="BB47" s="910">
        <f>BB20/BB$20</f>
        <v/>
      </c>
      <c r="BC47" s="910">
        <f>BC20/BC$20</f>
        <v/>
      </c>
      <c r="BD47" s="910">
        <f>BD20/BD$20</f>
        <v/>
      </c>
      <c r="BE47" s="910">
        <f>BE20/BE$20</f>
        <v/>
      </c>
      <c r="BF47" s="910">
        <f>BF20/BF$20</f>
        <v/>
      </c>
      <c r="BG47" s="910">
        <f>BG20/BG$20</f>
        <v/>
      </c>
      <c r="BH47" s="910">
        <f>BH20/BH$20</f>
        <v/>
      </c>
      <c r="BI47" s="910">
        <f>BI20/BI$20</f>
        <v/>
      </c>
      <c r="BJ47" s="910">
        <f>BJ20/BJ$20</f>
        <v/>
      </c>
      <c r="BK47" s="910">
        <f>BK20/BK$20</f>
        <v/>
      </c>
      <c r="BL47" s="910">
        <f>BL20/BL$20</f>
        <v/>
      </c>
      <c r="BM47" s="910">
        <f>BM20/BM$20</f>
        <v/>
      </c>
      <c r="BN47" s="910">
        <f>BN20/BN$20</f>
        <v/>
      </c>
      <c r="BO47" s="910">
        <f>BO20/BO$20</f>
        <v/>
      </c>
      <c r="BP47" s="910">
        <f>BP20/BP$20</f>
        <v/>
      </c>
      <c r="BQ47" s="910">
        <f>BQ20/BQ$20</f>
        <v/>
      </c>
      <c r="BR47" s="910">
        <f>BR20/BR$20</f>
        <v/>
      </c>
      <c r="BS47" s="910">
        <f>BS20/BS$20</f>
        <v/>
      </c>
      <c r="BT47" s="910">
        <f>BT20/BT$20</f>
        <v/>
      </c>
      <c r="BU47" s="910">
        <f>BU20/BU$20</f>
        <v/>
      </c>
      <c r="BV47" s="910">
        <f>BV20/BV$20</f>
        <v/>
      </c>
      <c r="BW47" s="910">
        <f>BW20/BW$20</f>
        <v/>
      </c>
      <c r="BX47" s="910">
        <f>BX20/BX$20</f>
        <v/>
      </c>
      <c r="BY47" s="910">
        <f>BY20/BY$20</f>
        <v/>
      </c>
      <c r="BZ47" s="910">
        <f>BZ20/BZ$20</f>
        <v/>
      </c>
      <c r="CA47" s="910">
        <f>CA20/CA$20</f>
        <v/>
      </c>
      <c r="CB47" s="910">
        <f>CB20/CB$20</f>
        <v/>
      </c>
      <c r="CC47" s="910">
        <f>CC20/CC$20</f>
        <v/>
      </c>
      <c r="CD47" s="910">
        <f>CD20/CD$20</f>
        <v/>
      </c>
      <c r="CE47" s="910">
        <f>CE20/CE$20</f>
        <v/>
      </c>
      <c r="CF47" s="910">
        <f>CF20/CF$20</f>
        <v/>
      </c>
      <c r="CG47" s="910">
        <f>CG20/CG$20</f>
        <v/>
      </c>
      <c r="CH47" s="910">
        <f>CH20/CH$20</f>
        <v/>
      </c>
      <c r="CI47" s="910">
        <f>CI20/CI$20</f>
        <v/>
      </c>
      <c r="CJ47" s="910">
        <f>CJ20/CJ$20</f>
        <v/>
      </c>
      <c r="CK47" s="910">
        <f>CK20/CK$20</f>
        <v/>
      </c>
      <c r="DD47" s="913">
        <f>DD20/DD$20</f>
        <v/>
      </c>
      <c r="DE47" s="913">
        <f>DE20/DE$20</f>
        <v/>
      </c>
      <c r="DF47" s="913">
        <f>DF20/DF$20</f>
        <v/>
      </c>
      <c r="DG47" s="913">
        <f>DG20/DG$20</f>
        <v/>
      </c>
      <c r="DH47" s="913">
        <f>DH20/DH$20</f>
        <v/>
      </c>
      <c r="DI47" s="913">
        <f>DI20/DI$20</f>
        <v/>
      </c>
      <c r="DJ47" s="913">
        <f>DJ20/DJ$20</f>
        <v/>
      </c>
      <c r="DK47" s="913">
        <f>DK20/DK$20</f>
        <v/>
      </c>
      <c r="DL47" s="913">
        <f>DL20/DL$20</f>
        <v/>
      </c>
      <c r="DM47" s="913">
        <f>DM20/DM$20</f>
        <v/>
      </c>
      <c r="DN47" s="913">
        <f>DN20/DN$20</f>
        <v/>
      </c>
      <c r="DO47" s="913">
        <f>DO20/DO$20</f>
        <v/>
      </c>
      <c r="DP47" s="913">
        <f>DP20/DP$20</f>
        <v/>
      </c>
      <c r="DQ47" s="913">
        <f>DQ20/DQ$20</f>
        <v/>
      </c>
      <c r="DR47" s="913">
        <f>DR20/DR$20</f>
        <v/>
      </c>
      <c r="DS47" s="913">
        <f>DS20/DS$20</f>
        <v/>
      </c>
    </row>
    <row r="48">
      <c r="G48" s="890" t="n"/>
      <c r="H48" s="890" t="n"/>
      <c r="I48" s="890" t="n"/>
      <c r="J48" s="890" t="n"/>
      <c r="K48" s="890" t="n"/>
      <c r="L48" s="890" t="n"/>
      <c r="M48" s="890" t="n"/>
    </row>
    <row r="49"/>
    <row r="50">
      <c r="A50" s="81" t="inlineStr">
        <is>
          <t>Cost of Goods Sold (in '000 USD)</t>
        </is>
      </c>
      <c r="I50" s="890" t="n"/>
      <c r="J50" s="890" t="n"/>
    </row>
    <row r="51" hidden="1"/>
    <row r="52" hidden="1">
      <c r="A52" s="42">
        <f>+A14</f>
        <v/>
      </c>
      <c r="B52" s="79" t="n"/>
      <c r="C52" s="79" t="n"/>
      <c r="D52" s="79" t="n"/>
      <c r="E52" s="79" t="n"/>
      <c r="F52" s="79" t="n"/>
      <c r="G52" s="79" t="n"/>
      <c r="H52" s="50" t="n"/>
      <c r="I52" s="50" t="n"/>
      <c r="J52" s="50" t="n"/>
      <c r="K52" s="50" t="n"/>
      <c r="L52" s="50" t="n"/>
      <c r="M52" s="50" t="n"/>
    </row>
    <row r="53" hidden="1">
      <c r="A53" s="43" t="inlineStr">
        <is>
          <t>Gross Margin</t>
        </is>
      </c>
      <c r="B53" s="890" t="n"/>
      <c r="C53" s="890" t="n"/>
      <c r="D53" s="890" t="n"/>
      <c r="E53" s="890" t="n"/>
      <c r="F53" s="890" t="n"/>
      <c r="G53" s="890" t="n"/>
      <c r="H53" s="854" t="n"/>
      <c r="I53" s="854" t="n"/>
      <c r="J53" s="854" t="n"/>
      <c r="K53" s="854" t="n"/>
      <c r="L53" s="854" t="n"/>
      <c r="M53" s="854" t="n"/>
    </row>
    <row r="54" hidden="1">
      <c r="A54" s="43" t="n"/>
      <c r="B54" s="890" t="n"/>
      <c r="C54" s="890" t="n"/>
      <c r="D54" s="890" t="n"/>
      <c r="E54" s="890" t="n"/>
      <c r="F54" s="890" t="n"/>
      <c r="G54" s="890" t="n"/>
      <c r="H54" s="854" t="n"/>
      <c r="I54" s="854" t="n"/>
      <c r="J54" s="854" t="n"/>
      <c r="K54" s="854" t="n"/>
      <c r="L54" s="854" t="n"/>
      <c r="M54" s="854" t="n"/>
    </row>
    <row r="55" hidden="1">
      <c r="A55" s="42">
        <f>+A15</f>
        <v/>
      </c>
      <c r="B55" s="79" t="n"/>
      <c r="C55" s="79" t="n"/>
      <c r="D55" s="79" t="n"/>
      <c r="E55" s="79" t="n"/>
      <c r="F55" s="79" t="n"/>
      <c r="G55" s="79" t="n"/>
      <c r="H55" s="50" t="n"/>
      <c r="I55" s="50" t="n"/>
      <c r="J55" s="50" t="n"/>
      <c r="K55" s="50" t="n"/>
      <c r="L55" s="50" t="n"/>
      <c r="M55" s="50" t="n"/>
    </row>
    <row r="56" hidden="1">
      <c r="A56" s="43" t="inlineStr">
        <is>
          <t>Gross Margin</t>
        </is>
      </c>
      <c r="B56" s="890" t="n"/>
      <c r="C56" s="890" t="n"/>
      <c r="D56" s="890" t="n"/>
      <c r="E56" s="890" t="n"/>
      <c r="F56" s="890" t="n"/>
      <c r="G56" s="890" t="n"/>
      <c r="H56" s="854" t="n"/>
      <c r="I56" s="854" t="n"/>
      <c r="J56" s="854" t="n"/>
      <c r="K56" s="854" t="n"/>
      <c r="L56" s="854" t="n"/>
      <c r="M56" s="854" t="n"/>
    </row>
    <row r="57" hidden="1">
      <c r="A57" s="43" t="n"/>
      <c r="H57" s="854" t="n"/>
      <c r="I57" s="854" t="n"/>
      <c r="J57" s="854" t="n"/>
      <c r="K57" s="854" t="n"/>
      <c r="L57" s="854" t="n"/>
      <c r="M57" s="854" t="n"/>
    </row>
    <row r="58" hidden="1">
      <c r="A58" s="42">
        <f>+A16</f>
        <v/>
      </c>
      <c r="B58" s="79" t="n"/>
      <c r="C58" s="79" t="n"/>
      <c r="D58" s="79" t="n"/>
      <c r="E58" s="79" t="n"/>
      <c r="F58" s="79" t="n"/>
      <c r="G58" s="79" t="n"/>
      <c r="H58" s="50" t="n"/>
      <c r="I58" s="50" t="n"/>
      <c r="J58" s="50" t="n"/>
      <c r="K58" s="50" t="n"/>
      <c r="L58" s="50" t="n"/>
      <c r="M58" s="50" t="n"/>
    </row>
    <row r="59" hidden="1">
      <c r="A59" s="43" t="inlineStr">
        <is>
          <t>Gross Margin</t>
        </is>
      </c>
      <c r="B59" s="890" t="n"/>
      <c r="C59" s="890" t="n"/>
      <c r="D59" s="890" t="n"/>
      <c r="E59" s="890" t="n"/>
      <c r="F59" s="890" t="n"/>
      <c r="G59" s="890" t="n"/>
      <c r="H59" s="854" t="n"/>
      <c r="I59" s="854" t="n"/>
      <c r="J59" s="854" t="n"/>
      <c r="K59" s="854" t="n"/>
      <c r="L59" s="854" t="n"/>
      <c r="M59" s="854" t="n"/>
    </row>
    <row r="60" hidden="1">
      <c r="A60" s="43" t="n"/>
      <c r="H60" s="854" t="n"/>
      <c r="I60" s="854" t="n"/>
      <c r="J60" s="854" t="n"/>
      <c r="K60" s="854" t="n"/>
      <c r="L60" s="854" t="n"/>
      <c r="M60" s="854" t="n"/>
    </row>
    <row r="61" hidden="1">
      <c r="A61" s="42">
        <f>+A17</f>
        <v/>
      </c>
      <c r="B61" s="79" t="n"/>
      <c r="C61" s="79" t="n"/>
      <c r="D61" s="79" t="n"/>
      <c r="E61" s="79" t="n"/>
      <c r="F61" s="79" t="n"/>
      <c r="G61" s="79" t="n"/>
      <c r="H61" s="50" t="n"/>
      <c r="I61" s="50" t="n"/>
      <c r="J61" s="50" t="n"/>
      <c r="K61" s="50" t="n"/>
      <c r="L61" s="50" t="n"/>
      <c r="M61" s="50" t="n"/>
    </row>
    <row r="62" hidden="1">
      <c r="A62" s="43" t="inlineStr">
        <is>
          <t>Gross Margin</t>
        </is>
      </c>
      <c r="B62" s="890" t="n"/>
      <c r="C62" s="890" t="n"/>
      <c r="D62" s="890" t="n"/>
      <c r="E62" s="890" t="n"/>
      <c r="F62" s="890" t="n"/>
      <c r="G62" s="890" t="n"/>
      <c r="H62" s="854" t="n"/>
      <c r="I62" s="854" t="n"/>
      <c r="J62" s="854" t="n"/>
      <c r="K62" s="854" t="n"/>
      <c r="L62" s="854" t="n"/>
      <c r="M62" s="854" t="n"/>
    </row>
    <row r="63">
      <c r="A63" s="43" t="n"/>
      <c r="H63" s="854" t="n"/>
      <c r="I63" s="854" t="n"/>
      <c r="J63" s="854" t="n"/>
      <c r="K63" s="854" t="n"/>
      <c r="L63" s="854" t="n"/>
      <c r="M63" s="854" t="n"/>
    </row>
    <row r="64" customFormat="1" s="21">
      <c r="A64" s="77" t="inlineStr">
        <is>
          <t>Total COGS</t>
        </is>
      </c>
      <c r="B64" s="72" t="n"/>
      <c r="C64" s="72" t="n"/>
      <c r="D64" s="72" t="n"/>
      <c r="E64" s="72" t="n"/>
      <c r="F64" s="72" t="n"/>
      <c r="G64" s="72" t="n"/>
      <c r="H64" s="72" t="n"/>
      <c r="I64" s="72" t="n"/>
      <c r="J64" s="72" t="n"/>
      <c r="K64" s="72" t="n"/>
      <c r="L64" s="72" t="n"/>
      <c r="M64" s="72" t="n"/>
      <c r="N64" s="537">
        <f>FS_Q!N12</f>
        <v/>
      </c>
      <c r="O64" s="537">
        <f>FS_Q!O12</f>
        <v/>
      </c>
      <c r="P64" s="537">
        <f>FS_Q!P12</f>
        <v/>
      </c>
      <c r="Q64" s="537">
        <f>FS_Q!Q12</f>
        <v/>
      </c>
      <c r="R64" s="537">
        <f>FS_Q!R12</f>
        <v/>
      </c>
      <c r="S64" s="537">
        <f>FS_Q!S12</f>
        <v/>
      </c>
      <c r="T64" s="537">
        <f>FS_Q!T12</f>
        <v/>
      </c>
      <c r="U64" s="537">
        <f>FS_Q!U12</f>
        <v/>
      </c>
      <c r="V64" s="537">
        <f>FS_Q!V12</f>
        <v/>
      </c>
      <c r="W64" s="537">
        <f>FS_Q!W12</f>
        <v/>
      </c>
      <c r="X64" s="537">
        <f>FS_Q!X12</f>
        <v/>
      </c>
      <c r="Y64" s="537">
        <f>FS_Q!Y12</f>
        <v/>
      </c>
      <c r="Z64" s="537">
        <f>FS_Q!Z12</f>
        <v/>
      </c>
      <c r="AA64" s="537">
        <f>FS_Q!AA12</f>
        <v/>
      </c>
      <c r="AB64" s="537">
        <f>FS_Q!AB12</f>
        <v/>
      </c>
      <c r="AC64" s="537">
        <f>FS_Q!AC12</f>
        <v/>
      </c>
      <c r="AD64" s="537">
        <f>FS_Q!AD12</f>
        <v/>
      </c>
      <c r="AE64" s="537">
        <f>FS_Q!AE12</f>
        <v/>
      </c>
      <c r="AF64" s="537">
        <f>FS_Q!AF12</f>
        <v/>
      </c>
      <c r="AG64" s="537">
        <f>FS_Q!AG12</f>
        <v/>
      </c>
      <c r="AH64" s="537">
        <f>FS_Q!AH12</f>
        <v/>
      </c>
      <c r="AI64" s="537">
        <f>FS_Q!AI12</f>
        <v/>
      </c>
      <c r="AJ64" s="537">
        <f>FS_Q!AJ12</f>
        <v/>
      </c>
      <c r="AK64" s="537">
        <f>FS_Q!AK12</f>
        <v/>
      </c>
      <c r="AL64" s="537">
        <f>FS_Q!AL12</f>
        <v/>
      </c>
      <c r="AM64" s="537">
        <f>FS_Q!AM12</f>
        <v/>
      </c>
      <c r="AN64" s="537">
        <f>FS_Q!AN12</f>
        <v/>
      </c>
      <c r="AO64" s="537">
        <f>FS_Q!AO12</f>
        <v/>
      </c>
      <c r="AP64" s="537">
        <f>FS_Q!AP12</f>
        <v/>
      </c>
      <c r="AQ64" s="537">
        <f>FS_Q!AQ12</f>
        <v/>
      </c>
      <c r="AR64" s="537">
        <f>FS_Q!AR12</f>
        <v/>
      </c>
      <c r="AS64" s="537">
        <f>FS_Q!AS12</f>
        <v/>
      </c>
      <c r="AT64" s="537">
        <f>FS_Q!AT12</f>
        <v/>
      </c>
      <c r="AU64" s="537">
        <f>FS_Q!AU12</f>
        <v/>
      </c>
      <c r="AV64" s="537">
        <f>FS_Q!AV12</f>
        <v/>
      </c>
      <c r="AW64" s="537">
        <f>FS_Q!AW12</f>
        <v/>
      </c>
      <c r="AX64" s="537">
        <f>FS_Q!AX12</f>
        <v/>
      </c>
      <c r="AY64" s="537">
        <f>FS_Q!AY12</f>
        <v/>
      </c>
      <c r="AZ64" s="537">
        <f>FS_Q!AZ12</f>
        <v/>
      </c>
      <c r="BA64" s="537">
        <f>FS_Q!BA12</f>
        <v/>
      </c>
      <c r="BB64" s="537">
        <f>FS_Q!BB12</f>
        <v/>
      </c>
      <c r="BC64" s="537">
        <f>FS_Q!BC12</f>
        <v/>
      </c>
      <c r="BD64" s="537">
        <f>FS_Q!BD12</f>
        <v/>
      </c>
      <c r="BE64" s="537">
        <f>FS_Q!BE12</f>
        <v/>
      </c>
      <c r="BF64" s="537">
        <f>FS_Q!BF12</f>
        <v/>
      </c>
      <c r="BG64" s="537">
        <f>FS_Q!BG12</f>
        <v/>
      </c>
      <c r="BH64" s="537">
        <f>FS_Q!BH12</f>
        <v/>
      </c>
      <c r="BI64" s="537">
        <f>FS_Q!BI12</f>
        <v/>
      </c>
      <c r="BJ64" s="537">
        <f>FS_Q!BJ12</f>
        <v/>
      </c>
      <c r="BK64" s="537">
        <f>FS_Q!BK12</f>
        <v/>
      </c>
      <c r="BL64" s="537">
        <f>FS_Q!BL12</f>
        <v/>
      </c>
      <c r="BM64" s="537">
        <f>FS_Q!BM12</f>
        <v/>
      </c>
      <c r="BN64" s="537">
        <f>FS_Q!BN12</f>
        <v/>
      </c>
      <c r="BO64" s="537">
        <f>FS_Q!BO12</f>
        <v/>
      </c>
      <c r="BP64" s="537">
        <f>FS_Q!BP12</f>
        <v/>
      </c>
      <c r="BQ64" s="537">
        <f>FS_Q!BQ12</f>
        <v/>
      </c>
      <c r="BR64" s="537">
        <f>FS_Q!BR12</f>
        <v/>
      </c>
      <c r="BS64" s="519">
        <f>BS20*(1-BS65)</f>
        <v/>
      </c>
      <c r="BT64" s="519">
        <f>BT20*(1-BT65)</f>
        <v/>
      </c>
      <c r="BU64" s="519">
        <f>BU20*(1-BU65)</f>
        <v/>
      </c>
      <c r="BV64" s="519">
        <f>BV20*(1-BV65)</f>
        <v/>
      </c>
      <c r="BW64" s="519">
        <f>BW20*(1-BW65)</f>
        <v/>
      </c>
      <c r="BX64" s="519">
        <f>BX20*(1-BX65)</f>
        <v/>
      </c>
      <c r="BY64" s="519">
        <f>BY20*(1-BY65)</f>
        <v/>
      </c>
      <c r="BZ64" s="519">
        <f>BZ20*(1-BZ65)</f>
        <v/>
      </c>
      <c r="CA64" s="519">
        <f>CA20*(1-CA65)</f>
        <v/>
      </c>
      <c r="CB64" s="519">
        <f>CB20*(1-CB65)</f>
        <v/>
      </c>
      <c r="CC64" s="519">
        <f>CC20*(1-CC65)</f>
        <v/>
      </c>
      <c r="CD64" s="519">
        <f>CD20*(1-CD65)</f>
        <v/>
      </c>
      <c r="CE64" s="519">
        <f>CE20*(1-CE65)</f>
        <v/>
      </c>
      <c r="CF64" s="519">
        <f>CF20*(1-CF65)</f>
        <v/>
      </c>
      <c r="CG64" s="519">
        <f>CG20*(1-CG65)</f>
        <v/>
      </c>
      <c r="CH64" s="519">
        <f>CH20*(1-CH65)</f>
        <v/>
      </c>
      <c r="CI64" s="519">
        <f>CI20*(1-CI65)</f>
        <v/>
      </c>
      <c r="CJ64" s="519">
        <f>CJ20*(1-CJ65)</f>
        <v/>
      </c>
      <c r="CK64" s="519">
        <f>CK20*(1-CK65)</f>
        <v/>
      </c>
      <c r="DA64" s="519">
        <f>SUMIF($N$1:$CG$1,DA$1,$N64:$CG64)</f>
        <v/>
      </c>
      <c r="DB64" s="519">
        <f>SUMIF($N$1:$CG$1,DB$1,$N64:$CG64)</f>
        <v/>
      </c>
      <c r="DC64" s="519">
        <f>SUMIF($N$1:$CG$1,DC$1,$N64:$CG64)</f>
        <v/>
      </c>
      <c r="DD64" s="519">
        <f>SUMIF($N$1:$CG$1,DD$1,$N64:$CG64)</f>
        <v/>
      </c>
      <c r="DE64" s="519">
        <f>SUMIF($N$1:$CG$1,DE$1,$N64:$CG64)</f>
        <v/>
      </c>
      <c r="DF64" s="519">
        <f>SUMIF($N$1:$CG$1,DF$1,$N64:$CG64)</f>
        <v/>
      </c>
      <c r="DG64" s="519">
        <f>SUMIF($N$1:$CG$1,DG$1,$N64:$CG64)</f>
        <v/>
      </c>
      <c r="DH64" s="519">
        <f>SUMIF($N$1:$CG$1,DH$1,$N64:$CG64)</f>
        <v/>
      </c>
      <c r="DI64" s="519">
        <f>SUMIF($N$1:$CG$1,DI$1,$N64:$CG64)</f>
        <v/>
      </c>
      <c r="DJ64" s="519">
        <f>SUMIF($N$1:$CG$1,DJ$1,$N64:$CG64)</f>
        <v/>
      </c>
      <c r="DK64" s="519">
        <f>SUMIF($N$1:$CG$1,DK$1,$N64:$CG64)</f>
        <v/>
      </c>
      <c r="DL64" s="519">
        <f>SUMIF($N$1:$CG$1,DL$1,$N64:$CG64)</f>
        <v/>
      </c>
      <c r="DM64" s="519">
        <f>SUMIF($N$1:$CG$1,DM$1,$N64:$CG64)</f>
        <v/>
      </c>
      <c r="DN64" s="519">
        <f>SUMIF($N$1:$CG$1,DN$1,$N64:$CG64)</f>
        <v/>
      </c>
      <c r="DO64" s="519">
        <f>SUMIF($N$1:$CG$1,DO$1,$N64:$CG64)</f>
        <v/>
      </c>
      <c r="DP64" s="519">
        <f>SUMIF($N$1:$CG$1,DP$1,$N64:$CG64)</f>
        <v/>
      </c>
      <c r="DQ64" s="519">
        <f>SUMIF($N$1:$CG$1,DQ$1,$N64:$CG64)</f>
        <v/>
      </c>
      <c r="DR64" s="519">
        <f>SUMIF($N$1:$CG$1,DR$1,$N64:$CG64)</f>
        <v/>
      </c>
      <c r="DS64" s="519">
        <f>SUMIF($N$1:$CK$1,DS$1,$N64:$CK64)</f>
        <v/>
      </c>
    </row>
    <row r="65">
      <c r="A65" s="43" t="inlineStr">
        <is>
          <t>Gross margin</t>
        </is>
      </c>
      <c r="B65" s="914" t="n"/>
      <c r="C65" s="914" t="n"/>
      <c r="D65" s="914" t="n"/>
      <c r="E65" s="914" t="n"/>
      <c r="F65" s="914" t="n"/>
      <c r="G65" s="914" t="n"/>
      <c r="H65" s="914" t="n"/>
      <c r="I65" s="914" t="n"/>
      <c r="J65" s="914" t="n"/>
      <c r="K65" s="914" t="n"/>
      <c r="L65" s="914" t="n"/>
      <c r="M65" s="914" t="n"/>
      <c r="N65" s="908">
        <f>1-N64/N20</f>
        <v/>
      </c>
      <c r="O65" s="908">
        <f>1-O64/O20</f>
        <v/>
      </c>
      <c r="P65" s="908">
        <f>1-P64/P20</f>
        <v/>
      </c>
      <c r="Q65" s="908">
        <f>1-Q64/Q20</f>
        <v/>
      </c>
      <c r="R65" s="908">
        <f>1-R64/R20</f>
        <v/>
      </c>
      <c r="S65" s="908">
        <f>1-S64/S20</f>
        <v/>
      </c>
      <c r="T65" s="908">
        <f>1-T64/T20</f>
        <v/>
      </c>
      <c r="U65" s="908">
        <f>1-U64/U20</f>
        <v/>
      </c>
      <c r="V65" s="908">
        <f>1-V64/V20</f>
        <v/>
      </c>
      <c r="W65" s="908">
        <f>1-W64/W20</f>
        <v/>
      </c>
      <c r="X65" s="908">
        <f>1-X64/X20</f>
        <v/>
      </c>
      <c r="Y65" s="908">
        <f>1-Y64/Y20</f>
        <v/>
      </c>
      <c r="Z65" s="908">
        <f>1-Z64/Z20</f>
        <v/>
      </c>
      <c r="AA65" s="908">
        <f>1-AA64/AA20</f>
        <v/>
      </c>
      <c r="AB65" s="908">
        <f>1-AB64/AB20</f>
        <v/>
      </c>
      <c r="AC65" s="908">
        <f>1-AC64/AC20</f>
        <v/>
      </c>
      <c r="AD65" s="908">
        <f>1-AD64/AD20</f>
        <v/>
      </c>
      <c r="AE65" s="908">
        <f>1-AE64/AE20</f>
        <v/>
      </c>
      <c r="AF65" s="908">
        <f>1-AF64/AF20</f>
        <v/>
      </c>
      <c r="AG65" s="908">
        <f>1-AG64/AG20</f>
        <v/>
      </c>
      <c r="AH65" s="908">
        <f>1-AH64/AH20</f>
        <v/>
      </c>
      <c r="AI65" s="908">
        <f>1-AI64/AI20</f>
        <v/>
      </c>
      <c r="AJ65" s="908">
        <f>1-AJ64/AJ20</f>
        <v/>
      </c>
      <c r="AK65" s="908">
        <f>1-AK64/AK20</f>
        <v/>
      </c>
      <c r="AL65" s="908">
        <f>1-AL64/AL20</f>
        <v/>
      </c>
      <c r="AM65" s="908">
        <f>1-AM64/AM20</f>
        <v/>
      </c>
      <c r="AN65" s="908">
        <f>1-AN64/AN20</f>
        <v/>
      </c>
      <c r="AO65" s="908">
        <f>1-AO64/AO20</f>
        <v/>
      </c>
      <c r="AP65" s="908">
        <f>1-AP64/AP20</f>
        <v/>
      </c>
      <c r="AQ65" s="908">
        <f>1-AQ64/AQ20</f>
        <v/>
      </c>
      <c r="AR65" s="908">
        <f>1-AR64/AR20</f>
        <v/>
      </c>
      <c r="AS65" s="908">
        <f>1-AS64/AS20</f>
        <v/>
      </c>
      <c r="AT65" s="908">
        <f>1-AT64/AT20</f>
        <v/>
      </c>
      <c r="AU65" s="908">
        <f>1-AU64/AU20</f>
        <v/>
      </c>
      <c r="AV65" s="908">
        <f>1-AV64/AV20</f>
        <v/>
      </c>
      <c r="AW65" s="908">
        <f>1-AW64/AW20</f>
        <v/>
      </c>
      <c r="AX65" s="908">
        <f>1-AX64/AX20</f>
        <v/>
      </c>
      <c r="AY65" s="908">
        <f>1-AY64/AY20</f>
        <v/>
      </c>
      <c r="AZ65" s="908">
        <f>1-AZ64/AZ20</f>
        <v/>
      </c>
      <c r="BA65" s="908">
        <f>1-BA64/BA20</f>
        <v/>
      </c>
      <c r="BB65" s="908">
        <f>1-BB64/BB20</f>
        <v/>
      </c>
      <c r="BC65" s="908">
        <f>1-BC64/BC20</f>
        <v/>
      </c>
      <c r="BD65" s="908">
        <f>1-BD64/BD20</f>
        <v/>
      </c>
      <c r="BE65" s="908">
        <f>1-BE64/BE20</f>
        <v/>
      </c>
      <c r="BF65" s="908">
        <f>1-BF64/BF20</f>
        <v/>
      </c>
      <c r="BG65" s="908">
        <f>1-BG64/BG20</f>
        <v/>
      </c>
      <c r="BH65" s="908">
        <f>1-BH64/BH20</f>
        <v/>
      </c>
      <c r="BI65" s="908">
        <f>1-BI64/BI20</f>
        <v/>
      </c>
      <c r="BJ65" s="908">
        <f>1-BJ64/BJ20</f>
        <v/>
      </c>
      <c r="BK65" s="908">
        <f>1-BK64/BK20</f>
        <v/>
      </c>
      <c r="BL65" s="908">
        <f>1-BL64/BL20</f>
        <v/>
      </c>
      <c r="BM65" s="908">
        <f>1-BM64/BM20</f>
        <v/>
      </c>
      <c r="BN65" s="908">
        <f>1-BN64/BN20</f>
        <v/>
      </c>
      <c r="BO65" s="908">
        <f>1-BO64/BO20</f>
        <v/>
      </c>
      <c r="BP65" s="908">
        <f>1-BP64/BP20</f>
        <v/>
      </c>
      <c r="BQ65" s="908">
        <f>1-BQ64/BQ20</f>
        <v/>
      </c>
      <c r="BR65" s="908">
        <f>1-BR64/BR20</f>
        <v/>
      </c>
      <c r="BS65" s="915" t="n">
        <v>0.39</v>
      </c>
      <c r="BT65" s="915" t="n">
        <v>0.415</v>
      </c>
      <c r="BU65" s="915" t="n">
        <v>0.43</v>
      </c>
      <c r="BV65" s="915" t="n">
        <v>0.44</v>
      </c>
      <c r="BW65" s="915" t="n">
        <v>0.445</v>
      </c>
      <c r="BX65" s="909" t="n">
        <v>0.445</v>
      </c>
      <c r="BY65" s="909" t="n">
        <v>0.445</v>
      </c>
      <c r="BZ65" s="909" t="n">
        <v>0.425</v>
      </c>
      <c r="CA65" s="909" t="n">
        <v>0.42</v>
      </c>
      <c r="CB65" s="909" t="n">
        <v>0.43</v>
      </c>
      <c r="CC65" s="909" t="n">
        <v>0.43</v>
      </c>
      <c r="CD65" s="909" t="n">
        <v>0.435</v>
      </c>
      <c r="CE65" s="909" t="n">
        <v>0.44</v>
      </c>
      <c r="CF65" s="909" t="n">
        <v>0.44</v>
      </c>
      <c r="CG65" s="909" t="n">
        <v>0.445</v>
      </c>
      <c r="CH65" s="909" t="n">
        <v>0.445</v>
      </c>
      <c r="CI65" s="909" t="n">
        <v>0.445</v>
      </c>
      <c r="CJ65" s="909" t="n">
        <v>0.445</v>
      </c>
      <c r="CK65" s="909" t="n">
        <v>0.445</v>
      </c>
      <c r="DA65" s="912">
        <f>1-DA64/DA$20</f>
        <v/>
      </c>
      <c r="DB65" s="912">
        <f>1-DB64/DB$20</f>
        <v/>
      </c>
      <c r="DC65" s="912">
        <f>1-DC64/DC$20</f>
        <v/>
      </c>
      <c r="DD65" s="912">
        <f>1-DD64/DD$20</f>
        <v/>
      </c>
      <c r="DE65" s="912">
        <f>1-DE64/DE$20</f>
        <v/>
      </c>
      <c r="DF65" s="912">
        <f>1-DF64/DF$20</f>
        <v/>
      </c>
      <c r="DG65" s="912">
        <f>1-DG64/DG$20</f>
        <v/>
      </c>
      <c r="DH65" s="912">
        <f>1-DH64/DH$20</f>
        <v/>
      </c>
      <c r="DI65" s="912">
        <f>1-DI64/DI$20</f>
        <v/>
      </c>
      <c r="DJ65" s="912">
        <f>1-DJ64/DJ$20</f>
        <v/>
      </c>
      <c r="DK65" s="912">
        <f>1-DK64/DK$20</f>
        <v/>
      </c>
      <c r="DL65" s="912">
        <f>1-DL64/DL$20</f>
        <v/>
      </c>
      <c r="DM65" s="912">
        <f>1-DM64/DM$20</f>
        <v/>
      </c>
      <c r="DN65" s="912">
        <f>1-DN64/DN$20</f>
        <v/>
      </c>
      <c r="DO65" s="912">
        <f>1-DO64/DO$20</f>
        <v/>
      </c>
      <c r="DP65" s="912">
        <f>1-DP64/DP$20</f>
        <v/>
      </c>
      <c r="DQ65" s="912">
        <f>1-DQ64/DQ$20</f>
        <v/>
      </c>
      <c r="DR65" s="912">
        <f>1-DR64/DR$20</f>
        <v/>
      </c>
      <c r="DS65" s="912">
        <f>1-DS64/DS$20</f>
        <v/>
      </c>
    </row>
    <row r="66"/>
    <row r="67">
      <c r="AV67" s="905">
        <f>AV65-8.3%</f>
        <v/>
      </c>
    </row>
    <row r="68"/>
    <row r="69">
      <c r="A69" s="81" t="inlineStr">
        <is>
          <t>Operating and Non-operating Income&amp;Expense (in '000 USD)</t>
        </is>
      </c>
    </row>
    <row r="70">
      <c r="A70" s="169" t="n"/>
      <c r="AW70" s="50" t="n"/>
    </row>
    <row r="71">
      <c r="A71" s="518" t="inlineStr">
        <is>
          <t>Operating Expenses</t>
        </is>
      </c>
      <c r="B71" s="31" t="n"/>
      <c r="C71" s="31" t="n"/>
      <c r="D71" s="31" t="n"/>
      <c r="E71" s="31" t="n"/>
      <c r="F71" s="31" t="n"/>
    </row>
    <row r="72">
      <c r="A72" s="518" t="n"/>
      <c r="B72" s="31" t="n"/>
      <c r="C72" s="31" t="n"/>
      <c r="D72" s="31" t="n"/>
      <c r="E72" s="31" t="n"/>
      <c r="F72" s="31" t="n"/>
    </row>
    <row r="73">
      <c r="A73" s="74">
        <f>FS_Q!A14</f>
        <v/>
      </c>
      <c r="B73" s="140" t="n"/>
      <c r="C73" s="140" t="n"/>
      <c r="D73" s="140" t="n"/>
      <c r="E73" s="140" t="n"/>
      <c r="F73" s="140" t="n"/>
      <c r="G73" s="140" t="n"/>
      <c r="H73" s="140" t="n"/>
      <c r="I73" s="140" t="n"/>
      <c r="J73" s="140" t="n"/>
      <c r="K73" s="140" t="n"/>
      <c r="L73" s="140" t="n"/>
      <c r="M73" s="140" t="n"/>
      <c r="N73" s="516">
        <f>FS_Q!N14</f>
        <v/>
      </c>
      <c r="O73" s="516">
        <f>FS_Q!O14</f>
        <v/>
      </c>
      <c r="P73" s="516">
        <f>FS_Q!P14</f>
        <v/>
      </c>
      <c r="Q73" s="516">
        <f>FS_Q!Q14</f>
        <v/>
      </c>
      <c r="R73" s="516">
        <f>FS_Q!R14</f>
        <v/>
      </c>
      <c r="S73" s="516">
        <f>FS_Q!S14</f>
        <v/>
      </c>
      <c r="T73" s="516">
        <f>FS_Q!T14</f>
        <v/>
      </c>
      <c r="U73" s="516">
        <f>FS_Q!U14</f>
        <v/>
      </c>
      <c r="V73" s="516">
        <f>FS_Q!V14</f>
        <v/>
      </c>
      <c r="W73" s="516">
        <f>FS_Q!W14</f>
        <v/>
      </c>
      <c r="X73" s="516">
        <f>FS_Q!X14</f>
        <v/>
      </c>
      <c r="Y73" s="516">
        <f>FS_Q!Y14</f>
        <v/>
      </c>
      <c r="Z73" s="516">
        <f>FS_Q!Z14</f>
        <v/>
      </c>
      <c r="AA73" s="516">
        <f>FS_Q!AA14</f>
        <v/>
      </c>
      <c r="AB73" s="516">
        <f>FS_Q!AB14</f>
        <v/>
      </c>
      <c r="AC73" s="516">
        <f>FS_Q!AC14</f>
        <v/>
      </c>
      <c r="AD73" s="516">
        <f>FS_Q!AD14</f>
        <v/>
      </c>
      <c r="AE73" s="516">
        <f>FS_Q!AE14</f>
        <v/>
      </c>
      <c r="AF73" s="516">
        <f>FS_Q!AF14</f>
        <v/>
      </c>
      <c r="AG73" s="516">
        <f>FS_Q!AG14</f>
        <v/>
      </c>
      <c r="AH73" s="516">
        <f>FS_Q!AH14</f>
        <v/>
      </c>
      <c r="AI73" s="516">
        <f>FS_Q!AI14</f>
        <v/>
      </c>
      <c r="AJ73" s="516">
        <f>FS_Q!AJ14</f>
        <v/>
      </c>
      <c r="AK73" s="516">
        <f>FS_Q!AK14</f>
        <v/>
      </c>
      <c r="AL73" s="516">
        <f>FS_Q!AL14</f>
        <v/>
      </c>
      <c r="AM73" s="516">
        <f>FS_Q!AM14</f>
        <v/>
      </c>
      <c r="AN73" s="516">
        <f>FS_Q!AN14</f>
        <v/>
      </c>
      <c r="AO73" s="516">
        <f>FS_Q!AO14</f>
        <v/>
      </c>
      <c r="AP73" s="516">
        <f>FS_Q!AP14</f>
        <v/>
      </c>
      <c r="AQ73" s="516">
        <f>FS_Q!AQ14</f>
        <v/>
      </c>
      <c r="AR73" s="516">
        <f>FS_Q!AR14</f>
        <v/>
      </c>
      <c r="AS73" s="516">
        <f>FS_Q!AS14</f>
        <v/>
      </c>
      <c r="AT73" s="516">
        <f>FS_Q!AT14</f>
        <v/>
      </c>
      <c r="AU73" s="516">
        <f>FS_Q!AU14</f>
        <v/>
      </c>
      <c r="AV73" s="516">
        <f>FS_Q!AV14</f>
        <v/>
      </c>
      <c r="AW73" s="516">
        <f>FS_Q!AW14</f>
        <v/>
      </c>
      <c r="AX73" s="516">
        <f>FS_Q!AX14</f>
        <v/>
      </c>
      <c r="AY73" s="516">
        <f>FS_Q!AY14</f>
        <v/>
      </c>
      <c r="AZ73" s="516">
        <f>FS_Q!AZ14</f>
        <v/>
      </c>
      <c r="BA73" s="516">
        <f>FS_Q!BA14</f>
        <v/>
      </c>
      <c r="BB73" s="516">
        <f>FS_Q!BB14</f>
        <v/>
      </c>
      <c r="BC73" s="516">
        <f>FS_Q!BC14</f>
        <v/>
      </c>
      <c r="BD73" s="516">
        <f>FS_Q!BD14</f>
        <v/>
      </c>
      <c r="BE73" s="516">
        <f>FS_Q!BE14</f>
        <v/>
      </c>
      <c r="BF73" s="516">
        <f>FS_Q!BF14</f>
        <v/>
      </c>
      <c r="BG73" s="516">
        <f>FS_Q!BG14</f>
        <v/>
      </c>
      <c r="BH73" s="516">
        <f>FS_Q!BH14</f>
        <v/>
      </c>
      <c r="BI73" s="516">
        <f>FS_Q!BI14</f>
        <v/>
      </c>
      <c r="BJ73" s="516">
        <f>FS_Q!BJ14</f>
        <v/>
      </c>
      <c r="BK73" s="516">
        <f>FS_Q!BK14</f>
        <v/>
      </c>
      <c r="BL73" s="516">
        <f>FS_Q!BL14</f>
        <v/>
      </c>
      <c r="BM73" s="516">
        <f>FS_Q!BM14</f>
        <v/>
      </c>
      <c r="BN73" s="516">
        <f>FS_Q!BN14</f>
        <v/>
      </c>
      <c r="BO73" s="516">
        <f>FS_Q!BO14</f>
        <v/>
      </c>
      <c r="BP73" s="516">
        <f>FS_Q!BP14</f>
        <v/>
      </c>
      <c r="BQ73" s="516">
        <f>FS_Q!BQ14</f>
        <v/>
      </c>
      <c r="BR73" s="516">
        <f>FS_Q!BR14</f>
        <v/>
      </c>
      <c r="BS73" s="517">
        <f>BS$20*BS74</f>
        <v/>
      </c>
      <c r="BT73" s="517">
        <f>BT$20*BT74</f>
        <v/>
      </c>
      <c r="BU73" s="517">
        <f>BU$20*BU74</f>
        <v/>
      </c>
      <c r="BV73" s="517">
        <f>BV$20*BV74</f>
        <v/>
      </c>
      <c r="BW73" s="517">
        <f>BW$20*BW74</f>
        <v/>
      </c>
      <c r="BX73" s="517">
        <f>BX$20*BX74</f>
        <v/>
      </c>
      <c r="BY73" s="517">
        <f>BY$20*BY74</f>
        <v/>
      </c>
      <c r="BZ73" s="517">
        <f>BZ$20*BZ74</f>
        <v/>
      </c>
      <c r="CA73" s="517">
        <f>CA$20*CA74</f>
        <v/>
      </c>
      <c r="CB73" s="517">
        <f>CB$20*CB74</f>
        <v/>
      </c>
      <c r="CC73" s="517">
        <f>CC$20*CC74</f>
        <v/>
      </c>
      <c r="CD73" s="517">
        <f>CD$20*CD74</f>
        <v/>
      </c>
      <c r="CE73" s="517">
        <f>CE$20*CE74</f>
        <v/>
      </c>
      <c r="CF73" s="517">
        <f>CF$20*CF74</f>
        <v/>
      </c>
      <c r="CG73" s="517">
        <f>CG$20*CG74</f>
        <v/>
      </c>
      <c r="CH73" s="517">
        <f>CH$20*CH74</f>
        <v/>
      </c>
      <c r="CI73" s="517">
        <f>CI$20*CI74</f>
        <v/>
      </c>
      <c r="CJ73" s="517">
        <f>CJ$20*CJ74</f>
        <v/>
      </c>
      <c r="CK73" s="517">
        <f>CK$20*CK74</f>
        <v/>
      </c>
      <c r="DA73" s="517">
        <f>SUMIF($N$1:$CG$1,DA$1,$N73:$CG73)</f>
        <v/>
      </c>
      <c r="DB73" s="517">
        <f>SUMIF($N$1:$CG$1,DB$1,$N73:$CG73)</f>
        <v/>
      </c>
      <c r="DC73" s="517">
        <f>SUMIF($N$1:$CG$1,DC$1,$N73:$CG73)</f>
        <v/>
      </c>
      <c r="DD73" s="517">
        <f>SUMIF($N$1:$CG$1,DD$1,$N73:$CG73)</f>
        <v/>
      </c>
      <c r="DE73" s="517">
        <f>SUMIF($N$1:$CG$1,DE$1,$N73:$CG73)</f>
        <v/>
      </c>
      <c r="DF73" s="517">
        <f>SUMIF($N$1:$CG$1,DF$1,$N73:$CG73)</f>
        <v/>
      </c>
      <c r="DG73" s="517">
        <f>SUMIF($N$1:$CG$1,DG$1,$N73:$CG73)</f>
        <v/>
      </c>
      <c r="DH73" s="517">
        <f>SUMIF($N$1:$CG$1,DH$1,$N73:$CG73)</f>
        <v/>
      </c>
      <c r="DI73" s="517">
        <f>SUMIF($N$1:$CG$1,DI$1,$N73:$CG73)</f>
        <v/>
      </c>
      <c r="DJ73" s="517">
        <f>SUMIF($N$1:$CG$1,DJ$1,$N73:$CG73)</f>
        <v/>
      </c>
      <c r="DK73" s="517">
        <f>SUMIF($N$1:$CG$1,DK$1,$N73:$CG73)</f>
        <v/>
      </c>
      <c r="DL73" s="517">
        <f>SUMIF($N$1:$CG$1,DL$1,$N73:$CG73)</f>
        <v/>
      </c>
      <c r="DM73" s="517">
        <f>SUMIF($N$1:$CG$1,DM$1,$N73:$CG73)</f>
        <v/>
      </c>
      <c r="DN73" s="517">
        <f>SUMIF($N$1:$CG$1,DN$1,$N73:$CG73)</f>
        <v/>
      </c>
      <c r="DO73" s="517">
        <f>SUMIF($N$1:$CG$1,DO$1,$N73:$CG73)</f>
        <v/>
      </c>
      <c r="DP73" s="517">
        <f>SUMIF($N$1:$CG$1,DP$1,$N73:$CG73)</f>
        <v/>
      </c>
      <c r="DQ73" s="517">
        <f>SUMIF($N$1:$CG$1,DQ$1,$N73:$CG73)</f>
        <v/>
      </c>
      <c r="DR73" s="517">
        <f>SUMIF($N$1:$CG$1,DR$1,$N73:$CG73)</f>
        <v/>
      </c>
      <c r="DS73" s="517">
        <f>SUMIF($N$1:$CK$1,DS$1,$N73:$CK73)</f>
        <v/>
      </c>
    </row>
    <row r="74">
      <c r="A74" s="191" t="inlineStr">
        <is>
          <t>as % of sales</t>
        </is>
      </c>
      <c r="B74" s="914" t="n"/>
      <c r="C74" s="914" t="n"/>
      <c r="D74" s="914" t="n"/>
      <c r="E74" s="914" t="n"/>
      <c r="F74" s="914" t="n"/>
      <c r="G74" s="914" t="n"/>
      <c r="H74" s="914" t="n"/>
      <c r="I74" s="914" t="n"/>
      <c r="J74" s="914" t="n"/>
      <c r="K74" s="914" t="n"/>
      <c r="L74" s="914" t="n"/>
      <c r="M74" s="914" t="n"/>
      <c r="N74" s="908">
        <f>N73/N$20</f>
        <v/>
      </c>
      <c r="O74" s="908">
        <f>O73/O$20</f>
        <v/>
      </c>
      <c r="P74" s="908">
        <f>P73/P$20</f>
        <v/>
      </c>
      <c r="Q74" s="908">
        <f>Q73/Q$20</f>
        <v/>
      </c>
      <c r="R74" s="908">
        <f>R73/R$20</f>
        <v/>
      </c>
      <c r="S74" s="908">
        <f>S73/S$20</f>
        <v/>
      </c>
      <c r="T74" s="908">
        <f>T73/T$20</f>
        <v/>
      </c>
      <c r="U74" s="908">
        <f>U73/U$20</f>
        <v/>
      </c>
      <c r="V74" s="908">
        <f>V73/V$20</f>
        <v/>
      </c>
      <c r="W74" s="908">
        <f>W73/W$20</f>
        <v/>
      </c>
      <c r="X74" s="908">
        <f>X73/X$20</f>
        <v/>
      </c>
      <c r="Y74" s="908">
        <f>Y73/Y$20</f>
        <v/>
      </c>
      <c r="Z74" s="908">
        <f>Z73/Z$20</f>
        <v/>
      </c>
      <c r="AA74" s="908">
        <f>AA73/AA$20</f>
        <v/>
      </c>
      <c r="AB74" s="908">
        <f>AB73/AB$20</f>
        <v/>
      </c>
      <c r="AC74" s="908">
        <f>AC73/AC$20</f>
        <v/>
      </c>
      <c r="AD74" s="908">
        <f>AD73/AD$20</f>
        <v/>
      </c>
      <c r="AE74" s="908">
        <f>AE73/AE$20</f>
        <v/>
      </c>
      <c r="AF74" s="908">
        <f>AF73/AF$20</f>
        <v/>
      </c>
      <c r="AG74" s="908">
        <f>AG73/AG$20</f>
        <v/>
      </c>
      <c r="AH74" s="908">
        <f>AH73/AH$20</f>
        <v/>
      </c>
      <c r="AI74" s="908">
        <f>AI73/AI$20</f>
        <v/>
      </c>
      <c r="AJ74" s="908">
        <f>AJ73/AJ$20</f>
        <v/>
      </c>
      <c r="AK74" s="908">
        <f>AK73/AK$20</f>
        <v/>
      </c>
      <c r="AL74" s="908">
        <f>AL73/AL$20</f>
        <v/>
      </c>
      <c r="AM74" s="908">
        <f>AM73/AM$20</f>
        <v/>
      </c>
      <c r="AN74" s="908">
        <f>AN73/AN$20</f>
        <v/>
      </c>
      <c r="AO74" s="908">
        <f>AO73/AO$20</f>
        <v/>
      </c>
      <c r="AP74" s="908">
        <f>AP73/AP$20</f>
        <v/>
      </c>
      <c r="AQ74" s="908">
        <f>AQ73/AQ$20</f>
        <v/>
      </c>
      <c r="AR74" s="908">
        <f>AR73/AR$20</f>
        <v/>
      </c>
      <c r="AS74" s="908">
        <f>AS73/AS$20</f>
        <v/>
      </c>
      <c r="AT74" s="908">
        <f>AT73/AT$20</f>
        <v/>
      </c>
      <c r="AU74" s="908">
        <f>AU73/AU$20</f>
        <v/>
      </c>
      <c r="AV74" s="908">
        <f>AV73/AV$20</f>
        <v/>
      </c>
      <c r="AW74" s="908">
        <f>AW73/AW$20</f>
        <v/>
      </c>
      <c r="AX74" s="908">
        <f>AX73/AX$20</f>
        <v/>
      </c>
      <c r="AY74" s="908">
        <f>AY73/AY$20</f>
        <v/>
      </c>
      <c r="AZ74" s="908">
        <f>AZ73/AZ$20</f>
        <v/>
      </c>
      <c r="BA74" s="908">
        <f>BA73/BA$20</f>
        <v/>
      </c>
      <c r="BB74" s="908">
        <f>BB73/BB$20</f>
        <v/>
      </c>
      <c r="BC74" s="908">
        <f>BC73/BC$20</f>
        <v/>
      </c>
      <c r="BD74" s="908">
        <f>BD73/BD$20</f>
        <v/>
      </c>
      <c r="BE74" s="908">
        <f>BE73/BE$20</f>
        <v/>
      </c>
      <c r="BF74" s="908">
        <f>BF73/BF$20</f>
        <v/>
      </c>
      <c r="BG74" s="908">
        <f>BG73/BG$20</f>
        <v/>
      </c>
      <c r="BH74" s="908">
        <f>BH73/BH$20</f>
        <v/>
      </c>
      <c r="BI74" s="908">
        <f>BI73/BI$20</f>
        <v/>
      </c>
      <c r="BJ74" s="908">
        <f>BJ73/BJ$20</f>
        <v/>
      </c>
      <c r="BK74" s="908">
        <f>BK73/BK$20</f>
        <v/>
      </c>
      <c r="BL74" s="908">
        <f>BL73/BL$20</f>
        <v/>
      </c>
      <c r="BM74" s="908">
        <f>BM73/BM$20</f>
        <v/>
      </c>
      <c r="BN74" s="908">
        <f>BN73/BN$20</f>
        <v/>
      </c>
      <c r="BO74" s="908">
        <f>BO73/BO$20</f>
        <v/>
      </c>
      <c r="BP74" s="908">
        <f>BP73/BP$20</f>
        <v/>
      </c>
      <c r="BQ74" s="908">
        <f>BQ73/BQ$20</f>
        <v/>
      </c>
      <c r="BR74" s="908">
        <f>BR73/BR$20</f>
        <v/>
      </c>
      <c r="BS74" s="915" t="n">
        <v>0.08500000000000001</v>
      </c>
      <c r="BT74" s="915" t="n">
        <v>0.07000000000000001</v>
      </c>
      <c r="BU74" s="915" t="n">
        <v>0.065</v>
      </c>
      <c r="BV74" s="909" t="n">
        <v>0.065</v>
      </c>
      <c r="BW74" s="909" t="n">
        <v>0.065</v>
      </c>
      <c r="BX74" s="909" t="n">
        <v>0.063</v>
      </c>
      <c r="BY74" s="909" t="n">
        <v>0.063</v>
      </c>
      <c r="BZ74" s="909" t="n">
        <v>0.07000000000000001</v>
      </c>
      <c r="CA74" s="909" t="n">
        <v>0.07000000000000001</v>
      </c>
      <c r="CB74" s="909" t="n">
        <v>0.07000000000000001</v>
      </c>
      <c r="CC74" s="909" t="n">
        <v>0.07000000000000001</v>
      </c>
      <c r="CD74" s="909" t="n">
        <v>0.065</v>
      </c>
      <c r="CE74" s="909" t="n">
        <v>0.065</v>
      </c>
      <c r="CF74" s="909" t="n">
        <v>0.065</v>
      </c>
      <c r="CG74" s="909" t="n">
        <v>0.065</v>
      </c>
      <c r="CH74" s="909" t="n">
        <v>0.065</v>
      </c>
      <c r="CI74" s="909" t="n">
        <v>0.065</v>
      </c>
      <c r="CJ74" s="909" t="n">
        <v>0.065</v>
      </c>
      <c r="CK74" s="909" t="n">
        <v>0.065</v>
      </c>
      <c r="DA74" s="912">
        <f>DA73/DA$20</f>
        <v/>
      </c>
      <c r="DB74" s="912">
        <f>DB73/DB$20</f>
        <v/>
      </c>
      <c r="DC74" s="912">
        <f>DC73/DC$20</f>
        <v/>
      </c>
      <c r="DD74" s="912">
        <f>DD73/DD$20</f>
        <v/>
      </c>
      <c r="DE74" s="912">
        <f>DE73/DE$20</f>
        <v/>
      </c>
      <c r="DF74" s="912">
        <f>DF73/DF$20</f>
        <v/>
      </c>
      <c r="DG74" s="912">
        <f>DG73/DG$20</f>
        <v/>
      </c>
      <c r="DH74" s="912">
        <f>DH73/DH$20</f>
        <v/>
      </c>
      <c r="DI74" s="912">
        <f>DI73/DI$20</f>
        <v/>
      </c>
      <c r="DJ74" s="912">
        <f>DJ73/DJ$20</f>
        <v/>
      </c>
      <c r="DK74" s="912">
        <f>DK73/DK$20</f>
        <v/>
      </c>
      <c r="DL74" s="912">
        <f>DL73/DL$20</f>
        <v/>
      </c>
      <c r="DM74" s="912">
        <f>DM73/DM$20</f>
        <v/>
      </c>
      <c r="DN74" s="912">
        <f>DN73/DN$20</f>
        <v/>
      </c>
      <c r="DO74" s="912">
        <f>DO73/DO$20</f>
        <v/>
      </c>
      <c r="DP74" s="912">
        <f>DP73/DP$20</f>
        <v/>
      </c>
      <c r="DQ74" s="912">
        <f>DQ73/DQ$20</f>
        <v/>
      </c>
      <c r="DR74" s="912">
        <f>DR73/DR$20</f>
        <v/>
      </c>
      <c r="DS74" s="912">
        <f>DS73/DS$20</f>
        <v/>
      </c>
    </row>
    <row r="75">
      <c r="A75" s="191" t="n"/>
      <c r="B75" s="914" t="n"/>
      <c r="C75" s="914" t="n"/>
      <c r="D75" s="914" t="n"/>
      <c r="E75" s="914" t="n"/>
      <c r="F75" s="914" t="n"/>
      <c r="G75" s="914" t="n"/>
      <c r="H75" s="914" t="n"/>
      <c r="I75" s="914" t="n"/>
      <c r="J75" s="914" t="n"/>
      <c r="K75" s="914" t="n"/>
      <c r="L75" s="914" t="n"/>
      <c r="M75" s="914" t="n"/>
    </row>
    <row r="76">
      <c r="A76" s="74">
        <f>FS_Q!A15</f>
        <v/>
      </c>
      <c r="B76" s="914" t="n"/>
      <c r="C76" s="914" t="n"/>
      <c r="D76" s="914" t="n"/>
      <c r="E76" s="914" t="n"/>
      <c r="F76" s="914" t="n"/>
      <c r="G76" s="914" t="n"/>
      <c r="H76" s="914" t="n"/>
      <c r="I76" s="914" t="n"/>
      <c r="J76" s="914" t="n"/>
      <c r="K76" s="914" t="n"/>
      <c r="L76" s="914" t="n"/>
      <c r="M76" s="914" t="n"/>
      <c r="N76" s="516">
        <f>FS_Q!N15</f>
        <v/>
      </c>
      <c r="O76" s="516">
        <f>FS_Q!O15</f>
        <v/>
      </c>
      <c r="P76" s="516">
        <f>FS_Q!P15</f>
        <v/>
      </c>
      <c r="Q76" s="516">
        <f>FS_Q!Q15</f>
        <v/>
      </c>
      <c r="R76" s="516">
        <f>FS_Q!R15</f>
        <v/>
      </c>
      <c r="S76" s="516">
        <f>FS_Q!S15</f>
        <v/>
      </c>
      <c r="T76" s="516">
        <f>FS_Q!T15</f>
        <v/>
      </c>
      <c r="U76" s="516">
        <f>FS_Q!U15</f>
        <v/>
      </c>
      <c r="V76" s="516">
        <f>FS_Q!V15</f>
        <v/>
      </c>
      <c r="W76" s="516">
        <f>FS_Q!W15</f>
        <v/>
      </c>
      <c r="X76" s="516">
        <f>FS_Q!X15</f>
        <v/>
      </c>
      <c r="Y76" s="516">
        <f>FS_Q!Y15</f>
        <v/>
      </c>
      <c r="Z76" s="516">
        <f>FS_Q!Z15</f>
        <v/>
      </c>
      <c r="AA76" s="516">
        <f>FS_Q!AA15</f>
        <v/>
      </c>
      <c r="AB76" s="516">
        <f>FS_Q!AB15</f>
        <v/>
      </c>
      <c r="AC76" s="516">
        <f>FS_Q!AC15</f>
        <v/>
      </c>
      <c r="AD76" s="516">
        <f>FS_Q!AD15</f>
        <v/>
      </c>
      <c r="AE76" s="516">
        <f>FS_Q!AE15</f>
        <v/>
      </c>
      <c r="AF76" s="516">
        <f>FS_Q!AF15</f>
        <v/>
      </c>
      <c r="AG76" s="516">
        <f>FS_Q!AG15</f>
        <v/>
      </c>
      <c r="AH76" s="516">
        <f>FS_Q!AH15</f>
        <v/>
      </c>
      <c r="AI76" s="516">
        <f>FS_Q!AI15</f>
        <v/>
      </c>
      <c r="AJ76" s="516">
        <f>FS_Q!AJ15</f>
        <v/>
      </c>
      <c r="AK76" s="516">
        <f>FS_Q!AK15</f>
        <v/>
      </c>
      <c r="AL76" s="516">
        <f>FS_Q!AL15</f>
        <v/>
      </c>
      <c r="AM76" s="516">
        <f>FS_Q!AM15</f>
        <v/>
      </c>
      <c r="AN76" s="516">
        <f>FS_Q!AN15</f>
        <v/>
      </c>
      <c r="AO76" s="516">
        <f>FS_Q!AO15</f>
        <v/>
      </c>
      <c r="AP76" s="516">
        <f>FS_Q!AP15</f>
        <v/>
      </c>
      <c r="AQ76" s="516">
        <f>FS_Q!AQ15</f>
        <v/>
      </c>
      <c r="AR76" s="516">
        <f>FS_Q!AR15</f>
        <v/>
      </c>
      <c r="AS76" s="516">
        <f>FS_Q!AS15</f>
        <v/>
      </c>
      <c r="AT76" s="516">
        <f>FS_Q!AT15</f>
        <v/>
      </c>
      <c r="AU76" s="516">
        <f>FS_Q!AU15</f>
        <v/>
      </c>
      <c r="AV76" s="516">
        <f>FS_Q!AV15</f>
        <v/>
      </c>
      <c r="AW76" s="516">
        <f>FS_Q!AW15</f>
        <v/>
      </c>
      <c r="AX76" s="516">
        <f>FS_Q!AX15</f>
        <v/>
      </c>
      <c r="AY76" s="516">
        <f>FS_Q!AY15</f>
        <v/>
      </c>
      <c r="AZ76" s="516">
        <f>FS_Q!AZ15</f>
        <v/>
      </c>
      <c r="BA76" s="516">
        <f>FS_Q!BA15</f>
        <v/>
      </c>
      <c r="BB76" s="516">
        <f>FS_Q!BB15</f>
        <v/>
      </c>
      <c r="BC76" s="516">
        <f>FS_Q!BC15</f>
        <v/>
      </c>
      <c r="BD76" s="516">
        <f>FS_Q!BD15</f>
        <v/>
      </c>
      <c r="BE76" s="516">
        <f>FS_Q!BE15</f>
        <v/>
      </c>
      <c r="BF76" s="516">
        <f>FS_Q!BF15</f>
        <v/>
      </c>
      <c r="BG76" s="516">
        <f>FS_Q!BG15</f>
        <v/>
      </c>
      <c r="BH76" s="516">
        <f>FS_Q!BH15</f>
        <v/>
      </c>
      <c r="BI76" s="516">
        <f>FS_Q!BI15</f>
        <v/>
      </c>
      <c r="BJ76" s="516">
        <f>FS_Q!BJ15</f>
        <v/>
      </c>
      <c r="BK76" s="516">
        <f>FS_Q!BK15</f>
        <v/>
      </c>
      <c r="BL76" s="516">
        <f>FS_Q!BL15</f>
        <v/>
      </c>
      <c r="BM76" s="516">
        <f>FS_Q!BM15</f>
        <v/>
      </c>
      <c r="BN76" s="516">
        <f>FS_Q!BN15</f>
        <v/>
      </c>
      <c r="BO76" s="516">
        <f>FS_Q!BO15</f>
        <v/>
      </c>
      <c r="BP76" s="516">
        <f>FS_Q!BP15</f>
        <v/>
      </c>
      <c r="BQ76" s="516">
        <f>FS_Q!BQ15</f>
        <v/>
      </c>
      <c r="BR76" s="516">
        <f>FS_Q!BR15</f>
        <v/>
      </c>
      <c r="BS76" s="517">
        <f>BS$20*BS77</f>
        <v/>
      </c>
      <c r="BT76" s="517">
        <f>BT$20*BT77</f>
        <v/>
      </c>
      <c r="BU76" s="517">
        <f>BU$20*BU77</f>
        <v/>
      </c>
      <c r="BV76" s="517">
        <f>BV$20*BV77</f>
        <v/>
      </c>
      <c r="BW76" s="517">
        <f>BW$20*BW77</f>
        <v/>
      </c>
      <c r="BX76" s="517">
        <f>BX$20*BX77</f>
        <v/>
      </c>
      <c r="BY76" s="517">
        <f>BY$20*BY77</f>
        <v/>
      </c>
      <c r="BZ76" s="517">
        <f>BZ$20*BZ77</f>
        <v/>
      </c>
      <c r="CA76" s="517">
        <f>CA$20*CA77</f>
        <v/>
      </c>
      <c r="CB76" s="517">
        <f>CB$20*CB77</f>
        <v/>
      </c>
      <c r="CC76" s="517">
        <f>CC$20*CC77</f>
        <v/>
      </c>
      <c r="CD76" s="517">
        <f>CD$20*CD77</f>
        <v/>
      </c>
      <c r="CE76" s="517">
        <f>CE$20*CE77</f>
        <v/>
      </c>
      <c r="CF76" s="517">
        <f>CF$20*CF77</f>
        <v/>
      </c>
      <c r="CG76" s="517">
        <f>CG$20*CG77</f>
        <v/>
      </c>
      <c r="CH76" s="517">
        <f>CH$20*CH77</f>
        <v/>
      </c>
      <c r="CI76" s="517">
        <f>CI$20*CI77</f>
        <v/>
      </c>
      <c r="CJ76" s="517">
        <f>CJ$20*CJ77</f>
        <v/>
      </c>
      <c r="CK76" s="517">
        <f>CK$20*CK77</f>
        <v/>
      </c>
      <c r="DA76" s="517">
        <f>SUMIF($N$1:$CG$1,DA$1,$N76:$CG76)</f>
        <v/>
      </c>
      <c r="DB76" s="517">
        <f>SUMIF($N$1:$CG$1,DB$1,$N76:$CG76)</f>
        <v/>
      </c>
      <c r="DC76" s="517">
        <f>SUMIF($N$1:$CG$1,DC$1,$N76:$CG76)</f>
        <v/>
      </c>
      <c r="DD76" s="517">
        <f>SUMIF($N$1:$CG$1,DD$1,$N76:$CG76)</f>
        <v/>
      </c>
      <c r="DE76" s="517">
        <f>SUMIF($N$1:$CG$1,DE$1,$N76:$CG76)</f>
        <v/>
      </c>
      <c r="DF76" s="517">
        <f>SUMIF($N$1:$CG$1,DF$1,$N76:$CG76)</f>
        <v/>
      </c>
      <c r="DG76" s="517">
        <f>SUMIF($N$1:$CG$1,DG$1,$N76:$CG76)</f>
        <v/>
      </c>
      <c r="DH76" s="517">
        <f>SUMIF($N$1:$CG$1,DH$1,$N76:$CG76)</f>
        <v/>
      </c>
      <c r="DI76" s="517">
        <f>SUMIF($N$1:$CG$1,DI$1,$N76:$CG76)</f>
        <v/>
      </c>
      <c r="DJ76" s="517">
        <f>SUMIF($N$1:$CG$1,DJ$1,$N76:$CG76)</f>
        <v/>
      </c>
      <c r="DK76" s="517">
        <f>SUMIF($N$1:$CG$1,DK$1,$N76:$CG76)</f>
        <v/>
      </c>
      <c r="DL76" s="517">
        <f>SUMIF($N$1:$CG$1,DL$1,$N76:$CG76)</f>
        <v/>
      </c>
      <c r="DM76" s="517">
        <f>SUMIF($N$1:$CG$1,DM$1,$N76:$CG76)</f>
        <v/>
      </c>
      <c r="DN76" s="517">
        <f>SUMIF($N$1:$CG$1,DN$1,$N76:$CG76)</f>
        <v/>
      </c>
      <c r="DO76" s="517">
        <f>SUMIF($N$1:$CG$1,DO$1,$N76:$CG76)</f>
        <v/>
      </c>
      <c r="DP76" s="517">
        <f>SUMIF($N$1:$CG$1,DP$1,$N76:$CG76)</f>
        <v/>
      </c>
      <c r="DQ76" s="517">
        <f>SUMIF($N$1:$CG$1,DQ$1,$N76:$CG76)</f>
        <v/>
      </c>
      <c r="DR76" s="517">
        <f>SUMIF($N$1:$CG$1,DR$1,$N76:$CG76)</f>
        <v/>
      </c>
      <c r="DS76" s="517">
        <f>SUMIF($N$1:$CK$1,DS$1,$N76:$CK76)</f>
        <v/>
      </c>
    </row>
    <row r="77">
      <c r="A77" s="191">
        <f>A74</f>
        <v/>
      </c>
      <c r="B77" s="914" t="n"/>
      <c r="C77" s="914" t="n"/>
      <c r="D77" s="914" t="n"/>
      <c r="E77" s="914" t="n"/>
      <c r="F77" s="914" t="n"/>
      <c r="G77" s="914" t="n"/>
      <c r="H77" s="914" t="n"/>
      <c r="I77" s="914" t="n"/>
      <c r="J77" s="914" t="n"/>
      <c r="K77" s="914" t="n"/>
      <c r="L77" s="914" t="n"/>
      <c r="M77" s="914" t="n"/>
      <c r="N77" s="908">
        <f>N76/N$20</f>
        <v/>
      </c>
      <c r="O77" s="908">
        <f>O76/O$20</f>
        <v/>
      </c>
      <c r="P77" s="908">
        <f>P76/P$20</f>
        <v/>
      </c>
      <c r="Q77" s="908">
        <f>Q76/Q$20</f>
        <v/>
      </c>
      <c r="R77" s="908">
        <f>R76/R$20</f>
        <v/>
      </c>
      <c r="S77" s="908">
        <f>S76/S$20</f>
        <v/>
      </c>
      <c r="T77" s="908">
        <f>T76/T$20</f>
        <v/>
      </c>
      <c r="U77" s="908">
        <f>U76/U$20</f>
        <v/>
      </c>
      <c r="V77" s="908">
        <f>V76/V$20</f>
        <v/>
      </c>
      <c r="W77" s="908">
        <f>W76/W$20</f>
        <v/>
      </c>
      <c r="X77" s="908">
        <f>X76/X$20</f>
        <v/>
      </c>
      <c r="Y77" s="908">
        <f>Y76/Y$20</f>
        <v/>
      </c>
      <c r="Z77" s="908">
        <f>Z76/Z$20</f>
        <v/>
      </c>
      <c r="AA77" s="908">
        <f>AA76/AA$20</f>
        <v/>
      </c>
      <c r="AB77" s="908">
        <f>AB76/AB$20</f>
        <v/>
      </c>
      <c r="AC77" s="908">
        <f>AC76/AC$20</f>
        <v/>
      </c>
      <c r="AD77" s="908">
        <f>AD76/AD$20</f>
        <v/>
      </c>
      <c r="AE77" s="908">
        <f>AE76/AE$20</f>
        <v/>
      </c>
      <c r="AF77" s="908">
        <f>AF76/AF$20</f>
        <v/>
      </c>
      <c r="AG77" s="908">
        <f>AG76/AG$20</f>
        <v/>
      </c>
      <c r="AH77" s="908">
        <f>AH76/AH$20</f>
        <v/>
      </c>
      <c r="AI77" s="908">
        <f>AI76/AI$20</f>
        <v/>
      </c>
      <c r="AJ77" s="908">
        <f>AJ76/AJ$20</f>
        <v/>
      </c>
      <c r="AK77" s="908">
        <f>AK76/AK$20</f>
        <v/>
      </c>
      <c r="AL77" s="908">
        <f>AL76/AL$20</f>
        <v/>
      </c>
      <c r="AM77" s="908">
        <f>AM76/AM$20</f>
        <v/>
      </c>
      <c r="AN77" s="908">
        <f>AN76/AN$20</f>
        <v/>
      </c>
      <c r="AO77" s="908">
        <f>AO76/AO$20</f>
        <v/>
      </c>
      <c r="AP77" s="908">
        <f>AP76/AP$20</f>
        <v/>
      </c>
      <c r="AQ77" s="908">
        <f>AQ76/AQ$20</f>
        <v/>
      </c>
      <c r="AR77" s="908">
        <f>AR76/AR$20</f>
        <v/>
      </c>
      <c r="AS77" s="908">
        <f>AS76/AS$20</f>
        <v/>
      </c>
      <c r="AT77" s="908">
        <f>AT76/AT$20</f>
        <v/>
      </c>
      <c r="AU77" s="908">
        <f>AU76/AU$20</f>
        <v/>
      </c>
      <c r="AV77" s="908">
        <f>AV76/AV$20</f>
        <v/>
      </c>
      <c r="AW77" s="908">
        <f>AW76/AW$20</f>
        <v/>
      </c>
      <c r="AX77" s="908">
        <f>AX76/AX$20</f>
        <v/>
      </c>
      <c r="AY77" s="908">
        <f>AY76/AY$20</f>
        <v/>
      </c>
      <c r="AZ77" s="908">
        <f>AZ76/AZ$20</f>
        <v/>
      </c>
      <c r="BA77" s="908">
        <f>BA76/BA$20</f>
        <v/>
      </c>
      <c r="BB77" s="908">
        <f>BB76/BB$20</f>
        <v/>
      </c>
      <c r="BC77" s="908">
        <f>BC76/BC$20</f>
        <v/>
      </c>
      <c r="BD77" s="908">
        <f>BD76/BD$20</f>
        <v/>
      </c>
      <c r="BE77" s="908">
        <f>BE76/BE$20</f>
        <v/>
      </c>
      <c r="BF77" s="908">
        <f>BF76/BF$20</f>
        <v/>
      </c>
      <c r="BG77" s="908">
        <f>BG76/BG$20</f>
        <v/>
      </c>
      <c r="BH77" s="908">
        <f>BH76/BH$20</f>
        <v/>
      </c>
      <c r="BI77" s="908">
        <f>BI76/BI$20</f>
        <v/>
      </c>
      <c r="BJ77" s="908">
        <f>BJ76/BJ$20</f>
        <v/>
      </c>
      <c r="BK77" s="908">
        <f>BK76/BK$20</f>
        <v/>
      </c>
      <c r="BL77" s="908">
        <f>BL76/BL$20</f>
        <v/>
      </c>
      <c r="BM77" s="908">
        <f>BM76/BM$20</f>
        <v/>
      </c>
      <c r="BN77" s="908">
        <f>BN76/BN$20</f>
        <v/>
      </c>
      <c r="BO77" s="908">
        <f>BO76/BO$20</f>
        <v/>
      </c>
      <c r="BP77" s="908">
        <f>BP76/BP$20</f>
        <v/>
      </c>
      <c r="BQ77" s="908">
        <f>BQ76/BQ$20</f>
        <v/>
      </c>
      <c r="BR77" s="908">
        <f>BR76/BR$20</f>
        <v/>
      </c>
      <c r="BS77" s="915" t="n">
        <v>0.11</v>
      </c>
      <c r="BT77" s="915" t="n">
        <v>0.095</v>
      </c>
      <c r="BU77" s="915" t="n">
        <v>0.093</v>
      </c>
      <c r="BV77" s="909" t="n">
        <v>0.093</v>
      </c>
      <c r="BW77" s="909" t="n">
        <v>0.093</v>
      </c>
      <c r="BX77" s="909" t="n">
        <v>0.08500000000000001</v>
      </c>
      <c r="BY77" s="909" t="n">
        <v>0.08500000000000001</v>
      </c>
      <c r="BZ77" s="909" t="n">
        <v>0.095</v>
      </c>
      <c r="CA77" s="909" t="n">
        <v>0.08500000000000001</v>
      </c>
      <c r="CB77" s="909" t="n">
        <v>0.08500000000000001</v>
      </c>
      <c r="CC77" s="909" t="n">
        <v>0.08500000000000001</v>
      </c>
      <c r="CD77" s="909" t="n">
        <v>0.08500000000000001</v>
      </c>
      <c r="CE77" s="909" t="n">
        <v>0.08500000000000001</v>
      </c>
      <c r="CF77" s="909" t="n">
        <v>0.08500000000000001</v>
      </c>
      <c r="CG77" s="909" t="n">
        <v>0.08500000000000001</v>
      </c>
      <c r="CH77" s="909" t="n">
        <v>0.08500000000000001</v>
      </c>
      <c r="CI77" s="909" t="n">
        <v>0.08500000000000001</v>
      </c>
      <c r="CJ77" s="909" t="n">
        <v>0.08500000000000001</v>
      </c>
      <c r="CK77" s="909" t="n">
        <v>0.08500000000000001</v>
      </c>
      <c r="DA77" s="912">
        <f>DA76/DA$20</f>
        <v/>
      </c>
      <c r="DB77" s="912">
        <f>DB76/DB$20</f>
        <v/>
      </c>
      <c r="DC77" s="912">
        <f>DC76/DC$20</f>
        <v/>
      </c>
      <c r="DD77" s="912">
        <f>DD76/DD$20</f>
        <v/>
      </c>
      <c r="DE77" s="912">
        <f>DE76/DE$20</f>
        <v/>
      </c>
      <c r="DF77" s="912">
        <f>DF76/DF$20</f>
        <v/>
      </c>
      <c r="DG77" s="912">
        <f>DG76/DG$20</f>
        <v/>
      </c>
      <c r="DH77" s="912">
        <f>DH76/DH$20</f>
        <v/>
      </c>
      <c r="DI77" s="912">
        <f>DI76/DI$20</f>
        <v/>
      </c>
      <c r="DJ77" s="912">
        <f>DJ76/DJ$20</f>
        <v/>
      </c>
      <c r="DK77" s="912">
        <f>DK76/DK$20</f>
        <v/>
      </c>
      <c r="DL77" s="912">
        <f>DL76/DL$20</f>
        <v/>
      </c>
      <c r="DM77" s="912">
        <f>DM76/DM$20</f>
        <v/>
      </c>
      <c r="DN77" s="912">
        <f>DN76/DN$20</f>
        <v/>
      </c>
      <c r="DO77" s="912">
        <f>DO76/DO$20</f>
        <v/>
      </c>
      <c r="DP77" s="912">
        <f>DP76/DP$20</f>
        <v/>
      </c>
      <c r="DQ77" s="912">
        <f>DQ76/DQ$20</f>
        <v/>
      </c>
      <c r="DR77" s="912">
        <f>DR76/DR$20</f>
        <v/>
      </c>
      <c r="DS77" s="912">
        <f>DS76/DS$20</f>
        <v/>
      </c>
    </row>
    <row r="78">
      <c r="A78" s="191" t="n"/>
      <c r="B78" s="914" t="n"/>
      <c r="C78" s="914" t="n"/>
      <c r="D78" s="914" t="n"/>
      <c r="E78" s="914" t="n"/>
      <c r="F78" s="914" t="n"/>
      <c r="G78" s="914" t="n"/>
      <c r="H78" s="914" t="n"/>
      <c r="I78" s="914" t="n"/>
      <c r="J78" s="914" t="n"/>
      <c r="K78" s="914" t="n"/>
      <c r="L78" s="914" t="n"/>
      <c r="M78" s="914" t="n"/>
    </row>
    <row r="79">
      <c r="A79" s="74">
        <f>FS_Q!A16</f>
        <v/>
      </c>
      <c r="B79" s="914" t="n"/>
      <c r="C79" s="914" t="n"/>
      <c r="D79" s="914" t="n"/>
      <c r="E79" s="914" t="n"/>
      <c r="F79" s="914" t="n"/>
      <c r="G79" s="914" t="n"/>
      <c r="H79" s="914" t="n"/>
      <c r="I79" s="914" t="n"/>
      <c r="J79" s="914" t="n"/>
      <c r="K79" s="914" t="n"/>
      <c r="L79" s="914" t="n"/>
      <c r="M79" s="914" t="n"/>
      <c r="N79" s="516">
        <f>FS_Q!N16</f>
        <v/>
      </c>
      <c r="O79" s="516">
        <f>FS_Q!O16</f>
        <v/>
      </c>
      <c r="P79" s="516">
        <f>FS_Q!P16</f>
        <v/>
      </c>
      <c r="Q79" s="516">
        <f>FS_Q!Q16</f>
        <v/>
      </c>
      <c r="R79" s="516">
        <f>FS_Q!R16</f>
        <v/>
      </c>
      <c r="S79" s="516">
        <f>FS_Q!S16</f>
        <v/>
      </c>
      <c r="T79" s="516">
        <f>FS_Q!T16</f>
        <v/>
      </c>
      <c r="U79" s="516">
        <f>FS_Q!U16</f>
        <v/>
      </c>
      <c r="V79" s="516">
        <f>FS_Q!V16</f>
        <v/>
      </c>
      <c r="W79" s="516">
        <f>FS_Q!W16</f>
        <v/>
      </c>
      <c r="X79" s="516">
        <f>FS_Q!X16</f>
        <v/>
      </c>
      <c r="Y79" s="516">
        <f>FS_Q!Y16</f>
        <v/>
      </c>
      <c r="Z79" s="516">
        <f>FS_Q!Z16</f>
        <v/>
      </c>
      <c r="AA79" s="516">
        <f>FS_Q!AA16</f>
        <v/>
      </c>
      <c r="AB79" s="516">
        <f>FS_Q!AB16</f>
        <v/>
      </c>
      <c r="AC79" s="516">
        <f>FS_Q!AC16</f>
        <v/>
      </c>
      <c r="AD79" s="516">
        <f>FS_Q!AD16</f>
        <v/>
      </c>
      <c r="AE79" s="516">
        <f>FS_Q!AE16</f>
        <v/>
      </c>
      <c r="AF79" s="516">
        <f>FS_Q!AF16</f>
        <v/>
      </c>
      <c r="AG79" s="516">
        <f>FS_Q!AG16</f>
        <v/>
      </c>
      <c r="AH79" s="516">
        <f>FS_Q!AH16</f>
        <v/>
      </c>
      <c r="AI79" s="516">
        <f>FS_Q!AI16</f>
        <v/>
      </c>
      <c r="AJ79" s="516">
        <f>FS_Q!AJ16</f>
        <v/>
      </c>
      <c r="AK79" s="516">
        <f>FS_Q!AK16</f>
        <v/>
      </c>
      <c r="AL79" s="516">
        <f>FS_Q!AL16</f>
        <v/>
      </c>
      <c r="AM79" s="516">
        <f>FS_Q!AM16</f>
        <v/>
      </c>
      <c r="AN79" s="516">
        <f>FS_Q!AN16</f>
        <v/>
      </c>
      <c r="AO79" s="516">
        <f>FS_Q!AO16</f>
        <v/>
      </c>
      <c r="AP79" s="516">
        <f>FS_Q!AP16</f>
        <v/>
      </c>
      <c r="AQ79" s="516">
        <f>FS_Q!AQ16</f>
        <v/>
      </c>
      <c r="AR79" s="516">
        <f>FS_Q!AR16</f>
        <v/>
      </c>
      <c r="AS79" s="516">
        <f>FS_Q!AS16</f>
        <v/>
      </c>
      <c r="AT79" s="516">
        <f>FS_Q!AT16</f>
        <v/>
      </c>
      <c r="AU79" s="516">
        <f>FS_Q!AU16</f>
        <v/>
      </c>
      <c r="AV79" s="516">
        <f>FS_Q!AV16</f>
        <v/>
      </c>
      <c r="AW79" s="516">
        <f>FS_Q!AW16</f>
        <v/>
      </c>
      <c r="AX79" s="516">
        <f>FS_Q!AX16</f>
        <v/>
      </c>
      <c r="AY79" s="516">
        <f>FS_Q!AY16</f>
        <v/>
      </c>
      <c r="AZ79" s="516">
        <f>FS_Q!AZ16</f>
        <v/>
      </c>
      <c r="BA79" s="516">
        <f>FS_Q!BA16</f>
        <v/>
      </c>
      <c r="BB79" s="516">
        <f>FS_Q!BB16</f>
        <v/>
      </c>
      <c r="BC79" s="516">
        <f>FS_Q!BC16</f>
        <v/>
      </c>
      <c r="BD79" s="516">
        <f>FS_Q!BD16</f>
        <v/>
      </c>
      <c r="BE79" s="516">
        <f>FS_Q!BE16</f>
        <v/>
      </c>
      <c r="BF79" s="516">
        <f>FS_Q!BF16</f>
        <v/>
      </c>
      <c r="BG79" s="516">
        <f>FS_Q!BG16</f>
        <v/>
      </c>
      <c r="BH79" s="516">
        <f>FS_Q!BH16</f>
        <v/>
      </c>
      <c r="BI79" s="516">
        <f>FS_Q!BI16</f>
        <v/>
      </c>
      <c r="BJ79" s="516">
        <f>FS_Q!BJ16</f>
        <v/>
      </c>
      <c r="BK79" s="516">
        <f>FS_Q!BK16</f>
        <v/>
      </c>
      <c r="BL79" s="516">
        <f>FS_Q!BL16</f>
        <v/>
      </c>
      <c r="BM79" s="516">
        <f>FS_Q!BM16</f>
        <v/>
      </c>
      <c r="BN79" s="516">
        <f>FS_Q!BN16</f>
        <v/>
      </c>
      <c r="BO79" s="516">
        <f>FS_Q!BO16</f>
        <v/>
      </c>
      <c r="BP79" s="516">
        <f>FS_Q!BP16</f>
        <v/>
      </c>
      <c r="BQ79" s="516">
        <f>FS_Q!BQ16</f>
        <v/>
      </c>
      <c r="BR79" s="516">
        <f>FS_Q!BR16</f>
        <v/>
      </c>
      <c r="BS79" s="517">
        <f>BS$20*BS80</f>
        <v/>
      </c>
      <c r="BT79" s="517">
        <f>BT$20*BT80</f>
        <v/>
      </c>
      <c r="BU79" s="517">
        <f>BU$20*BU80</f>
        <v/>
      </c>
      <c r="BV79" s="517">
        <f>BV$20*BV80</f>
        <v/>
      </c>
      <c r="BW79" s="517">
        <f>BW$20*BW80</f>
        <v/>
      </c>
      <c r="BX79" s="517">
        <f>BX$20*BX80</f>
        <v/>
      </c>
      <c r="BY79" s="517">
        <f>BY$20*BY80</f>
        <v/>
      </c>
      <c r="BZ79" s="517">
        <f>BZ$20*BZ80</f>
        <v/>
      </c>
      <c r="CA79" s="517">
        <f>CA$20*CA80</f>
        <v/>
      </c>
      <c r="CB79" s="517">
        <f>CB$20*CB80</f>
        <v/>
      </c>
      <c r="CC79" s="517">
        <f>CC$20*CC80</f>
        <v/>
      </c>
      <c r="CD79" s="517">
        <f>CD$20*CD80</f>
        <v/>
      </c>
      <c r="CE79" s="517">
        <f>CE$20*CE80</f>
        <v/>
      </c>
      <c r="CF79" s="517">
        <f>CF$20*CF80</f>
        <v/>
      </c>
      <c r="CG79" s="517">
        <f>CG$20*CG80</f>
        <v/>
      </c>
      <c r="CH79" s="517">
        <f>CH$20*CH80</f>
        <v/>
      </c>
      <c r="CI79" s="517">
        <f>CI$20*CI80</f>
        <v/>
      </c>
      <c r="CJ79" s="517">
        <f>CJ$20*CJ80</f>
        <v/>
      </c>
      <c r="CK79" s="517">
        <f>CK$20*CK80</f>
        <v/>
      </c>
      <c r="DA79" s="517">
        <f>SUMIF($N$1:$CG$1,DA$1,$N79:$CG79)</f>
        <v/>
      </c>
      <c r="DB79" s="517">
        <f>SUMIF($N$1:$CG$1,DB$1,$N79:$CG79)</f>
        <v/>
      </c>
      <c r="DC79" s="517">
        <f>SUMIF($N$1:$CG$1,DC$1,$N79:$CG79)</f>
        <v/>
      </c>
      <c r="DD79" s="517">
        <f>SUMIF($N$1:$CG$1,DD$1,$N79:$CG79)</f>
        <v/>
      </c>
      <c r="DE79" s="517">
        <f>SUMIF($N$1:$CG$1,DE$1,$N79:$CG79)</f>
        <v/>
      </c>
      <c r="DF79" s="517">
        <f>SUMIF($N$1:$CG$1,DF$1,$N79:$CG79)</f>
        <v/>
      </c>
      <c r="DG79" s="517">
        <f>SUMIF($N$1:$CG$1,DG$1,$N79:$CG79)</f>
        <v/>
      </c>
      <c r="DH79" s="517">
        <f>SUMIF($N$1:$CG$1,DH$1,$N79:$CG79)</f>
        <v/>
      </c>
      <c r="DI79" s="517">
        <f>SUMIF($N$1:$CG$1,DI$1,$N79:$CG79)</f>
        <v/>
      </c>
      <c r="DJ79" s="517">
        <f>SUMIF($N$1:$CG$1,DJ$1,$N79:$CG79)</f>
        <v/>
      </c>
      <c r="DK79" s="517">
        <f>SUMIF($N$1:$CG$1,DK$1,$N79:$CG79)</f>
        <v/>
      </c>
      <c r="DL79" s="517">
        <f>SUMIF($N$1:$CG$1,DL$1,$N79:$CG79)</f>
        <v/>
      </c>
      <c r="DM79" s="517">
        <f>SUMIF($N$1:$CG$1,DM$1,$N79:$CG79)</f>
        <v/>
      </c>
      <c r="DN79" s="517">
        <f>SUMIF($N$1:$CG$1,DN$1,$N79:$CG79)</f>
        <v/>
      </c>
      <c r="DO79" s="517">
        <f>SUMIF($N$1:$CG$1,DO$1,$N79:$CG79)</f>
        <v/>
      </c>
      <c r="DP79" s="517">
        <f>SUMIF($N$1:$CG$1,DP$1,$N79:$CG79)</f>
        <v/>
      </c>
      <c r="DQ79" s="517">
        <f>SUMIF($N$1:$CG$1,DQ$1,$N79:$CG79)</f>
        <v/>
      </c>
      <c r="DR79" s="517">
        <f>SUMIF($N$1:$CG$1,DR$1,$N79:$CG79)</f>
        <v/>
      </c>
      <c r="DS79" s="517">
        <f>SUMIF($N$1:$CK$1,DS$1,$N79:$CK79)</f>
        <v/>
      </c>
    </row>
    <row r="80">
      <c r="A80" s="191">
        <f>A77</f>
        <v/>
      </c>
      <c r="B80" s="914" t="n"/>
      <c r="C80" s="914" t="n"/>
      <c r="D80" s="914" t="n"/>
      <c r="E80" s="914" t="n"/>
      <c r="F80" s="914" t="n"/>
      <c r="G80" s="914" t="n"/>
      <c r="H80" s="914" t="n"/>
      <c r="I80" s="914" t="n"/>
      <c r="J80" s="914" t="n"/>
      <c r="K80" s="914" t="n"/>
      <c r="L80" s="914" t="n"/>
      <c r="M80" s="914" t="n"/>
      <c r="N80" s="908">
        <f>N79/N$20</f>
        <v/>
      </c>
      <c r="O80" s="908">
        <f>O79/O$20</f>
        <v/>
      </c>
      <c r="P80" s="908">
        <f>P79/P$20</f>
        <v/>
      </c>
      <c r="Q80" s="908">
        <f>Q79/Q$20</f>
        <v/>
      </c>
      <c r="R80" s="908">
        <f>R79/R$20</f>
        <v/>
      </c>
      <c r="S80" s="908">
        <f>S79/S$20</f>
        <v/>
      </c>
      <c r="T80" s="908">
        <f>T79/T$20</f>
        <v/>
      </c>
      <c r="U80" s="908">
        <f>U79/U$20</f>
        <v/>
      </c>
      <c r="V80" s="908">
        <f>V79/V$20</f>
        <v/>
      </c>
      <c r="W80" s="908">
        <f>W79/W$20</f>
        <v/>
      </c>
      <c r="X80" s="908">
        <f>X79/X$20</f>
        <v/>
      </c>
      <c r="Y80" s="908">
        <f>Y79/Y$20</f>
        <v/>
      </c>
      <c r="Z80" s="908">
        <f>Z79/Z$20</f>
        <v/>
      </c>
      <c r="AA80" s="908">
        <f>AA79/AA$20</f>
        <v/>
      </c>
      <c r="AB80" s="908">
        <f>AB79/AB$20</f>
        <v/>
      </c>
      <c r="AC80" s="908">
        <f>AC79/AC$20</f>
        <v/>
      </c>
      <c r="AD80" s="908">
        <f>AD79/AD$20</f>
        <v/>
      </c>
      <c r="AE80" s="908">
        <f>AE79/AE$20</f>
        <v/>
      </c>
      <c r="AF80" s="908">
        <f>AF79/AF$20</f>
        <v/>
      </c>
      <c r="AG80" s="908">
        <f>AG79/AG$20</f>
        <v/>
      </c>
      <c r="AH80" s="908">
        <f>AH79/AH$20</f>
        <v/>
      </c>
      <c r="AI80" s="908">
        <f>AI79/AI$20</f>
        <v/>
      </c>
      <c r="AJ80" s="908">
        <f>AJ79/AJ$20</f>
        <v/>
      </c>
      <c r="AK80" s="908">
        <f>AK79/AK$20</f>
        <v/>
      </c>
      <c r="AL80" s="908">
        <f>AL79/AL$20</f>
        <v/>
      </c>
      <c r="AM80" s="908">
        <f>AM79/AM$20</f>
        <v/>
      </c>
      <c r="AN80" s="908">
        <f>AN79/AN$20</f>
        <v/>
      </c>
      <c r="AO80" s="908">
        <f>AO79/AO$20</f>
        <v/>
      </c>
      <c r="AP80" s="908">
        <f>AP79/AP$20</f>
        <v/>
      </c>
      <c r="AQ80" s="908">
        <f>AQ79/AQ$20</f>
        <v/>
      </c>
      <c r="AR80" s="908">
        <f>AR79/AR$20</f>
        <v/>
      </c>
      <c r="AS80" s="908">
        <f>AS79/AS$20</f>
        <v/>
      </c>
      <c r="AT80" s="908">
        <f>AT79/AT$20</f>
        <v/>
      </c>
      <c r="AU80" s="908">
        <f>AU79/AU$20</f>
        <v/>
      </c>
      <c r="AV80" s="908">
        <f>AV79/AV$20</f>
        <v/>
      </c>
      <c r="AW80" s="908">
        <f>AW79/AW$20</f>
        <v/>
      </c>
      <c r="AX80" s="908">
        <f>AX79/AX$20</f>
        <v/>
      </c>
      <c r="AY80" s="908">
        <f>AY79/AY$20</f>
        <v/>
      </c>
      <c r="AZ80" s="908">
        <f>AZ79/AZ$20</f>
        <v/>
      </c>
      <c r="BA80" s="908">
        <f>BA79/BA$20</f>
        <v/>
      </c>
      <c r="BB80" s="908">
        <f>BB79/BB$20</f>
        <v/>
      </c>
      <c r="BC80" s="908">
        <f>BC79/BC$20</f>
        <v/>
      </c>
      <c r="BD80" s="908">
        <f>BD79/BD$20</f>
        <v/>
      </c>
      <c r="BE80" s="908">
        <f>BE79/BE$20</f>
        <v/>
      </c>
      <c r="BF80" s="908">
        <f>BF79/BF$20</f>
        <v/>
      </c>
      <c r="BG80" s="908">
        <f>BG79/BG$20</f>
        <v/>
      </c>
      <c r="BH80" s="908">
        <f>BH79/BH$20</f>
        <v/>
      </c>
      <c r="BI80" s="908">
        <f>BI79/BI$20</f>
        <v/>
      </c>
      <c r="BJ80" s="908">
        <f>BJ79/BJ$20</f>
        <v/>
      </c>
      <c r="BK80" s="908">
        <f>BK79/BK$20</f>
        <v/>
      </c>
      <c r="BL80" s="908">
        <f>BL79/BL$20</f>
        <v/>
      </c>
      <c r="BM80" s="908">
        <f>BM79/BM$20</f>
        <v/>
      </c>
      <c r="BN80" s="908">
        <f>BN79/BN$20</f>
        <v/>
      </c>
      <c r="BO80" s="908">
        <f>BO79/BO$20</f>
        <v/>
      </c>
      <c r="BP80" s="908">
        <f>BP79/BP$20</f>
        <v/>
      </c>
      <c r="BQ80" s="908">
        <f>BQ79/BQ$20</f>
        <v/>
      </c>
      <c r="BR80" s="908">
        <f>BR79/BR$20</f>
        <v/>
      </c>
      <c r="BS80" s="915" t="n">
        <v>0.12</v>
      </c>
      <c r="BT80" s="915" t="n">
        <v>0.1</v>
      </c>
      <c r="BU80" s="915" t="n">
        <v>0.095</v>
      </c>
      <c r="BV80" s="909" t="n">
        <v>0.095</v>
      </c>
      <c r="BW80" s="909" t="n">
        <v>0.093</v>
      </c>
      <c r="BX80" s="909" t="n">
        <v>0.08</v>
      </c>
      <c r="BY80" s="909" t="n">
        <v>0.08</v>
      </c>
      <c r="BZ80" s="909" t="n">
        <v>0.095</v>
      </c>
      <c r="CA80" s="909" t="n">
        <v>0.09</v>
      </c>
      <c r="CB80" s="909" t="n">
        <v>0.09</v>
      </c>
      <c r="CC80" s="909" t="n">
        <v>0.09</v>
      </c>
      <c r="CD80" s="909" t="n">
        <v>0.08500000000000001</v>
      </c>
      <c r="CE80" s="909" t="n">
        <v>0.08500000000000001</v>
      </c>
      <c r="CF80" s="909" t="n">
        <v>0.08500000000000001</v>
      </c>
      <c r="CG80" s="909" t="n">
        <v>0.08500000000000001</v>
      </c>
      <c r="CH80" s="909" t="n">
        <v>0.08500000000000001</v>
      </c>
      <c r="CI80" s="909" t="n">
        <v>0.08500000000000001</v>
      </c>
      <c r="CJ80" s="909" t="n">
        <v>0.08500000000000001</v>
      </c>
      <c r="CK80" s="909" t="n">
        <v>0.08500000000000001</v>
      </c>
      <c r="DA80" s="912">
        <f>DA79/DA$20</f>
        <v/>
      </c>
      <c r="DB80" s="912">
        <f>DB79/DB$20</f>
        <v/>
      </c>
      <c r="DC80" s="912">
        <f>DC79/DC$20</f>
        <v/>
      </c>
      <c r="DD80" s="912">
        <f>DD79/DD$20</f>
        <v/>
      </c>
      <c r="DE80" s="912">
        <f>DE79/DE$20</f>
        <v/>
      </c>
      <c r="DF80" s="912">
        <f>DF79/DF$20</f>
        <v/>
      </c>
      <c r="DG80" s="912">
        <f>DG79/DG$20</f>
        <v/>
      </c>
      <c r="DH80" s="912">
        <f>DH79/DH$20</f>
        <v/>
      </c>
      <c r="DI80" s="912">
        <f>DI79/DI$20</f>
        <v/>
      </c>
      <c r="DJ80" s="912">
        <f>DJ79/DJ$20</f>
        <v/>
      </c>
      <c r="DK80" s="912">
        <f>DK79/DK$20</f>
        <v/>
      </c>
      <c r="DL80" s="912">
        <f>DL79/DL$20</f>
        <v/>
      </c>
      <c r="DM80" s="912">
        <f>DM79/DM$20</f>
        <v/>
      </c>
      <c r="DN80" s="912">
        <f>DN79/DN$20</f>
        <v/>
      </c>
      <c r="DO80" s="912">
        <f>DO79/DO$20</f>
        <v/>
      </c>
      <c r="DP80" s="912">
        <f>DP79/DP$20</f>
        <v/>
      </c>
      <c r="DQ80" s="912">
        <f>DQ79/DQ$20</f>
        <v/>
      </c>
      <c r="DR80" s="912">
        <f>DR79/DR$20</f>
        <v/>
      </c>
      <c r="DS80" s="912">
        <f>DS79/DS$20</f>
        <v/>
      </c>
    </row>
    <row r="81">
      <c r="A81" s="191" t="n"/>
      <c r="B81" s="914" t="n"/>
      <c r="C81" s="914" t="n"/>
      <c r="D81" s="914" t="n"/>
      <c r="E81" s="914" t="n"/>
      <c r="F81" s="914" t="n"/>
      <c r="G81" s="914" t="n"/>
      <c r="H81" s="914" t="n"/>
      <c r="I81" s="914" t="n"/>
      <c r="J81" s="914" t="n"/>
      <c r="K81" s="914" t="n"/>
      <c r="L81" s="914" t="n"/>
      <c r="M81" s="914" t="n"/>
      <c r="N81" s="908" t="n"/>
      <c r="O81" s="908" t="n"/>
      <c r="P81" s="908" t="n"/>
      <c r="Q81" s="908" t="n"/>
      <c r="R81" s="908" t="n"/>
      <c r="S81" s="908" t="n"/>
      <c r="T81" s="908" t="n"/>
      <c r="U81" s="908" t="n"/>
      <c r="V81" s="908" t="n"/>
      <c r="W81" s="908" t="n"/>
      <c r="X81" s="908" t="n"/>
      <c r="Y81" s="908" t="n"/>
      <c r="Z81" s="908" t="n"/>
      <c r="AA81" s="908" t="n"/>
      <c r="AB81" s="908" t="n"/>
      <c r="AC81" s="908" t="n"/>
      <c r="AD81" s="908" t="n"/>
      <c r="AE81" s="908" t="n"/>
      <c r="AF81" s="908" t="n"/>
      <c r="AG81" s="908" t="n"/>
      <c r="AH81" s="908" t="n"/>
      <c r="AI81" s="908" t="n"/>
      <c r="AJ81" s="908" t="n"/>
      <c r="AK81" s="908" t="n"/>
      <c r="AL81" s="908" t="n"/>
      <c r="AM81" s="908" t="n"/>
      <c r="AN81" s="908" t="n"/>
      <c r="AO81" s="908" t="n"/>
      <c r="AP81" s="908" t="n"/>
      <c r="AQ81" s="908" t="n"/>
      <c r="AR81" s="908" t="n"/>
      <c r="AS81" s="908" t="n"/>
      <c r="AT81" s="908" t="n"/>
      <c r="AU81" s="908" t="n"/>
      <c r="AV81" s="908" t="n"/>
      <c r="AW81" s="908" t="n"/>
      <c r="AX81" s="908" t="n"/>
      <c r="AY81" s="908" t="n"/>
      <c r="AZ81" s="908" t="n"/>
      <c r="BA81" s="908" t="n"/>
      <c r="BB81" s="908" t="n"/>
      <c r="BC81" s="908" t="n"/>
      <c r="BD81" s="908" t="n"/>
      <c r="BE81" s="908" t="n"/>
      <c r="BF81" s="908" t="n"/>
      <c r="BG81" s="908" t="n"/>
      <c r="BH81" s="908" t="n"/>
      <c r="BI81" s="908" t="n"/>
      <c r="BJ81" s="908" t="n"/>
      <c r="BK81" s="908" t="n"/>
      <c r="BL81" s="908" t="n"/>
      <c r="BM81" s="908" t="n"/>
      <c r="BN81" s="908" t="n"/>
      <c r="BO81" s="908" t="n"/>
      <c r="BP81" s="908" t="n"/>
      <c r="BQ81" s="908" t="n"/>
      <c r="BR81" s="908" t="n"/>
      <c r="BS81" s="909" t="n"/>
      <c r="BT81" s="909" t="n"/>
      <c r="BU81" s="909" t="n"/>
      <c r="BV81" s="909" t="n"/>
      <c r="BW81" s="909" t="n"/>
      <c r="BX81" s="909" t="n"/>
      <c r="BY81" s="909" t="n"/>
      <c r="BZ81" s="909" t="n"/>
      <c r="CA81" s="909" t="n"/>
      <c r="CB81" s="909" t="n"/>
      <c r="CC81" s="909" t="n"/>
      <c r="CD81" s="909" t="n"/>
      <c r="CE81" s="909" t="n"/>
      <c r="CF81" s="909" t="n"/>
      <c r="CG81" s="909" t="n"/>
      <c r="CH81" s="909" t="n"/>
      <c r="CI81" s="909" t="n"/>
      <c r="CJ81" s="909" t="n"/>
      <c r="CK81" s="909" t="n"/>
      <c r="DA81" s="912" t="n"/>
      <c r="DB81" s="912" t="n"/>
      <c r="DC81" s="912" t="n"/>
      <c r="DD81" s="912" t="n"/>
      <c r="DE81" s="912" t="n"/>
      <c r="DF81" s="912" t="n"/>
      <c r="DG81" s="912" t="n"/>
      <c r="DH81" s="912" t="n"/>
      <c r="DI81" s="912" t="n"/>
      <c r="DJ81" s="912" t="n"/>
      <c r="DK81" s="912" t="n"/>
      <c r="DL81" s="912" t="n"/>
      <c r="DM81" s="912" t="n"/>
      <c r="DN81" s="912" t="n"/>
      <c r="DO81" s="912" t="n"/>
      <c r="DP81" s="912" t="n"/>
      <c r="DQ81" s="912" t="n"/>
      <c r="DR81" s="912" t="n"/>
      <c r="DS81" s="912" t="n"/>
    </row>
    <row r="82">
      <c r="A82" s="518" t="inlineStr">
        <is>
          <t>Total SG&amp;A</t>
        </is>
      </c>
      <c r="B82" s="914" t="n"/>
      <c r="C82" s="914" t="n"/>
      <c r="D82" s="914" t="n"/>
      <c r="E82" s="914" t="n"/>
      <c r="F82" s="914" t="n"/>
      <c r="G82" s="914" t="n"/>
      <c r="H82" s="914" t="n"/>
      <c r="I82" s="914" t="n"/>
      <c r="J82" s="914" t="n"/>
      <c r="K82" s="914" t="n"/>
      <c r="L82" s="914" t="n"/>
      <c r="M82" s="914" t="n"/>
      <c r="N82" s="50">
        <f>N73+N76+N79</f>
        <v/>
      </c>
      <c r="O82" s="50">
        <f>O73+O76+O79</f>
        <v/>
      </c>
      <c r="P82" s="50">
        <f>P73+P76+P79</f>
        <v/>
      </c>
      <c r="Q82" s="50">
        <f>Q73+Q76+Q79</f>
        <v/>
      </c>
      <c r="R82" s="50">
        <f>R73+R76+R79</f>
        <v/>
      </c>
      <c r="S82" s="50">
        <f>S73+S76+S79</f>
        <v/>
      </c>
      <c r="T82" s="50">
        <f>T73+T76+T79</f>
        <v/>
      </c>
      <c r="U82" s="50">
        <f>U73+U76+U79</f>
        <v/>
      </c>
      <c r="V82" s="50">
        <f>V73+V76+V79</f>
        <v/>
      </c>
      <c r="W82" s="50">
        <f>W73+W76+W79</f>
        <v/>
      </c>
      <c r="X82" s="50">
        <f>X73+X76+X79</f>
        <v/>
      </c>
      <c r="Y82" s="50">
        <f>Y73+Y76+Y79</f>
        <v/>
      </c>
      <c r="Z82" s="50">
        <f>Z73+Z76+Z79</f>
        <v/>
      </c>
      <c r="AA82" s="50">
        <f>AA73+AA76+AA79</f>
        <v/>
      </c>
      <c r="AB82" s="50">
        <f>AB73+AB76+AB79</f>
        <v/>
      </c>
      <c r="AC82" s="50">
        <f>AC73+AC76+AC79</f>
        <v/>
      </c>
      <c r="AD82" s="50">
        <f>AD73+AD76+AD79</f>
        <v/>
      </c>
      <c r="AE82" s="50">
        <f>AE73+AE76+AE79</f>
        <v/>
      </c>
      <c r="AF82" s="50">
        <f>AF73+AF76+AF79</f>
        <v/>
      </c>
      <c r="AG82" s="50">
        <f>AG73+AG76+AG79</f>
        <v/>
      </c>
      <c r="AH82" s="50">
        <f>AH73+AH76+AH79</f>
        <v/>
      </c>
      <c r="AI82" s="50">
        <f>AI73+AI76+AI79</f>
        <v/>
      </c>
      <c r="AJ82" s="50">
        <f>AJ73+AJ76+AJ79</f>
        <v/>
      </c>
      <c r="AK82" s="50">
        <f>AK73+AK76+AK79</f>
        <v/>
      </c>
      <c r="AL82" s="50">
        <f>AL73+AL76+AL79</f>
        <v/>
      </c>
      <c r="AM82" s="50">
        <f>AM73+AM76+AM79</f>
        <v/>
      </c>
      <c r="AN82" s="50">
        <f>AN73+AN76+AN79</f>
        <v/>
      </c>
      <c r="AO82" s="50">
        <f>AO73+AO76+AO79</f>
        <v/>
      </c>
      <c r="AP82" s="50">
        <f>AP73+AP76+AP79</f>
        <v/>
      </c>
      <c r="AQ82" s="50">
        <f>AQ73+AQ76+AQ79</f>
        <v/>
      </c>
      <c r="AR82" s="50">
        <f>AR73+AR76+AR79</f>
        <v/>
      </c>
      <c r="AS82" s="50">
        <f>AS73+AS76+AS79</f>
        <v/>
      </c>
      <c r="AT82" s="50">
        <f>AT73+AT76+AT79</f>
        <v/>
      </c>
      <c r="AU82" s="50">
        <f>AU73+AU76+AU79</f>
        <v/>
      </c>
      <c r="AV82" s="50">
        <f>AV73+AV76+AV79</f>
        <v/>
      </c>
      <c r="AW82" s="50">
        <f>AW73+AW76+AW79</f>
        <v/>
      </c>
      <c r="AX82" s="50">
        <f>AX73+AX76+AX79</f>
        <v/>
      </c>
      <c r="AY82" s="50">
        <f>AY73+AY76+AY79</f>
        <v/>
      </c>
      <c r="AZ82" s="50">
        <f>AZ73+AZ76+AZ79</f>
        <v/>
      </c>
      <c r="BA82" s="50">
        <f>BA73+BA76+BA79</f>
        <v/>
      </c>
      <c r="BB82" s="50">
        <f>BB73+BB76+BB79</f>
        <v/>
      </c>
      <c r="BC82" s="50">
        <f>BC73+BC76+BC79</f>
        <v/>
      </c>
      <c r="BD82" s="50">
        <f>BD73+BD76+BD79</f>
        <v/>
      </c>
      <c r="BE82" s="50">
        <f>BE73+BE76+BE79</f>
        <v/>
      </c>
      <c r="BF82" s="50">
        <f>BF73+BF76+BF79</f>
        <v/>
      </c>
      <c r="BG82" s="50">
        <f>BG73+BG76+BG79</f>
        <v/>
      </c>
      <c r="BH82" s="50">
        <f>BH73+BH76+BH79</f>
        <v/>
      </c>
      <c r="BI82" s="50">
        <f>BI73+BI76+BI79</f>
        <v/>
      </c>
      <c r="BJ82" s="50">
        <f>BJ73+BJ76+BJ79</f>
        <v/>
      </c>
      <c r="BK82" s="50">
        <f>BK73+BK76+BK79</f>
        <v/>
      </c>
      <c r="BL82" s="50">
        <f>BL73+BL76+BL79</f>
        <v/>
      </c>
      <c r="BM82" s="50">
        <f>BM73+BM76+BM79</f>
        <v/>
      </c>
      <c r="BN82" s="50">
        <f>BN73+BN76+BN79</f>
        <v/>
      </c>
      <c r="BO82" s="50">
        <f>BO73+BO76+BO79</f>
        <v/>
      </c>
      <c r="BP82" s="50">
        <f>BP73+BP76+BP79</f>
        <v/>
      </c>
      <c r="BQ82" s="50">
        <f>BQ73+BQ76+BQ79</f>
        <v/>
      </c>
      <c r="BR82" s="50">
        <f>BR73+BR76+BR79</f>
        <v/>
      </c>
      <c r="BS82" s="50">
        <f>BS73+BS76+BS79</f>
        <v/>
      </c>
      <c r="BT82" s="50">
        <f>BT73+BT76+BT79</f>
        <v/>
      </c>
      <c r="BU82" s="50">
        <f>BU73+BU76+BU79</f>
        <v/>
      </c>
      <c r="BV82" s="50">
        <f>BV73+BV76+BV79</f>
        <v/>
      </c>
      <c r="BW82" s="50">
        <f>BW73+BW76+BW79</f>
        <v/>
      </c>
      <c r="BX82" s="50">
        <f>BX73+BX76+BX79</f>
        <v/>
      </c>
      <c r="BY82" s="50">
        <f>BY73+BY76+BY79</f>
        <v/>
      </c>
      <c r="BZ82" s="50">
        <f>BZ73+BZ76+BZ79</f>
        <v/>
      </c>
      <c r="CA82" s="50">
        <f>CA73+CA76+CA79</f>
        <v/>
      </c>
      <c r="CB82" s="50">
        <f>CB73+CB76+CB79</f>
        <v/>
      </c>
      <c r="CC82" s="50">
        <f>CC73+CC76+CC79</f>
        <v/>
      </c>
      <c r="CD82" s="50">
        <f>CD73+CD76+CD79</f>
        <v/>
      </c>
      <c r="CE82" s="50">
        <f>CE73+CE76+CE79</f>
        <v/>
      </c>
      <c r="CF82" s="50">
        <f>CF73+CF76+CF79</f>
        <v/>
      </c>
      <c r="CG82" s="50">
        <f>CG73+CG76+CG79</f>
        <v/>
      </c>
      <c r="CH82" s="50">
        <f>CH73+CH76+CH79</f>
        <v/>
      </c>
      <c r="CI82" s="50">
        <f>CI73+CI76+CI79</f>
        <v/>
      </c>
      <c r="CJ82" s="50">
        <f>CJ73+CJ76+CJ79</f>
        <v/>
      </c>
      <c r="CK82" s="50">
        <f>CK73+CK76+CK79</f>
        <v/>
      </c>
      <c r="DA82" s="912" t="n"/>
      <c r="DB82" s="912" t="n"/>
      <c r="DC82" s="912" t="n"/>
      <c r="DD82" s="912" t="n"/>
      <c r="DE82" s="912" t="n"/>
      <c r="DF82" s="912" t="n"/>
      <c r="DG82" s="912" t="n"/>
      <c r="DH82" s="912" t="n"/>
      <c r="DI82" s="912" t="n"/>
      <c r="DJ82" s="912" t="n"/>
      <c r="DK82" s="912" t="n"/>
      <c r="DL82" s="912" t="n"/>
      <c r="DM82" s="912" t="n"/>
      <c r="DN82" s="912" t="n"/>
      <c r="DO82" s="912" t="n"/>
      <c r="DP82" s="912" t="n"/>
      <c r="DQ82" s="912" t="n"/>
      <c r="DR82" s="912" t="n"/>
      <c r="DS82" s="912" t="n"/>
    </row>
    <row r="83">
      <c r="A83" s="191" t="inlineStr">
        <is>
          <t>yoy growth</t>
        </is>
      </c>
      <c r="B83" s="914" t="n"/>
      <c r="C83" s="914" t="n"/>
      <c r="D83" s="914" t="n"/>
      <c r="E83" s="914" t="n"/>
      <c r="F83" s="914" t="n"/>
      <c r="G83" s="914" t="n"/>
      <c r="H83" s="914" t="n"/>
      <c r="I83" s="914" t="n"/>
      <c r="J83" s="914" t="n"/>
      <c r="K83" s="914" t="n"/>
      <c r="L83" s="914" t="n"/>
      <c r="M83" s="914" t="n"/>
      <c r="N83" s="908" t="n"/>
      <c r="O83" s="908" t="n"/>
      <c r="P83" s="908" t="n"/>
      <c r="Q83" s="908" t="n"/>
      <c r="R83" s="908">
        <f>R82/N82-1</f>
        <v/>
      </c>
      <c r="S83" s="908">
        <f>S82/O82-1</f>
        <v/>
      </c>
      <c r="T83" s="908">
        <f>T82/P82-1</f>
        <v/>
      </c>
      <c r="U83" s="908">
        <f>U82/Q82-1</f>
        <v/>
      </c>
      <c r="V83" s="908">
        <f>V82/R82-1</f>
        <v/>
      </c>
      <c r="W83" s="908">
        <f>W82/S82-1</f>
        <v/>
      </c>
      <c r="X83" s="908">
        <f>X82/T82-1</f>
        <v/>
      </c>
      <c r="Y83" s="908">
        <f>Y82/U82-1</f>
        <v/>
      </c>
      <c r="Z83" s="908">
        <f>Z82/V82-1</f>
        <v/>
      </c>
      <c r="AA83" s="908">
        <f>AA82/W82-1</f>
        <v/>
      </c>
      <c r="AB83" s="908">
        <f>AB82/X82-1</f>
        <v/>
      </c>
      <c r="AC83" s="908">
        <f>AC82/Y82-1</f>
        <v/>
      </c>
      <c r="AD83" s="908">
        <f>AD82/Z82-1</f>
        <v/>
      </c>
      <c r="AE83" s="908">
        <f>AE82/AA82-1</f>
        <v/>
      </c>
      <c r="AF83" s="908">
        <f>AF82/AB82-1</f>
        <v/>
      </c>
      <c r="AG83" s="908">
        <f>AG82/AC82-1</f>
        <v/>
      </c>
      <c r="AH83" s="908">
        <f>AH82/AD82-1</f>
        <v/>
      </c>
      <c r="AI83" s="908">
        <f>AI82/AE82-1</f>
        <v/>
      </c>
      <c r="AJ83" s="908">
        <f>AJ82/AF82-1</f>
        <v/>
      </c>
      <c r="AK83" s="908">
        <f>AK82/AG82-1</f>
        <v/>
      </c>
      <c r="AL83" s="908">
        <f>AL82/AH82-1</f>
        <v/>
      </c>
      <c r="AM83" s="908">
        <f>AM82/AI82-1</f>
        <v/>
      </c>
      <c r="AN83" s="908">
        <f>AN82/AJ82-1</f>
        <v/>
      </c>
      <c r="AO83" s="908">
        <f>AO82/AK82-1</f>
        <v/>
      </c>
      <c r="AP83" s="908">
        <f>AP82/AL82-1</f>
        <v/>
      </c>
      <c r="AQ83" s="908">
        <f>AQ82/AM82-1</f>
        <v/>
      </c>
      <c r="AR83" s="908">
        <f>AR82/AN82-1</f>
        <v/>
      </c>
      <c r="AS83" s="908">
        <f>AS82/AO82-1</f>
        <v/>
      </c>
      <c r="AT83" s="908">
        <f>AT82/AP82-1</f>
        <v/>
      </c>
      <c r="AU83" s="908">
        <f>AU82/AQ82-1</f>
        <v/>
      </c>
      <c r="AV83" s="908">
        <f>AV82/AR82-1</f>
        <v/>
      </c>
      <c r="AW83" s="908">
        <f>AW82/AS82-1</f>
        <v/>
      </c>
      <c r="AX83" s="908">
        <f>AX82/AT82-1</f>
        <v/>
      </c>
      <c r="AY83" s="908">
        <f>AY82/AU82-1</f>
        <v/>
      </c>
      <c r="AZ83" s="908">
        <f>AZ82/AV82-1</f>
        <v/>
      </c>
      <c r="BA83" s="908">
        <f>BA82/AW82-1</f>
        <v/>
      </c>
      <c r="BB83" s="908">
        <f>BB82/AX82-1</f>
        <v/>
      </c>
      <c r="BC83" s="908">
        <f>BC82/AY82-1</f>
        <v/>
      </c>
      <c r="BD83" s="908">
        <f>BD82/AZ82-1</f>
        <v/>
      </c>
      <c r="BE83" s="908">
        <f>BE82/BA82-1</f>
        <v/>
      </c>
      <c r="BF83" s="908">
        <f>BF82/BB82-1</f>
        <v/>
      </c>
      <c r="BG83" s="908">
        <f>BG82/BC82-1</f>
        <v/>
      </c>
      <c r="BH83" s="908">
        <f>BH82/BD82-1</f>
        <v/>
      </c>
      <c r="BI83" s="908">
        <f>BI82/BE82-1</f>
        <v/>
      </c>
      <c r="BJ83" s="908">
        <f>BJ82/BF82-1</f>
        <v/>
      </c>
      <c r="BK83" s="908">
        <f>BK82/BG82-1</f>
        <v/>
      </c>
      <c r="BL83" s="908">
        <f>BL82/BH82-1</f>
        <v/>
      </c>
      <c r="BM83" s="908">
        <f>BM82/BI82-1</f>
        <v/>
      </c>
      <c r="BN83" s="908">
        <f>BN82/BJ82-1</f>
        <v/>
      </c>
      <c r="BO83" s="908">
        <f>BO82/BK82-1</f>
        <v/>
      </c>
      <c r="BP83" s="908">
        <f>BP82/BL82-1</f>
        <v/>
      </c>
      <c r="BQ83" s="908">
        <f>BQ82/BM82-1</f>
        <v/>
      </c>
      <c r="BR83" s="908">
        <f>BR82/BN82-1</f>
        <v/>
      </c>
      <c r="BS83" s="908">
        <f>BS82/BO82-1</f>
        <v/>
      </c>
      <c r="BT83" s="908">
        <f>BT82/BP82-1</f>
        <v/>
      </c>
      <c r="BU83" s="908">
        <f>BU82/BQ82-1</f>
        <v/>
      </c>
      <c r="BV83" s="908">
        <f>BV82/BR82-1</f>
        <v/>
      </c>
      <c r="BW83" s="908">
        <f>BW82/BS82-1</f>
        <v/>
      </c>
      <c r="BX83" s="908">
        <f>BX82/BT82-1</f>
        <v/>
      </c>
      <c r="BY83" s="908">
        <f>BY82/BU82-1</f>
        <v/>
      </c>
      <c r="BZ83" s="908">
        <f>BZ82/BV82-1</f>
        <v/>
      </c>
      <c r="CA83" s="908">
        <f>CA82/BW82-1</f>
        <v/>
      </c>
      <c r="CB83" s="908">
        <f>CB82/BX82-1</f>
        <v/>
      </c>
      <c r="CC83" s="908">
        <f>CC82/BY82-1</f>
        <v/>
      </c>
      <c r="CD83" s="908">
        <f>CD82/BZ82-1</f>
        <v/>
      </c>
      <c r="CE83" s="908">
        <f>CE82/CA82-1</f>
        <v/>
      </c>
      <c r="CF83" s="908">
        <f>CF82/CB82-1</f>
        <v/>
      </c>
      <c r="CG83" s="908">
        <f>CG82/CC82-1</f>
        <v/>
      </c>
      <c r="CH83" s="908">
        <f>CH82/CD82-1</f>
        <v/>
      </c>
      <c r="CI83" s="908">
        <f>CI82/CE82-1</f>
        <v/>
      </c>
      <c r="CJ83" s="908">
        <f>CJ82/CF82-1</f>
        <v/>
      </c>
      <c r="CK83" s="908">
        <f>CK82/CG82-1</f>
        <v/>
      </c>
      <c r="DA83" s="912" t="n"/>
      <c r="DB83" s="912" t="n"/>
      <c r="DC83" s="912" t="n"/>
      <c r="DD83" s="912" t="n"/>
      <c r="DE83" s="912" t="n"/>
      <c r="DF83" s="912" t="n"/>
      <c r="DG83" s="912" t="n"/>
      <c r="DH83" s="912" t="n"/>
      <c r="DI83" s="912" t="n"/>
      <c r="DJ83" s="912" t="n"/>
      <c r="DK83" s="912" t="n"/>
      <c r="DL83" s="912" t="n"/>
      <c r="DM83" s="912" t="n"/>
      <c r="DN83" s="912" t="n"/>
      <c r="DO83" s="912" t="n"/>
      <c r="DP83" s="912" t="n"/>
      <c r="DQ83" s="912" t="n"/>
      <c r="DR83" s="912" t="n"/>
      <c r="DS83" s="912" t="n"/>
    </row>
    <row r="84">
      <c r="A84" s="191" t="n"/>
      <c r="B84" s="914" t="n"/>
      <c r="C84" s="914" t="n"/>
      <c r="D84" s="914" t="n"/>
      <c r="E84" s="914" t="n"/>
      <c r="F84" s="914" t="n"/>
      <c r="G84" s="914" t="n"/>
      <c r="H84" s="914" t="n"/>
      <c r="I84" s="914" t="n"/>
      <c r="J84" s="914" t="n"/>
      <c r="K84" s="914" t="n"/>
      <c r="L84" s="914" t="n"/>
      <c r="M84" s="914" t="n"/>
    </row>
    <row r="85">
      <c r="A85" s="74">
        <f>FS_Q!A17</f>
        <v/>
      </c>
      <c r="B85" s="914" t="n"/>
      <c r="C85" s="914" t="n"/>
      <c r="D85" s="914" t="n"/>
      <c r="E85" s="914" t="n"/>
      <c r="F85" s="914" t="n"/>
      <c r="G85" s="914" t="n"/>
      <c r="H85" s="914" t="n"/>
      <c r="I85" s="914" t="n"/>
      <c r="J85" s="914" t="n"/>
      <c r="K85" s="914" t="n"/>
      <c r="L85" s="914" t="n"/>
      <c r="M85" s="914" t="n"/>
      <c r="N85" s="516">
        <f>FS_Q!N17</f>
        <v/>
      </c>
      <c r="O85" s="516">
        <f>FS_Q!O17</f>
        <v/>
      </c>
      <c r="P85" s="516">
        <f>FS_Q!P17</f>
        <v/>
      </c>
      <c r="Q85" s="516">
        <f>FS_Q!Q17</f>
        <v/>
      </c>
      <c r="R85" s="516">
        <f>FS_Q!R17</f>
        <v/>
      </c>
      <c r="S85" s="516">
        <f>FS_Q!S17</f>
        <v/>
      </c>
      <c r="T85" s="516">
        <f>FS_Q!T17</f>
        <v/>
      </c>
      <c r="U85" s="516">
        <f>FS_Q!U17</f>
        <v/>
      </c>
      <c r="V85" s="516">
        <f>FS_Q!V17</f>
        <v/>
      </c>
      <c r="W85" s="516">
        <f>FS_Q!W17</f>
        <v/>
      </c>
      <c r="X85" s="516">
        <f>FS_Q!X17</f>
        <v/>
      </c>
      <c r="Y85" s="516">
        <f>FS_Q!Y17</f>
        <v/>
      </c>
      <c r="Z85" s="516">
        <f>FS_Q!Z17</f>
        <v/>
      </c>
      <c r="AA85" s="516">
        <f>FS_Q!AA17</f>
        <v/>
      </c>
      <c r="AB85" s="516">
        <f>FS_Q!AB17</f>
        <v/>
      </c>
      <c r="AC85" s="516">
        <f>FS_Q!AC17</f>
        <v/>
      </c>
      <c r="AD85" s="516">
        <f>FS_Q!AD17</f>
        <v/>
      </c>
      <c r="AE85" s="516">
        <f>FS_Q!AE17</f>
        <v/>
      </c>
      <c r="AF85" s="516">
        <f>FS_Q!AF17</f>
        <v/>
      </c>
      <c r="AG85" s="516">
        <f>FS_Q!AG17</f>
        <v/>
      </c>
      <c r="AH85" s="516">
        <f>FS_Q!AH17</f>
        <v/>
      </c>
      <c r="AI85" s="516">
        <f>FS_Q!AI17</f>
        <v/>
      </c>
      <c r="AJ85" s="516">
        <f>FS_Q!AJ17</f>
        <v/>
      </c>
      <c r="AK85" s="516">
        <f>FS_Q!AK17</f>
        <v/>
      </c>
      <c r="AL85" s="516">
        <f>FS_Q!AL17</f>
        <v/>
      </c>
      <c r="AM85" s="516">
        <f>FS_Q!AM17</f>
        <v/>
      </c>
      <c r="AN85" s="516">
        <f>FS_Q!AN17</f>
        <v/>
      </c>
      <c r="AO85" s="516">
        <f>FS_Q!AO17</f>
        <v/>
      </c>
      <c r="AP85" s="516">
        <f>FS_Q!AP17</f>
        <v/>
      </c>
      <c r="AQ85" s="516">
        <f>FS_Q!AQ17</f>
        <v/>
      </c>
      <c r="AR85" s="516">
        <f>FS_Q!AR17</f>
        <v/>
      </c>
      <c r="AS85" s="516">
        <f>FS_Q!AS17</f>
        <v/>
      </c>
      <c r="AT85" s="516">
        <f>FS_Q!AT17</f>
        <v/>
      </c>
      <c r="AU85" s="516">
        <f>FS_Q!AU17</f>
        <v/>
      </c>
      <c r="AV85" s="516">
        <f>FS_Q!AV17</f>
        <v/>
      </c>
      <c r="AW85" s="516">
        <f>FS_Q!AW17</f>
        <v/>
      </c>
      <c r="AX85" s="516">
        <f>FS_Q!AX17</f>
        <v/>
      </c>
      <c r="AY85" s="516">
        <f>FS_Q!AY17</f>
        <v/>
      </c>
      <c r="AZ85" s="516">
        <f>FS_Q!AZ17</f>
        <v/>
      </c>
      <c r="BA85" s="516">
        <f>FS_Q!BA17</f>
        <v/>
      </c>
      <c r="BB85" s="516">
        <f>FS_Q!BB17</f>
        <v/>
      </c>
      <c r="BC85" s="516">
        <f>FS_Q!BC17</f>
        <v/>
      </c>
      <c r="BD85" s="516">
        <f>FS_Q!BD17</f>
        <v/>
      </c>
      <c r="BE85" s="516">
        <f>FS_Q!BE17</f>
        <v/>
      </c>
      <c r="BF85" s="516">
        <f>FS_Q!BF17</f>
        <v/>
      </c>
      <c r="BG85" s="516">
        <f>FS_Q!BG17</f>
        <v/>
      </c>
      <c r="BH85" s="516">
        <f>FS_Q!BH17</f>
        <v/>
      </c>
      <c r="BI85" s="516">
        <f>FS_Q!BI17</f>
        <v/>
      </c>
      <c r="BJ85" s="516">
        <f>FS_Q!BJ17</f>
        <v/>
      </c>
      <c r="BK85" s="516">
        <f>FS_Q!BK17</f>
        <v/>
      </c>
      <c r="BL85" s="516">
        <f>FS_Q!BL17</f>
        <v/>
      </c>
      <c r="BM85" s="516">
        <f>FS_Q!BM17</f>
        <v/>
      </c>
      <c r="BN85" s="516">
        <f>FS_Q!BN17</f>
        <v/>
      </c>
      <c r="BO85" s="516">
        <f>FS_Q!BO17</f>
        <v/>
      </c>
      <c r="BP85" s="516">
        <f>FS_Q!BP17</f>
        <v/>
      </c>
      <c r="BQ85" s="516">
        <f>FS_Q!BQ17</f>
        <v/>
      </c>
      <c r="BR85" s="516">
        <f>FS_Q!BR17</f>
        <v/>
      </c>
      <c r="BS85" s="517">
        <f>BS$20*BS86</f>
        <v/>
      </c>
      <c r="BT85" s="517">
        <f>BT$20*BT86</f>
        <v/>
      </c>
      <c r="BU85" s="517">
        <f>BU$20*BU86</f>
        <v/>
      </c>
      <c r="BV85" s="517">
        <f>BV$20*BV86</f>
        <v/>
      </c>
      <c r="BW85" s="517">
        <f>BW$20*BW86</f>
        <v/>
      </c>
      <c r="BX85" s="517">
        <f>BX$20*BX86</f>
        <v/>
      </c>
      <c r="BY85" s="517">
        <f>BY$20*BY86</f>
        <v/>
      </c>
      <c r="BZ85" s="517">
        <f>BZ$20*BZ86</f>
        <v/>
      </c>
      <c r="CA85" s="517">
        <f>CA$20*CA86</f>
        <v/>
      </c>
      <c r="CB85" s="517">
        <f>CB$20*CB86</f>
        <v/>
      </c>
      <c r="CC85" s="517">
        <f>CC$20*CC86</f>
        <v/>
      </c>
      <c r="CD85" s="517">
        <f>CD$20*CD86</f>
        <v/>
      </c>
      <c r="CE85" s="517">
        <f>CE$20*CE86</f>
        <v/>
      </c>
      <c r="CF85" s="517">
        <f>CF$20*CF86</f>
        <v/>
      </c>
      <c r="CG85" s="517">
        <f>CG$20*CG86</f>
        <v/>
      </c>
      <c r="CH85" s="517">
        <f>CH$20*CH86</f>
        <v/>
      </c>
      <c r="CI85" s="517">
        <f>CI$20*CI86</f>
        <v/>
      </c>
      <c r="CJ85" s="517">
        <f>CJ$20*CJ86</f>
        <v/>
      </c>
      <c r="CK85" s="517">
        <f>CK$20*CK86</f>
        <v/>
      </c>
      <c r="DA85" s="517">
        <f>SUMIF($N$1:$CG$1,DA$1,$N85:$CG85)</f>
        <v/>
      </c>
      <c r="DB85" s="517">
        <f>SUMIF($N$1:$CG$1,DB$1,$N85:$CG85)</f>
        <v/>
      </c>
      <c r="DC85" s="517">
        <f>SUMIF($N$1:$CG$1,DC$1,$N85:$CG85)</f>
        <v/>
      </c>
      <c r="DD85" s="517">
        <f>SUMIF($N$1:$CG$1,DD$1,$N85:$CG85)</f>
        <v/>
      </c>
      <c r="DE85" s="517">
        <f>SUMIF($N$1:$CG$1,DE$1,$N85:$CG85)</f>
        <v/>
      </c>
      <c r="DF85" s="517">
        <f>SUMIF($N$1:$CG$1,DF$1,$N85:$CG85)</f>
        <v/>
      </c>
      <c r="DG85" s="517">
        <f>SUMIF($N$1:$CG$1,DG$1,$N85:$CG85)</f>
        <v/>
      </c>
      <c r="DH85" s="517">
        <f>SUMIF($N$1:$CG$1,DH$1,$N85:$CG85)</f>
        <v/>
      </c>
      <c r="DI85" s="517">
        <f>SUMIF($N$1:$CG$1,DI$1,$N85:$CG85)</f>
        <v/>
      </c>
      <c r="DJ85" s="517">
        <f>SUMIF($N$1:$CG$1,DJ$1,$N85:$CG85)</f>
        <v/>
      </c>
      <c r="DK85" s="517">
        <f>SUMIF($N$1:$CG$1,DK$1,$N85:$CG85)</f>
        <v/>
      </c>
      <c r="DL85" s="517">
        <f>SUMIF($N$1:$CG$1,DL$1,$N85:$CG85)</f>
        <v/>
      </c>
      <c r="DM85" s="517">
        <f>SUMIF($N$1:$CG$1,DM$1,$N85:$CG85)</f>
        <v/>
      </c>
      <c r="DN85" s="517">
        <f>SUMIF($N$1:$CG$1,DN$1,$N85:$CG85)</f>
        <v/>
      </c>
      <c r="DO85" s="517">
        <f>SUMIF($N$1:$CG$1,DO$1,$N85:$CG85)</f>
        <v/>
      </c>
      <c r="DP85" s="517">
        <f>SUMIF($N$1:$CG$1,DP$1,$N85:$CG85)</f>
        <v/>
      </c>
      <c r="DQ85" s="517">
        <f>SUMIF($N$1:$CG$1,DQ$1,$N85:$CG85)</f>
        <v/>
      </c>
      <c r="DR85" s="517">
        <f>SUMIF($N$1:$CG$1,DR$1,$N85:$CG85)</f>
        <v/>
      </c>
      <c r="DS85" s="517">
        <f>SUMIF($N$1:$CK$1,DS$1,$N85:$CK85)</f>
        <v/>
      </c>
    </row>
    <row r="86">
      <c r="A86" s="191">
        <f>A80</f>
        <v/>
      </c>
      <c r="B86" s="914" t="n"/>
      <c r="C86" s="914" t="n"/>
      <c r="D86" s="914" t="n"/>
      <c r="E86" s="914" t="n"/>
      <c r="F86" s="914" t="n"/>
      <c r="G86" s="914" t="n"/>
      <c r="H86" s="914" t="n"/>
      <c r="I86" s="914" t="n"/>
      <c r="J86" s="914" t="n"/>
      <c r="K86" s="914" t="n"/>
      <c r="L86" s="914" t="n"/>
      <c r="M86" s="914" t="n"/>
      <c r="N86" s="908">
        <f>N85/N20</f>
        <v/>
      </c>
      <c r="O86" s="908">
        <f>O85/O20</f>
        <v/>
      </c>
      <c r="P86" s="908">
        <f>P85/P20</f>
        <v/>
      </c>
      <c r="Q86" s="908">
        <f>Q85/Q20</f>
        <v/>
      </c>
      <c r="R86" s="908">
        <f>R85/R20</f>
        <v/>
      </c>
      <c r="S86" s="908">
        <f>S85/S20</f>
        <v/>
      </c>
      <c r="T86" s="908">
        <f>T85/T20</f>
        <v/>
      </c>
      <c r="U86" s="908">
        <f>U85/U20</f>
        <v/>
      </c>
      <c r="V86" s="908">
        <f>V85/V20</f>
        <v/>
      </c>
      <c r="W86" s="908">
        <f>W85/W20</f>
        <v/>
      </c>
      <c r="X86" s="908">
        <f>X85/X20</f>
        <v/>
      </c>
      <c r="Y86" s="908">
        <f>Y85/Y20</f>
        <v/>
      </c>
      <c r="Z86" s="908">
        <f>Z85/Z20</f>
        <v/>
      </c>
      <c r="AA86" s="908">
        <f>AA85/AA20</f>
        <v/>
      </c>
      <c r="AB86" s="908">
        <f>AB85/AB20</f>
        <v/>
      </c>
      <c r="AC86" s="908">
        <f>AC85/AC20</f>
        <v/>
      </c>
      <c r="AD86" s="908">
        <f>AD85/AD20</f>
        <v/>
      </c>
      <c r="AE86" s="908">
        <f>AE85/AE20</f>
        <v/>
      </c>
      <c r="AF86" s="908">
        <f>AF85/AF20</f>
        <v/>
      </c>
      <c r="AG86" s="908">
        <f>AG85/AG20</f>
        <v/>
      </c>
      <c r="AH86" s="908">
        <f>AH85/AH20</f>
        <v/>
      </c>
      <c r="AI86" s="908">
        <f>AI85/AI20</f>
        <v/>
      </c>
      <c r="AJ86" s="908">
        <f>AJ85/AJ20</f>
        <v/>
      </c>
      <c r="AK86" s="908">
        <f>AK85/AK20</f>
        <v/>
      </c>
      <c r="AL86" s="908">
        <f>AL85/AL20</f>
        <v/>
      </c>
      <c r="AM86" s="908">
        <f>AM85/AM20</f>
        <v/>
      </c>
      <c r="AN86" s="908">
        <f>AN85/AN20</f>
        <v/>
      </c>
      <c r="AO86" s="908">
        <f>AO85/AO20</f>
        <v/>
      </c>
      <c r="AP86" s="908">
        <f>AP85/AP20</f>
        <v/>
      </c>
      <c r="AQ86" s="908">
        <f>AQ85/AQ20</f>
        <v/>
      </c>
      <c r="AR86" s="908">
        <f>AR85/AR20</f>
        <v/>
      </c>
      <c r="AS86" s="908">
        <f>AS85/AS20</f>
        <v/>
      </c>
      <c r="AT86" s="908">
        <f>AT85/AT20</f>
        <v/>
      </c>
      <c r="AU86" s="908">
        <f>AU85/AU20</f>
        <v/>
      </c>
      <c r="AV86" s="908">
        <f>AV85/AV20</f>
        <v/>
      </c>
      <c r="AW86" s="908">
        <f>AW85/AW20</f>
        <v/>
      </c>
      <c r="AX86" s="908">
        <f>AX85/AX20</f>
        <v/>
      </c>
      <c r="AY86" s="908">
        <f>AY85/AY20</f>
        <v/>
      </c>
      <c r="AZ86" s="908">
        <f>AZ85/AZ20</f>
        <v/>
      </c>
      <c r="BA86" s="908">
        <f>BA85/BA20</f>
        <v/>
      </c>
      <c r="BB86" s="908">
        <f>BB85/BB20</f>
        <v/>
      </c>
      <c r="BC86" s="908">
        <f>BC85/BC20</f>
        <v/>
      </c>
      <c r="BD86" s="908">
        <f>BD85/BD20</f>
        <v/>
      </c>
      <c r="BE86" s="908">
        <f>BE85/BE20</f>
        <v/>
      </c>
      <c r="BF86" s="908">
        <f>BF85/BF20</f>
        <v/>
      </c>
      <c r="BG86" s="908">
        <f>BG85/BG20</f>
        <v/>
      </c>
      <c r="BH86" s="908">
        <f>BH85/BH20</f>
        <v/>
      </c>
      <c r="BI86" s="908">
        <f>BI85/BI20</f>
        <v/>
      </c>
      <c r="BJ86" s="908">
        <f>BJ85/BJ20</f>
        <v/>
      </c>
      <c r="BK86" s="908">
        <f>BK85/BK20</f>
        <v/>
      </c>
      <c r="BL86" s="908">
        <f>BL85/BL20</f>
        <v/>
      </c>
      <c r="BM86" s="908">
        <f>BM85/BM20</f>
        <v/>
      </c>
      <c r="BN86" s="908">
        <f>BN85/BN20</f>
        <v/>
      </c>
      <c r="BO86" s="908">
        <f>BO85/BO20</f>
        <v/>
      </c>
      <c r="BP86" s="908">
        <f>BP85/BP20</f>
        <v/>
      </c>
      <c r="BQ86" s="908">
        <f>BQ85/BQ20</f>
        <v/>
      </c>
      <c r="BR86" s="908">
        <f>BR85/BR20</f>
        <v/>
      </c>
      <c r="BS86" s="909" t="n">
        <v>0</v>
      </c>
      <c r="BT86" s="909" t="n">
        <v>0</v>
      </c>
      <c r="BU86" s="909" t="n">
        <v>0</v>
      </c>
      <c r="BV86" s="909" t="n">
        <v>0</v>
      </c>
      <c r="BW86" s="909" t="n">
        <v>0</v>
      </c>
      <c r="BX86" s="909" t="n">
        <v>0</v>
      </c>
      <c r="BY86" s="909" t="n">
        <v>0</v>
      </c>
      <c r="BZ86" s="909" t="n">
        <v>0</v>
      </c>
      <c r="CA86" s="909" t="n">
        <v>0</v>
      </c>
      <c r="CB86" s="909" t="n">
        <v>0</v>
      </c>
      <c r="CC86" s="909" t="n">
        <v>0</v>
      </c>
      <c r="CD86" s="909" t="n">
        <v>0</v>
      </c>
      <c r="CE86" s="909" t="n">
        <v>0</v>
      </c>
      <c r="CF86" s="909" t="n">
        <v>0</v>
      </c>
      <c r="CG86" s="909" t="n">
        <v>0</v>
      </c>
      <c r="CH86" s="909" t="n">
        <v>0</v>
      </c>
      <c r="CI86" s="909" t="n">
        <v>0</v>
      </c>
      <c r="CJ86" s="909" t="n">
        <v>0</v>
      </c>
      <c r="CK86" s="909" t="n">
        <v>0</v>
      </c>
      <c r="DA86" s="912">
        <f>DA85/DA$20</f>
        <v/>
      </c>
      <c r="DB86" s="912">
        <f>DB85/DB$20</f>
        <v/>
      </c>
      <c r="DC86" s="912">
        <f>DC85/DC$20</f>
        <v/>
      </c>
      <c r="DD86" s="912">
        <f>DD85/DD$20</f>
        <v/>
      </c>
      <c r="DE86" s="912">
        <f>DE85/DE$20</f>
        <v/>
      </c>
      <c r="DF86" s="912">
        <f>DF85/DF$20</f>
        <v/>
      </c>
      <c r="DG86" s="912">
        <f>DG85/DG$20</f>
        <v/>
      </c>
      <c r="DH86" s="912">
        <f>DH85/DH$20</f>
        <v/>
      </c>
      <c r="DI86" s="912">
        <f>DI85/DI$20</f>
        <v/>
      </c>
      <c r="DJ86" s="912">
        <f>DJ85/DJ$20</f>
        <v/>
      </c>
      <c r="DK86" s="912">
        <f>DK85/DK$20</f>
        <v/>
      </c>
      <c r="DL86" s="912">
        <f>DL85/DL$20</f>
        <v/>
      </c>
      <c r="DM86" s="912">
        <f>DM85/DM$20</f>
        <v/>
      </c>
      <c r="DN86" s="912">
        <f>DN85/DN$20</f>
        <v/>
      </c>
      <c r="DO86" s="912">
        <f>DO85/DO$20</f>
        <v/>
      </c>
      <c r="DP86" s="912">
        <f>DP85/DP$20</f>
        <v/>
      </c>
      <c r="DQ86" s="912">
        <f>DQ85/DQ$20</f>
        <v/>
      </c>
      <c r="DR86" s="912">
        <f>DR85/DR$20</f>
        <v/>
      </c>
      <c r="DS86" s="912">
        <f>DS85/DS$20</f>
        <v/>
      </c>
    </row>
    <row r="87">
      <c r="A87" s="43" t="n"/>
      <c r="B87" s="914" t="n"/>
      <c r="C87" s="914" t="n"/>
      <c r="D87" s="914" t="n"/>
      <c r="E87" s="914" t="n"/>
      <c r="F87" s="914" t="n"/>
      <c r="G87" s="914" t="n"/>
      <c r="H87" s="914" t="n"/>
      <c r="I87" s="914" t="n"/>
      <c r="J87" s="914" t="n"/>
      <c r="K87" s="914" t="n"/>
      <c r="L87" s="914" t="n"/>
      <c r="M87" s="914" t="n"/>
    </row>
    <row r="88">
      <c r="A88" s="518" t="inlineStr">
        <is>
          <t>Operating Profit</t>
        </is>
      </c>
      <c r="B88" s="142" t="n"/>
      <c r="C88" s="142" t="n"/>
      <c r="D88" s="142" t="n"/>
      <c r="E88" s="142" t="n"/>
      <c r="F88" s="142" t="n"/>
      <c r="G88" s="142" t="n"/>
      <c r="H88" s="142" t="n"/>
      <c r="I88" s="142" t="n"/>
      <c r="J88" s="142" t="n"/>
      <c r="K88" s="142" t="n"/>
      <c r="L88" s="142" t="n"/>
      <c r="M88" s="142" t="n"/>
      <c r="N88" s="519">
        <f>N20-N64-N73-N76-N79-N85</f>
        <v/>
      </c>
      <c r="O88" s="519">
        <f>O20-O64-O73-O76-O79-O85</f>
        <v/>
      </c>
      <c r="P88" s="519">
        <f>P20-P64-P73-P76-P79-P85</f>
        <v/>
      </c>
      <c r="Q88" s="519">
        <f>Q20-Q64-Q73-Q76-Q79-Q85</f>
        <v/>
      </c>
      <c r="R88" s="519">
        <f>R20-R64-R73-R76-R79-R85</f>
        <v/>
      </c>
      <c r="S88" s="519">
        <f>S20-S64-S73-S76-S79-S85</f>
        <v/>
      </c>
      <c r="T88" s="519">
        <f>T20-T64-T73-T76-T79-T85</f>
        <v/>
      </c>
      <c r="U88" s="519">
        <f>U20-U64-U73-U76-U79-U85</f>
        <v/>
      </c>
      <c r="V88" s="519">
        <f>V20-V64-V73-V76-V79-V85</f>
        <v/>
      </c>
      <c r="W88" s="519">
        <f>W20-W64-W73-W76-W79-W85</f>
        <v/>
      </c>
      <c r="X88" s="519">
        <f>X20-X64-X73-X76-X79-X85</f>
        <v/>
      </c>
      <c r="Y88" s="519">
        <f>Y20-Y64-Y73-Y76-Y79-Y85</f>
        <v/>
      </c>
      <c r="Z88" s="519">
        <f>Z20-Z64-Z73-Z76-Z79-Z85</f>
        <v/>
      </c>
      <c r="AA88" s="519">
        <f>AA20-AA64-AA73-AA76-AA79-AA85</f>
        <v/>
      </c>
      <c r="AB88" s="519">
        <f>AB20-AB64-AB73-AB76-AB79-AB85</f>
        <v/>
      </c>
      <c r="AC88" s="519">
        <f>AC20-AC64-AC73-AC76-AC79-AC85</f>
        <v/>
      </c>
      <c r="AD88" s="519">
        <f>AD20-AD64-AD73-AD76-AD79-AD85</f>
        <v/>
      </c>
      <c r="AE88" s="519">
        <f>AE20-AE64-AE73-AE76-AE79-AE85</f>
        <v/>
      </c>
      <c r="AF88" s="519">
        <f>AF20-AF64-AF73-AF76-AF79-AF85</f>
        <v/>
      </c>
      <c r="AG88" s="519">
        <f>AG20-AG64-AG73-AG76-AG79-AG85</f>
        <v/>
      </c>
      <c r="AH88" s="519">
        <f>AH20-AH64-AH73-AH76-AH79-AH85</f>
        <v/>
      </c>
      <c r="AI88" s="519">
        <f>AI20-AI64-AI73-AI76-AI79-AI85</f>
        <v/>
      </c>
      <c r="AJ88" s="519">
        <f>AJ20-AJ64-AJ73-AJ76-AJ79-AJ85</f>
        <v/>
      </c>
      <c r="AK88" s="519">
        <f>AK20-AK64-AK73-AK76-AK79-AK85</f>
        <v/>
      </c>
      <c r="AL88" s="519">
        <f>AL20-AL64-AL73-AL76-AL79-AL85</f>
        <v/>
      </c>
      <c r="AM88" s="519">
        <f>AM20-AM64-AM73-AM76-AM79-AM85</f>
        <v/>
      </c>
      <c r="AN88" s="519">
        <f>AN20-AN64-AN73-AN76-AN79-AN85</f>
        <v/>
      </c>
      <c r="AO88" s="519">
        <f>AO20-AO64-AO73-AO76-AO79-AO85</f>
        <v/>
      </c>
      <c r="AP88" s="519">
        <f>AP20-AP64-AP73-AP76-AP79-AP85</f>
        <v/>
      </c>
      <c r="AQ88" s="519">
        <f>AQ20-AQ64-AQ73-AQ76-AQ79-AQ85</f>
        <v/>
      </c>
      <c r="AR88" s="519">
        <f>AR20-AR64-AR73-AR76-AR79-AR85</f>
        <v/>
      </c>
      <c r="AS88" s="519">
        <f>AS20-AS64-AS73-AS76-AS79-AS85</f>
        <v/>
      </c>
      <c r="AT88" s="519">
        <f>AT20-AT64-AT73-AT76-AT79-AT85</f>
        <v/>
      </c>
      <c r="AU88" s="519">
        <f>AU20-AU64-AU73-AU76-AU79-AU85</f>
        <v/>
      </c>
      <c r="AV88" s="519">
        <f>AV20-AV64-AV73-AV76-AV79-AV85</f>
        <v/>
      </c>
      <c r="AW88" s="519">
        <f>AW20-AW64-AW73-AW76-AW79-AW85</f>
        <v/>
      </c>
      <c r="AX88" s="519">
        <f>AX20-AX64-AX73-AX76-AX79-AX85</f>
        <v/>
      </c>
      <c r="AY88" s="519">
        <f>AY20-AY64-AY73-AY76-AY79-AY85</f>
        <v/>
      </c>
      <c r="AZ88" s="519">
        <f>AZ20-AZ64-AZ73-AZ76-AZ79-AZ85</f>
        <v/>
      </c>
      <c r="BA88" s="519">
        <f>BA20-BA64-BA73-BA76-BA79-BA85</f>
        <v/>
      </c>
      <c r="BB88" s="519">
        <f>BB20-BB64-BB73-BB76-BB79-BB85</f>
        <v/>
      </c>
      <c r="BC88" s="519">
        <f>BC20-BC64-BC73-BC76-BC79-BC85</f>
        <v/>
      </c>
      <c r="BD88" s="519">
        <f>BD20-BD64-BD73-BD76-BD79-BD85</f>
        <v/>
      </c>
      <c r="BE88" s="519">
        <f>BE20-BE64-BE73-BE76-BE79-BE85</f>
        <v/>
      </c>
      <c r="BF88" s="519">
        <f>BF20-BF64-BF73-BF76-BF79-BF85</f>
        <v/>
      </c>
      <c r="BG88" s="519">
        <f>BG20-BG64-BG73-BG76-BG79-BG85</f>
        <v/>
      </c>
      <c r="BH88" s="519">
        <f>BH20-BH64-BH73-BH76-BH79-BH85</f>
        <v/>
      </c>
      <c r="BI88" s="519">
        <f>BI20-BI64-BI73-BI76-BI79-BI85</f>
        <v/>
      </c>
      <c r="BJ88" s="519">
        <f>BJ20-BJ64-BJ73-BJ76-BJ79-BJ85</f>
        <v/>
      </c>
      <c r="BK88" s="519">
        <f>BK20-BK64-BK73-BK76-BK79-BK85</f>
        <v/>
      </c>
      <c r="BL88" s="519">
        <f>BL20-BL64-BL73-BL76-BL79-BL85</f>
        <v/>
      </c>
      <c r="BM88" s="519">
        <f>BM20-BM64-BM73-BM76-BM79-BM85</f>
        <v/>
      </c>
      <c r="BN88" s="519">
        <f>BN20-BN64-BN73-BN76-BN79-BN85</f>
        <v/>
      </c>
      <c r="BO88" s="519">
        <f>BO20-BO64-BO73-BO76-BO79-BO85</f>
        <v/>
      </c>
      <c r="BP88" s="519">
        <f>BP20-BP64-BP73-BP76-BP79-BP85</f>
        <v/>
      </c>
      <c r="BQ88" s="519">
        <f>BQ20-BQ64-BQ73-BQ76-BQ79-BQ85</f>
        <v/>
      </c>
      <c r="BR88" s="519">
        <f>BR20-BR64-BR73-BR76-BR79-BR85</f>
        <v/>
      </c>
      <c r="BS88" s="519">
        <f>BS20-BS64-BS73-BS76-BS79-BS85</f>
        <v/>
      </c>
      <c r="BT88" s="519">
        <f>BT20-BT64-BT73-BT76-BT79-BT85</f>
        <v/>
      </c>
      <c r="BU88" s="519">
        <f>BU20-BU64-BU73-BU76-BU79-BU85</f>
        <v/>
      </c>
      <c r="BV88" s="519">
        <f>BV20-BV64-BV73-BV76-BV79-BV85</f>
        <v/>
      </c>
      <c r="BW88" s="519">
        <f>BW20-BW64-BW73-BW76-BW79-BW85</f>
        <v/>
      </c>
      <c r="BX88" s="519">
        <f>BX20-BX64-BX73-BX76-BX79-BX85</f>
        <v/>
      </c>
      <c r="BY88" s="519">
        <f>BY20-BY64-BY73-BY76-BY79-BY85</f>
        <v/>
      </c>
      <c r="BZ88" s="519">
        <f>BZ20-BZ64-BZ73-BZ76-BZ79-BZ85</f>
        <v/>
      </c>
      <c r="CA88" s="519">
        <f>CA20-CA64-CA73-CA76-CA79-CA85</f>
        <v/>
      </c>
      <c r="CB88" s="519">
        <f>CB20-CB64-CB73-CB76-CB79-CB85</f>
        <v/>
      </c>
      <c r="CC88" s="519">
        <f>CC20-CC64-CC73-CC76-CC79-CC85</f>
        <v/>
      </c>
      <c r="CD88" s="519">
        <f>CD20-CD64-CD73-CD76-CD79-CD85</f>
        <v/>
      </c>
      <c r="CE88" s="519">
        <f>CE20-CE64-CE73-CE76-CE79-CE85</f>
        <v/>
      </c>
      <c r="CF88" s="519">
        <f>CF20-CF64-CF73-CF76-CF79-CF85</f>
        <v/>
      </c>
      <c r="CG88" s="519">
        <f>CG20-CG64-CG73-CG76-CG79-CG85</f>
        <v/>
      </c>
      <c r="CH88" s="519">
        <f>CH20-CH64-CH73-CH76-CH79-CH85</f>
        <v/>
      </c>
      <c r="CI88" s="519">
        <f>CI20-CI64-CI73-CI76-CI79-CI85</f>
        <v/>
      </c>
      <c r="CJ88" s="519">
        <f>CJ20-CJ64-CJ73-CJ76-CJ79-CJ85</f>
        <v/>
      </c>
      <c r="CK88" s="519">
        <f>CK20-CK64-CK73-CK76-CK79-CK85</f>
        <v/>
      </c>
      <c r="DA88" s="519">
        <f>SUMIF($N$1:$CG$1,DA$1,$N88:$CG88)</f>
        <v/>
      </c>
      <c r="DB88" s="519">
        <f>SUMIF($N$1:$CG$1,DB$1,$N88:$CG88)</f>
        <v/>
      </c>
      <c r="DC88" s="519">
        <f>SUMIF($N$1:$CG$1,DC$1,$N88:$CG88)</f>
        <v/>
      </c>
      <c r="DD88" s="519">
        <f>SUMIF($N$1:$CG$1,DD$1,$N88:$CG88)</f>
        <v/>
      </c>
      <c r="DE88" s="519">
        <f>SUMIF($N$1:$CG$1,DE$1,$N88:$CG88)</f>
        <v/>
      </c>
      <c r="DF88" s="519">
        <f>SUMIF($N$1:$CG$1,DF$1,$N88:$CG88)</f>
        <v/>
      </c>
      <c r="DG88" s="519">
        <f>SUMIF($N$1:$CG$1,DG$1,$N88:$CG88)</f>
        <v/>
      </c>
      <c r="DH88" s="519">
        <f>SUMIF($N$1:$CG$1,DH$1,$N88:$CG88)</f>
        <v/>
      </c>
      <c r="DI88" s="519">
        <f>SUMIF($N$1:$CG$1,DI$1,$N88:$CG88)</f>
        <v/>
      </c>
      <c r="DJ88" s="519">
        <f>SUMIF($N$1:$CG$1,DJ$1,$N88:$CG88)</f>
        <v/>
      </c>
      <c r="DK88" s="519">
        <f>SUMIF($N$1:$CG$1,DK$1,$N88:$CG88)</f>
        <v/>
      </c>
      <c r="DL88" s="519">
        <f>SUMIF($N$1:$CG$1,DL$1,$N88:$CG88)</f>
        <v/>
      </c>
      <c r="DM88" s="519">
        <f>SUMIF($N$1:$CG$1,DM$1,$N88:$CG88)</f>
        <v/>
      </c>
      <c r="DN88" s="519">
        <f>SUMIF($N$1:$CG$1,DN$1,$N88:$CG88)</f>
        <v/>
      </c>
      <c r="DO88" s="519">
        <f>SUMIF($N$1:$CG$1,DO$1,$N88:$CG88)</f>
        <v/>
      </c>
      <c r="DP88" s="519">
        <f>SUMIF($N$1:$CG$1,DP$1,$N88:$CG88)</f>
        <v/>
      </c>
      <c r="DQ88" s="519">
        <f>SUMIF($N$1:$CG$1,DQ$1,$N88:$CG88)</f>
        <v/>
      </c>
      <c r="DR88" s="519">
        <f>SUMIF($N$1:$CG$1,DR$1,$N88:$CG88)</f>
        <v/>
      </c>
      <c r="DS88" s="519">
        <f>SUMIF($N$1:$CK$1,DS$1,$N88:$CK88)</f>
        <v/>
      </c>
    </row>
    <row r="89">
      <c r="A89" s="43" t="inlineStr">
        <is>
          <t>Operating margin</t>
        </is>
      </c>
      <c r="B89" s="142" t="n"/>
      <c r="C89" s="142" t="n"/>
      <c r="D89" s="142" t="n"/>
      <c r="E89" s="142" t="n"/>
      <c r="F89" s="142" t="n"/>
      <c r="G89" s="142" t="n"/>
      <c r="H89" s="142" t="n"/>
      <c r="I89" s="142" t="n"/>
      <c r="J89" s="142" t="n"/>
      <c r="K89" s="142" t="n"/>
      <c r="L89" s="142" t="n"/>
      <c r="M89" s="142" t="n"/>
      <c r="N89" s="908">
        <f>N88/N20</f>
        <v/>
      </c>
      <c r="O89" s="908">
        <f>O88/O20</f>
        <v/>
      </c>
      <c r="P89" s="908">
        <f>P88/P20</f>
        <v/>
      </c>
      <c r="Q89" s="908">
        <f>Q88/Q20</f>
        <v/>
      </c>
      <c r="R89" s="908">
        <f>R88/R20</f>
        <v/>
      </c>
      <c r="S89" s="908">
        <f>S88/S20</f>
        <v/>
      </c>
      <c r="T89" s="908">
        <f>T88/T20</f>
        <v/>
      </c>
      <c r="U89" s="908">
        <f>U88/U20</f>
        <v/>
      </c>
      <c r="V89" s="908">
        <f>V88/V20</f>
        <v/>
      </c>
      <c r="W89" s="908">
        <f>W88/W20</f>
        <v/>
      </c>
      <c r="X89" s="908">
        <f>X88/X20</f>
        <v/>
      </c>
      <c r="Y89" s="908">
        <f>Y88/Y20</f>
        <v/>
      </c>
      <c r="Z89" s="908">
        <f>Z88/Z20</f>
        <v/>
      </c>
      <c r="AA89" s="908">
        <f>AA88/AA20</f>
        <v/>
      </c>
      <c r="AB89" s="908">
        <f>AB88/AB20</f>
        <v/>
      </c>
      <c r="AC89" s="908">
        <f>AC88/AC20</f>
        <v/>
      </c>
      <c r="AD89" s="908">
        <f>AD88/AD20</f>
        <v/>
      </c>
      <c r="AE89" s="908">
        <f>AE88/AE20</f>
        <v/>
      </c>
      <c r="AF89" s="908">
        <f>AF88/AF20</f>
        <v/>
      </c>
      <c r="AG89" s="908">
        <f>AG88/AG20</f>
        <v/>
      </c>
      <c r="AH89" s="908">
        <f>AH88/AH20</f>
        <v/>
      </c>
      <c r="AI89" s="908">
        <f>AI88/AI20</f>
        <v/>
      </c>
      <c r="AJ89" s="908">
        <f>AJ88/AJ20</f>
        <v/>
      </c>
      <c r="AK89" s="908">
        <f>AK88/AK20</f>
        <v/>
      </c>
      <c r="AL89" s="908">
        <f>AL88/AL20</f>
        <v/>
      </c>
      <c r="AM89" s="908">
        <f>AM88/AM20</f>
        <v/>
      </c>
      <c r="AN89" s="908">
        <f>AN88/AN20</f>
        <v/>
      </c>
      <c r="AO89" s="908">
        <f>AO88/AO20</f>
        <v/>
      </c>
      <c r="AP89" s="908">
        <f>AP88/AP20</f>
        <v/>
      </c>
      <c r="AQ89" s="908">
        <f>AQ88/AQ20</f>
        <v/>
      </c>
      <c r="AR89" s="908">
        <f>AR88/AR20</f>
        <v/>
      </c>
      <c r="AS89" s="908">
        <f>AS88/AS20</f>
        <v/>
      </c>
      <c r="AT89" s="908">
        <f>AT88/AT20</f>
        <v/>
      </c>
      <c r="AU89" s="908">
        <f>AU88/AU20</f>
        <v/>
      </c>
      <c r="AV89" s="908">
        <f>AV88/AV20</f>
        <v/>
      </c>
      <c r="AW89" s="908">
        <f>AW88/AW20</f>
        <v/>
      </c>
      <c r="AX89" s="908">
        <f>AX88/AX20</f>
        <v/>
      </c>
      <c r="AY89" s="908">
        <f>AY88/AY20</f>
        <v/>
      </c>
      <c r="AZ89" s="908">
        <f>AZ88/AZ20</f>
        <v/>
      </c>
      <c r="BA89" s="908">
        <f>BA88/BA20</f>
        <v/>
      </c>
      <c r="BB89" s="908">
        <f>BB88/BB20</f>
        <v/>
      </c>
      <c r="BC89" s="908">
        <f>BC88/BC20</f>
        <v/>
      </c>
      <c r="BD89" s="908">
        <f>BD88/BD20</f>
        <v/>
      </c>
      <c r="BE89" s="908">
        <f>BE88/BE20</f>
        <v/>
      </c>
      <c r="BF89" s="908">
        <f>BF88/BF20</f>
        <v/>
      </c>
      <c r="BG89" s="908">
        <f>BG88/BG20</f>
        <v/>
      </c>
      <c r="BH89" s="908">
        <f>BH88/BH20</f>
        <v/>
      </c>
      <c r="BI89" s="908">
        <f>BI88/BI20</f>
        <v/>
      </c>
      <c r="BJ89" s="908">
        <f>BJ88/BJ20</f>
        <v/>
      </c>
      <c r="BK89" s="908">
        <f>BK88/BK20</f>
        <v/>
      </c>
      <c r="BL89" s="908">
        <f>BL88/BL20</f>
        <v/>
      </c>
      <c r="BM89" s="908">
        <f>BM88/BM20</f>
        <v/>
      </c>
      <c r="BN89" s="908">
        <f>BN88/BN20</f>
        <v/>
      </c>
      <c r="BO89" s="908">
        <f>BO88/BO20</f>
        <v/>
      </c>
      <c r="BP89" s="908">
        <f>BP88/BP20</f>
        <v/>
      </c>
      <c r="BQ89" s="908">
        <f>BQ88/BQ20</f>
        <v/>
      </c>
      <c r="BR89" s="908">
        <f>BR88/BR20</f>
        <v/>
      </c>
      <c r="BS89" s="908">
        <f>BS88/BS20</f>
        <v/>
      </c>
      <c r="BT89" s="908">
        <f>BT88/BT20</f>
        <v/>
      </c>
      <c r="BU89" s="908">
        <f>BU88/BU20</f>
        <v/>
      </c>
      <c r="BV89" s="908">
        <f>BV88/BV20</f>
        <v/>
      </c>
      <c r="BW89" s="908">
        <f>BW88/BW20</f>
        <v/>
      </c>
      <c r="BX89" s="908">
        <f>BX88/BX20</f>
        <v/>
      </c>
      <c r="BY89" s="908">
        <f>BY88/BY20</f>
        <v/>
      </c>
      <c r="BZ89" s="908">
        <f>BZ88/BZ20</f>
        <v/>
      </c>
      <c r="CA89" s="908">
        <f>CA88/CA20</f>
        <v/>
      </c>
      <c r="CB89" s="908">
        <f>CB88/CB20</f>
        <v/>
      </c>
      <c r="CC89" s="908">
        <f>CC88/CC20</f>
        <v/>
      </c>
      <c r="CD89" s="908">
        <f>CD88/CD20</f>
        <v/>
      </c>
      <c r="CE89" s="908">
        <f>CE88/CE20</f>
        <v/>
      </c>
      <c r="CF89" s="908">
        <f>CF88/CF20</f>
        <v/>
      </c>
      <c r="CG89" s="908">
        <f>CG88/CG20</f>
        <v/>
      </c>
      <c r="CH89" s="908">
        <f>CH88/CH20</f>
        <v/>
      </c>
      <c r="CI89" s="908">
        <f>CI88/CI20</f>
        <v/>
      </c>
      <c r="CJ89" s="908">
        <f>CJ88/CJ20</f>
        <v/>
      </c>
      <c r="CK89" s="908">
        <f>CK88/CK20</f>
        <v/>
      </c>
      <c r="DA89" s="912">
        <f>DA88/DA$20</f>
        <v/>
      </c>
      <c r="DB89" s="912">
        <f>DB88/DB$20</f>
        <v/>
      </c>
      <c r="DC89" s="912">
        <f>DC88/DC$20</f>
        <v/>
      </c>
      <c r="DD89" s="912">
        <f>DD88/DD$20</f>
        <v/>
      </c>
      <c r="DE89" s="912">
        <f>DE88/DE$20</f>
        <v/>
      </c>
      <c r="DF89" s="912">
        <f>DF88/DF$20</f>
        <v/>
      </c>
      <c r="DG89" s="912">
        <f>DG88/DG$20</f>
        <v/>
      </c>
      <c r="DH89" s="912">
        <f>DH88/DH$20</f>
        <v/>
      </c>
      <c r="DI89" s="912">
        <f>DI88/DI$20</f>
        <v/>
      </c>
      <c r="DJ89" s="912">
        <f>DJ88/DJ$20</f>
        <v/>
      </c>
      <c r="DK89" s="912">
        <f>DK88/DK$20</f>
        <v/>
      </c>
      <c r="DL89" s="912">
        <f>DL88/DL$20</f>
        <v/>
      </c>
      <c r="DM89" s="912">
        <f>DM88/DM$20</f>
        <v/>
      </c>
      <c r="DN89" s="912">
        <f>DN88/DN$20</f>
        <v/>
      </c>
      <c r="DO89" s="912">
        <f>DO88/DO$20</f>
        <v/>
      </c>
      <c r="DP89" s="912">
        <f>DP88/DP$20</f>
        <v/>
      </c>
      <c r="DQ89" s="912">
        <f>DQ88/DQ$20</f>
        <v/>
      </c>
      <c r="DR89" s="912">
        <f>DR88/DR$20</f>
        <v/>
      </c>
      <c r="DS89" s="912">
        <f>DS88/DS$20</f>
        <v/>
      </c>
    </row>
    <row r="90">
      <c r="A90" s="43" t="n"/>
      <c r="B90" s="914" t="n"/>
      <c r="C90" s="914" t="n"/>
      <c r="D90" s="914" t="n"/>
      <c r="E90" s="914" t="n"/>
      <c r="F90" s="914" t="n"/>
      <c r="G90" s="914" t="n"/>
      <c r="H90" s="914" t="n"/>
      <c r="I90" s="914" t="n"/>
      <c r="J90" s="914" t="n"/>
      <c r="K90" s="914" t="n"/>
      <c r="L90" s="914" t="n"/>
      <c r="M90" s="914" t="n"/>
      <c r="BQ90" s="517" t="n"/>
      <c r="BR90" s="517" t="n"/>
      <c r="DI90" s="912" t="n"/>
    </row>
    <row r="91">
      <c r="A91" s="77" t="inlineStr">
        <is>
          <t>Non-operating Income and Expense</t>
        </is>
      </c>
      <c r="B91" s="31" t="n"/>
      <c r="C91" s="31" t="n"/>
      <c r="D91" s="31" t="n"/>
      <c r="E91" s="31" t="n"/>
      <c r="F91" s="31" t="n"/>
      <c r="G91" s="31" t="n"/>
      <c r="AT91" s="905" t="n"/>
      <c r="BK91" s="517" t="n"/>
      <c r="BL91" s="517" t="n"/>
      <c r="BM91" s="517" t="n"/>
      <c r="BN91" s="517" t="n"/>
    </row>
    <row r="92">
      <c r="A92" s="77" t="n"/>
      <c r="B92" s="31" t="n"/>
      <c r="C92" s="31" t="n"/>
      <c r="D92" s="31" t="n"/>
      <c r="E92" s="31" t="n"/>
      <c r="F92" s="31" t="n"/>
      <c r="G92" s="31" t="n"/>
    </row>
    <row r="93" customFormat="1" s="442">
      <c r="A93" s="520">
        <f>FS_Q!A20</f>
        <v/>
      </c>
      <c r="B93" s="495" t="n"/>
      <c r="C93" s="495" t="n"/>
      <c r="D93" s="495" t="n"/>
      <c r="E93" s="495" t="n"/>
      <c r="F93" s="495" t="n"/>
      <c r="G93" s="495" t="n"/>
      <c r="H93" s="495" t="n"/>
      <c r="I93" s="495" t="n"/>
      <c r="J93" s="495" t="n"/>
      <c r="K93" s="495" t="n"/>
      <c r="L93" s="495" t="n"/>
      <c r="M93" s="495" t="n"/>
      <c r="N93" s="516">
        <f>FS_Q!N20</f>
        <v/>
      </c>
      <c r="O93" s="516">
        <f>FS_Q!O20</f>
        <v/>
      </c>
      <c r="P93" s="516">
        <f>FS_Q!P20</f>
        <v/>
      </c>
      <c r="Q93" s="516">
        <f>FS_Q!Q20</f>
        <v/>
      </c>
      <c r="R93" s="516">
        <f>FS_Q!R20</f>
        <v/>
      </c>
      <c r="S93" s="516">
        <f>FS_Q!S20</f>
        <v/>
      </c>
      <c r="T93" s="516">
        <f>FS_Q!T20</f>
        <v/>
      </c>
      <c r="U93" s="516">
        <f>FS_Q!U20</f>
        <v/>
      </c>
      <c r="V93" s="516">
        <f>FS_Q!V20</f>
        <v/>
      </c>
      <c r="W93" s="516">
        <f>FS_Q!W20</f>
        <v/>
      </c>
      <c r="X93" s="516">
        <f>FS_Q!X20</f>
        <v/>
      </c>
      <c r="Y93" s="516">
        <f>FS_Q!Y20</f>
        <v/>
      </c>
      <c r="Z93" s="516">
        <f>FS_Q!Z20</f>
        <v/>
      </c>
      <c r="AA93" s="516">
        <f>FS_Q!AA20</f>
        <v/>
      </c>
      <c r="AB93" s="516">
        <f>FS_Q!AB20</f>
        <v/>
      </c>
      <c r="AC93" s="516">
        <f>FS_Q!AC20</f>
        <v/>
      </c>
      <c r="AD93" s="516">
        <f>FS_Q!AD20</f>
        <v/>
      </c>
      <c r="AE93" s="516">
        <f>FS_Q!AE20</f>
        <v/>
      </c>
      <c r="AF93" s="516">
        <f>FS_Q!AF20</f>
        <v/>
      </c>
      <c r="AG93" s="516">
        <f>FS_Q!AG20</f>
        <v/>
      </c>
      <c r="AH93" s="516">
        <f>FS_Q!AH20</f>
        <v/>
      </c>
      <c r="AI93" s="516">
        <f>FS_Q!AI20</f>
        <v/>
      </c>
      <c r="AJ93" s="516">
        <f>FS_Q!AJ20</f>
        <v/>
      </c>
      <c r="AK93" s="516">
        <f>FS_Q!AK20</f>
        <v/>
      </c>
      <c r="AL93" s="516">
        <f>FS_Q!AL20</f>
        <v/>
      </c>
      <c r="AM93" s="516">
        <f>FS_Q!AM20</f>
        <v/>
      </c>
      <c r="AN93" s="516">
        <f>FS_Q!AN20</f>
        <v/>
      </c>
      <c r="AO93" s="516">
        <f>FS_Q!AO20</f>
        <v/>
      </c>
      <c r="AP93" s="516">
        <f>FS_Q!AP20</f>
        <v/>
      </c>
      <c r="AQ93" s="516">
        <f>FS_Q!AQ20</f>
        <v/>
      </c>
      <c r="AR93" s="516">
        <f>FS_Q!AR20</f>
        <v/>
      </c>
      <c r="AS93" s="516">
        <f>FS_Q!AS20</f>
        <v/>
      </c>
      <c r="AT93" s="516">
        <f>FS_Q!AT20</f>
        <v/>
      </c>
      <c r="AU93" s="516">
        <f>FS_Q!AU20</f>
        <v/>
      </c>
      <c r="AV93" s="516">
        <f>FS_Q!AV20</f>
        <v/>
      </c>
      <c r="AW93" s="516">
        <f>FS_Q!AW20</f>
        <v/>
      </c>
      <c r="AX93" s="516">
        <f>FS_Q!AX20</f>
        <v/>
      </c>
      <c r="AY93" s="516">
        <f>FS_Q!AY20</f>
        <v/>
      </c>
      <c r="AZ93" s="516">
        <f>FS_Q!AZ20</f>
        <v/>
      </c>
      <c r="BA93" s="516">
        <f>FS_Q!BA20</f>
        <v/>
      </c>
      <c r="BB93" s="516">
        <f>FS_Q!BB20</f>
        <v/>
      </c>
      <c r="BC93" s="516">
        <f>FS_Q!BC20</f>
        <v/>
      </c>
      <c r="BD93" s="516">
        <f>FS_Q!BD20</f>
        <v/>
      </c>
      <c r="BE93" s="516">
        <f>FS_Q!BE20</f>
        <v/>
      </c>
      <c r="BF93" s="516">
        <f>FS_Q!BF20</f>
        <v/>
      </c>
      <c r="BG93" s="516">
        <f>FS_Q!BG20</f>
        <v/>
      </c>
      <c r="BH93" s="516">
        <f>FS_Q!BH20</f>
        <v/>
      </c>
      <c r="BI93" s="516">
        <f>FS_Q!BI20</f>
        <v/>
      </c>
      <c r="BJ93" s="516">
        <f>FS_Q!BJ20</f>
        <v/>
      </c>
      <c r="BK93" s="516">
        <f>FS_Q!BK20</f>
        <v/>
      </c>
      <c r="BL93" s="516">
        <f>FS_Q!BL20</f>
        <v/>
      </c>
      <c r="BM93" s="516">
        <f>FS_Q!BM20</f>
        <v/>
      </c>
      <c r="BN93" s="516">
        <f>FS_Q!BN20</f>
        <v/>
      </c>
      <c r="BO93" s="516">
        <f>FS_Q!BO20</f>
        <v/>
      </c>
      <c r="BP93" s="516">
        <f>FS_Q!BP20</f>
        <v/>
      </c>
      <c r="BQ93" s="516">
        <f>FS_Q!BQ20</f>
        <v/>
      </c>
      <c r="BR93" s="516">
        <f>FS_Q!BR20</f>
        <v/>
      </c>
      <c r="BS93" s="517">
        <f>(FS_Q!BR44-Assumption!BR205)*Assumption!BS94</f>
        <v/>
      </c>
      <c r="BT93" s="517">
        <f>(FS_Q!BS44-Assumption!BS205)*Assumption!BT94</f>
        <v/>
      </c>
      <c r="BU93" s="517">
        <f>(FS_Q!BT44-Assumption!BT205)*Assumption!BU94</f>
        <v/>
      </c>
      <c r="BV93" s="517">
        <f>(FS_Q!BU44-Assumption!BU205)*Assumption!BV94</f>
        <v/>
      </c>
      <c r="BW93" s="517">
        <f>(FS_Q!BV44-Assumption!BV205)*Assumption!BW94</f>
        <v/>
      </c>
      <c r="BX93" s="517">
        <f>(FS_Q!BW44-Assumption!BW205)*Assumption!BX94</f>
        <v/>
      </c>
      <c r="BY93" s="517">
        <f>(FS_Q!BX44-Assumption!BX205)*Assumption!BY94</f>
        <v/>
      </c>
      <c r="BZ93" s="517">
        <f>(FS_Q!BY44-Assumption!BY205)*Assumption!BZ94</f>
        <v/>
      </c>
      <c r="CA93" s="517">
        <f>(FS_Q!BZ44-Assumption!BZ205)*Assumption!CA94</f>
        <v/>
      </c>
      <c r="CB93" s="517">
        <f>(FS_Q!CA44-Assumption!CA205)*Assumption!CB94</f>
        <v/>
      </c>
      <c r="CC93" s="517">
        <f>(FS_Q!CB44-Assumption!CB205)*Assumption!CC94</f>
        <v/>
      </c>
      <c r="CD93" s="517">
        <f>(FS_Q!CC44-Assumption!CC205)*Assumption!CD94</f>
        <v/>
      </c>
      <c r="CE93" s="517">
        <f>(FS_Q!CD44-Assumption!CD205)*Assumption!CE94</f>
        <v/>
      </c>
      <c r="CF93" s="517">
        <f>(FS_Q!CE44-Assumption!CE205)*Assumption!CF94</f>
        <v/>
      </c>
      <c r="CG93" s="517">
        <f>(FS_Q!CF44-Assumption!CF205)*Assumption!CG94</f>
        <v/>
      </c>
      <c r="CH93" s="517">
        <f>(FS_Q!CG44-Assumption!CG205)*Assumption!CH94</f>
        <v/>
      </c>
      <c r="CI93" s="517">
        <f>(FS_Q!CH44-Assumption!CH205)*Assumption!CI94</f>
        <v/>
      </c>
      <c r="CJ93" s="517">
        <f>(FS_Q!CI44-Assumption!CI205)*Assumption!CJ94</f>
        <v/>
      </c>
      <c r="CK93" s="517">
        <f>(FS_Q!CJ44-Assumption!CJ205)*Assumption!CK94</f>
        <v/>
      </c>
      <c r="DA93" s="517">
        <f>SUMIF($N$1:$CG$1,DA$1,$N93:$CG93)</f>
        <v/>
      </c>
      <c r="DB93" s="517">
        <f>SUMIF($N$1:$CG$1,DB$1,$N93:$CG93)</f>
        <v/>
      </c>
      <c r="DC93" s="517">
        <f>SUMIF($N$1:$CG$1,DC$1,$N93:$CG93)</f>
        <v/>
      </c>
      <c r="DD93" s="517">
        <f>SUMIF($N$1:$CG$1,DD$1,$N93:$CG93)</f>
        <v/>
      </c>
      <c r="DE93" s="517">
        <f>SUMIF($N$1:$CG$1,DE$1,$N93:$CG93)</f>
        <v/>
      </c>
      <c r="DF93" s="517">
        <f>SUMIF($N$1:$CG$1,DF$1,$N93:$CG93)</f>
        <v/>
      </c>
      <c r="DG93" s="517">
        <f>SUMIF($N$1:$CG$1,DG$1,$N93:$CG93)</f>
        <v/>
      </c>
      <c r="DH93" s="517">
        <f>SUMIF($N$1:$CG$1,DH$1,$N93:$CG93)</f>
        <v/>
      </c>
      <c r="DI93" s="517">
        <f>SUMIF($N$1:$CG$1,DI$1,$N93:$CG93)</f>
        <v/>
      </c>
      <c r="DJ93" s="517">
        <f>SUMIF($N$1:$CG$1,DJ$1,$N93:$CG93)</f>
        <v/>
      </c>
      <c r="DK93" s="517">
        <f>SUMIF($N$1:$CG$1,DK$1,$N93:$CG93)</f>
        <v/>
      </c>
      <c r="DL93" s="517">
        <f>SUMIF($N$1:$CG$1,DL$1,$N93:$CG93)</f>
        <v/>
      </c>
      <c r="DM93" s="517">
        <f>SUMIF($N$1:$CG$1,DM$1,$N93:$CG93)</f>
        <v/>
      </c>
      <c r="DN93" s="517">
        <f>SUMIF($N$1:$CG$1,DN$1,$N93:$CG93)</f>
        <v/>
      </c>
      <c r="DO93" s="517">
        <f>SUMIF($N$1:$CG$1,DO$1,$N93:$CG93)</f>
        <v/>
      </c>
      <c r="DP93" s="517">
        <f>SUMIF($N$1:$CG$1,DP$1,$N93:$CG93)</f>
        <v/>
      </c>
      <c r="DQ93" s="517">
        <f>SUMIF($N$1:$CG$1,DQ$1,$N93:$CG93)</f>
        <v/>
      </c>
      <c r="DR93" s="517">
        <f>SUMIF($N$1:$CG$1,DR$1,$N93:$CG93)</f>
        <v/>
      </c>
      <c r="DS93" s="517">
        <f>SUMIF($N$1:$CK$1,DS$1,$N93:$CK93)</f>
        <v/>
      </c>
    </row>
    <row r="94">
      <c r="A94" s="191" t="inlineStr">
        <is>
          <t>as % of debt</t>
        </is>
      </c>
      <c r="B94" s="916" t="n"/>
      <c r="C94" s="916" t="n"/>
      <c r="D94" s="916" t="n"/>
      <c r="E94" s="916" t="n"/>
      <c r="F94" s="916" t="n"/>
      <c r="G94" s="916" t="n"/>
      <c r="H94" s="916" t="n"/>
      <c r="I94" s="916" t="n"/>
      <c r="J94" s="916" t="n"/>
      <c r="K94" s="916" t="n"/>
      <c r="L94" s="916" t="n"/>
      <c r="M94" s="916" t="n"/>
      <c r="N94" s="908" t="n"/>
      <c r="O94" s="908">
        <f>O93/(FS_Q!N44-N205)</f>
        <v/>
      </c>
      <c r="P94" s="908">
        <f>P93/(FS_Q!O44-O205)</f>
        <v/>
      </c>
      <c r="Q94" s="908">
        <f>Q93/(FS_Q!P44-P205)</f>
        <v/>
      </c>
      <c r="R94" s="908">
        <f>R93/(FS_Q!Q44-Q205)</f>
        <v/>
      </c>
      <c r="S94" s="908">
        <f>S93/(FS_Q!R44-R205)</f>
        <v/>
      </c>
      <c r="T94" s="908">
        <f>T93/(FS_Q!S44-S205)</f>
        <v/>
      </c>
      <c r="U94" s="908">
        <f>U93/(FS_Q!T44-T205)</f>
        <v/>
      </c>
      <c r="V94" s="908">
        <f>V93/(FS_Q!U44-U205)</f>
        <v/>
      </c>
      <c r="W94" s="908">
        <f>W93/(FS_Q!V44-V205)</f>
        <v/>
      </c>
      <c r="X94" s="908">
        <f>X93/(FS_Q!W44-W205)</f>
        <v/>
      </c>
      <c r="Y94" s="908">
        <f>Y93/(FS_Q!X44-X205)</f>
        <v/>
      </c>
      <c r="Z94" s="908">
        <f>Z93/(FS_Q!Y44-Y205)</f>
        <v/>
      </c>
      <c r="AA94" s="908">
        <f>AA93/(FS_Q!Z44-Z205)</f>
        <v/>
      </c>
      <c r="AB94" s="908">
        <f>AB93/(FS_Q!AA44-AA205)</f>
        <v/>
      </c>
      <c r="AC94" s="908">
        <f>AC93/(FS_Q!AB44-AB205)</f>
        <v/>
      </c>
      <c r="AD94" s="908">
        <f>AD93/(FS_Q!AC44-AC205)</f>
        <v/>
      </c>
      <c r="AE94" s="908">
        <f>AE93/(FS_Q!AD44-AD205)</f>
        <v/>
      </c>
      <c r="AF94" s="908">
        <f>AF93/(FS_Q!AE44-AE205)</f>
        <v/>
      </c>
      <c r="AG94" s="908">
        <f>AG93/(FS_Q!AF44-AF205)</f>
        <v/>
      </c>
      <c r="AH94" s="908">
        <f>AH93/(FS_Q!AG44-AG205)</f>
        <v/>
      </c>
      <c r="AI94" s="908">
        <f>AI93/(FS_Q!AH44-AH205)</f>
        <v/>
      </c>
      <c r="AJ94" s="908">
        <f>AJ93/(FS_Q!AI44-AI205)</f>
        <v/>
      </c>
      <c r="AK94" s="908">
        <f>AK93/(FS_Q!AJ44-AJ205)</f>
        <v/>
      </c>
      <c r="AL94" s="908">
        <f>AL93/(FS_Q!AK44-AK205)</f>
        <v/>
      </c>
      <c r="AM94" s="908">
        <f>AM93/(FS_Q!AL44-AL205)</f>
        <v/>
      </c>
      <c r="AN94" s="908">
        <f>AN93/(FS_Q!AM44-AM205)</f>
        <v/>
      </c>
      <c r="AO94" s="908">
        <f>AO93/(FS_Q!AN44-AN205)</f>
        <v/>
      </c>
      <c r="AP94" s="908">
        <f>AP93/(FS_Q!AO44-AO205)</f>
        <v/>
      </c>
      <c r="AQ94" s="908">
        <f>AQ93/(FS_Q!AP44-AP205)</f>
        <v/>
      </c>
      <c r="AR94" s="908">
        <f>AR93/(FS_Q!AQ44-AQ205)</f>
        <v/>
      </c>
      <c r="AS94" s="908">
        <f>AS93/(FS_Q!AR44-AR205)</f>
        <v/>
      </c>
      <c r="AT94" s="908">
        <f>AT93/(FS_Q!AS44-AS205)</f>
        <v/>
      </c>
      <c r="AU94" s="908">
        <f>AU93/(FS_Q!AT44-AT205)</f>
        <v/>
      </c>
      <c r="AV94" s="908">
        <f>AV93/(FS_Q!AU44-AU205)</f>
        <v/>
      </c>
      <c r="AW94" s="908">
        <f>AW93/(FS_Q!AV44-AV205)</f>
        <v/>
      </c>
      <c r="AX94" s="908">
        <f>AX93/(FS_Q!AW44-AW205)</f>
        <v/>
      </c>
      <c r="AY94" s="908">
        <f>AY93/(FS_Q!AX44-AX205)</f>
        <v/>
      </c>
      <c r="AZ94" s="908">
        <f>AZ93/(FS_Q!AY44-AY205)</f>
        <v/>
      </c>
      <c r="BA94" s="908">
        <f>BA93/(FS_Q!AZ44-AZ205)</f>
        <v/>
      </c>
      <c r="BB94" s="908">
        <f>BB93/(FS_Q!BA44-BA205)</f>
        <v/>
      </c>
      <c r="BC94" s="908">
        <f>BC93/(FS_Q!BB44-BB205)</f>
        <v/>
      </c>
      <c r="BD94" s="908">
        <f>BD93/(FS_Q!BC44-BC205)</f>
        <v/>
      </c>
      <c r="BE94" s="908">
        <f>BE93/(FS_Q!BD44-BD205)</f>
        <v/>
      </c>
      <c r="BF94" s="908">
        <f>BF93/(FS_Q!BE44-BE205)</f>
        <v/>
      </c>
      <c r="BG94" s="908">
        <f>BG93/(FS_Q!BF44-BF205)</f>
        <v/>
      </c>
      <c r="BH94" s="908">
        <f>BH93/(FS_Q!BG44-BG205)</f>
        <v/>
      </c>
      <c r="BI94" s="908">
        <f>BI93/(FS_Q!BH44-BH205)</f>
        <v/>
      </c>
      <c r="BJ94" s="908">
        <f>BJ93/(FS_Q!BI44-BI205)</f>
        <v/>
      </c>
      <c r="BK94" s="908">
        <f>BK93/(FS_Q!BJ44-BJ205)</f>
        <v/>
      </c>
      <c r="BL94" s="908">
        <f>BL93/(FS_Q!BK44-BK205)</f>
        <v/>
      </c>
      <c r="BM94" s="908">
        <f>BM93/(FS_Q!BL44-BL205)</f>
        <v/>
      </c>
      <c r="BN94" s="908">
        <f>BN93/(FS_Q!BM44-BM205)</f>
        <v/>
      </c>
      <c r="BO94" s="908">
        <f>BO93/(FS_Q!BN44-BN205)</f>
        <v/>
      </c>
      <c r="BP94" s="908">
        <f>BP93/(FS_Q!BO44-BO205)</f>
        <v/>
      </c>
      <c r="BQ94" s="908">
        <f>BQ93/(FS_Q!BP44-BP205)</f>
        <v/>
      </c>
      <c r="BR94" s="908">
        <f>BR93/(FS_Q!BQ44-BQ205)</f>
        <v/>
      </c>
      <c r="BS94" s="909" t="n">
        <v>0.01</v>
      </c>
      <c r="BT94" s="909" t="n">
        <v>0.01</v>
      </c>
      <c r="BU94" s="909" t="n">
        <v>0.01</v>
      </c>
      <c r="BV94" s="909" t="n">
        <v>0.01</v>
      </c>
      <c r="BW94" s="909" t="n">
        <v>0.01</v>
      </c>
      <c r="BX94" s="909" t="n">
        <v>0.01</v>
      </c>
      <c r="BY94" s="909" t="n">
        <v>0.01</v>
      </c>
      <c r="BZ94" s="909" t="n">
        <v>0.01</v>
      </c>
      <c r="CA94" s="909" t="n">
        <v>0.01</v>
      </c>
      <c r="CB94" s="909" t="n">
        <v>0.01</v>
      </c>
      <c r="CC94" s="909" t="n">
        <v>0.01</v>
      </c>
      <c r="CD94" s="909" t="n">
        <v>0.01</v>
      </c>
      <c r="CE94" s="909" t="n">
        <v>0.01</v>
      </c>
      <c r="CF94" s="909" t="n">
        <v>0.01</v>
      </c>
      <c r="CG94" s="909" t="n">
        <v>0.01</v>
      </c>
      <c r="CH94" s="909" t="n">
        <v>0.01</v>
      </c>
      <c r="CI94" s="909" t="n">
        <v>0.01</v>
      </c>
      <c r="CJ94" s="909" t="n">
        <v>0.01</v>
      </c>
      <c r="CK94" s="909" t="n">
        <v>0.01</v>
      </c>
      <c r="DA94" s="912">
        <f>-DA93/DA$205</f>
        <v/>
      </c>
      <c r="DB94" s="912">
        <f>-DB93/DB$205</f>
        <v/>
      </c>
      <c r="DC94" s="912">
        <f>-DC93/DC$205</f>
        <v/>
      </c>
      <c r="DD94" s="912">
        <f>-DD93/DD$205</f>
        <v/>
      </c>
      <c r="DE94" s="912">
        <f>-DE93/DE$205</f>
        <v/>
      </c>
      <c r="DF94" s="912">
        <f>-DF93/DF$205</f>
        <v/>
      </c>
      <c r="DG94" s="912">
        <f>-DG93/DG$205</f>
        <v/>
      </c>
      <c r="DH94" s="912">
        <f>-DH93/DH$205</f>
        <v/>
      </c>
      <c r="DI94" s="912">
        <f>-DI93/DI$205</f>
        <v/>
      </c>
      <c r="DJ94" s="912">
        <f>-DJ93/DJ$205</f>
        <v/>
      </c>
      <c r="DK94" s="912">
        <f>-DK93/DK$205</f>
        <v/>
      </c>
      <c r="DL94" s="912">
        <f>-DL93/DL$205</f>
        <v/>
      </c>
      <c r="DM94" s="912">
        <f>-DM93/DM$205</f>
        <v/>
      </c>
      <c r="DN94" s="912">
        <f>-DN93/DN$205</f>
        <v/>
      </c>
      <c r="DO94" s="912">
        <f>-DO93/DO$205</f>
        <v/>
      </c>
      <c r="DP94" s="912">
        <f>-DP93/DP$205</f>
        <v/>
      </c>
      <c r="DQ94" s="912">
        <f>-DQ93/DQ$205</f>
        <v/>
      </c>
      <c r="DR94" s="912">
        <f>-DR93/DR$205</f>
        <v/>
      </c>
      <c r="DS94" s="912">
        <f>-DS93/DS$205</f>
        <v/>
      </c>
    </row>
    <row r="95">
      <c r="A95" s="191" t="n"/>
      <c r="B95" s="916" t="n"/>
      <c r="C95" s="916" t="n"/>
      <c r="D95" s="916" t="n"/>
      <c r="E95" s="916" t="n"/>
      <c r="F95" s="916" t="n"/>
      <c r="G95" s="916" t="n"/>
      <c r="H95" s="916" t="n"/>
      <c r="I95" s="916" t="n"/>
      <c r="J95" s="916" t="n"/>
      <c r="K95" s="916" t="n"/>
      <c r="L95" s="916" t="n"/>
      <c r="M95" s="916" t="n"/>
    </row>
    <row r="96" customFormat="1" s="442">
      <c r="A96" s="520">
        <f>FS_Q!A21</f>
        <v/>
      </c>
      <c r="B96" s="496" t="n"/>
      <c r="C96" s="496" t="n"/>
      <c r="D96" s="496" t="n"/>
      <c r="E96" s="496" t="n"/>
      <c r="F96" s="496" t="n"/>
      <c r="G96" s="496" t="n"/>
      <c r="H96" s="496" t="n"/>
      <c r="I96" s="496" t="n"/>
      <c r="J96" s="496" t="n"/>
      <c r="K96" s="496" t="n"/>
      <c r="L96" s="496" t="n"/>
      <c r="M96" s="496" t="n"/>
      <c r="N96" s="516">
        <f>FS_Q!N21</f>
        <v/>
      </c>
      <c r="O96" s="516">
        <f>FS_Q!O21</f>
        <v/>
      </c>
      <c r="P96" s="516">
        <f>FS_Q!P21</f>
        <v/>
      </c>
      <c r="Q96" s="516">
        <f>FS_Q!Q21</f>
        <v/>
      </c>
      <c r="R96" s="516">
        <f>FS_Q!R21</f>
        <v/>
      </c>
      <c r="S96" s="516">
        <f>FS_Q!S21</f>
        <v/>
      </c>
      <c r="T96" s="516">
        <f>FS_Q!T21</f>
        <v/>
      </c>
      <c r="U96" s="516">
        <f>FS_Q!U21</f>
        <v/>
      </c>
      <c r="V96" s="516">
        <f>FS_Q!V21</f>
        <v/>
      </c>
      <c r="W96" s="516">
        <f>FS_Q!W21</f>
        <v/>
      </c>
      <c r="X96" s="516">
        <f>FS_Q!X21</f>
        <v/>
      </c>
      <c r="Y96" s="516">
        <f>FS_Q!Y21</f>
        <v/>
      </c>
      <c r="Z96" s="516">
        <f>FS_Q!Z21</f>
        <v/>
      </c>
      <c r="AA96" s="516">
        <f>FS_Q!AA21</f>
        <v/>
      </c>
      <c r="AB96" s="516">
        <f>FS_Q!AB21</f>
        <v/>
      </c>
      <c r="AC96" s="516">
        <f>FS_Q!AC21</f>
        <v/>
      </c>
      <c r="AD96" s="516">
        <f>FS_Q!AD21</f>
        <v/>
      </c>
      <c r="AE96" s="516">
        <f>FS_Q!AE21</f>
        <v/>
      </c>
      <c r="AF96" s="516">
        <f>FS_Q!AF21</f>
        <v/>
      </c>
      <c r="AG96" s="516">
        <f>FS_Q!AG21</f>
        <v/>
      </c>
      <c r="AH96" s="516">
        <f>FS_Q!AH21</f>
        <v/>
      </c>
      <c r="AI96" s="516">
        <f>FS_Q!AI21</f>
        <v/>
      </c>
      <c r="AJ96" s="516">
        <f>FS_Q!AJ21</f>
        <v/>
      </c>
      <c r="AK96" s="516">
        <f>FS_Q!AK21</f>
        <v/>
      </c>
      <c r="AL96" s="516">
        <f>FS_Q!AL21</f>
        <v/>
      </c>
      <c r="AM96" s="516">
        <f>FS_Q!AM21</f>
        <v/>
      </c>
      <c r="AN96" s="516">
        <f>FS_Q!AN21</f>
        <v/>
      </c>
      <c r="AO96" s="516">
        <f>FS_Q!AO21</f>
        <v/>
      </c>
      <c r="AP96" s="516">
        <f>FS_Q!AP21</f>
        <v/>
      </c>
      <c r="AQ96" s="516">
        <f>FS_Q!AQ21</f>
        <v/>
      </c>
      <c r="AR96" s="516">
        <f>FS_Q!AR21</f>
        <v/>
      </c>
      <c r="AS96" s="516">
        <f>FS_Q!AS21</f>
        <v/>
      </c>
      <c r="AT96" s="516">
        <f>FS_Q!AT21</f>
        <v/>
      </c>
      <c r="AU96" s="516">
        <f>FS_Q!AU21</f>
        <v/>
      </c>
      <c r="AV96" s="516">
        <f>FS_Q!AV21</f>
        <v/>
      </c>
      <c r="AW96" s="516">
        <f>FS_Q!AW21</f>
        <v/>
      </c>
      <c r="AX96" s="516">
        <f>FS_Q!AX21</f>
        <v/>
      </c>
      <c r="AY96" s="516">
        <f>FS_Q!AY21</f>
        <v/>
      </c>
      <c r="AZ96" s="516">
        <f>FS_Q!AZ21</f>
        <v/>
      </c>
      <c r="BA96" s="516">
        <f>FS_Q!BA21</f>
        <v/>
      </c>
      <c r="BB96" s="516">
        <f>FS_Q!BB21</f>
        <v/>
      </c>
      <c r="BC96" s="516">
        <f>FS_Q!BC21</f>
        <v/>
      </c>
      <c r="BD96" s="516">
        <f>FS_Q!BD21</f>
        <v/>
      </c>
      <c r="BE96" s="516">
        <f>FS_Q!BE21</f>
        <v/>
      </c>
      <c r="BF96" s="516">
        <f>FS_Q!BF21</f>
        <v/>
      </c>
      <c r="BG96" s="516">
        <f>FS_Q!BG21</f>
        <v/>
      </c>
      <c r="BH96" s="516">
        <f>FS_Q!BH21</f>
        <v/>
      </c>
      <c r="BI96" s="516">
        <f>FS_Q!BI21</f>
        <v/>
      </c>
      <c r="BJ96" s="516">
        <f>FS_Q!BJ21</f>
        <v/>
      </c>
      <c r="BK96" s="516">
        <f>FS_Q!BK21</f>
        <v/>
      </c>
      <c r="BL96" s="516">
        <f>FS_Q!BL21</f>
        <v/>
      </c>
      <c r="BM96" s="516">
        <f>FS_Q!BM21</f>
        <v/>
      </c>
      <c r="BN96" s="516">
        <f>FS_Q!BN21</f>
        <v/>
      </c>
      <c r="BO96" s="516">
        <f>FS_Q!BO21</f>
        <v/>
      </c>
      <c r="BP96" s="516">
        <f>FS_Q!BP21</f>
        <v/>
      </c>
      <c r="BQ96" s="516">
        <f>FS_Q!BQ21</f>
        <v/>
      </c>
      <c r="BR96" s="516">
        <f>FS_Q!BR21</f>
        <v/>
      </c>
      <c r="BS96" s="541" t="n">
        <v>250</v>
      </c>
      <c r="BT96" s="541" t="n">
        <v>250</v>
      </c>
      <c r="BU96" s="541" t="n">
        <v>250</v>
      </c>
      <c r="BV96" s="541" t="n">
        <v>250</v>
      </c>
      <c r="BW96" s="541" t="n">
        <v>250</v>
      </c>
      <c r="BX96" s="541" t="n">
        <v>250</v>
      </c>
      <c r="BY96" s="541" t="n">
        <v>250</v>
      </c>
      <c r="BZ96" s="541" t="n">
        <v>250</v>
      </c>
      <c r="CA96" s="541" t="n">
        <v>250</v>
      </c>
      <c r="CB96" s="541" t="n">
        <v>250</v>
      </c>
      <c r="CC96" s="541" t="n">
        <v>250</v>
      </c>
      <c r="CD96" s="541" t="n">
        <v>250</v>
      </c>
      <c r="CE96" s="541" t="n">
        <v>250</v>
      </c>
      <c r="CF96" s="541" t="n">
        <v>250</v>
      </c>
      <c r="CG96" s="541" t="n">
        <v>250</v>
      </c>
      <c r="CH96" s="541" t="n">
        <v>250</v>
      </c>
      <c r="CI96" s="541" t="n">
        <v>250</v>
      </c>
      <c r="CJ96" s="541" t="n">
        <v>250</v>
      </c>
      <c r="CK96" s="541" t="n">
        <v>250</v>
      </c>
      <c r="DA96" s="517">
        <f>SUMIF($N$1:$CG$1,DA$1,$N96:$CG96)</f>
        <v/>
      </c>
      <c r="DB96" s="517">
        <f>SUMIF($N$1:$CG$1,DB$1,$N96:$CG96)</f>
        <v/>
      </c>
      <c r="DC96" s="517">
        <f>SUMIF($N$1:$CG$1,DC$1,$N96:$CG96)</f>
        <v/>
      </c>
      <c r="DD96" s="517">
        <f>SUMIF($N$1:$CG$1,DD$1,$N96:$CG96)</f>
        <v/>
      </c>
      <c r="DE96" s="517">
        <f>SUMIF($N$1:$CG$1,DE$1,$N96:$CG96)</f>
        <v/>
      </c>
      <c r="DF96" s="517">
        <f>SUMIF($N$1:$CG$1,DF$1,$N96:$CG96)</f>
        <v/>
      </c>
      <c r="DG96" s="517">
        <f>SUMIF($N$1:$CG$1,DG$1,$N96:$CG96)</f>
        <v/>
      </c>
      <c r="DH96" s="517">
        <f>SUMIF($N$1:$CG$1,DH$1,$N96:$CG96)</f>
        <v/>
      </c>
      <c r="DI96" s="517">
        <f>SUMIF($N$1:$CG$1,DI$1,$N96:$CG96)</f>
        <v/>
      </c>
      <c r="DJ96" s="517">
        <f>SUMIF($N$1:$CG$1,DJ$1,$N96:$CG96)</f>
        <v/>
      </c>
      <c r="DK96" s="517">
        <f>SUMIF($N$1:$CG$1,DK$1,$N96:$CG96)</f>
        <v/>
      </c>
      <c r="DL96" s="517">
        <f>SUMIF($N$1:$CG$1,DL$1,$N96:$CG96)</f>
        <v/>
      </c>
      <c r="DM96" s="517">
        <f>SUMIF($N$1:$CG$1,DM$1,$N96:$CG96)</f>
        <v/>
      </c>
      <c r="DN96" s="517">
        <f>SUMIF($N$1:$CG$1,DN$1,$N96:$CG96)</f>
        <v/>
      </c>
      <c r="DO96" s="517">
        <f>SUMIF($N$1:$CG$1,DO$1,$N96:$CG96)</f>
        <v/>
      </c>
      <c r="DP96" s="517">
        <f>SUMIF($N$1:$CG$1,DP$1,$N96:$CG96)</f>
        <v/>
      </c>
      <c r="DQ96" s="517">
        <f>SUMIF($N$1:$CG$1,DQ$1,$N96:$CG96)</f>
        <v/>
      </c>
      <c r="DR96" s="517">
        <f>SUMIF($N$1:$CG$1,DR$1,$N96:$CG96)</f>
        <v/>
      </c>
      <c r="DS96" s="517">
        <f>SUMIF($N$1:$CK$1,DS$1,$N96:$CK96)</f>
        <v/>
      </c>
    </row>
    <row r="97">
      <c r="A97" s="43" t="n"/>
      <c r="B97" s="916" t="n"/>
      <c r="C97" s="916" t="n"/>
      <c r="D97" s="916" t="n"/>
      <c r="E97" s="916" t="n"/>
      <c r="F97" s="916" t="n"/>
      <c r="G97" s="916" t="n"/>
      <c r="H97" s="916" t="n"/>
      <c r="I97" s="916" t="n"/>
      <c r="J97" s="916" t="n"/>
      <c r="K97" s="916" t="n"/>
      <c r="L97" s="916" t="n"/>
      <c r="M97" s="916" t="n"/>
    </row>
    <row r="98">
      <c r="B98" s="31" t="n"/>
      <c r="C98" s="31" t="n"/>
      <c r="D98" s="31" t="n"/>
      <c r="E98" s="31" t="n"/>
      <c r="F98" s="31" t="n"/>
      <c r="G98" s="31" t="n"/>
    </row>
    <row r="99">
      <c r="A99" s="77">
        <f>FS_Q!A23</f>
        <v/>
      </c>
      <c r="B99" s="140" t="n"/>
      <c r="C99" s="140" t="n"/>
      <c r="D99" s="140" t="n"/>
      <c r="E99" s="140" t="n"/>
      <c r="F99" s="140" t="n"/>
      <c r="G99" s="140" t="n"/>
      <c r="H99" s="140" t="n"/>
      <c r="I99" s="140" t="n"/>
      <c r="J99" s="140" t="n"/>
      <c r="K99" s="140" t="n"/>
      <c r="L99" s="140" t="n"/>
      <c r="M99" s="140" t="n"/>
      <c r="N99" s="537">
        <f>FS_Q!N23</f>
        <v/>
      </c>
      <c r="O99" s="537">
        <f>FS_Q!O23</f>
        <v/>
      </c>
      <c r="P99" s="537">
        <f>FS_Q!P23</f>
        <v/>
      </c>
      <c r="Q99" s="537">
        <f>FS_Q!Q23</f>
        <v/>
      </c>
      <c r="R99" s="537">
        <f>FS_Q!R23</f>
        <v/>
      </c>
      <c r="S99" s="537">
        <f>FS_Q!S23</f>
        <v/>
      </c>
      <c r="T99" s="537">
        <f>FS_Q!T23</f>
        <v/>
      </c>
      <c r="U99" s="537">
        <f>FS_Q!U23</f>
        <v/>
      </c>
      <c r="V99" s="537">
        <f>FS_Q!V23</f>
        <v/>
      </c>
      <c r="W99" s="537">
        <f>FS_Q!W23</f>
        <v/>
      </c>
      <c r="X99" s="537">
        <f>FS_Q!X23</f>
        <v/>
      </c>
      <c r="Y99" s="537">
        <f>FS_Q!Y23</f>
        <v/>
      </c>
      <c r="Z99" s="537">
        <f>FS_Q!Z23</f>
        <v/>
      </c>
      <c r="AA99" s="537">
        <f>FS_Q!AA23</f>
        <v/>
      </c>
      <c r="AB99" s="537">
        <f>FS_Q!AB23</f>
        <v/>
      </c>
      <c r="AC99" s="537">
        <f>FS_Q!AC23</f>
        <v/>
      </c>
      <c r="AD99" s="537">
        <f>FS_Q!AD23</f>
        <v/>
      </c>
      <c r="AE99" s="537">
        <f>FS_Q!AE23</f>
        <v/>
      </c>
      <c r="AF99" s="537">
        <f>FS_Q!AF23</f>
        <v/>
      </c>
      <c r="AG99" s="537">
        <f>FS_Q!AG23</f>
        <v/>
      </c>
      <c r="AH99" s="537">
        <f>FS_Q!AH23</f>
        <v/>
      </c>
      <c r="AI99" s="537">
        <f>FS_Q!AI23</f>
        <v/>
      </c>
      <c r="AJ99" s="537">
        <f>FS_Q!AJ23</f>
        <v/>
      </c>
      <c r="AK99" s="537">
        <f>FS_Q!AK23</f>
        <v/>
      </c>
      <c r="AL99" s="537">
        <f>FS_Q!AL23</f>
        <v/>
      </c>
      <c r="AM99" s="537">
        <f>FS_Q!AM23</f>
        <v/>
      </c>
      <c r="AN99" s="537">
        <f>FS_Q!AN23</f>
        <v/>
      </c>
      <c r="AO99" s="537">
        <f>FS_Q!AO23</f>
        <v/>
      </c>
      <c r="AP99" s="537">
        <f>FS_Q!AP23</f>
        <v/>
      </c>
      <c r="AQ99" s="537">
        <f>FS_Q!AQ23</f>
        <v/>
      </c>
      <c r="AR99" s="537">
        <f>FS_Q!AR23</f>
        <v/>
      </c>
      <c r="AS99" s="537">
        <f>FS_Q!AS23</f>
        <v/>
      </c>
      <c r="AT99" s="537">
        <f>FS_Q!AT23</f>
        <v/>
      </c>
      <c r="AU99" s="537">
        <f>FS_Q!AU23</f>
        <v/>
      </c>
      <c r="AV99" s="537">
        <f>FS_Q!AV23</f>
        <v/>
      </c>
      <c r="AW99" s="537">
        <f>FS_Q!AW23</f>
        <v/>
      </c>
      <c r="AX99" s="537">
        <f>FS_Q!AX23</f>
        <v/>
      </c>
      <c r="AY99" s="537">
        <f>FS_Q!AY23</f>
        <v/>
      </c>
      <c r="AZ99" s="537">
        <f>FS_Q!AZ23</f>
        <v/>
      </c>
      <c r="BA99" s="537">
        <f>FS_Q!BA23</f>
        <v/>
      </c>
      <c r="BB99" s="537">
        <f>FS_Q!BB23</f>
        <v/>
      </c>
      <c r="BC99" s="537">
        <f>FS_Q!BC23</f>
        <v/>
      </c>
      <c r="BD99" s="537">
        <f>FS_Q!BD23</f>
        <v/>
      </c>
      <c r="BE99" s="537">
        <f>FS_Q!BE23</f>
        <v/>
      </c>
      <c r="BF99" s="537">
        <f>FS_Q!BF23</f>
        <v/>
      </c>
      <c r="BG99" s="537">
        <f>FS_Q!BG23</f>
        <v/>
      </c>
      <c r="BH99" s="537">
        <f>FS_Q!BH23</f>
        <v/>
      </c>
      <c r="BI99" s="537">
        <f>FS_Q!BI23</f>
        <v/>
      </c>
      <c r="BJ99" s="537">
        <f>FS_Q!BJ23</f>
        <v/>
      </c>
      <c r="BK99" s="537">
        <f>FS_Q!BK23</f>
        <v/>
      </c>
      <c r="BL99" s="537">
        <f>FS_Q!BL23</f>
        <v/>
      </c>
      <c r="BM99" s="537">
        <f>FS_Q!BM23</f>
        <v/>
      </c>
      <c r="BN99" s="537">
        <f>FS_Q!BN23</f>
        <v/>
      </c>
      <c r="BO99" s="537">
        <f>FS_Q!BO23</f>
        <v/>
      </c>
      <c r="BP99" s="537">
        <f>FS_Q!BP23</f>
        <v/>
      </c>
      <c r="BQ99" s="537">
        <f>FS_Q!BQ23</f>
        <v/>
      </c>
      <c r="BR99" s="537">
        <f>FS_Q!BR23</f>
        <v/>
      </c>
      <c r="BS99" s="519">
        <f>BS88+BS93+BS96</f>
        <v/>
      </c>
      <c r="BT99" s="519">
        <f>BT88+BT93+BT96</f>
        <v/>
      </c>
      <c r="BU99" s="519">
        <f>BU88+BU93+BU96</f>
        <v/>
      </c>
      <c r="BV99" s="519">
        <f>BV88+BV93+BV96</f>
        <v/>
      </c>
      <c r="BW99" s="519">
        <f>BW88+BW93+BW96</f>
        <v/>
      </c>
      <c r="BX99" s="519">
        <f>BX88+BX93+BX96</f>
        <v/>
      </c>
      <c r="BY99" s="519">
        <f>BY88+BY93+BY96</f>
        <v/>
      </c>
      <c r="BZ99" s="519">
        <f>BZ88+BZ93+BZ96</f>
        <v/>
      </c>
      <c r="CA99" s="519">
        <f>CA88+CA93+CA96</f>
        <v/>
      </c>
      <c r="CB99" s="519">
        <f>CB88+CB93+CB96</f>
        <v/>
      </c>
      <c r="CC99" s="519">
        <f>CC88+CC93+CC96</f>
        <v/>
      </c>
      <c r="CD99" s="519">
        <f>CD88+CD93+CD96</f>
        <v/>
      </c>
      <c r="CE99" s="519">
        <f>CE88+CE93+CE96</f>
        <v/>
      </c>
      <c r="CF99" s="519">
        <f>CF88+CF93+CF96</f>
        <v/>
      </c>
      <c r="CG99" s="519">
        <f>CG88+CG93+CG96</f>
        <v/>
      </c>
      <c r="CH99" s="519">
        <f>CH88+CH93+CH96</f>
        <v/>
      </c>
      <c r="CI99" s="519">
        <f>CI88+CI93+CI96</f>
        <v/>
      </c>
      <c r="CJ99" s="519">
        <f>CJ88+CJ93+CJ96</f>
        <v/>
      </c>
      <c r="CK99" s="519">
        <f>CK88+CK93+CK96</f>
        <v/>
      </c>
      <c r="DA99" s="519">
        <f>SUMIF($N$1:$CG$1,DA$1,$N99:$CG99)</f>
        <v/>
      </c>
      <c r="DB99" s="519">
        <f>SUMIF($N$1:$CG$1,DB$1,$N99:$CG99)</f>
        <v/>
      </c>
      <c r="DC99" s="519">
        <f>SUMIF($N$1:$CG$1,DC$1,$N99:$CG99)</f>
        <v/>
      </c>
      <c r="DD99" s="519">
        <f>SUMIF($N$1:$CG$1,DD$1,$N99:$CG99)</f>
        <v/>
      </c>
      <c r="DE99" s="519">
        <f>SUMIF($N$1:$CG$1,DE$1,$N99:$CG99)</f>
        <v/>
      </c>
      <c r="DF99" s="519">
        <f>SUMIF($N$1:$CG$1,DF$1,$N99:$CG99)</f>
        <v/>
      </c>
      <c r="DG99" s="519">
        <f>SUMIF($N$1:$CG$1,DG$1,$N99:$CG99)</f>
        <v/>
      </c>
      <c r="DH99" s="519">
        <f>SUMIF($N$1:$CG$1,DH$1,$N99:$CG99)</f>
        <v/>
      </c>
      <c r="DI99" s="519">
        <f>SUMIF($N$1:$CG$1,DI$1,$N99:$CG99)</f>
        <v/>
      </c>
      <c r="DJ99" s="519">
        <f>SUMIF($N$1:$CG$1,DJ$1,$N99:$CG99)</f>
        <v/>
      </c>
      <c r="DK99" s="519">
        <f>SUMIF($N$1:$CG$1,DK$1,$N99:$CG99)</f>
        <v/>
      </c>
      <c r="DL99" s="519">
        <f>SUMIF($N$1:$CG$1,DL$1,$N99:$CG99)</f>
        <v/>
      </c>
      <c r="DM99" s="519">
        <f>SUMIF($N$1:$CG$1,DM$1,$N99:$CG99)</f>
        <v/>
      </c>
      <c r="DN99" s="519">
        <f>SUMIF($N$1:$CG$1,DN$1,$N99:$CG99)</f>
        <v/>
      </c>
      <c r="DO99" s="519">
        <f>SUMIF($N$1:$CG$1,DO$1,$N99:$CG99)</f>
        <v/>
      </c>
      <c r="DP99" s="519">
        <f>SUMIF($N$1:$CG$1,DP$1,$N99:$CG99)</f>
        <v/>
      </c>
      <c r="DQ99" s="519">
        <f>SUMIF($N$1:$CG$1,DQ$1,$N99:$CG99)</f>
        <v/>
      </c>
      <c r="DR99" s="519">
        <f>SUMIF($N$1:$CG$1,DR$1,$N99:$CG99)</f>
        <v/>
      </c>
      <c r="DS99" s="519">
        <f>SUMIF($N$1:$CK$1,DS$1,$N99:$CK99)</f>
        <v/>
      </c>
    </row>
    <row r="100">
      <c r="A100" s="43" t="n"/>
      <c r="B100" s="916" t="n"/>
      <c r="C100" s="916" t="n"/>
      <c r="D100" s="916" t="n"/>
      <c r="E100" s="916" t="n"/>
      <c r="F100" s="916" t="n"/>
      <c r="G100" s="916" t="n"/>
      <c r="H100" s="916" t="n"/>
      <c r="I100" s="916" t="n"/>
      <c r="J100" s="916" t="n"/>
      <c r="K100" s="916" t="n"/>
      <c r="L100" s="916" t="n"/>
      <c r="M100" s="916" t="n"/>
    </row>
    <row r="101" customFormat="1" s="379">
      <c r="A101" s="520">
        <f>FS_Q!A24</f>
        <v/>
      </c>
      <c r="B101" s="143" t="n"/>
      <c r="C101" s="143" t="n"/>
      <c r="D101" s="143" t="n"/>
      <c r="E101" s="143" t="n"/>
      <c r="F101" s="143" t="n"/>
      <c r="G101" s="143" t="n"/>
      <c r="H101" s="143" t="n"/>
      <c r="I101" s="143" t="n"/>
      <c r="J101" s="143" t="n"/>
      <c r="K101" s="143" t="n"/>
      <c r="L101" s="143" t="n"/>
      <c r="M101" s="143" t="n"/>
      <c r="N101" s="516">
        <f>FS_Q!N24</f>
        <v/>
      </c>
      <c r="O101" s="516">
        <f>FS_Q!O24</f>
        <v/>
      </c>
      <c r="P101" s="516">
        <f>FS_Q!P24</f>
        <v/>
      </c>
      <c r="Q101" s="516">
        <f>FS_Q!Q24</f>
        <v/>
      </c>
      <c r="R101" s="516">
        <f>FS_Q!R24</f>
        <v/>
      </c>
      <c r="S101" s="516">
        <f>FS_Q!S24</f>
        <v/>
      </c>
      <c r="T101" s="516">
        <f>FS_Q!T24</f>
        <v/>
      </c>
      <c r="U101" s="516">
        <f>FS_Q!U24</f>
        <v/>
      </c>
      <c r="V101" s="516">
        <f>FS_Q!V24</f>
        <v/>
      </c>
      <c r="W101" s="516">
        <f>FS_Q!W24</f>
        <v/>
      </c>
      <c r="X101" s="516">
        <f>FS_Q!X24</f>
        <v/>
      </c>
      <c r="Y101" s="516">
        <f>FS_Q!Y24</f>
        <v/>
      </c>
      <c r="Z101" s="516">
        <f>FS_Q!Z24</f>
        <v/>
      </c>
      <c r="AA101" s="516">
        <f>FS_Q!AA24</f>
        <v/>
      </c>
      <c r="AB101" s="516">
        <f>FS_Q!AB24</f>
        <v/>
      </c>
      <c r="AC101" s="516">
        <f>FS_Q!AC24</f>
        <v/>
      </c>
      <c r="AD101" s="516">
        <f>FS_Q!AD24</f>
        <v/>
      </c>
      <c r="AE101" s="516">
        <f>FS_Q!AE24</f>
        <v/>
      </c>
      <c r="AF101" s="516">
        <f>FS_Q!AF24</f>
        <v/>
      </c>
      <c r="AG101" s="516">
        <f>FS_Q!AG24</f>
        <v/>
      </c>
      <c r="AH101" s="516">
        <f>FS_Q!AH24</f>
        <v/>
      </c>
      <c r="AI101" s="516">
        <f>FS_Q!AI24</f>
        <v/>
      </c>
      <c r="AJ101" s="516">
        <f>FS_Q!AJ24</f>
        <v/>
      </c>
      <c r="AK101" s="516">
        <f>FS_Q!AK24</f>
        <v/>
      </c>
      <c r="AL101" s="516">
        <f>FS_Q!AL24</f>
        <v/>
      </c>
      <c r="AM101" s="516">
        <f>FS_Q!AM24</f>
        <v/>
      </c>
      <c r="AN101" s="516">
        <f>FS_Q!AN24</f>
        <v/>
      </c>
      <c r="AO101" s="516">
        <f>FS_Q!AO24</f>
        <v/>
      </c>
      <c r="AP101" s="516">
        <f>FS_Q!AP24</f>
        <v/>
      </c>
      <c r="AQ101" s="516">
        <f>FS_Q!AQ24</f>
        <v/>
      </c>
      <c r="AR101" s="516">
        <f>FS_Q!AR24</f>
        <v/>
      </c>
      <c r="AS101" s="516">
        <f>FS_Q!AS24</f>
        <v/>
      </c>
      <c r="AT101" s="516">
        <f>FS_Q!AT24</f>
        <v/>
      </c>
      <c r="AU101" s="516">
        <f>FS_Q!AU24</f>
        <v/>
      </c>
      <c r="AV101" s="516">
        <f>FS_Q!AV24</f>
        <v/>
      </c>
      <c r="AW101" s="516">
        <f>FS_Q!AW24</f>
        <v/>
      </c>
      <c r="AX101" s="516">
        <f>FS_Q!AX24</f>
        <v/>
      </c>
      <c r="AY101" s="516">
        <f>FS_Q!AY24</f>
        <v/>
      </c>
      <c r="AZ101" s="516">
        <f>FS_Q!AZ24</f>
        <v/>
      </c>
      <c r="BA101" s="516">
        <f>FS_Q!BA24</f>
        <v/>
      </c>
      <c r="BB101" s="516">
        <f>FS_Q!BB24</f>
        <v/>
      </c>
      <c r="BC101" s="516">
        <f>FS_Q!BC24</f>
        <v/>
      </c>
      <c r="BD101" s="516">
        <f>FS_Q!BD24</f>
        <v/>
      </c>
      <c r="BE101" s="516">
        <f>FS_Q!BE24</f>
        <v/>
      </c>
      <c r="BF101" s="516">
        <f>FS_Q!BF24</f>
        <v/>
      </c>
      <c r="BG101" s="516">
        <f>FS_Q!BG24</f>
        <v/>
      </c>
      <c r="BH101" s="516">
        <f>FS_Q!BH24</f>
        <v/>
      </c>
      <c r="BI101" s="516">
        <f>FS_Q!BI24</f>
        <v/>
      </c>
      <c r="BJ101" s="516">
        <f>FS_Q!BJ24</f>
        <v/>
      </c>
      <c r="BK101" s="516">
        <f>FS_Q!BK24</f>
        <v/>
      </c>
      <c r="BL101" s="516">
        <f>FS_Q!BL24</f>
        <v/>
      </c>
      <c r="BM101" s="516">
        <f>FS_Q!BM24</f>
        <v/>
      </c>
      <c r="BN101" s="516">
        <f>FS_Q!BN24</f>
        <v/>
      </c>
      <c r="BO101" s="516">
        <f>FS_Q!BO24</f>
        <v/>
      </c>
      <c r="BP101" s="516">
        <f>FS_Q!BP24</f>
        <v/>
      </c>
      <c r="BQ101" s="516">
        <f>FS_Q!BQ24</f>
        <v/>
      </c>
      <c r="BR101" s="516">
        <f>FS_Q!BR24</f>
        <v/>
      </c>
      <c r="BS101" s="517">
        <f>-BS99*BS102</f>
        <v/>
      </c>
      <c r="BT101" s="517">
        <f>-BT99*BT102</f>
        <v/>
      </c>
      <c r="BU101" s="517">
        <f>-BU99*BU102</f>
        <v/>
      </c>
      <c r="BV101" s="517">
        <f>-BV99*BV102</f>
        <v/>
      </c>
      <c r="BW101" s="517">
        <f>-BW99*BW102</f>
        <v/>
      </c>
      <c r="BX101" s="517">
        <f>-BX99*BX102</f>
        <v/>
      </c>
      <c r="BY101" s="517">
        <f>-BY99*BY102</f>
        <v/>
      </c>
      <c r="BZ101" s="517">
        <f>-BZ99*BZ102</f>
        <v/>
      </c>
      <c r="CA101" s="517">
        <f>-CA99*CA102</f>
        <v/>
      </c>
      <c r="CB101" s="517">
        <f>-CB99*CB102</f>
        <v/>
      </c>
      <c r="CC101" s="517">
        <f>-CC99*CC102</f>
        <v/>
      </c>
      <c r="CD101" s="517">
        <f>-CD99*CD102</f>
        <v/>
      </c>
      <c r="CE101" s="517">
        <f>-CE99*CE102</f>
        <v/>
      </c>
      <c r="CF101" s="517">
        <f>-CF99*CF102</f>
        <v/>
      </c>
      <c r="CG101" s="517">
        <f>-CG99*CG102</f>
        <v/>
      </c>
      <c r="CH101" s="517">
        <f>-CH99*CH102</f>
        <v/>
      </c>
      <c r="CI101" s="517">
        <f>-CI99*CI102</f>
        <v/>
      </c>
      <c r="CJ101" s="517">
        <f>-CJ99*CJ102</f>
        <v/>
      </c>
      <c r="CK101" s="517">
        <f>-CK99*CK102</f>
        <v/>
      </c>
      <c r="DA101" s="517">
        <f>SUMIF($N$1:$CG$1,DA$1,$N101:$CG101)</f>
        <v/>
      </c>
      <c r="DB101" s="517">
        <f>SUMIF($N$1:$CG$1,DB$1,$N101:$CG101)</f>
        <v/>
      </c>
      <c r="DC101" s="517">
        <f>SUMIF($N$1:$CG$1,DC$1,$N101:$CG101)</f>
        <v/>
      </c>
      <c r="DD101" s="517">
        <f>SUMIF($N$1:$CG$1,DD$1,$N101:$CG101)</f>
        <v/>
      </c>
      <c r="DE101" s="517">
        <f>SUMIF($N$1:$CG$1,DE$1,$N101:$CG101)</f>
        <v/>
      </c>
      <c r="DF101" s="517">
        <f>SUMIF($N$1:$CG$1,DF$1,$N101:$CG101)</f>
        <v/>
      </c>
      <c r="DG101" s="517">
        <f>SUMIF($N$1:$CG$1,DG$1,$N101:$CG101)</f>
        <v/>
      </c>
      <c r="DH101" s="517">
        <f>SUMIF($N$1:$CG$1,DH$1,$N101:$CG101)</f>
        <v/>
      </c>
      <c r="DI101" s="517">
        <f>SUMIF($N$1:$CG$1,DI$1,$N101:$CG101)</f>
        <v/>
      </c>
      <c r="DJ101" s="517">
        <f>SUMIF($N$1:$CG$1,DJ$1,$N101:$CG101)</f>
        <v/>
      </c>
      <c r="DK101" s="517">
        <f>SUMIF($N$1:$CG$1,DK$1,$N101:$CG101)</f>
        <v/>
      </c>
      <c r="DL101" s="517">
        <f>SUMIF($N$1:$CG$1,DL$1,$N101:$CG101)</f>
        <v/>
      </c>
      <c r="DM101" s="517">
        <f>SUMIF($N$1:$CG$1,DM$1,$N101:$CG101)</f>
        <v/>
      </c>
      <c r="DN101" s="517">
        <f>SUMIF($N$1:$CG$1,DN$1,$N101:$CG101)</f>
        <v/>
      </c>
      <c r="DO101" s="517">
        <f>SUMIF($N$1:$CG$1,DO$1,$N101:$CG101)</f>
        <v/>
      </c>
      <c r="DP101" s="517">
        <f>SUMIF($N$1:$CG$1,DP$1,$N101:$CG101)</f>
        <v/>
      </c>
      <c r="DQ101" s="517">
        <f>SUMIF($N$1:$CG$1,DQ$1,$N101:$CG101)</f>
        <v/>
      </c>
      <c r="DR101" s="517">
        <f>SUMIF($N$1:$CG$1,DR$1,$N101:$CG101)</f>
        <v/>
      </c>
      <c r="DS101" s="517">
        <f>SUMIF($N$1:$CK$1,DS$1,$N101:$CK101)</f>
        <v/>
      </c>
    </row>
    <row r="102">
      <c r="A102" s="191" t="inlineStr">
        <is>
          <t>Effective tax rate</t>
        </is>
      </c>
      <c r="B102" s="883" t="n"/>
      <c r="C102" s="883" t="n"/>
      <c r="D102" s="883" t="n"/>
      <c r="E102" s="883" t="n"/>
      <c r="F102" s="883" t="n"/>
      <c r="G102" s="883" t="n"/>
      <c r="H102" s="883" t="n"/>
      <c r="I102" s="883" t="n"/>
      <c r="J102" s="883" t="n"/>
      <c r="K102" s="883" t="n"/>
      <c r="L102" s="883" t="n"/>
      <c r="M102" s="883" t="n"/>
      <c r="N102" s="908">
        <f>-N101/N99</f>
        <v/>
      </c>
      <c r="O102" s="908">
        <f>-O101/O99</f>
        <v/>
      </c>
      <c r="P102" s="908">
        <f>-P101/P99</f>
        <v/>
      </c>
      <c r="Q102" s="908">
        <f>-Q101/Q99</f>
        <v/>
      </c>
      <c r="R102" s="908">
        <f>-R101/R99</f>
        <v/>
      </c>
      <c r="S102" s="908">
        <f>-S101/S99</f>
        <v/>
      </c>
      <c r="T102" s="908">
        <f>-T101/T99</f>
        <v/>
      </c>
      <c r="U102" s="908">
        <f>-U101/U99</f>
        <v/>
      </c>
      <c r="V102" s="908">
        <f>-V101/V99</f>
        <v/>
      </c>
      <c r="W102" s="908">
        <f>-W101/W99</f>
        <v/>
      </c>
      <c r="X102" s="908">
        <f>-X101/X99</f>
        <v/>
      </c>
      <c r="Y102" s="908">
        <f>-Y101/Y99</f>
        <v/>
      </c>
      <c r="Z102" s="908">
        <f>-Z101/Z99</f>
        <v/>
      </c>
      <c r="AA102" s="908">
        <f>-AA101/AA99</f>
        <v/>
      </c>
      <c r="AB102" s="908">
        <f>-AB101/AB99</f>
        <v/>
      </c>
      <c r="AC102" s="908">
        <f>-AC101/AC99</f>
        <v/>
      </c>
      <c r="AD102" s="908">
        <f>-AD101/AD99</f>
        <v/>
      </c>
      <c r="AE102" s="908">
        <f>-AE101/AE99</f>
        <v/>
      </c>
      <c r="AF102" s="908">
        <f>-AF101/AF99</f>
        <v/>
      </c>
      <c r="AG102" s="908">
        <f>-AG101/AG99</f>
        <v/>
      </c>
      <c r="AH102" s="908">
        <f>-AH101/AH99</f>
        <v/>
      </c>
      <c r="AI102" s="908">
        <f>-AI101/AI99</f>
        <v/>
      </c>
      <c r="AJ102" s="908">
        <f>-AJ101/AJ99</f>
        <v/>
      </c>
      <c r="AK102" s="908">
        <f>-AK101/AK99</f>
        <v/>
      </c>
      <c r="AL102" s="908">
        <f>-AL101/AL99</f>
        <v/>
      </c>
      <c r="AM102" s="908">
        <f>-AM101/AM99</f>
        <v/>
      </c>
      <c r="AN102" s="908">
        <f>-AN101/AN99</f>
        <v/>
      </c>
      <c r="AO102" s="908">
        <f>-AO101/AO99</f>
        <v/>
      </c>
      <c r="AP102" s="908">
        <f>-AP101/AP99</f>
        <v/>
      </c>
      <c r="AQ102" s="908">
        <f>-AQ101/AQ99</f>
        <v/>
      </c>
      <c r="AR102" s="908">
        <f>-AR101/AR99</f>
        <v/>
      </c>
      <c r="AS102" s="908">
        <f>-AS101/AS99</f>
        <v/>
      </c>
      <c r="AT102" s="908">
        <f>-AT101/AT99</f>
        <v/>
      </c>
      <c r="AU102" s="908">
        <f>-AU101/AU99</f>
        <v/>
      </c>
      <c r="AV102" s="908">
        <f>-AV101/AV99</f>
        <v/>
      </c>
      <c r="AW102" s="908">
        <f>-AW101/AW99</f>
        <v/>
      </c>
      <c r="AX102" s="908">
        <f>-AX101/AX99</f>
        <v/>
      </c>
      <c r="AY102" s="908">
        <f>-AY101/AY99</f>
        <v/>
      </c>
      <c r="AZ102" s="908">
        <f>-AZ101/AZ99</f>
        <v/>
      </c>
      <c r="BA102" s="908">
        <f>-BA101/BA99</f>
        <v/>
      </c>
      <c r="BB102" s="908">
        <f>-BB101/BB99</f>
        <v/>
      </c>
      <c r="BC102" s="908">
        <f>-BC101/BC99</f>
        <v/>
      </c>
      <c r="BD102" s="908">
        <f>-BD101/BD99</f>
        <v/>
      </c>
      <c r="BE102" s="908">
        <f>-BE101/BE99</f>
        <v/>
      </c>
      <c r="BF102" s="908">
        <f>-BF101/BF99</f>
        <v/>
      </c>
      <c r="BG102" s="908">
        <f>-BG101/BG99</f>
        <v/>
      </c>
      <c r="BH102" s="908">
        <f>-BH101/BH99</f>
        <v/>
      </c>
      <c r="BI102" s="908">
        <f>-BI101/BI99</f>
        <v/>
      </c>
      <c r="BJ102" s="908">
        <f>-BJ101/BJ99</f>
        <v/>
      </c>
      <c r="BK102" s="908">
        <f>-BK101/BK99</f>
        <v/>
      </c>
      <c r="BL102" s="908">
        <f>-BL101/BL99</f>
        <v/>
      </c>
      <c r="BM102" s="908">
        <f>-BM101/BM99</f>
        <v/>
      </c>
      <c r="BN102" s="908">
        <f>-BN101/BN99</f>
        <v/>
      </c>
      <c r="BO102" s="908">
        <f>-BO101/BO99</f>
        <v/>
      </c>
      <c r="BP102" s="908">
        <f>-BP101/BP99</f>
        <v/>
      </c>
      <c r="BQ102" s="908">
        <f>-BQ101/BQ99</f>
        <v/>
      </c>
      <c r="BR102" s="908">
        <f>-BR101/BR99</f>
        <v/>
      </c>
      <c r="BS102" s="909" t="n">
        <v>0.25</v>
      </c>
      <c r="BT102" s="909" t="n">
        <v>0.23</v>
      </c>
      <c r="BU102" s="909" t="n">
        <v>0.23</v>
      </c>
      <c r="BV102" s="909" t="n">
        <v>0.23</v>
      </c>
      <c r="BW102" s="909" t="n">
        <v>0.23</v>
      </c>
      <c r="BX102" s="909" t="n">
        <v>0.23</v>
      </c>
      <c r="BY102" s="909" t="n">
        <v>0.23</v>
      </c>
      <c r="BZ102" s="909" t="n">
        <v>0.23</v>
      </c>
      <c r="CA102" s="909" t="n">
        <v>0.23</v>
      </c>
      <c r="CB102" s="909" t="n">
        <v>0.23</v>
      </c>
      <c r="CC102" s="909" t="n">
        <v>0.23</v>
      </c>
      <c r="CD102" s="909" t="n">
        <v>0.23</v>
      </c>
      <c r="CE102" s="909" t="n">
        <v>0.23</v>
      </c>
      <c r="CF102" s="909" t="n">
        <v>0.23</v>
      </c>
      <c r="CG102" s="909" t="n">
        <v>0.23</v>
      </c>
      <c r="CH102" s="909" t="n">
        <v>0.23</v>
      </c>
      <c r="CI102" s="909" t="n">
        <v>0.23</v>
      </c>
      <c r="CJ102" s="909" t="n">
        <v>0.23</v>
      </c>
      <c r="CK102" s="909" t="n">
        <v>0.23</v>
      </c>
      <c r="DA102" s="912">
        <f>-DA101/DA99</f>
        <v/>
      </c>
      <c r="DB102" s="912">
        <f>-DB101/DB99</f>
        <v/>
      </c>
      <c r="DC102" s="912">
        <f>-DC101/DC99</f>
        <v/>
      </c>
      <c r="DD102" s="912">
        <f>-DD101/DD99</f>
        <v/>
      </c>
      <c r="DE102" s="912">
        <f>-DE101/DE99</f>
        <v/>
      </c>
      <c r="DF102" s="912">
        <f>-DF101/DF99</f>
        <v/>
      </c>
      <c r="DG102" s="912">
        <f>-DG101/DG99</f>
        <v/>
      </c>
      <c r="DH102" s="912">
        <f>-DH101/DH99</f>
        <v/>
      </c>
      <c r="DI102" s="912">
        <f>-DI101/DI99</f>
        <v/>
      </c>
      <c r="DJ102" s="912">
        <f>-DJ101/DJ99</f>
        <v/>
      </c>
      <c r="DK102" s="912">
        <f>-DK101/DK99</f>
        <v/>
      </c>
      <c r="DL102" s="912">
        <f>-DL101/DL99</f>
        <v/>
      </c>
      <c r="DM102" s="912">
        <f>-DM101/DM99</f>
        <v/>
      </c>
      <c r="DN102" s="912">
        <f>-DN101/DN99</f>
        <v/>
      </c>
      <c r="DO102" s="912">
        <f>-DO101/DO99</f>
        <v/>
      </c>
      <c r="DP102" s="912">
        <f>-DP101/DP99</f>
        <v/>
      </c>
      <c r="DQ102" s="912">
        <f>-DQ101/DQ99</f>
        <v/>
      </c>
      <c r="DR102" s="912">
        <f>-DR101/DR99</f>
        <v/>
      </c>
      <c r="DS102" s="912">
        <f>-DS101/DS99</f>
        <v/>
      </c>
    </row>
    <row r="103">
      <c r="A103" s="43" t="n"/>
      <c r="B103" s="916" t="n"/>
      <c r="C103" s="916" t="n"/>
      <c r="D103" s="916" t="n"/>
      <c r="E103" s="916" t="n"/>
      <c r="F103" s="916" t="n"/>
      <c r="G103" s="916" t="n"/>
      <c r="H103" s="916" t="n"/>
      <c r="I103" s="916" t="n"/>
      <c r="J103" s="916" t="n"/>
      <c r="K103" s="916" t="n"/>
      <c r="L103" s="916" t="n"/>
      <c r="M103" s="916" t="n"/>
    </row>
    <row r="104">
      <c r="A104" s="42" t="n"/>
      <c r="B104" s="79" t="n"/>
      <c r="C104" s="79" t="n"/>
      <c r="D104" s="79" t="n"/>
      <c r="E104" s="79" t="n"/>
      <c r="F104" s="79" t="n"/>
      <c r="G104" s="79" t="n"/>
      <c r="H104" s="50" t="n"/>
      <c r="I104" s="50" t="n"/>
      <c r="J104" s="50" t="n"/>
      <c r="K104" s="50" t="n"/>
      <c r="L104" s="50" t="n"/>
      <c r="M104" s="50" t="n"/>
      <c r="BP104" s="108" t="n"/>
    </row>
    <row r="105">
      <c r="A105" s="43" t="n"/>
      <c r="B105" s="917" t="n"/>
      <c r="C105" s="917" t="n"/>
      <c r="D105" s="917" t="n"/>
      <c r="E105" s="917" t="n"/>
      <c r="F105" s="917" t="n"/>
      <c r="G105" s="917" t="n"/>
      <c r="H105" s="917" t="n"/>
      <c r="I105" s="917" t="n"/>
      <c r="J105" s="917" t="n"/>
      <c r="K105" s="917" t="n"/>
      <c r="L105" s="917" t="n"/>
      <c r="M105" s="917" t="n"/>
      <c r="BP105" s="517" t="n"/>
    </row>
    <row r="106">
      <c r="A106" s="81" t="inlineStr">
        <is>
          <t>Non-Controlling Interests</t>
        </is>
      </c>
      <c r="B106" s="917" t="n"/>
      <c r="C106" s="917" t="n"/>
      <c r="D106" s="917" t="n"/>
      <c r="E106" s="917" t="n"/>
      <c r="F106" s="917" t="n"/>
      <c r="G106" s="917" t="n"/>
      <c r="H106" s="917" t="n"/>
      <c r="I106" s="917" t="n"/>
      <c r="J106" s="917" t="n"/>
      <c r="K106" s="917" t="n"/>
      <c r="L106" s="917" t="n"/>
      <c r="M106" s="917" t="n"/>
      <c r="BP106" s="905" t="n"/>
    </row>
    <row r="107">
      <c r="A107" s="169" t="n"/>
      <c r="B107" s="917" t="n"/>
      <c r="C107" s="917" t="n"/>
      <c r="D107" s="917" t="n"/>
      <c r="E107" s="917" t="n"/>
      <c r="F107" s="917" t="n"/>
      <c r="G107" s="917" t="n"/>
      <c r="H107" s="917" t="n"/>
      <c r="I107" s="917" t="n"/>
      <c r="J107" s="917" t="n"/>
      <c r="K107" s="917" t="n"/>
      <c r="L107" s="917" t="n"/>
      <c r="M107" s="917" t="n"/>
    </row>
    <row r="108">
      <c r="A108" s="77">
        <f>FS_Q!A25</f>
        <v/>
      </c>
      <c r="B108" s="140" t="n"/>
      <c r="C108" s="140" t="n"/>
      <c r="D108" s="140" t="n"/>
      <c r="E108" s="140" t="n"/>
      <c r="F108" s="140" t="n"/>
      <c r="G108" s="140" t="n"/>
      <c r="H108" s="140" t="n"/>
      <c r="I108" s="140" t="n"/>
      <c r="J108" s="140" t="n"/>
      <c r="K108" s="140" t="n"/>
      <c r="L108" s="140" t="n"/>
      <c r="M108" s="140" t="n"/>
      <c r="N108" s="537">
        <f>FS_Q!N25</f>
        <v/>
      </c>
      <c r="O108" s="537">
        <f>FS_Q!O25</f>
        <v/>
      </c>
      <c r="P108" s="537">
        <f>FS_Q!P25</f>
        <v/>
      </c>
      <c r="Q108" s="537">
        <f>FS_Q!Q25</f>
        <v/>
      </c>
      <c r="R108" s="537">
        <f>FS_Q!R25</f>
        <v/>
      </c>
      <c r="S108" s="537">
        <f>FS_Q!S25</f>
        <v/>
      </c>
      <c r="T108" s="537">
        <f>FS_Q!T25</f>
        <v/>
      </c>
      <c r="U108" s="537">
        <f>FS_Q!U25</f>
        <v/>
      </c>
      <c r="V108" s="537">
        <f>FS_Q!V25</f>
        <v/>
      </c>
      <c r="W108" s="537">
        <f>FS_Q!W25</f>
        <v/>
      </c>
      <c r="X108" s="537">
        <f>FS_Q!X25</f>
        <v/>
      </c>
      <c r="Y108" s="537">
        <f>FS_Q!Y25</f>
        <v/>
      </c>
      <c r="Z108" s="537">
        <f>FS_Q!Z25</f>
        <v/>
      </c>
      <c r="AA108" s="537">
        <f>FS_Q!AA25</f>
        <v/>
      </c>
      <c r="AB108" s="537">
        <f>FS_Q!AB25</f>
        <v/>
      </c>
      <c r="AC108" s="537">
        <f>FS_Q!AC25</f>
        <v/>
      </c>
      <c r="AD108" s="537">
        <f>FS_Q!AD25</f>
        <v/>
      </c>
      <c r="AE108" s="537">
        <f>FS_Q!AE25</f>
        <v/>
      </c>
      <c r="AF108" s="537">
        <f>FS_Q!AF25</f>
        <v/>
      </c>
      <c r="AG108" s="537">
        <f>FS_Q!AG25</f>
        <v/>
      </c>
      <c r="AH108" s="537">
        <f>FS_Q!AH25</f>
        <v/>
      </c>
      <c r="AI108" s="537">
        <f>FS_Q!AI25</f>
        <v/>
      </c>
      <c r="AJ108" s="537">
        <f>FS_Q!AJ25</f>
        <v/>
      </c>
      <c r="AK108" s="537">
        <f>FS_Q!AK25</f>
        <v/>
      </c>
      <c r="AL108" s="537">
        <f>FS_Q!AL25</f>
        <v/>
      </c>
      <c r="AM108" s="537">
        <f>FS_Q!AM25</f>
        <v/>
      </c>
      <c r="AN108" s="537">
        <f>FS_Q!AN25</f>
        <v/>
      </c>
      <c r="AO108" s="537">
        <f>FS_Q!AO25</f>
        <v/>
      </c>
      <c r="AP108" s="537">
        <f>FS_Q!AP25</f>
        <v/>
      </c>
      <c r="AQ108" s="537">
        <f>FS_Q!AQ25</f>
        <v/>
      </c>
      <c r="AR108" s="537">
        <f>FS_Q!AR25</f>
        <v/>
      </c>
      <c r="AS108" s="537">
        <f>FS_Q!AS25</f>
        <v/>
      </c>
      <c r="AT108" s="537">
        <f>FS_Q!AT25</f>
        <v/>
      </c>
      <c r="AU108" s="537">
        <f>FS_Q!AU25</f>
        <v/>
      </c>
      <c r="AV108" s="537">
        <f>FS_Q!AV25</f>
        <v/>
      </c>
      <c r="AW108" s="537">
        <f>FS_Q!AW25</f>
        <v/>
      </c>
      <c r="AX108" s="537">
        <f>FS_Q!AX25</f>
        <v/>
      </c>
      <c r="AY108" s="537">
        <f>FS_Q!AY25</f>
        <v/>
      </c>
      <c r="AZ108" s="537">
        <f>FS_Q!AZ25</f>
        <v/>
      </c>
      <c r="BA108" s="537">
        <f>FS_Q!BA25</f>
        <v/>
      </c>
      <c r="BB108" s="537">
        <f>FS_Q!BB25</f>
        <v/>
      </c>
      <c r="BC108" s="537">
        <f>FS_Q!BC25</f>
        <v/>
      </c>
      <c r="BD108" s="537">
        <f>FS_Q!BD25</f>
        <v/>
      </c>
      <c r="BE108" s="537">
        <f>FS_Q!BE25</f>
        <v/>
      </c>
      <c r="BF108" s="537">
        <f>FS_Q!BF25</f>
        <v/>
      </c>
      <c r="BG108" s="537">
        <f>FS_Q!BG25</f>
        <v/>
      </c>
      <c r="BH108" s="537">
        <f>FS_Q!BH25</f>
        <v/>
      </c>
      <c r="BI108" s="537">
        <f>FS_Q!BI25</f>
        <v/>
      </c>
      <c r="BJ108" s="537">
        <f>FS_Q!BJ25</f>
        <v/>
      </c>
      <c r="BK108" s="537">
        <f>FS_Q!BK25</f>
        <v/>
      </c>
      <c r="BL108" s="537">
        <f>FS_Q!BL25</f>
        <v/>
      </c>
      <c r="BM108" s="537">
        <f>FS_Q!BM25</f>
        <v/>
      </c>
      <c r="BN108" s="537">
        <f>FS_Q!BN25</f>
        <v/>
      </c>
      <c r="BO108" s="537">
        <f>FS_Q!BO25</f>
        <v/>
      </c>
      <c r="BP108" s="537">
        <f>FS_Q!BP25</f>
        <v/>
      </c>
      <c r="BQ108" s="537">
        <f>FS_Q!BQ25</f>
        <v/>
      </c>
      <c r="BR108" s="537">
        <f>FS_Q!BR25</f>
        <v/>
      </c>
      <c r="BS108" s="519">
        <f>BS99+BS101</f>
        <v/>
      </c>
      <c r="BT108" s="519">
        <f>BT99+BT101</f>
        <v/>
      </c>
      <c r="BU108" s="519">
        <f>BU99+BU101</f>
        <v/>
      </c>
      <c r="BV108" s="519">
        <f>BV99+BV101</f>
        <v/>
      </c>
      <c r="BW108" s="519">
        <f>BW99+BW101</f>
        <v/>
      </c>
      <c r="BX108" s="519">
        <f>BX99+BX101</f>
        <v/>
      </c>
      <c r="BY108" s="519">
        <f>BY99+BY101</f>
        <v/>
      </c>
      <c r="BZ108" s="519">
        <f>BZ99+BZ101</f>
        <v/>
      </c>
      <c r="CA108" s="519">
        <f>CA99+CA101</f>
        <v/>
      </c>
      <c r="CB108" s="519">
        <f>CB99+CB101</f>
        <v/>
      </c>
      <c r="CC108" s="519">
        <f>CC99+CC101</f>
        <v/>
      </c>
      <c r="CD108" s="519">
        <f>CD99+CD101</f>
        <v/>
      </c>
      <c r="CE108" s="519">
        <f>CE99+CE101</f>
        <v/>
      </c>
      <c r="CF108" s="519">
        <f>CF99+CF101</f>
        <v/>
      </c>
      <c r="CG108" s="519">
        <f>CG99+CG101</f>
        <v/>
      </c>
      <c r="CH108" s="519">
        <f>CH99+CH101</f>
        <v/>
      </c>
      <c r="CI108" s="519">
        <f>CI99+CI101</f>
        <v/>
      </c>
      <c r="CJ108" s="519">
        <f>CJ99+CJ101</f>
        <v/>
      </c>
      <c r="CK108" s="519">
        <f>CK99+CK101</f>
        <v/>
      </c>
      <c r="DA108" s="519">
        <f>SUMIF($N$1:$CG$1,DA$1,$N108:$CG108)</f>
        <v/>
      </c>
      <c r="DB108" s="519">
        <f>SUMIF($N$1:$CG$1,DB$1,$N108:$CG108)</f>
        <v/>
      </c>
      <c r="DC108" s="519">
        <f>SUMIF($N$1:$CG$1,DC$1,$N108:$CG108)</f>
        <v/>
      </c>
      <c r="DD108" s="519">
        <f>SUMIF($N$1:$CG$1,DD$1,$N108:$CG108)</f>
        <v/>
      </c>
      <c r="DE108" s="519">
        <f>SUMIF($N$1:$CG$1,DE$1,$N108:$CG108)</f>
        <v/>
      </c>
      <c r="DF108" s="519">
        <f>SUMIF($N$1:$CG$1,DF$1,$N108:$CG108)</f>
        <v/>
      </c>
      <c r="DG108" s="519">
        <f>SUMIF($N$1:$CG$1,DG$1,$N108:$CG108)</f>
        <v/>
      </c>
      <c r="DH108" s="519">
        <f>SUMIF($N$1:$CG$1,DH$1,$N108:$CG108)</f>
        <v/>
      </c>
      <c r="DI108" s="519">
        <f>SUMIF($N$1:$CG$1,DI$1,$N108:$CG108)</f>
        <v/>
      </c>
      <c r="DJ108" s="519">
        <f>SUMIF($N$1:$CG$1,DJ$1,$N108:$CG108)</f>
        <v/>
      </c>
      <c r="DK108" s="519">
        <f>SUMIF($N$1:$CG$1,DK$1,$N108:$CG108)</f>
        <v/>
      </c>
      <c r="DL108" s="519">
        <f>SUMIF($N$1:$CG$1,DL$1,$N108:$CG108)</f>
        <v/>
      </c>
      <c r="DM108" s="519">
        <f>SUMIF($N$1:$CG$1,DM$1,$N108:$CG108)</f>
        <v/>
      </c>
      <c r="DN108" s="519">
        <f>SUMIF($N$1:$CG$1,DN$1,$N108:$CG108)</f>
        <v/>
      </c>
      <c r="DO108" s="519">
        <f>SUMIF($N$1:$CG$1,DO$1,$N108:$CG108)</f>
        <v/>
      </c>
      <c r="DP108" s="519">
        <f>SUMIF($N$1:$CG$1,DP$1,$N108:$CG108)</f>
        <v/>
      </c>
      <c r="DQ108" s="519">
        <f>SUMIF($N$1:$CG$1,DQ$1,$N108:$CG108)</f>
        <v/>
      </c>
      <c r="DR108" s="519">
        <f>SUMIF($N$1:$CG$1,DR$1,$N108:$CG108)</f>
        <v/>
      </c>
      <c r="DS108" s="519">
        <f>SUMIF($N$1:$CK$1,DS$1,$N108:$CK108)</f>
        <v/>
      </c>
    </row>
    <row r="109">
      <c r="A109" s="43" t="inlineStr">
        <is>
          <t>Net margin</t>
        </is>
      </c>
      <c r="B109" s="883" t="n"/>
      <c r="C109" s="883" t="n"/>
      <c r="D109" s="883" t="n"/>
      <c r="E109" s="883" t="n"/>
      <c r="F109" s="883" t="n"/>
      <c r="G109" s="883" t="n"/>
      <c r="H109" s="883" t="n"/>
      <c r="I109" s="883" t="n"/>
      <c r="J109" s="883" t="n"/>
      <c r="K109" s="883" t="n"/>
      <c r="L109" s="883" t="n"/>
      <c r="M109" s="883" t="n"/>
      <c r="N109" s="908">
        <f>N108/N20</f>
        <v/>
      </c>
      <c r="O109" s="908">
        <f>O108/O20</f>
        <v/>
      </c>
      <c r="P109" s="908">
        <f>P108/P20</f>
        <v/>
      </c>
      <c r="Q109" s="908">
        <f>Q108/Q20</f>
        <v/>
      </c>
      <c r="R109" s="908">
        <f>R108/R20</f>
        <v/>
      </c>
      <c r="S109" s="908">
        <f>S108/S20</f>
        <v/>
      </c>
      <c r="T109" s="908">
        <f>T108/T20</f>
        <v/>
      </c>
      <c r="U109" s="908">
        <f>U108/U20</f>
        <v/>
      </c>
      <c r="V109" s="908">
        <f>V108/V20</f>
        <v/>
      </c>
      <c r="W109" s="908">
        <f>W108/W20</f>
        <v/>
      </c>
      <c r="X109" s="908">
        <f>X108/X20</f>
        <v/>
      </c>
      <c r="Y109" s="908">
        <f>Y108/Y20</f>
        <v/>
      </c>
      <c r="Z109" s="908">
        <f>Z108/Z20</f>
        <v/>
      </c>
      <c r="AA109" s="908">
        <f>AA108/AA20</f>
        <v/>
      </c>
      <c r="AB109" s="908">
        <f>AB108/AB20</f>
        <v/>
      </c>
      <c r="AC109" s="908">
        <f>AC108/AC20</f>
        <v/>
      </c>
      <c r="AD109" s="908">
        <f>AD108/AD20</f>
        <v/>
      </c>
      <c r="AE109" s="908">
        <f>AE108/AE20</f>
        <v/>
      </c>
      <c r="AF109" s="908">
        <f>AF108/AF20</f>
        <v/>
      </c>
      <c r="AG109" s="908">
        <f>AG108/AG20</f>
        <v/>
      </c>
      <c r="AH109" s="908">
        <f>AH108/AH20</f>
        <v/>
      </c>
      <c r="AI109" s="908">
        <f>AI108/AI20</f>
        <v/>
      </c>
      <c r="AJ109" s="908">
        <f>AJ108/AJ20</f>
        <v/>
      </c>
      <c r="AK109" s="908">
        <f>AK108/AK20</f>
        <v/>
      </c>
      <c r="AL109" s="908">
        <f>AL108/AL20</f>
        <v/>
      </c>
      <c r="AM109" s="908">
        <f>AM108/AM20</f>
        <v/>
      </c>
      <c r="AN109" s="908">
        <f>AN108/AN20</f>
        <v/>
      </c>
      <c r="AO109" s="908">
        <f>AO108/AO20</f>
        <v/>
      </c>
      <c r="AP109" s="908">
        <f>AP108/AP20</f>
        <v/>
      </c>
      <c r="AQ109" s="908">
        <f>AQ108/AQ20</f>
        <v/>
      </c>
      <c r="AR109" s="908">
        <f>AR108/AR20</f>
        <v/>
      </c>
      <c r="AS109" s="908">
        <f>AS108/AS20</f>
        <v/>
      </c>
      <c r="AT109" s="908">
        <f>AT108/AT20</f>
        <v/>
      </c>
      <c r="AU109" s="908">
        <f>AU108/AU20</f>
        <v/>
      </c>
      <c r="AV109" s="908">
        <f>AV108/AV20</f>
        <v/>
      </c>
      <c r="AW109" s="908">
        <f>AW108/AW20</f>
        <v/>
      </c>
      <c r="AX109" s="908">
        <f>AX108/AX20</f>
        <v/>
      </c>
      <c r="AY109" s="908">
        <f>AY108/AY20</f>
        <v/>
      </c>
      <c r="AZ109" s="908">
        <f>AZ108/AZ20</f>
        <v/>
      </c>
      <c r="BA109" s="908">
        <f>BA108/BA20</f>
        <v/>
      </c>
      <c r="BB109" s="908">
        <f>BB108/BB20</f>
        <v/>
      </c>
      <c r="BC109" s="908">
        <f>BC108/BC20</f>
        <v/>
      </c>
      <c r="BD109" s="908">
        <f>BD108/BD20</f>
        <v/>
      </c>
      <c r="BE109" s="908">
        <f>BE108/BE20</f>
        <v/>
      </c>
      <c r="BF109" s="908">
        <f>BF108/BF20</f>
        <v/>
      </c>
      <c r="BG109" s="908">
        <f>BG108/BG20</f>
        <v/>
      </c>
      <c r="BH109" s="908">
        <f>BH108/BH20</f>
        <v/>
      </c>
      <c r="BI109" s="908">
        <f>BI108/BI20</f>
        <v/>
      </c>
      <c r="BJ109" s="908">
        <f>BJ108/BJ20</f>
        <v/>
      </c>
      <c r="BK109" s="908">
        <f>BK108/BK20</f>
        <v/>
      </c>
      <c r="BL109" s="908">
        <f>BL108/BL20</f>
        <v/>
      </c>
      <c r="BM109" s="908">
        <f>BM108/BM20</f>
        <v/>
      </c>
      <c r="BN109" s="908">
        <f>BN108/BN20</f>
        <v/>
      </c>
      <c r="BO109" s="908">
        <f>BO108/BO20</f>
        <v/>
      </c>
      <c r="BP109" s="908">
        <f>BP108/BP20</f>
        <v/>
      </c>
      <c r="BQ109" s="908">
        <f>BQ108/BQ20</f>
        <v/>
      </c>
      <c r="BR109" s="908">
        <f>BR108/BR20</f>
        <v/>
      </c>
      <c r="BS109" s="908">
        <f>BS108/BS20</f>
        <v/>
      </c>
      <c r="BT109" s="908">
        <f>BT108/BT20</f>
        <v/>
      </c>
      <c r="BU109" s="908">
        <f>BU108/BU20</f>
        <v/>
      </c>
      <c r="BV109" s="908">
        <f>BV108/BV20</f>
        <v/>
      </c>
      <c r="BW109" s="908">
        <f>BW108/BW20</f>
        <v/>
      </c>
      <c r="BX109" s="908">
        <f>BX108/BX20</f>
        <v/>
      </c>
      <c r="BY109" s="908">
        <f>BY108/BY20</f>
        <v/>
      </c>
      <c r="BZ109" s="908">
        <f>BZ108/BZ20</f>
        <v/>
      </c>
      <c r="CA109" s="908">
        <f>CA108/CA20</f>
        <v/>
      </c>
      <c r="CB109" s="908">
        <f>CB108/CB20</f>
        <v/>
      </c>
      <c r="CC109" s="908">
        <f>CC108/CC20</f>
        <v/>
      </c>
      <c r="CD109" s="908">
        <f>CD108/CD20</f>
        <v/>
      </c>
      <c r="CE109" s="908">
        <f>CE108/CE20</f>
        <v/>
      </c>
      <c r="CF109" s="908">
        <f>CF108/CF20</f>
        <v/>
      </c>
      <c r="CG109" s="908">
        <f>CG108/CG20</f>
        <v/>
      </c>
      <c r="CH109" s="908">
        <f>CH108/CH20</f>
        <v/>
      </c>
      <c r="CI109" s="908">
        <f>CI108/CI20</f>
        <v/>
      </c>
      <c r="CJ109" s="908">
        <f>CJ108/CJ20</f>
        <v/>
      </c>
      <c r="CK109" s="908">
        <f>CK108/CK20</f>
        <v/>
      </c>
      <c r="DA109" s="912">
        <f>DA108/DA$20</f>
        <v/>
      </c>
      <c r="DB109" s="912">
        <f>DB108/DB$20</f>
        <v/>
      </c>
      <c r="DC109" s="912">
        <f>DC108/DC$20</f>
        <v/>
      </c>
      <c r="DD109" s="912">
        <f>DD108/DD$20</f>
        <v/>
      </c>
      <c r="DE109" s="912">
        <f>DE108/DE$20</f>
        <v/>
      </c>
      <c r="DF109" s="912">
        <f>DF108/DF$20</f>
        <v/>
      </c>
      <c r="DG109" s="912">
        <f>DG108/DG$20</f>
        <v/>
      </c>
      <c r="DH109" s="912">
        <f>DH108/DH$20</f>
        <v/>
      </c>
      <c r="DI109" s="912">
        <f>DI108/DI$20</f>
        <v/>
      </c>
      <c r="DJ109" s="912">
        <f>DJ108/DJ$20</f>
        <v/>
      </c>
      <c r="DK109" s="912">
        <f>DK108/DK$20</f>
        <v/>
      </c>
      <c r="DL109" s="912">
        <f>DL108/DL$20</f>
        <v/>
      </c>
      <c r="DM109" s="912">
        <f>DM108/DM$20</f>
        <v/>
      </c>
      <c r="DN109" s="912">
        <f>DN108/DN$20</f>
        <v/>
      </c>
      <c r="DO109" s="912">
        <f>DO108/DO$20</f>
        <v/>
      </c>
      <c r="DP109" s="912">
        <f>DP108/DP$20</f>
        <v/>
      </c>
      <c r="DQ109" s="912">
        <f>DQ108/DQ$20</f>
        <v/>
      </c>
      <c r="DR109" s="912">
        <f>DR108/DR$20</f>
        <v/>
      </c>
      <c r="DS109" s="912">
        <f>DS108/DS$20</f>
        <v/>
      </c>
    </row>
    <row r="110">
      <c r="A110" s="43" t="n"/>
      <c r="B110" s="917" t="n"/>
      <c r="C110" s="917" t="n"/>
      <c r="D110" s="917" t="n"/>
      <c r="E110" s="917" t="n"/>
      <c r="F110" s="917" t="n"/>
      <c r="G110" s="917" t="n"/>
      <c r="H110" s="917" t="n"/>
      <c r="I110" s="917" t="n"/>
      <c r="J110" s="917" t="n"/>
      <c r="K110" s="917" t="n"/>
      <c r="L110" s="917" t="n"/>
      <c r="M110" s="917" t="n"/>
    </row>
    <row r="111" customFormat="1" s="166">
      <c r="A111" s="520">
        <f>FS_Q!A27</f>
        <v/>
      </c>
      <c r="B111" s="917" t="n"/>
      <c r="C111" s="917" t="n"/>
      <c r="D111" s="917" t="n"/>
      <c r="E111" s="917" t="n"/>
      <c r="F111" s="917" t="n"/>
      <c r="G111" s="917" t="n"/>
      <c r="H111" s="917" t="n"/>
      <c r="I111" s="917" t="n"/>
      <c r="J111" s="917" t="n"/>
      <c r="K111" s="917" t="n"/>
      <c r="L111" s="917" t="n"/>
      <c r="M111" s="917" t="n"/>
      <c r="N111" s="516">
        <f>FS_Q!N27</f>
        <v/>
      </c>
      <c r="O111" s="516">
        <f>FS_Q!O27</f>
        <v/>
      </c>
      <c r="P111" s="516">
        <f>FS_Q!P27</f>
        <v/>
      </c>
      <c r="Q111" s="516">
        <f>FS_Q!Q27</f>
        <v/>
      </c>
      <c r="R111" s="516">
        <f>FS_Q!R27</f>
        <v/>
      </c>
      <c r="S111" s="516">
        <f>FS_Q!S27</f>
        <v/>
      </c>
      <c r="T111" s="516">
        <f>FS_Q!T27</f>
        <v/>
      </c>
      <c r="U111" s="516">
        <f>FS_Q!U27</f>
        <v/>
      </c>
      <c r="V111" s="516">
        <f>FS_Q!V27</f>
        <v/>
      </c>
      <c r="W111" s="516">
        <f>FS_Q!W27</f>
        <v/>
      </c>
      <c r="X111" s="516">
        <f>FS_Q!X27</f>
        <v/>
      </c>
      <c r="Y111" s="516">
        <f>FS_Q!Y27</f>
        <v/>
      </c>
      <c r="Z111" s="516">
        <f>FS_Q!Z27</f>
        <v/>
      </c>
      <c r="AA111" s="516">
        <f>FS_Q!AA27</f>
        <v/>
      </c>
      <c r="AB111" s="516">
        <f>FS_Q!AB27</f>
        <v/>
      </c>
      <c r="AC111" s="516">
        <f>FS_Q!AC27</f>
        <v/>
      </c>
      <c r="AD111" s="516">
        <f>FS_Q!AD27</f>
        <v/>
      </c>
      <c r="AE111" s="516">
        <f>FS_Q!AE27</f>
        <v/>
      </c>
      <c r="AF111" s="516">
        <f>FS_Q!AF27</f>
        <v/>
      </c>
      <c r="AG111" s="516">
        <f>FS_Q!AG27</f>
        <v/>
      </c>
      <c r="AH111" s="516">
        <f>FS_Q!AH27</f>
        <v/>
      </c>
      <c r="AI111" s="516">
        <f>FS_Q!AI27</f>
        <v/>
      </c>
      <c r="AJ111" s="516">
        <f>FS_Q!AJ27</f>
        <v/>
      </c>
      <c r="AK111" s="516">
        <f>FS_Q!AK27</f>
        <v/>
      </c>
      <c r="AL111" s="516">
        <f>FS_Q!AL27</f>
        <v/>
      </c>
      <c r="AM111" s="516">
        <f>FS_Q!AM27</f>
        <v/>
      </c>
      <c r="AN111" s="516">
        <f>FS_Q!AN27</f>
        <v/>
      </c>
      <c r="AO111" s="516">
        <f>FS_Q!AO27</f>
        <v/>
      </c>
      <c r="AP111" s="516">
        <f>FS_Q!AP27</f>
        <v/>
      </c>
      <c r="AQ111" s="516">
        <f>FS_Q!AQ27</f>
        <v/>
      </c>
      <c r="AR111" s="516">
        <f>FS_Q!AR27</f>
        <v/>
      </c>
      <c r="AS111" s="516">
        <f>FS_Q!AS27</f>
        <v/>
      </c>
      <c r="AT111" s="516">
        <f>FS_Q!AT27</f>
        <v/>
      </c>
      <c r="AU111" s="516">
        <f>FS_Q!AU27</f>
        <v/>
      </c>
      <c r="AV111" s="516">
        <f>FS_Q!AV27</f>
        <v/>
      </c>
      <c r="AW111" s="516">
        <f>FS_Q!AW27</f>
        <v/>
      </c>
      <c r="AX111" s="516">
        <f>FS_Q!AX27</f>
        <v/>
      </c>
      <c r="AY111" s="516">
        <f>FS_Q!AY27</f>
        <v/>
      </c>
      <c r="AZ111" s="516">
        <f>FS_Q!AZ27</f>
        <v/>
      </c>
      <c r="BA111" s="516">
        <f>FS_Q!BA27</f>
        <v/>
      </c>
      <c r="BB111" s="516">
        <f>FS_Q!BB27</f>
        <v/>
      </c>
      <c r="BC111" s="516">
        <f>FS_Q!BC27</f>
        <v/>
      </c>
      <c r="BD111" s="516">
        <f>FS_Q!BD27</f>
        <v/>
      </c>
      <c r="BE111" s="516">
        <f>FS_Q!BE27</f>
        <v/>
      </c>
      <c r="BF111" s="516">
        <f>FS_Q!BF27</f>
        <v/>
      </c>
      <c r="BG111" s="516">
        <f>FS_Q!BG27</f>
        <v/>
      </c>
      <c r="BH111" s="516">
        <f>FS_Q!BH27</f>
        <v/>
      </c>
      <c r="BI111" s="516">
        <f>FS_Q!BI27</f>
        <v/>
      </c>
      <c r="BJ111" s="516">
        <f>FS_Q!BJ27</f>
        <v/>
      </c>
      <c r="BK111" s="516">
        <f>FS_Q!BK27</f>
        <v/>
      </c>
      <c r="BL111" s="516">
        <f>FS_Q!BL27</f>
        <v/>
      </c>
      <c r="BM111" s="516">
        <f>FS_Q!BM27</f>
        <v/>
      </c>
      <c r="BN111" s="516">
        <f>FS_Q!BN27</f>
        <v/>
      </c>
      <c r="BO111" s="516">
        <f>FS_Q!BO27</f>
        <v/>
      </c>
      <c r="BP111" s="516">
        <f>FS_Q!BP27</f>
        <v/>
      </c>
      <c r="BQ111" s="516">
        <f>FS_Q!BQ27</f>
        <v/>
      </c>
      <c r="BR111" s="516">
        <f>FS_Q!BR27</f>
        <v/>
      </c>
      <c r="BS111" s="517">
        <f>BS$108*BS112</f>
        <v/>
      </c>
      <c r="BT111" s="517">
        <f>BT$108*BT112</f>
        <v/>
      </c>
      <c r="BU111" s="517">
        <f>BU$108*BU112</f>
        <v/>
      </c>
      <c r="BV111" s="517">
        <f>BV$108*BV112</f>
        <v/>
      </c>
      <c r="BW111" s="517">
        <f>BW$108*BW112</f>
        <v/>
      </c>
      <c r="BX111" s="517">
        <f>BX$108*BX112</f>
        <v/>
      </c>
      <c r="BY111" s="517">
        <f>BY$108*BY112</f>
        <v/>
      </c>
      <c r="BZ111" s="517">
        <f>BZ$108*BZ112</f>
        <v/>
      </c>
      <c r="CA111" s="517">
        <f>CA$108*CA112</f>
        <v/>
      </c>
      <c r="CB111" s="517">
        <f>CB$108*CB112</f>
        <v/>
      </c>
      <c r="CC111" s="517">
        <f>CC$108*CC112</f>
        <v/>
      </c>
      <c r="CD111" s="517">
        <f>CD$108*CD112</f>
        <v/>
      </c>
      <c r="CE111" s="517">
        <f>CE$108*CE112</f>
        <v/>
      </c>
      <c r="CF111" s="517">
        <f>CF$108*CF112</f>
        <v/>
      </c>
      <c r="CG111" s="517">
        <f>CG$108*CG112</f>
        <v/>
      </c>
      <c r="CH111" s="517">
        <f>CH$108*CH112</f>
        <v/>
      </c>
      <c r="CI111" s="517">
        <f>CI$108*CI112</f>
        <v/>
      </c>
      <c r="CJ111" s="517">
        <f>CJ$108*CJ112</f>
        <v/>
      </c>
      <c r="CK111" s="517">
        <f>CK$108*CK112</f>
        <v/>
      </c>
      <c r="DA111" s="517">
        <f>SUMIF($N$1:$CG$1,DA$1,$N111:$CG111)</f>
        <v/>
      </c>
      <c r="DB111" s="517">
        <f>SUMIF($N$1:$CG$1,DB$1,$N111:$CG111)</f>
        <v/>
      </c>
      <c r="DC111" s="517">
        <f>SUMIF($N$1:$CG$1,DC$1,$N111:$CG111)</f>
        <v/>
      </c>
      <c r="DD111" s="517">
        <f>SUMIF($N$1:$CG$1,DD$1,$N111:$CG111)</f>
        <v/>
      </c>
      <c r="DE111" s="517">
        <f>SUMIF($N$1:$CG$1,DE$1,$N111:$CG111)</f>
        <v/>
      </c>
      <c r="DF111" s="517">
        <f>SUMIF($N$1:$CG$1,DF$1,$N111:$CG111)</f>
        <v/>
      </c>
      <c r="DG111" s="517">
        <f>SUMIF($N$1:$CG$1,DG$1,$N111:$CG111)</f>
        <v/>
      </c>
      <c r="DH111" s="517">
        <f>SUMIF($N$1:$CG$1,DH$1,$N111:$CG111)</f>
        <v/>
      </c>
      <c r="DI111" s="517">
        <f>SUMIF($N$1:$CG$1,DI$1,$N111:$CG111)</f>
        <v/>
      </c>
      <c r="DJ111" s="517">
        <f>SUMIF($N$1:$CG$1,DJ$1,$N111:$CG111)</f>
        <v/>
      </c>
      <c r="DK111" s="517">
        <f>SUMIF($N$1:$CG$1,DK$1,$N111:$CG111)</f>
        <v/>
      </c>
      <c r="DL111" s="517">
        <f>SUMIF($N$1:$CG$1,DL$1,$N111:$CG111)</f>
        <v/>
      </c>
      <c r="DM111" s="517">
        <f>SUMIF($N$1:$CG$1,DM$1,$N111:$CG111)</f>
        <v/>
      </c>
      <c r="DN111" s="517">
        <f>SUMIF($N$1:$CG$1,DN$1,$N111:$CG111)</f>
        <v/>
      </c>
      <c r="DO111" s="517">
        <f>SUMIF($N$1:$CG$1,DO$1,$N111:$CG111)</f>
        <v/>
      </c>
      <c r="DP111" s="517">
        <f>SUMIF($N$1:$CG$1,DP$1,$N111:$CG111)</f>
        <v/>
      </c>
      <c r="DQ111" s="517">
        <f>SUMIF($N$1:$CG$1,DQ$1,$N111:$CG111)</f>
        <v/>
      </c>
      <c r="DR111" s="517">
        <f>SUMIF($N$1:$CG$1,DR$1,$N111:$CG111)</f>
        <v/>
      </c>
      <c r="DS111" s="517">
        <f>SUMIF($N$1:$CK$1,DS$1,$N111:$CK111)</f>
        <v/>
      </c>
    </row>
    <row r="112">
      <c r="A112" s="191" t="inlineStr">
        <is>
          <t>as % of net income</t>
        </is>
      </c>
      <c r="B112" s="917" t="n"/>
      <c r="C112" s="917" t="n"/>
      <c r="D112" s="917" t="n"/>
      <c r="E112" s="917" t="n"/>
      <c r="F112" s="917" t="n"/>
      <c r="G112" s="917" t="n"/>
      <c r="H112" s="917" t="n"/>
      <c r="I112" s="917" t="n"/>
      <c r="J112" s="917" t="n"/>
      <c r="K112" s="917" t="n"/>
      <c r="L112" s="917" t="n"/>
      <c r="M112" s="917" t="n"/>
      <c r="N112" s="908">
        <f>N111/N$108</f>
        <v/>
      </c>
      <c r="O112" s="908">
        <f>O111/O$108</f>
        <v/>
      </c>
      <c r="P112" s="908">
        <f>P111/P$108</f>
        <v/>
      </c>
      <c r="Q112" s="908">
        <f>Q111/Q$108</f>
        <v/>
      </c>
      <c r="R112" s="908">
        <f>R111/R$108</f>
        <v/>
      </c>
      <c r="S112" s="908">
        <f>S111/S$108</f>
        <v/>
      </c>
      <c r="T112" s="908">
        <f>T111/T$108</f>
        <v/>
      </c>
      <c r="U112" s="908">
        <f>U111/U$108</f>
        <v/>
      </c>
      <c r="V112" s="908">
        <f>V111/V$108</f>
        <v/>
      </c>
      <c r="W112" s="908">
        <f>W111/W$108</f>
        <v/>
      </c>
      <c r="X112" s="908">
        <f>X111/X$108</f>
        <v/>
      </c>
      <c r="Y112" s="908">
        <f>Y111/Y$108</f>
        <v/>
      </c>
      <c r="Z112" s="908">
        <f>Z111/Z$108</f>
        <v/>
      </c>
      <c r="AA112" s="908">
        <f>AA111/AA$108</f>
        <v/>
      </c>
      <c r="AB112" s="908">
        <f>AB111/AB$108</f>
        <v/>
      </c>
      <c r="AC112" s="908">
        <f>AC111/AC$108</f>
        <v/>
      </c>
      <c r="AD112" s="908">
        <f>AD111/AD$108</f>
        <v/>
      </c>
      <c r="AE112" s="908">
        <f>AE111/AE$108</f>
        <v/>
      </c>
      <c r="AF112" s="908">
        <f>AF111/AF$108</f>
        <v/>
      </c>
      <c r="AG112" s="908">
        <f>AG111/AG$108</f>
        <v/>
      </c>
      <c r="AH112" s="908">
        <f>AH111/AH$108</f>
        <v/>
      </c>
      <c r="AI112" s="908">
        <f>AI111/AI$108</f>
        <v/>
      </c>
      <c r="AJ112" s="908">
        <f>AJ111/AJ$108</f>
        <v/>
      </c>
      <c r="AK112" s="908">
        <f>AK111/AK$108</f>
        <v/>
      </c>
      <c r="AL112" s="908">
        <f>AL111/AL$108</f>
        <v/>
      </c>
      <c r="AM112" s="908">
        <f>AM111/AM$108</f>
        <v/>
      </c>
      <c r="AN112" s="908">
        <f>AN111/AN$108</f>
        <v/>
      </c>
      <c r="AO112" s="908">
        <f>AO111/AO$108</f>
        <v/>
      </c>
      <c r="AP112" s="908">
        <f>AP111/AP$108</f>
        <v/>
      </c>
      <c r="AQ112" s="908">
        <f>AQ111/AQ$108</f>
        <v/>
      </c>
      <c r="AR112" s="908">
        <f>AR111/AR$108</f>
        <v/>
      </c>
      <c r="AS112" s="908">
        <f>AS111/AS$108</f>
        <v/>
      </c>
      <c r="AT112" s="908">
        <f>AT111/AT$108</f>
        <v/>
      </c>
      <c r="AU112" s="908">
        <f>AU111/AU$108</f>
        <v/>
      </c>
      <c r="AV112" s="908">
        <f>AV111/AV$108</f>
        <v/>
      </c>
      <c r="AW112" s="908">
        <f>AW111/AW$108</f>
        <v/>
      </c>
      <c r="AX112" s="908">
        <f>AX111/AX$108</f>
        <v/>
      </c>
      <c r="AY112" s="908">
        <f>AY111/AY$108</f>
        <v/>
      </c>
      <c r="AZ112" s="908">
        <f>AZ111/AZ$108</f>
        <v/>
      </c>
      <c r="BA112" s="908">
        <f>BA111/BA$108</f>
        <v/>
      </c>
      <c r="BB112" s="908">
        <f>BB111/BB$108</f>
        <v/>
      </c>
      <c r="BC112" s="908">
        <f>BC111/BC$108</f>
        <v/>
      </c>
      <c r="BD112" s="908">
        <f>BD111/BD$108</f>
        <v/>
      </c>
      <c r="BE112" s="908">
        <f>BE111/BE$108</f>
        <v/>
      </c>
      <c r="BF112" s="908">
        <f>BF111/BF$108</f>
        <v/>
      </c>
      <c r="BG112" s="908">
        <f>BG111/BG$108</f>
        <v/>
      </c>
      <c r="BH112" s="908">
        <f>BH111/BH$108</f>
        <v/>
      </c>
      <c r="BI112" s="908">
        <f>BI111/BI$108</f>
        <v/>
      </c>
      <c r="BJ112" s="908">
        <f>BJ111/BJ$108</f>
        <v/>
      </c>
      <c r="BK112" s="908">
        <f>BK111/BK$108</f>
        <v/>
      </c>
      <c r="BL112" s="908">
        <f>BL111/BL$108</f>
        <v/>
      </c>
      <c r="BM112" s="908">
        <f>BM111/BM$108</f>
        <v/>
      </c>
      <c r="BN112" s="908">
        <f>BN111/BN$108</f>
        <v/>
      </c>
      <c r="BO112" s="908">
        <f>BO111/BO$108</f>
        <v/>
      </c>
      <c r="BP112" s="908">
        <f>BP111/BP$108</f>
        <v/>
      </c>
      <c r="BQ112" s="908">
        <f>BQ111/BQ$108</f>
        <v/>
      </c>
      <c r="BR112" s="908">
        <f>BR111/BR$108</f>
        <v/>
      </c>
      <c r="BS112" s="909">
        <f>BR112</f>
        <v/>
      </c>
      <c r="BT112" s="909">
        <f>BS112</f>
        <v/>
      </c>
      <c r="BU112" s="909">
        <f>BT112</f>
        <v/>
      </c>
      <c r="BV112" s="909">
        <f>BU112</f>
        <v/>
      </c>
      <c r="BW112" s="909">
        <f>BV112</f>
        <v/>
      </c>
      <c r="BX112" s="909">
        <f>BW112</f>
        <v/>
      </c>
      <c r="BY112" s="909">
        <f>BX112</f>
        <v/>
      </c>
      <c r="BZ112" s="909">
        <f>BY112</f>
        <v/>
      </c>
      <c r="CA112" s="909">
        <f>BZ112</f>
        <v/>
      </c>
      <c r="CB112" s="909">
        <f>CA112</f>
        <v/>
      </c>
      <c r="CC112" s="909">
        <f>CB112</f>
        <v/>
      </c>
      <c r="CD112" s="909">
        <f>CC112</f>
        <v/>
      </c>
      <c r="CE112" s="909">
        <f>CD112</f>
        <v/>
      </c>
      <c r="CF112" s="909">
        <f>CE112</f>
        <v/>
      </c>
      <c r="CG112" s="909">
        <f>CF112</f>
        <v/>
      </c>
      <c r="CH112" s="909">
        <f>CG112</f>
        <v/>
      </c>
      <c r="CI112" s="909">
        <f>CH112</f>
        <v/>
      </c>
      <c r="CJ112" s="909">
        <f>CI112</f>
        <v/>
      </c>
      <c r="CK112" s="909">
        <f>CJ112</f>
        <v/>
      </c>
      <c r="DA112" s="912">
        <f>DA111/DA$108</f>
        <v/>
      </c>
      <c r="DB112" s="912">
        <f>DB111/DB$108</f>
        <v/>
      </c>
      <c r="DC112" s="912">
        <f>DC111/DC$108</f>
        <v/>
      </c>
      <c r="DD112" s="912">
        <f>DD111/DD$108</f>
        <v/>
      </c>
      <c r="DE112" s="912">
        <f>DE111/DE$108</f>
        <v/>
      </c>
      <c r="DF112" s="912">
        <f>DF111/DF$108</f>
        <v/>
      </c>
      <c r="DG112" s="912">
        <f>DG111/DG$108</f>
        <v/>
      </c>
      <c r="DH112" s="912">
        <f>DH111/DH$108</f>
        <v/>
      </c>
      <c r="DI112" s="912">
        <f>DI111/DI$108</f>
        <v/>
      </c>
      <c r="DJ112" s="912">
        <f>DJ111/DJ$108</f>
        <v/>
      </c>
      <c r="DK112" s="912">
        <f>DK111/DK$108</f>
        <v/>
      </c>
      <c r="DL112" s="912">
        <f>DL111/DL$108</f>
        <v/>
      </c>
      <c r="DM112" s="912">
        <f>DM111/DM$108</f>
        <v/>
      </c>
      <c r="DN112" s="912">
        <f>DN111/DN$108</f>
        <v/>
      </c>
      <c r="DO112" s="912">
        <f>DO111/DO$108</f>
        <v/>
      </c>
      <c r="DP112" s="912">
        <f>DP111/DP$108</f>
        <v/>
      </c>
      <c r="DQ112" s="912">
        <f>DQ111/DQ$108</f>
        <v/>
      </c>
      <c r="DR112" s="912">
        <f>DR111/DR$108</f>
        <v/>
      </c>
      <c r="DS112" s="912">
        <f>DS111/DS$108</f>
        <v/>
      </c>
    </row>
    <row r="113">
      <c r="A113" s="191" t="n"/>
      <c r="B113" s="917" t="n"/>
      <c r="C113" s="917" t="n"/>
      <c r="D113" s="917" t="n"/>
      <c r="E113" s="917" t="n"/>
      <c r="F113" s="917" t="n"/>
      <c r="G113" s="917" t="n"/>
      <c r="H113" s="917" t="n"/>
      <c r="I113" s="917" t="n"/>
      <c r="J113" s="917" t="n"/>
      <c r="K113" s="917" t="n"/>
      <c r="L113" s="917" t="n"/>
      <c r="M113" s="917" t="n"/>
    </row>
    <row r="114">
      <c r="A114" s="520" t="inlineStr">
        <is>
          <t>Net income attributable to Minority Interest</t>
        </is>
      </c>
      <c r="B114" s="917" t="n"/>
      <c r="C114" s="917" t="n"/>
      <c r="D114" s="917" t="n"/>
      <c r="E114" s="917" t="n"/>
      <c r="F114" s="917" t="n"/>
      <c r="G114" s="917" t="n"/>
      <c r="H114" s="917" t="n"/>
      <c r="I114" s="917" t="n"/>
      <c r="J114" s="917" t="n"/>
      <c r="K114" s="917" t="n"/>
      <c r="L114" s="917" t="n"/>
      <c r="M114" s="917" t="n"/>
      <c r="N114" s="516">
        <f>FS_Q!N26</f>
        <v/>
      </c>
      <c r="O114" s="516">
        <f>FS_Q!O26</f>
        <v/>
      </c>
      <c r="P114" s="516">
        <f>FS_Q!P26</f>
        <v/>
      </c>
      <c r="Q114" s="516">
        <f>FS_Q!Q26</f>
        <v/>
      </c>
      <c r="R114" s="516">
        <f>FS_Q!R26</f>
        <v/>
      </c>
      <c r="S114" s="516">
        <f>FS_Q!S26</f>
        <v/>
      </c>
      <c r="T114" s="516">
        <f>FS_Q!T26</f>
        <v/>
      </c>
      <c r="U114" s="516">
        <f>FS_Q!U26</f>
        <v/>
      </c>
      <c r="V114" s="516">
        <f>FS_Q!V26</f>
        <v/>
      </c>
      <c r="W114" s="516">
        <f>FS_Q!W26</f>
        <v/>
      </c>
      <c r="X114" s="516">
        <f>FS_Q!X26</f>
        <v/>
      </c>
      <c r="Y114" s="516">
        <f>FS_Q!Y26</f>
        <v/>
      </c>
      <c r="Z114" s="516">
        <f>FS_Q!Z26</f>
        <v/>
      </c>
      <c r="AA114" s="516">
        <f>FS_Q!AA26</f>
        <v/>
      </c>
      <c r="AB114" s="516">
        <f>FS_Q!AB26</f>
        <v/>
      </c>
      <c r="AC114" s="516">
        <f>FS_Q!AC26</f>
        <v/>
      </c>
      <c r="AD114" s="516">
        <f>FS_Q!AD26</f>
        <v/>
      </c>
      <c r="AE114" s="516">
        <f>FS_Q!AE26</f>
        <v/>
      </c>
      <c r="AF114" s="516">
        <f>FS_Q!AF26</f>
        <v/>
      </c>
      <c r="AG114" s="516">
        <f>FS_Q!AG26</f>
        <v/>
      </c>
      <c r="AH114" s="516">
        <f>FS_Q!AH26</f>
        <v/>
      </c>
      <c r="AI114" s="516">
        <f>FS_Q!AI26</f>
        <v/>
      </c>
      <c r="AJ114" s="516">
        <f>FS_Q!AJ26</f>
        <v/>
      </c>
      <c r="AK114" s="516">
        <f>FS_Q!AK26</f>
        <v/>
      </c>
      <c r="AL114" s="516">
        <f>FS_Q!AL26</f>
        <v/>
      </c>
      <c r="AM114" s="516">
        <f>FS_Q!AM26</f>
        <v/>
      </c>
      <c r="AN114" s="516">
        <f>FS_Q!AN26</f>
        <v/>
      </c>
      <c r="AO114" s="516">
        <f>FS_Q!AO26</f>
        <v/>
      </c>
      <c r="AP114" s="516">
        <f>FS_Q!AP26</f>
        <v/>
      </c>
      <c r="AQ114" s="516">
        <f>FS_Q!AQ26</f>
        <v/>
      </c>
      <c r="AR114" s="516">
        <f>FS_Q!AR26</f>
        <v/>
      </c>
      <c r="AS114" s="516">
        <f>FS_Q!AS26</f>
        <v/>
      </c>
      <c r="AT114" s="516">
        <f>FS_Q!AT26</f>
        <v/>
      </c>
      <c r="AU114" s="516">
        <f>FS_Q!AU26</f>
        <v/>
      </c>
      <c r="AV114" s="516">
        <f>FS_Q!AV26</f>
        <v/>
      </c>
      <c r="AW114" s="516">
        <f>FS_Q!AW26</f>
        <v/>
      </c>
      <c r="AX114" s="516">
        <f>FS_Q!AX26</f>
        <v/>
      </c>
      <c r="AY114" s="516">
        <f>FS_Q!AY26</f>
        <v/>
      </c>
      <c r="AZ114" s="516">
        <f>FS_Q!AZ26</f>
        <v/>
      </c>
      <c r="BA114" s="516">
        <f>FS_Q!BA26</f>
        <v/>
      </c>
      <c r="BB114" s="516">
        <f>FS_Q!BB26</f>
        <v/>
      </c>
      <c r="BC114" s="516">
        <f>FS_Q!BC26</f>
        <v/>
      </c>
      <c r="BD114" s="516">
        <f>FS_Q!BD26</f>
        <v/>
      </c>
      <c r="BE114" s="516">
        <f>FS_Q!BE26</f>
        <v/>
      </c>
      <c r="BF114" s="516">
        <f>FS_Q!BF26</f>
        <v/>
      </c>
      <c r="BG114" s="516">
        <f>FS_Q!BG26</f>
        <v/>
      </c>
      <c r="BH114" s="516">
        <f>FS_Q!BH26</f>
        <v/>
      </c>
      <c r="BI114" s="516">
        <f>FS_Q!BI26</f>
        <v/>
      </c>
      <c r="BJ114" s="516">
        <f>FS_Q!BJ26</f>
        <v/>
      </c>
      <c r="BK114" s="516">
        <f>FS_Q!BK26</f>
        <v/>
      </c>
      <c r="BL114" s="516">
        <f>FS_Q!BL26</f>
        <v/>
      </c>
      <c r="BM114" s="516">
        <f>FS_Q!BM26</f>
        <v/>
      </c>
      <c r="BN114" s="516">
        <f>FS_Q!BN26</f>
        <v/>
      </c>
      <c r="BO114" s="516">
        <f>FS_Q!BO26</f>
        <v/>
      </c>
      <c r="BP114" s="516">
        <f>FS_Q!BP26</f>
        <v/>
      </c>
      <c r="BQ114" s="516">
        <f>FS_Q!BQ26</f>
        <v/>
      </c>
      <c r="BR114" s="516">
        <f>FS_Q!BR26</f>
        <v/>
      </c>
      <c r="BS114" s="517">
        <f>BS$108*BS115</f>
        <v/>
      </c>
      <c r="BT114" s="517">
        <f>BT$108*BT115</f>
        <v/>
      </c>
      <c r="BU114" s="517">
        <f>BU$108*BU115</f>
        <v/>
      </c>
      <c r="BV114" s="517">
        <f>BV$108*BV115</f>
        <v/>
      </c>
      <c r="BW114" s="517">
        <f>BW$108*BW115</f>
        <v/>
      </c>
      <c r="BX114" s="517">
        <f>BX$108*BX115</f>
        <v/>
      </c>
      <c r="BY114" s="517">
        <f>BY$108*BY115</f>
        <v/>
      </c>
      <c r="BZ114" s="517">
        <f>BZ$108*BZ115</f>
        <v/>
      </c>
      <c r="CA114" s="517">
        <f>CA$108*CA115</f>
        <v/>
      </c>
      <c r="CB114" s="517">
        <f>CB$108*CB115</f>
        <v/>
      </c>
      <c r="CC114" s="517">
        <f>CC$108*CC115</f>
        <v/>
      </c>
      <c r="CD114" s="517">
        <f>CD$108*CD115</f>
        <v/>
      </c>
      <c r="CE114" s="517">
        <f>CE$108*CE115</f>
        <v/>
      </c>
      <c r="CF114" s="517">
        <f>CF$108*CF115</f>
        <v/>
      </c>
      <c r="CG114" s="517">
        <f>CG$108*CG115</f>
        <v/>
      </c>
      <c r="CH114" s="517">
        <f>CH$108*CH115</f>
        <v/>
      </c>
      <c r="CI114" s="517">
        <f>CI$108*CI115</f>
        <v/>
      </c>
      <c r="CJ114" s="517">
        <f>CJ$108*CJ115</f>
        <v/>
      </c>
      <c r="CK114" s="517">
        <f>CK$108*CK115</f>
        <v/>
      </c>
      <c r="DA114" s="517">
        <f>SUMIF($N$1:$CG$1,DA$1,$N114:$CG114)</f>
        <v/>
      </c>
      <c r="DB114" s="517">
        <f>SUMIF($N$1:$CG$1,DB$1,$N114:$CG114)</f>
        <v/>
      </c>
      <c r="DC114" s="517">
        <f>SUMIF($N$1:$CG$1,DC$1,$N114:$CG114)</f>
        <v/>
      </c>
      <c r="DD114" s="517">
        <f>SUMIF($N$1:$CG$1,DD$1,$N114:$CG114)</f>
        <v/>
      </c>
      <c r="DE114" s="517">
        <f>SUMIF($N$1:$CG$1,DE$1,$N114:$CG114)</f>
        <v/>
      </c>
      <c r="DF114" s="517">
        <f>SUMIF($N$1:$CG$1,DF$1,$N114:$CG114)</f>
        <v/>
      </c>
      <c r="DG114" s="517">
        <f>SUMIF($N$1:$CG$1,DG$1,$N114:$CG114)</f>
        <v/>
      </c>
      <c r="DH114" s="517">
        <f>SUMIF($N$1:$CG$1,DH$1,$N114:$CG114)</f>
        <v/>
      </c>
      <c r="DI114" s="517">
        <f>SUMIF($N$1:$CG$1,DI$1,$N114:$CG114)</f>
        <v/>
      </c>
      <c r="DJ114" s="517">
        <f>SUMIF($N$1:$CG$1,DJ$1,$N114:$CG114)</f>
        <v/>
      </c>
      <c r="DK114" s="517">
        <f>SUMIF($N$1:$CG$1,DK$1,$N114:$CG114)</f>
        <v/>
      </c>
      <c r="DL114" s="517">
        <f>SUMIF($N$1:$CG$1,DL$1,$N114:$CG114)</f>
        <v/>
      </c>
      <c r="DM114" s="517">
        <f>SUMIF($N$1:$CG$1,DM$1,$N114:$CG114)</f>
        <v/>
      </c>
      <c r="DN114" s="517">
        <f>SUMIF($N$1:$CG$1,DN$1,$N114:$CG114)</f>
        <v/>
      </c>
      <c r="DO114" s="517">
        <f>SUMIF($N$1:$CG$1,DO$1,$N114:$CG114)</f>
        <v/>
      </c>
      <c r="DP114" s="517">
        <f>SUMIF($N$1:$CG$1,DP$1,$N114:$CG114)</f>
        <v/>
      </c>
      <c r="DQ114" s="517">
        <f>SUMIF($N$1:$CG$1,DQ$1,$N114:$CG114)</f>
        <v/>
      </c>
      <c r="DR114" s="517">
        <f>SUMIF($N$1:$CG$1,DR$1,$N114:$CG114)</f>
        <v/>
      </c>
      <c r="DS114" s="517">
        <f>SUMIF($N$1:$CK$1,DS$1,$N114:$CK114)</f>
        <v/>
      </c>
    </row>
    <row r="115" customFormat="1" s="166">
      <c r="A115" s="191">
        <f>A112</f>
        <v/>
      </c>
      <c r="B115" s="917" t="n"/>
      <c r="C115" s="917" t="n"/>
      <c r="D115" s="917" t="n"/>
      <c r="E115" s="917" t="n"/>
      <c r="F115" s="917" t="n"/>
      <c r="G115" s="917" t="n"/>
      <c r="H115" s="917" t="n"/>
      <c r="I115" s="917" t="n"/>
      <c r="J115" s="917" t="n"/>
      <c r="K115" s="917" t="n"/>
      <c r="L115" s="917" t="n"/>
      <c r="M115" s="917" t="n"/>
      <c r="N115" s="908">
        <f>N114/N$108</f>
        <v/>
      </c>
      <c r="O115" s="908">
        <f>O114/O$108</f>
        <v/>
      </c>
      <c r="P115" s="908">
        <f>P114/P$108</f>
        <v/>
      </c>
      <c r="Q115" s="908">
        <f>Q114/Q$108</f>
        <v/>
      </c>
      <c r="R115" s="908">
        <f>R114/R$108</f>
        <v/>
      </c>
      <c r="S115" s="908">
        <f>S114/S$108</f>
        <v/>
      </c>
      <c r="T115" s="908">
        <f>T114/T$108</f>
        <v/>
      </c>
      <c r="U115" s="908">
        <f>U114/U$108</f>
        <v/>
      </c>
      <c r="V115" s="908">
        <f>V114/V$108</f>
        <v/>
      </c>
      <c r="W115" s="908">
        <f>W114/W$108</f>
        <v/>
      </c>
      <c r="X115" s="908">
        <f>X114/X$108</f>
        <v/>
      </c>
      <c r="Y115" s="908">
        <f>Y114/Y$108</f>
        <v/>
      </c>
      <c r="Z115" s="908">
        <f>Z114/Z$108</f>
        <v/>
      </c>
      <c r="AA115" s="908">
        <f>AA114/AA$108</f>
        <v/>
      </c>
      <c r="AB115" s="908">
        <f>AB114/AB$108</f>
        <v/>
      </c>
      <c r="AC115" s="908">
        <f>AC114/AC$108</f>
        <v/>
      </c>
      <c r="AD115" s="908">
        <f>AD114/AD$108</f>
        <v/>
      </c>
      <c r="AE115" s="908">
        <f>AE114/AE$108</f>
        <v/>
      </c>
      <c r="AF115" s="908">
        <f>AF114/AF$108</f>
        <v/>
      </c>
      <c r="AG115" s="908">
        <f>AG114/AG$108</f>
        <v/>
      </c>
      <c r="AH115" s="908">
        <f>AH114/AH$108</f>
        <v/>
      </c>
      <c r="AI115" s="908">
        <f>AI114/AI$108</f>
        <v/>
      </c>
      <c r="AJ115" s="908">
        <f>AJ114/AJ$108</f>
        <v/>
      </c>
      <c r="AK115" s="908">
        <f>AK114/AK$108</f>
        <v/>
      </c>
      <c r="AL115" s="908">
        <f>AL114/AL$108</f>
        <v/>
      </c>
      <c r="AM115" s="908">
        <f>AM114/AM$108</f>
        <v/>
      </c>
      <c r="AN115" s="908">
        <f>AN114/AN$108</f>
        <v/>
      </c>
      <c r="AO115" s="908">
        <f>AO114/AO$108</f>
        <v/>
      </c>
      <c r="AP115" s="908">
        <f>AP114/AP$108</f>
        <v/>
      </c>
      <c r="AQ115" s="908">
        <f>AQ114/AQ$108</f>
        <v/>
      </c>
      <c r="AR115" s="908">
        <f>AR114/AR$108</f>
        <v/>
      </c>
      <c r="AS115" s="908">
        <f>AS114/AS$108</f>
        <v/>
      </c>
      <c r="AT115" s="908">
        <f>AT114/AT$108</f>
        <v/>
      </c>
      <c r="AU115" s="908">
        <f>AU114/AU$108</f>
        <v/>
      </c>
      <c r="AV115" s="908">
        <f>AV114/AV$108</f>
        <v/>
      </c>
      <c r="AW115" s="908">
        <f>AW114/AW$108</f>
        <v/>
      </c>
      <c r="AX115" s="908">
        <f>AX114/AX$108</f>
        <v/>
      </c>
      <c r="AY115" s="908">
        <f>AY114/AY$108</f>
        <v/>
      </c>
      <c r="AZ115" s="908">
        <f>AZ114/AZ$108</f>
        <v/>
      </c>
      <c r="BA115" s="908">
        <f>BA114/BA$108</f>
        <v/>
      </c>
      <c r="BB115" s="908">
        <f>BB114/BB$108</f>
        <v/>
      </c>
      <c r="BC115" s="908">
        <f>BC114/BC$108</f>
        <v/>
      </c>
      <c r="BD115" s="908">
        <f>BD114/BD$108</f>
        <v/>
      </c>
      <c r="BE115" s="908">
        <f>BE114/BE$108</f>
        <v/>
      </c>
      <c r="BF115" s="908">
        <f>BF114/BF$108</f>
        <v/>
      </c>
      <c r="BG115" s="908">
        <f>BG114/BG$108</f>
        <v/>
      </c>
      <c r="BH115" s="908">
        <f>BH114/BH$108</f>
        <v/>
      </c>
      <c r="BI115" s="908">
        <f>BI114/BI$108</f>
        <v/>
      </c>
      <c r="BJ115" s="908">
        <f>BJ114/BJ$108</f>
        <v/>
      </c>
      <c r="BK115" s="908">
        <f>BK114/BK$108</f>
        <v/>
      </c>
      <c r="BL115" s="908">
        <f>BL114/BL$108</f>
        <v/>
      </c>
      <c r="BM115" s="908">
        <f>BM114/BM$108</f>
        <v/>
      </c>
      <c r="BN115" s="908">
        <f>BN114/BN$108</f>
        <v/>
      </c>
      <c r="BO115" s="908">
        <f>BO114/BO$108</f>
        <v/>
      </c>
      <c r="BP115" s="908">
        <f>BP114/BP$108</f>
        <v/>
      </c>
      <c r="BQ115" s="908">
        <f>BQ114/BQ$108</f>
        <v/>
      </c>
      <c r="BR115" s="908">
        <f>BR114/BR$108</f>
        <v/>
      </c>
      <c r="BS115" s="909">
        <f>BR115</f>
        <v/>
      </c>
      <c r="BT115" s="909">
        <f>BS115</f>
        <v/>
      </c>
      <c r="BU115" s="909">
        <f>BT115</f>
        <v/>
      </c>
      <c r="BV115" s="909">
        <f>BU115</f>
        <v/>
      </c>
      <c r="BW115" s="909">
        <f>BV115</f>
        <v/>
      </c>
      <c r="BX115" s="909">
        <f>BW115</f>
        <v/>
      </c>
      <c r="BY115" s="909">
        <f>BX115</f>
        <v/>
      </c>
      <c r="BZ115" s="909">
        <f>BY115</f>
        <v/>
      </c>
      <c r="CA115" s="909">
        <f>BZ115</f>
        <v/>
      </c>
      <c r="CB115" s="909">
        <f>CA115</f>
        <v/>
      </c>
      <c r="CC115" s="909">
        <f>CB115</f>
        <v/>
      </c>
      <c r="CD115" s="909">
        <f>CC115</f>
        <v/>
      </c>
      <c r="CE115" s="909">
        <f>CD115</f>
        <v/>
      </c>
      <c r="CF115" s="909">
        <f>CE115</f>
        <v/>
      </c>
      <c r="CG115" s="909">
        <f>CF115</f>
        <v/>
      </c>
      <c r="CH115" s="909">
        <f>CG115</f>
        <v/>
      </c>
      <c r="CI115" s="909">
        <f>CH115</f>
        <v/>
      </c>
      <c r="CJ115" s="909">
        <f>CI115</f>
        <v/>
      </c>
      <c r="CK115" s="909">
        <f>CJ115</f>
        <v/>
      </c>
      <c r="DA115" s="912">
        <f>DA114/DA$108</f>
        <v/>
      </c>
      <c r="DB115" s="912">
        <f>DB114/DB$108</f>
        <v/>
      </c>
      <c r="DC115" s="912">
        <f>DC114/DC$108</f>
        <v/>
      </c>
      <c r="DD115" s="912">
        <f>DD114/DD$108</f>
        <v/>
      </c>
      <c r="DE115" s="912">
        <f>DE114/DE$108</f>
        <v/>
      </c>
      <c r="DF115" s="912">
        <f>DF114/DF$108</f>
        <v/>
      </c>
      <c r="DG115" s="912">
        <f>DG114/DG$108</f>
        <v/>
      </c>
      <c r="DH115" s="912">
        <f>DH114/DH$108</f>
        <v/>
      </c>
      <c r="DI115" s="912">
        <f>DI114/DI$108</f>
        <v/>
      </c>
      <c r="DJ115" s="912">
        <f>DJ114/DJ$108</f>
        <v/>
      </c>
      <c r="DK115" s="912">
        <f>DK114/DK$108</f>
        <v/>
      </c>
      <c r="DL115" s="912">
        <f>DL114/DL$108</f>
        <v/>
      </c>
      <c r="DM115" s="912">
        <f>DM114/DM$108</f>
        <v/>
      </c>
      <c r="DN115" s="912">
        <f>DN114/DN$108</f>
        <v/>
      </c>
      <c r="DO115" s="912">
        <f>DO114/DO$108</f>
        <v/>
      </c>
      <c r="DP115" s="912">
        <f>DP114/DP$108</f>
        <v/>
      </c>
      <c r="DQ115" s="912">
        <f>DQ114/DQ$108</f>
        <v/>
      </c>
      <c r="DR115" s="912">
        <f>DR114/DR$108</f>
        <v/>
      </c>
      <c r="DS115" s="912">
        <f>DS114/DS$108</f>
        <v/>
      </c>
    </row>
    <row r="116">
      <c r="A116" s="43" t="n"/>
      <c r="B116" s="917" t="n"/>
      <c r="C116" s="917" t="n"/>
      <c r="D116" s="917" t="n"/>
      <c r="E116" s="917" t="n"/>
      <c r="F116" s="917" t="n"/>
      <c r="G116" s="917" t="n"/>
      <c r="H116" s="917" t="n"/>
      <c r="I116" s="917" t="n"/>
      <c r="J116" s="917" t="n"/>
      <c r="K116" s="917" t="n"/>
      <c r="L116" s="917" t="n"/>
      <c r="M116" s="917" t="n"/>
    </row>
    <row r="117">
      <c r="A117" s="43" t="n"/>
      <c r="B117" s="917" t="n"/>
      <c r="C117" s="917" t="n"/>
      <c r="D117" s="917" t="n"/>
      <c r="E117" s="917" t="n"/>
      <c r="F117" s="917" t="n"/>
      <c r="G117" s="917" t="n"/>
      <c r="H117" s="917" t="n"/>
      <c r="I117" s="917" t="n"/>
      <c r="J117" s="917" t="n"/>
      <c r="K117" s="917" t="n"/>
      <c r="L117" s="917" t="n"/>
      <c r="M117" s="917" t="n"/>
      <c r="BQ117" s="84" t="n"/>
      <c r="BR117" s="84" t="n"/>
    </row>
    <row r="118" ht="16" customHeight="1">
      <c r="A118" s="409" t="inlineStr">
        <is>
          <t>Balance sheet assumptions</t>
        </is>
      </c>
      <c r="B118" s="917" t="n"/>
      <c r="C118" s="917" t="n"/>
      <c r="D118" s="917" t="n"/>
      <c r="E118" s="917" t="n"/>
      <c r="F118" s="917" t="n"/>
      <c r="G118" s="917" t="n"/>
      <c r="H118" s="917" t="n"/>
      <c r="I118" s="917" t="n"/>
      <c r="J118" s="917" t="n"/>
      <c r="K118" s="917" t="n"/>
      <c r="L118" s="917" t="n"/>
      <c r="M118" s="917" t="n"/>
    </row>
    <row r="119">
      <c r="A119" s="43" t="n"/>
      <c r="B119" s="917" t="n"/>
      <c r="C119" s="917" t="n"/>
      <c r="D119" s="917" t="n"/>
      <c r="E119" s="917" t="n"/>
      <c r="F119" s="917" t="n"/>
      <c r="G119" s="917" t="n"/>
      <c r="H119" s="917" t="n"/>
      <c r="I119" s="917" t="n"/>
      <c r="J119" s="917" t="n"/>
      <c r="K119" s="917" t="n"/>
      <c r="L119" s="917" t="n"/>
      <c r="M119" s="917" t="n"/>
    </row>
    <row r="120">
      <c r="A120" s="43" t="n"/>
      <c r="B120" s="917" t="n"/>
      <c r="C120" s="917" t="n"/>
      <c r="D120" s="917" t="n"/>
      <c r="E120" s="917" t="n"/>
      <c r="F120" s="917" t="n"/>
      <c r="G120" s="917" t="n"/>
      <c r="H120" s="917" t="n"/>
      <c r="I120" s="917" t="n"/>
      <c r="J120" s="917" t="n"/>
      <c r="K120" s="917" t="n"/>
      <c r="L120" s="917" t="n"/>
      <c r="M120" s="917" t="n"/>
    </row>
    <row r="121">
      <c r="A121" s="81" t="inlineStr">
        <is>
          <t>Net Working Capital (in '000 USD)</t>
        </is>
      </c>
      <c r="G121" s="918" t="n"/>
      <c r="H121" s="918" t="n"/>
      <c r="I121" s="918" t="n"/>
      <c r="J121" s="918" t="n"/>
      <c r="K121" s="918" t="n"/>
      <c r="L121" s="918" t="n"/>
      <c r="M121" s="918" t="n"/>
    </row>
    <row r="122">
      <c r="G122" s="918" t="n"/>
      <c r="H122" s="918" t="n"/>
      <c r="I122" s="918" t="n"/>
      <c r="J122" s="918" t="n"/>
      <c r="K122" s="918" t="n"/>
      <c r="L122" s="918" t="n"/>
      <c r="M122" s="918" t="n"/>
    </row>
    <row r="123">
      <c r="A123" s="524" t="inlineStr">
        <is>
          <t xml:space="preserve">Receivable Days </t>
        </is>
      </c>
      <c r="B123" s="50" t="n"/>
      <c r="C123" s="50" t="n"/>
      <c r="D123" s="50" t="n"/>
      <c r="E123" s="50" t="n"/>
      <c r="F123" s="50" t="n"/>
      <c r="G123" s="50" t="n"/>
      <c r="H123" s="50" t="n"/>
      <c r="I123" s="50" t="n"/>
      <c r="J123" s="50" t="n"/>
      <c r="K123" s="50" t="n"/>
      <c r="L123" s="50" t="n"/>
      <c r="M123" s="50" t="n"/>
      <c r="N123" s="517">
        <f>N157/N$152*N$245</f>
        <v/>
      </c>
      <c r="O123" s="517">
        <f>O157/O$152*O245</f>
        <v/>
      </c>
      <c r="P123" s="517">
        <f>P157/P$152*P245</f>
        <v/>
      </c>
      <c r="Q123" s="517">
        <f>Q157/Q$152*Q245</f>
        <v/>
      </c>
      <c r="R123" s="517">
        <f>R157/R$152*R245</f>
        <v/>
      </c>
      <c r="S123" s="517">
        <f>S157/S$152*S245</f>
        <v/>
      </c>
      <c r="T123" s="517">
        <f>T157/T$152*T245</f>
        <v/>
      </c>
      <c r="U123" s="517">
        <f>U157/U$152*U245</f>
        <v/>
      </c>
      <c r="V123" s="517">
        <f>V157/V$152*V245</f>
        <v/>
      </c>
      <c r="W123" s="517">
        <f>W157/W$152*W245</f>
        <v/>
      </c>
      <c r="X123" s="517">
        <f>X157/X$152*X245</f>
        <v/>
      </c>
      <c r="Y123" s="517">
        <f>Y157/Y$152*Y245</f>
        <v/>
      </c>
      <c r="Z123" s="517">
        <f>Z157/Z$152*Z245</f>
        <v/>
      </c>
      <c r="AA123" s="517">
        <f>AA157/AA$152*AA245</f>
        <v/>
      </c>
      <c r="AB123" s="517">
        <f>AB157/AB$152*AB245</f>
        <v/>
      </c>
      <c r="AC123" s="517">
        <f>AC157/AC$152*AC245</f>
        <v/>
      </c>
      <c r="AD123" s="517">
        <f>AD157/AD$152*AD245</f>
        <v/>
      </c>
      <c r="AE123" s="517">
        <f>AE157/AE$152*AE245</f>
        <v/>
      </c>
      <c r="AF123" s="517">
        <f>AF157/AF$152*AF245</f>
        <v/>
      </c>
      <c r="AG123" s="517">
        <f>AG157/AG$152*AG245</f>
        <v/>
      </c>
      <c r="AH123" s="517">
        <f>AH157/AH$152*AH245</f>
        <v/>
      </c>
      <c r="AI123" s="517">
        <f>AI157/AI$152*AI245</f>
        <v/>
      </c>
      <c r="AJ123" s="517">
        <f>AJ157/AJ$152*AJ245</f>
        <v/>
      </c>
      <c r="AK123" s="517">
        <f>AK157/AK$152*AK245</f>
        <v/>
      </c>
      <c r="AL123" s="517">
        <f>AL157/AL$152*AL245</f>
        <v/>
      </c>
      <c r="AM123" s="517">
        <f>AM157/AM$152*AM245</f>
        <v/>
      </c>
      <c r="AN123" s="517">
        <f>AN157/AN$152*AN245</f>
        <v/>
      </c>
      <c r="AO123" s="517">
        <f>AO157/AO$152*AO245</f>
        <v/>
      </c>
      <c r="AP123" s="517">
        <f>AP157/AP$152*AP245</f>
        <v/>
      </c>
      <c r="AQ123" s="517">
        <f>AQ157/AQ$152*AQ245</f>
        <v/>
      </c>
      <c r="AR123" s="517">
        <f>AR157/AR$152*AR245</f>
        <v/>
      </c>
      <c r="AS123" s="517">
        <f>AS157/AS$152*AS245</f>
        <v/>
      </c>
      <c r="AT123" s="517">
        <f>AT157/AT$152*AT245</f>
        <v/>
      </c>
      <c r="AU123" s="517">
        <f>AU157/AU$152*AU245</f>
        <v/>
      </c>
      <c r="AV123" s="517">
        <f>AV157/AV$152*AV245</f>
        <v/>
      </c>
      <c r="AW123" s="517">
        <f>AW157/AW$152*AW245</f>
        <v/>
      </c>
      <c r="AX123" s="517">
        <f>AX157/AX$152*AX245</f>
        <v/>
      </c>
      <c r="AY123" s="517">
        <f>AY157/AY$152*AY245</f>
        <v/>
      </c>
      <c r="AZ123" s="517">
        <f>AZ157/AZ$152*AZ245</f>
        <v/>
      </c>
      <c r="BA123" s="517">
        <f>BA157/BA$152*BA245</f>
        <v/>
      </c>
      <c r="BB123" s="517">
        <f>BB157/BB$152*BB245</f>
        <v/>
      </c>
      <c r="BC123" s="517">
        <f>BC157/BC$152*BC245</f>
        <v/>
      </c>
      <c r="BD123" s="517">
        <f>BD157/BD$152*BD245</f>
        <v/>
      </c>
      <c r="BE123" s="517">
        <f>BE157/BE$152*BE245</f>
        <v/>
      </c>
      <c r="BF123" s="517">
        <f>BF157/BF$152*BF245</f>
        <v/>
      </c>
      <c r="BG123" s="517">
        <f>BG157/BG$152*BG245</f>
        <v/>
      </c>
      <c r="BH123" s="517">
        <f>BH157/BH$152*BH245</f>
        <v/>
      </c>
      <c r="BI123" s="517">
        <f>BI157/BI$152*BI245</f>
        <v/>
      </c>
      <c r="BJ123" s="517">
        <f>BJ157/BJ$152*BJ245</f>
        <v/>
      </c>
      <c r="BK123" s="517">
        <f>BK157/BK$152*BK245</f>
        <v/>
      </c>
      <c r="BL123" s="517">
        <f>BL157/BL$152*BL245</f>
        <v/>
      </c>
      <c r="BM123" s="517">
        <f>BM157/BM$152*BM245</f>
        <v/>
      </c>
      <c r="BN123" s="517">
        <f>BN157/BN$152*BN245</f>
        <v/>
      </c>
      <c r="BO123" s="517">
        <f>BO157/BO$152*BO245</f>
        <v/>
      </c>
      <c r="BP123" s="517">
        <f>BP157/BP$152*BP245</f>
        <v/>
      </c>
      <c r="BQ123" s="517">
        <f>BQ157/BQ$152*BQ245</f>
        <v/>
      </c>
      <c r="BR123" s="517">
        <f>BR157/BR$152*BR245</f>
        <v/>
      </c>
      <c r="BS123" s="541">
        <f>AVERAGE(BO123,BK123,BG123)</f>
        <v/>
      </c>
      <c r="BT123" s="541">
        <f>AVERAGE(BP123,BL123,BH123)</f>
        <v/>
      </c>
      <c r="BU123" s="541">
        <f>AVERAGE(BQ123,BM123,BI123)</f>
        <v/>
      </c>
      <c r="BV123" s="541">
        <f>AVERAGE(BR123,BN123,BJ123)</f>
        <v/>
      </c>
      <c r="BW123" s="541">
        <f>AVERAGE(BS123,BO123,BK123)</f>
        <v/>
      </c>
      <c r="BX123" s="541">
        <f>AVERAGE(BT123,BP123,BL123)</f>
        <v/>
      </c>
      <c r="BY123" s="541">
        <f>AVERAGE(BU123,BQ123,BM123)</f>
        <v/>
      </c>
      <c r="BZ123" s="541">
        <f>AVERAGE(BV123,BR123,BN123)</f>
        <v/>
      </c>
      <c r="CA123" s="541">
        <f>AVERAGE(BW123,BS123,BO123)</f>
        <v/>
      </c>
      <c r="CB123" s="541">
        <f>AVERAGE(BX123,BT123,BP123)</f>
        <v/>
      </c>
      <c r="CC123" s="541">
        <f>AVERAGE(BY123,BU123,BQ123)</f>
        <v/>
      </c>
      <c r="CD123" s="541">
        <f>AVERAGE(BZ123,BV123,BR123)</f>
        <v/>
      </c>
      <c r="CE123" s="541">
        <f>AVERAGE(CA123,BW123,BS123)</f>
        <v/>
      </c>
      <c r="CF123" s="541">
        <f>AVERAGE(CB123,BX123,BT123)</f>
        <v/>
      </c>
      <c r="CG123" s="541">
        <f>AVERAGE(CC123,BY123,BU123)</f>
        <v/>
      </c>
      <c r="CH123" s="541">
        <f>AVERAGE(CD123,BZ123,BV123)</f>
        <v/>
      </c>
      <c r="CI123" s="541">
        <f>AVERAGE(CE123,CA123,BW123)</f>
        <v/>
      </c>
      <c r="CJ123" s="541">
        <f>AVERAGE(CF123,CB123,BX123)</f>
        <v/>
      </c>
      <c r="CK123" s="541">
        <f>AVERAGE(CG123,CC123,BY123)</f>
        <v/>
      </c>
    </row>
    <row r="124">
      <c r="A124" s="43" t="inlineStr">
        <is>
          <t>y/y Increase / (Decrease) - days</t>
        </is>
      </c>
      <c r="B124" s="50" t="n"/>
      <c r="C124" s="50" t="n"/>
      <c r="D124" s="50" t="n"/>
      <c r="E124" s="50" t="n"/>
      <c r="F124" s="50" t="n"/>
      <c r="G124" s="50" t="n"/>
      <c r="H124" s="50" t="n"/>
      <c r="I124" s="50" t="n"/>
      <c r="J124" s="50" t="n"/>
      <c r="K124" s="50" t="n"/>
      <c r="L124" s="50" t="n"/>
      <c r="M124" s="50" t="n"/>
      <c r="O124" s="517">
        <f>O123-N123</f>
        <v/>
      </c>
      <c r="P124" s="517">
        <f>P123-O123</f>
        <v/>
      </c>
      <c r="Q124" s="517">
        <f>Q123-P123</f>
        <v/>
      </c>
      <c r="R124" s="517">
        <f>R123-Q123</f>
        <v/>
      </c>
      <c r="S124" s="517">
        <f>S123-R123</f>
        <v/>
      </c>
      <c r="T124" s="517">
        <f>T123-S123</f>
        <v/>
      </c>
      <c r="U124" s="517">
        <f>U123-T123</f>
        <v/>
      </c>
      <c r="V124" s="517">
        <f>V123-U123</f>
        <v/>
      </c>
      <c r="W124" s="517">
        <f>W123-V123</f>
        <v/>
      </c>
      <c r="X124" s="517">
        <f>X123-W123</f>
        <v/>
      </c>
      <c r="Y124" s="517">
        <f>Y123-X123</f>
        <v/>
      </c>
      <c r="Z124" s="517">
        <f>Z123-Y123</f>
        <v/>
      </c>
      <c r="AA124" s="517">
        <f>AA123-Z123</f>
        <v/>
      </c>
      <c r="AB124" s="517">
        <f>AB123-AA123</f>
        <v/>
      </c>
      <c r="AC124" s="517">
        <f>AC123-AB123</f>
        <v/>
      </c>
      <c r="AD124" s="517">
        <f>AD123-AC123</f>
        <v/>
      </c>
      <c r="AE124" s="517">
        <f>AE123-AD123</f>
        <v/>
      </c>
      <c r="AF124" s="517">
        <f>AF123-AE123</f>
        <v/>
      </c>
      <c r="AG124" s="517">
        <f>AG123-AF123</f>
        <v/>
      </c>
      <c r="AH124" s="517">
        <f>AH123-AG123</f>
        <v/>
      </c>
      <c r="AI124" s="517">
        <f>AI123-AH123</f>
        <v/>
      </c>
      <c r="AJ124" s="517">
        <f>AJ123-AI123</f>
        <v/>
      </c>
      <c r="AK124" s="517">
        <f>AK123-AJ123</f>
        <v/>
      </c>
      <c r="AL124" s="517">
        <f>AL123-AK123</f>
        <v/>
      </c>
      <c r="AM124" s="517">
        <f>AM123-AL123</f>
        <v/>
      </c>
      <c r="AN124" s="517">
        <f>AN123-AM123</f>
        <v/>
      </c>
      <c r="AO124" s="517">
        <f>AO123-AN123</f>
        <v/>
      </c>
      <c r="AP124" s="517">
        <f>AP123-AO123</f>
        <v/>
      </c>
      <c r="AQ124" s="517">
        <f>AQ123-AP123</f>
        <v/>
      </c>
      <c r="AR124" s="517">
        <f>AR123-AQ123</f>
        <v/>
      </c>
      <c r="AS124" s="517">
        <f>AS123-AR123</f>
        <v/>
      </c>
      <c r="AT124" s="517">
        <f>AT123-AS123</f>
        <v/>
      </c>
      <c r="AU124" s="517">
        <f>AU123-AT123</f>
        <v/>
      </c>
      <c r="AV124" s="517">
        <f>AV123-AU123</f>
        <v/>
      </c>
      <c r="AW124" s="517">
        <f>AW123-AV123</f>
        <v/>
      </c>
      <c r="AX124" s="517">
        <f>AX123-AW123</f>
        <v/>
      </c>
      <c r="AY124" s="517">
        <f>AY123-AX123</f>
        <v/>
      </c>
      <c r="AZ124" s="517">
        <f>AZ123-AY123</f>
        <v/>
      </c>
      <c r="BA124" s="517">
        <f>BA123-AZ123</f>
        <v/>
      </c>
      <c r="BB124" s="517">
        <f>BB123-BA123</f>
        <v/>
      </c>
      <c r="BC124" s="517">
        <f>BC123-BB123</f>
        <v/>
      </c>
      <c r="BD124" s="517">
        <f>BD123-BC123</f>
        <v/>
      </c>
      <c r="BE124" s="517">
        <f>BE123-BD123</f>
        <v/>
      </c>
      <c r="BF124" s="517">
        <f>BF123-BE123</f>
        <v/>
      </c>
      <c r="BG124" s="517">
        <f>BG123-BF123</f>
        <v/>
      </c>
      <c r="BH124" s="517">
        <f>BH123-BG123</f>
        <v/>
      </c>
      <c r="BI124" s="517">
        <f>BI123-BH123</f>
        <v/>
      </c>
      <c r="BJ124" s="517">
        <f>BJ123-BI123</f>
        <v/>
      </c>
      <c r="BK124" s="517">
        <f>BK123-BJ123</f>
        <v/>
      </c>
      <c r="BL124" s="517">
        <f>BL123-BK123</f>
        <v/>
      </c>
      <c r="BM124" s="517">
        <f>BM123-BL123</f>
        <v/>
      </c>
      <c r="BN124" s="517">
        <f>BN123-BM123</f>
        <v/>
      </c>
      <c r="BO124" s="517">
        <f>BO123-BN123</f>
        <v/>
      </c>
      <c r="BP124" s="517">
        <f>BP123-BO123</f>
        <v/>
      </c>
      <c r="BQ124" s="517">
        <f>BQ123-BP123</f>
        <v/>
      </c>
      <c r="BR124" s="517">
        <f>BR123-BQ123</f>
        <v/>
      </c>
      <c r="BS124" s="517">
        <f>BS123-BR123</f>
        <v/>
      </c>
      <c r="BT124" s="517">
        <f>BT123-BS123</f>
        <v/>
      </c>
      <c r="BU124" s="517">
        <f>BU123-BT123</f>
        <v/>
      </c>
      <c r="BV124" s="517">
        <f>BV123-BU123</f>
        <v/>
      </c>
      <c r="BW124" s="517">
        <f>BW123-BV123</f>
        <v/>
      </c>
      <c r="BX124" s="517">
        <f>BX123-BW123</f>
        <v/>
      </c>
      <c r="BY124" s="517">
        <f>BY123-BX123</f>
        <v/>
      </c>
      <c r="BZ124" s="517">
        <f>BZ123-BY123</f>
        <v/>
      </c>
      <c r="CA124" s="517">
        <f>CA123-BZ123</f>
        <v/>
      </c>
      <c r="CB124" s="517">
        <f>CB123-CA123</f>
        <v/>
      </c>
      <c r="CC124" s="517">
        <f>CC123-CB123</f>
        <v/>
      </c>
      <c r="CD124" s="517">
        <f>CD123-CC123</f>
        <v/>
      </c>
      <c r="CE124" s="517">
        <f>CE123-CD123</f>
        <v/>
      </c>
      <c r="CF124" s="517">
        <f>CF123-CE123</f>
        <v/>
      </c>
      <c r="CG124" s="517">
        <f>CG123-CF123</f>
        <v/>
      </c>
      <c r="CH124" s="517">
        <f>CH123-CG123</f>
        <v/>
      </c>
      <c r="CI124" s="517">
        <f>CI123-CH123</f>
        <v/>
      </c>
      <c r="CJ124" s="517">
        <f>CJ123-CI123</f>
        <v/>
      </c>
      <c r="CK124" s="517">
        <f>CK123-CJ123</f>
        <v/>
      </c>
    </row>
    <row r="125">
      <c r="A125" s="105" t="n"/>
      <c r="B125" s="907" t="n"/>
      <c r="C125" s="907" t="n"/>
      <c r="D125" s="907" t="n"/>
      <c r="E125" s="907" t="n"/>
      <c r="F125" s="907" t="n"/>
      <c r="G125" s="907" t="n"/>
      <c r="H125" s="907" t="n"/>
      <c r="I125" s="907" t="n"/>
      <c r="J125" s="907" t="n"/>
      <c r="K125" s="907" t="n"/>
      <c r="L125" s="907" t="n"/>
      <c r="M125" s="907" t="n"/>
    </row>
    <row r="126">
      <c r="A126" s="524" t="inlineStr">
        <is>
          <t>Days Inventory Outstanding</t>
        </is>
      </c>
      <c r="B126" s="50" t="n"/>
      <c r="C126" s="50" t="n"/>
      <c r="D126" s="50" t="n"/>
      <c r="E126" s="50" t="n"/>
      <c r="F126" s="50" t="n"/>
      <c r="G126" s="50" t="n"/>
      <c r="H126" s="50" t="n"/>
      <c r="I126" s="50" t="n"/>
      <c r="J126" s="50" t="n"/>
      <c r="K126" s="50" t="n"/>
      <c r="L126" s="50" t="n"/>
      <c r="M126" s="50" t="n"/>
      <c r="N126" s="517">
        <f>N158/N$153*N245</f>
        <v/>
      </c>
      <c r="O126" s="517">
        <f>O158/O$153*O245</f>
        <v/>
      </c>
      <c r="P126" s="517">
        <f>P158/P$153*P245</f>
        <v/>
      </c>
      <c r="Q126" s="517">
        <f>Q158/Q$153*Q245</f>
        <v/>
      </c>
      <c r="R126" s="517">
        <f>R158/R$153*R245</f>
        <v/>
      </c>
      <c r="S126" s="517">
        <f>S158/S$153*S245</f>
        <v/>
      </c>
      <c r="T126" s="517">
        <f>T158/T$153*T245</f>
        <v/>
      </c>
      <c r="U126" s="517">
        <f>U158/U$153*U245</f>
        <v/>
      </c>
      <c r="V126" s="517">
        <f>V158/V$153*V245</f>
        <v/>
      </c>
      <c r="W126" s="517">
        <f>W158/W$153*W245</f>
        <v/>
      </c>
      <c r="X126" s="517">
        <f>X158/X$153*X245</f>
        <v/>
      </c>
      <c r="Y126" s="517">
        <f>Y158/Y$153*Y245</f>
        <v/>
      </c>
      <c r="Z126" s="517">
        <f>Z158/Z$153*Z245</f>
        <v/>
      </c>
      <c r="AA126" s="517">
        <f>AA158/AA$153*AA245</f>
        <v/>
      </c>
      <c r="AB126" s="517">
        <f>AB158/AB$153*AB245</f>
        <v/>
      </c>
      <c r="AC126" s="517">
        <f>AC158/AC$153*AC245</f>
        <v/>
      </c>
      <c r="AD126" s="517">
        <f>AD158/AD$153*AD245</f>
        <v/>
      </c>
      <c r="AE126" s="517">
        <f>AE158/AE$153*AE245</f>
        <v/>
      </c>
      <c r="AF126" s="517">
        <f>AF158/AF$153*AF245</f>
        <v/>
      </c>
      <c r="AG126" s="517">
        <f>AG158/AG$153*AG245</f>
        <v/>
      </c>
      <c r="AH126" s="517">
        <f>AH158/AH$153*AH245</f>
        <v/>
      </c>
      <c r="AI126" s="517">
        <f>AI158/AI$153*AI245</f>
        <v/>
      </c>
      <c r="AJ126" s="517">
        <f>AJ158/AJ$153*AJ245</f>
        <v/>
      </c>
      <c r="AK126" s="517">
        <f>AK158/AK$153*AK245</f>
        <v/>
      </c>
      <c r="AL126" s="517">
        <f>AL158/AL$153*AL245</f>
        <v/>
      </c>
      <c r="AM126" s="517">
        <f>AM158/AM$153*AM245</f>
        <v/>
      </c>
      <c r="AN126" s="517">
        <f>AN158/AN$153*AN245</f>
        <v/>
      </c>
      <c r="AO126" s="517">
        <f>AO158/AO$153*AO245</f>
        <v/>
      </c>
      <c r="AP126" s="517">
        <f>AP158/AP$153*AP245</f>
        <v/>
      </c>
      <c r="AQ126" s="517">
        <f>AQ158/AQ$153*AQ245</f>
        <v/>
      </c>
      <c r="AR126" s="517">
        <f>AR158/AR$153*AR245</f>
        <v/>
      </c>
      <c r="AS126" s="517">
        <f>AS158/AS$153*AS245</f>
        <v/>
      </c>
      <c r="AT126" s="517">
        <f>AT158/AT$153*AT245</f>
        <v/>
      </c>
      <c r="AU126" s="517">
        <f>AU158/AU$153*AU245</f>
        <v/>
      </c>
      <c r="AV126" s="517">
        <f>AV158/AV$153*AV245</f>
        <v/>
      </c>
      <c r="AW126" s="517">
        <f>AW158/AW$153*AW245</f>
        <v/>
      </c>
      <c r="AX126" s="517">
        <f>AX158/AX$153*AX245</f>
        <v/>
      </c>
      <c r="AY126" s="517">
        <f>AY158/AY$153*AY245</f>
        <v/>
      </c>
      <c r="AZ126" s="517">
        <f>AZ158/AZ$153*AZ245</f>
        <v/>
      </c>
      <c r="BA126" s="517">
        <f>BA158/BA$153*BA245</f>
        <v/>
      </c>
      <c r="BB126" s="517">
        <f>BB158/BB$153*BB245</f>
        <v/>
      </c>
      <c r="BC126" s="517">
        <f>BC158/BC$153*BC245</f>
        <v/>
      </c>
      <c r="BD126" s="517">
        <f>BD158/BD$153*BD245</f>
        <v/>
      </c>
      <c r="BE126" s="517">
        <f>BE158/BE$153*BE245</f>
        <v/>
      </c>
      <c r="BF126" s="517">
        <f>BF158/BF$153*BF245</f>
        <v/>
      </c>
      <c r="BG126" s="517">
        <f>BG158/BG$153*BG245</f>
        <v/>
      </c>
      <c r="BH126" s="517">
        <f>BH158/BH$153*BH245</f>
        <v/>
      </c>
      <c r="BI126" s="517">
        <f>BI158/BI$153*BI245</f>
        <v/>
      </c>
      <c r="BJ126" s="517">
        <f>BJ158/BJ$153*BJ245</f>
        <v/>
      </c>
      <c r="BK126" s="517">
        <f>BK158/BK$153*BK245</f>
        <v/>
      </c>
      <c r="BL126" s="517">
        <f>BL158/BL$153*BL245</f>
        <v/>
      </c>
      <c r="BM126" s="517">
        <f>BM158/BM$153*BM245</f>
        <v/>
      </c>
      <c r="BN126" s="517">
        <f>BN158/BN$153*BN245</f>
        <v/>
      </c>
      <c r="BO126" s="517">
        <f>BO158/BO$153*BO245</f>
        <v/>
      </c>
      <c r="BP126" s="517">
        <f>BP158/BP$153*BP245</f>
        <v/>
      </c>
      <c r="BQ126" s="517">
        <f>BQ158/BQ$153*BQ245</f>
        <v/>
      </c>
      <c r="BR126" s="517">
        <f>BR158/BR$153*BR245</f>
        <v/>
      </c>
      <c r="BS126" s="541">
        <f>AVERAGE(BO126,BK126,BG126)</f>
        <v/>
      </c>
      <c r="BT126" s="541">
        <f>AVERAGE(BP126,BL126,BH126)</f>
        <v/>
      </c>
      <c r="BU126" s="541">
        <f>AVERAGE(BQ126,BM126,BI126)</f>
        <v/>
      </c>
      <c r="BV126" s="541">
        <f>AVERAGE(BR126,BN126,BJ126)</f>
        <v/>
      </c>
      <c r="BW126" s="541">
        <f>AVERAGE(BS126,BO126,BK126)</f>
        <v/>
      </c>
      <c r="BX126" s="541">
        <f>AVERAGE(BT126,BP126,BL126)</f>
        <v/>
      </c>
      <c r="BY126" s="541">
        <f>AVERAGE(BU126,BQ126,BM126)</f>
        <v/>
      </c>
      <c r="BZ126" s="541">
        <f>AVERAGE(BV126,BR126,BN126)</f>
        <v/>
      </c>
      <c r="CA126" s="541">
        <f>AVERAGE(BW126,BS126,BO126)</f>
        <v/>
      </c>
      <c r="CB126" s="541">
        <f>AVERAGE(BX126,BT126,BP126)</f>
        <v/>
      </c>
      <c r="CC126" s="541">
        <f>AVERAGE(BY126,BU126,BQ126)</f>
        <v/>
      </c>
      <c r="CD126" s="541">
        <f>AVERAGE(BZ126,BV126,BR126)</f>
        <v/>
      </c>
      <c r="CE126" s="541">
        <f>AVERAGE(CA126,BW126,BS126)</f>
        <v/>
      </c>
      <c r="CF126" s="541">
        <f>AVERAGE(CB126,BX126,BT126)</f>
        <v/>
      </c>
      <c r="CG126" s="541">
        <f>AVERAGE(CC126,BY126,BU126)</f>
        <v/>
      </c>
      <c r="CH126" s="541">
        <f>AVERAGE(CD126,BZ126,BV126)</f>
        <v/>
      </c>
      <c r="CI126" s="541">
        <f>AVERAGE(CE126,CA126,BW126)</f>
        <v/>
      </c>
      <c r="CJ126" s="541">
        <f>AVERAGE(CF126,CB126,BX126)</f>
        <v/>
      </c>
      <c r="CK126" s="541">
        <f>AVERAGE(CG126,CC126,BY126)</f>
        <v/>
      </c>
    </row>
    <row r="127">
      <c r="A127" s="43" t="inlineStr">
        <is>
          <t>y/y Increase / (Decrease) - days</t>
        </is>
      </c>
      <c r="B127" s="50" t="n"/>
      <c r="C127" s="50" t="n"/>
      <c r="D127" s="50" t="n"/>
      <c r="E127" s="50" t="n"/>
      <c r="F127" s="50" t="n"/>
      <c r="G127" s="50" t="n"/>
      <c r="H127" s="50" t="n"/>
      <c r="I127" s="50" t="n"/>
      <c r="J127" s="50" t="n"/>
      <c r="K127" s="50" t="n"/>
      <c r="L127" s="50" t="n"/>
      <c r="M127" s="50" t="n"/>
      <c r="O127" s="517">
        <f>O126-N126</f>
        <v/>
      </c>
      <c r="P127" s="517">
        <f>P126-O126</f>
        <v/>
      </c>
      <c r="Q127" s="517">
        <f>Q126-P126</f>
        <v/>
      </c>
      <c r="R127" s="517">
        <f>R126-Q126</f>
        <v/>
      </c>
      <c r="S127" s="517">
        <f>S126-R126</f>
        <v/>
      </c>
      <c r="T127" s="517">
        <f>T126-S126</f>
        <v/>
      </c>
      <c r="U127" s="517">
        <f>U126-T126</f>
        <v/>
      </c>
      <c r="V127" s="517">
        <f>V126-U126</f>
        <v/>
      </c>
      <c r="W127" s="517">
        <f>W126-V126</f>
        <v/>
      </c>
      <c r="X127" s="517">
        <f>X126-W126</f>
        <v/>
      </c>
      <c r="Y127" s="517">
        <f>Y126-X126</f>
        <v/>
      </c>
      <c r="Z127" s="517">
        <f>Z126-Y126</f>
        <v/>
      </c>
      <c r="AA127" s="517">
        <f>AA126-Z126</f>
        <v/>
      </c>
      <c r="AB127" s="517">
        <f>AB126-AA126</f>
        <v/>
      </c>
      <c r="AC127" s="517">
        <f>AC126-AB126</f>
        <v/>
      </c>
      <c r="AD127" s="517">
        <f>AD126-AC126</f>
        <v/>
      </c>
      <c r="AE127" s="517">
        <f>AE126-AD126</f>
        <v/>
      </c>
      <c r="AF127" s="517">
        <f>AF126-AE126</f>
        <v/>
      </c>
      <c r="AG127" s="517">
        <f>AG126-AF126</f>
        <v/>
      </c>
      <c r="AH127" s="517">
        <f>AH126-AG126</f>
        <v/>
      </c>
      <c r="AI127" s="517">
        <f>AI126-AH126</f>
        <v/>
      </c>
      <c r="AJ127" s="517">
        <f>AJ126-AI126</f>
        <v/>
      </c>
      <c r="AK127" s="517">
        <f>AK126-AJ126</f>
        <v/>
      </c>
      <c r="AL127" s="517">
        <f>AL126-AK126</f>
        <v/>
      </c>
      <c r="AM127" s="517">
        <f>AM126-AL126</f>
        <v/>
      </c>
      <c r="AN127" s="517">
        <f>AN126-AM126</f>
        <v/>
      </c>
      <c r="AO127" s="517">
        <f>AO126-AN126</f>
        <v/>
      </c>
      <c r="AP127" s="517">
        <f>AP126-AO126</f>
        <v/>
      </c>
      <c r="AQ127" s="517">
        <f>AQ126-AP126</f>
        <v/>
      </c>
      <c r="AR127" s="517">
        <f>AR126-AQ126</f>
        <v/>
      </c>
      <c r="AS127" s="517">
        <f>AS126-AR126</f>
        <v/>
      </c>
      <c r="AT127" s="517">
        <f>AT126-AS126</f>
        <v/>
      </c>
      <c r="AU127" s="517">
        <f>AU126-AT126</f>
        <v/>
      </c>
      <c r="AV127" s="517">
        <f>AV126-AU126</f>
        <v/>
      </c>
      <c r="AW127" s="517">
        <f>AW126-AV126</f>
        <v/>
      </c>
      <c r="AX127" s="517">
        <f>AX126-AW126</f>
        <v/>
      </c>
      <c r="AY127" s="517">
        <f>AY126-AX126</f>
        <v/>
      </c>
      <c r="AZ127" s="517">
        <f>AZ126-AY126</f>
        <v/>
      </c>
      <c r="BA127" s="517">
        <f>BA126-AZ126</f>
        <v/>
      </c>
      <c r="BB127" s="517">
        <f>BB126-BA126</f>
        <v/>
      </c>
      <c r="BC127" s="517">
        <f>BC126-BB126</f>
        <v/>
      </c>
      <c r="BD127" s="517">
        <f>BD126-BC126</f>
        <v/>
      </c>
      <c r="BE127" s="517">
        <f>BE126-BD126</f>
        <v/>
      </c>
      <c r="BF127" s="517">
        <f>BF126-BE126</f>
        <v/>
      </c>
      <c r="BG127" s="517">
        <f>BG126-BF126</f>
        <v/>
      </c>
      <c r="BH127" s="517">
        <f>BH126-BG126</f>
        <v/>
      </c>
      <c r="BI127" s="517">
        <f>BI126-BH126</f>
        <v/>
      </c>
      <c r="BJ127" s="517">
        <f>BJ126-BI126</f>
        <v/>
      </c>
      <c r="BK127" s="517">
        <f>BK126-BJ126</f>
        <v/>
      </c>
      <c r="BL127" s="517">
        <f>BL126-BK126</f>
        <v/>
      </c>
      <c r="BM127" s="517">
        <f>BM126-BL126</f>
        <v/>
      </c>
      <c r="BN127" s="517">
        <f>BN126-BM126</f>
        <v/>
      </c>
      <c r="BO127" s="517">
        <f>BO126-BN126</f>
        <v/>
      </c>
      <c r="BP127" s="517">
        <f>BP126-BO126</f>
        <v/>
      </c>
      <c r="BQ127" s="517">
        <f>BQ126-BP126</f>
        <v/>
      </c>
      <c r="BR127" s="517">
        <f>BR126-BQ126</f>
        <v/>
      </c>
      <c r="BS127" s="517">
        <f>BS126-BR126</f>
        <v/>
      </c>
      <c r="BT127" s="517">
        <f>BT126-BS126</f>
        <v/>
      </c>
      <c r="BU127" s="517">
        <f>BU126-BT126</f>
        <v/>
      </c>
      <c r="BV127" s="517">
        <f>BV126-BU126</f>
        <v/>
      </c>
      <c r="BW127" s="517">
        <f>BW126-BV126</f>
        <v/>
      </c>
      <c r="BX127" s="517">
        <f>BX126-BW126</f>
        <v/>
      </c>
      <c r="BY127" s="517">
        <f>BY126-BX126</f>
        <v/>
      </c>
      <c r="BZ127" s="517">
        <f>BZ126-BY126</f>
        <v/>
      </c>
      <c r="CA127" s="517">
        <f>CA126-BZ126</f>
        <v/>
      </c>
      <c r="CB127" s="517">
        <f>CB126-CA126</f>
        <v/>
      </c>
      <c r="CC127" s="517">
        <f>CC126-CB126</f>
        <v/>
      </c>
      <c r="CD127" s="517">
        <f>CD126-CC126</f>
        <v/>
      </c>
      <c r="CE127" s="517">
        <f>CE126-CD126</f>
        <v/>
      </c>
      <c r="CF127" s="517">
        <f>CF126-CE126</f>
        <v/>
      </c>
      <c r="CG127" s="517">
        <f>CG126-CF126</f>
        <v/>
      </c>
      <c r="CH127" s="517">
        <f>CH126-CG126</f>
        <v/>
      </c>
      <c r="CI127" s="517">
        <f>CI126-CH126</f>
        <v/>
      </c>
      <c r="CJ127" s="517">
        <f>CJ126-CI126</f>
        <v/>
      </c>
      <c r="CK127" s="517">
        <f>CK126-CJ126</f>
        <v/>
      </c>
    </row>
    <row r="128">
      <c r="A128" s="413" t="n"/>
    </row>
    <row r="129">
      <c r="A129" s="524" t="inlineStr">
        <is>
          <t>Prepaid income taxes</t>
        </is>
      </c>
      <c r="B129" s="883" t="n"/>
      <c r="C129" s="883" t="n"/>
      <c r="D129" s="883" t="n"/>
      <c r="E129" s="883" t="n"/>
      <c r="F129" s="883" t="n"/>
      <c r="G129" s="883" t="n"/>
      <c r="H129" s="883" t="n"/>
      <c r="I129" s="883" t="n"/>
      <c r="J129" s="883" t="n"/>
      <c r="K129" s="883" t="n"/>
      <c r="L129" s="883" t="n"/>
      <c r="M129" s="883" t="n"/>
      <c r="N129" s="516">
        <f>N159</f>
        <v/>
      </c>
      <c r="O129" s="516">
        <f>O159</f>
        <v/>
      </c>
      <c r="P129" s="516">
        <f>P159</f>
        <v/>
      </c>
      <c r="Q129" s="516">
        <f>Q159</f>
        <v/>
      </c>
      <c r="R129" s="516">
        <f>R159</f>
        <v/>
      </c>
      <c r="S129" s="516">
        <f>S159</f>
        <v/>
      </c>
      <c r="T129" s="516">
        <f>T159</f>
        <v/>
      </c>
      <c r="U129" s="516">
        <f>U159</f>
        <v/>
      </c>
      <c r="V129" s="516">
        <f>V159</f>
        <v/>
      </c>
      <c r="W129" s="516">
        <f>W159</f>
        <v/>
      </c>
      <c r="X129" s="516">
        <f>X159</f>
        <v/>
      </c>
      <c r="Y129" s="516">
        <f>Y159</f>
        <v/>
      </c>
      <c r="Z129" s="516">
        <f>Z159</f>
        <v/>
      </c>
      <c r="AA129" s="516">
        <f>AA159</f>
        <v/>
      </c>
      <c r="AB129" s="516">
        <f>AB159</f>
        <v/>
      </c>
      <c r="AC129" s="516">
        <f>AC159</f>
        <v/>
      </c>
      <c r="AD129" s="516">
        <f>AD159</f>
        <v/>
      </c>
      <c r="AE129" s="516">
        <f>AE159</f>
        <v/>
      </c>
      <c r="AF129" s="516">
        <f>AF159</f>
        <v/>
      </c>
      <c r="AG129" s="516">
        <f>AG159</f>
        <v/>
      </c>
      <c r="AH129" s="516">
        <f>AH159</f>
        <v/>
      </c>
      <c r="AI129" s="516">
        <f>AI159</f>
        <v/>
      </c>
      <c r="AJ129" s="516">
        <f>AJ159</f>
        <v/>
      </c>
      <c r="AK129" s="516">
        <f>AK159</f>
        <v/>
      </c>
      <c r="AL129" s="516">
        <f>AL159</f>
        <v/>
      </c>
      <c r="AM129" s="516">
        <f>AM159</f>
        <v/>
      </c>
      <c r="AN129" s="516">
        <f>AN159</f>
        <v/>
      </c>
      <c r="AO129" s="516">
        <f>AO159</f>
        <v/>
      </c>
      <c r="AP129" s="516">
        <f>AP159</f>
        <v/>
      </c>
      <c r="AQ129" s="516">
        <f>AQ159</f>
        <v/>
      </c>
      <c r="AR129" s="516">
        <f>AR159</f>
        <v/>
      </c>
      <c r="AS129" s="516">
        <f>AS159</f>
        <v/>
      </c>
      <c r="AT129" s="516">
        <f>AT159</f>
        <v/>
      </c>
      <c r="AU129" s="516">
        <f>AU159</f>
        <v/>
      </c>
      <c r="AV129" s="516">
        <f>AV159</f>
        <v/>
      </c>
      <c r="AW129" s="516">
        <f>AW159</f>
        <v/>
      </c>
      <c r="AX129" s="516">
        <f>AX159</f>
        <v/>
      </c>
      <c r="AY129" s="516">
        <f>AY159</f>
        <v/>
      </c>
      <c r="AZ129" s="516">
        <f>AZ159</f>
        <v/>
      </c>
      <c r="BA129" s="516">
        <f>BA159</f>
        <v/>
      </c>
      <c r="BB129" s="516">
        <f>BB159</f>
        <v/>
      </c>
      <c r="BC129" s="516">
        <f>BC159</f>
        <v/>
      </c>
      <c r="BD129" s="516">
        <f>BD159</f>
        <v/>
      </c>
      <c r="BE129" s="516">
        <f>BE159</f>
        <v/>
      </c>
      <c r="BF129" s="516">
        <f>BF159</f>
        <v/>
      </c>
      <c r="BG129" s="516">
        <f>BG159</f>
        <v/>
      </c>
      <c r="BH129" s="516">
        <f>BH159</f>
        <v/>
      </c>
      <c r="BI129" s="516">
        <f>BI159</f>
        <v/>
      </c>
      <c r="BJ129" s="516">
        <f>BJ159</f>
        <v/>
      </c>
      <c r="BK129" s="516">
        <f>BK159</f>
        <v/>
      </c>
      <c r="BL129" s="516">
        <f>BL159</f>
        <v/>
      </c>
      <c r="BM129" s="516">
        <f>BM159</f>
        <v/>
      </c>
      <c r="BN129" s="516">
        <f>BN159</f>
        <v/>
      </c>
      <c r="BO129" s="516">
        <f>BO159</f>
        <v/>
      </c>
      <c r="BP129" s="516">
        <f>BP159</f>
        <v/>
      </c>
      <c r="BQ129" s="516">
        <f>BQ159</f>
        <v/>
      </c>
      <c r="BR129" s="516">
        <f>BR159</f>
        <v/>
      </c>
      <c r="BS129" s="517">
        <f>BS130*BS$155*BS$247</f>
        <v/>
      </c>
      <c r="BT129" s="517">
        <f>BT130*BT$155*BT$247</f>
        <v/>
      </c>
      <c r="BU129" s="517">
        <f>BU130*BU$155*BU$247</f>
        <v/>
      </c>
      <c r="BV129" s="517">
        <f>BV130*BV$155*BV$247</f>
        <v/>
      </c>
      <c r="BW129" s="517">
        <f>BW130*BW$155*BW$247</f>
        <v/>
      </c>
      <c r="BX129" s="517">
        <f>BX130*BX$155*BX$247</f>
        <v/>
      </c>
      <c r="BY129" s="517">
        <f>BY130*BY$155*BY$247</f>
        <v/>
      </c>
      <c r="BZ129" s="517">
        <f>BZ130*BZ$155*BZ$247</f>
        <v/>
      </c>
      <c r="CA129" s="517">
        <f>CA130*CA$155*CA$247</f>
        <v/>
      </c>
      <c r="CB129" s="517">
        <f>CB130*CB$155*CB$247</f>
        <v/>
      </c>
      <c r="CC129" s="517">
        <f>CC130*CC$155*CC$247</f>
        <v/>
      </c>
      <c r="CD129" s="517">
        <f>CD130*CD$155*CD$247</f>
        <v/>
      </c>
      <c r="CE129" s="517">
        <f>CE130*CE$155*CE$247</f>
        <v/>
      </c>
      <c r="CF129" s="517">
        <f>CF130*CF$155*CF$247</f>
        <v/>
      </c>
      <c r="CG129" s="517">
        <f>CG130*CG$155*CG$247</f>
        <v/>
      </c>
      <c r="CH129" s="517">
        <f>CH130*CH$155*CH$247</f>
        <v/>
      </c>
      <c r="CI129" s="517">
        <f>CI130*CI$155*CI$247</f>
        <v/>
      </c>
      <c r="CJ129" s="517">
        <f>CJ130*CJ$155*CJ$247</f>
        <v/>
      </c>
      <c r="CK129" s="517">
        <f>CK130*CK$155*CK$247</f>
        <v/>
      </c>
    </row>
    <row r="130">
      <c r="A130" s="43" t="inlineStr">
        <is>
          <t>as % of income tax expense (annualized)</t>
        </is>
      </c>
      <c r="B130" s="883" t="n"/>
      <c r="C130" s="883" t="n"/>
      <c r="D130" s="883" t="n"/>
      <c r="E130" s="883" t="n"/>
      <c r="F130" s="883" t="n"/>
      <c r="G130" s="883" t="n"/>
      <c r="H130" s="883" t="n"/>
      <c r="I130" s="883" t="n"/>
      <c r="J130" s="883" t="n"/>
      <c r="K130" s="883" t="n"/>
      <c r="L130" s="883" t="n"/>
      <c r="M130" s="883" t="n"/>
      <c r="N130" s="908">
        <f>N129/(N$155*N$247)</f>
        <v/>
      </c>
      <c r="O130" s="908">
        <f>O129/(O$155*O$247)</f>
        <v/>
      </c>
      <c r="P130" s="908">
        <f>P129/(P$155*P$247)</f>
        <v/>
      </c>
      <c r="Q130" s="908">
        <f>Q129/(Q$155*Q$247)</f>
        <v/>
      </c>
      <c r="R130" s="908">
        <f>R129/(R$155*R$247)</f>
        <v/>
      </c>
      <c r="S130" s="908">
        <f>S129/(S$155*S$247)</f>
        <v/>
      </c>
      <c r="T130" s="908">
        <f>T129/(T$155*T$247)</f>
        <v/>
      </c>
      <c r="U130" s="908">
        <f>U129/(U$155*U$247)</f>
        <v/>
      </c>
      <c r="V130" s="908">
        <f>V129/(V$155*V$247)</f>
        <v/>
      </c>
      <c r="W130" s="908">
        <f>W129/(W$155*W$247)</f>
        <v/>
      </c>
      <c r="X130" s="908">
        <f>X129/(X$155*X$247)</f>
        <v/>
      </c>
      <c r="Y130" s="908">
        <f>Y129/(Y$155*Y$247)</f>
        <v/>
      </c>
      <c r="Z130" s="908">
        <f>Z129/(Z$155*Z$247)</f>
        <v/>
      </c>
      <c r="AA130" s="908">
        <f>AA129/(AA$155*AA$247)</f>
        <v/>
      </c>
      <c r="AB130" s="908">
        <f>AB129/(AB$155*AB$247)</f>
        <v/>
      </c>
      <c r="AC130" s="908">
        <f>AC129/(AC$155*AC$247)</f>
        <v/>
      </c>
      <c r="AD130" s="908">
        <f>AD129/(AD$155*AD$247)</f>
        <v/>
      </c>
      <c r="AE130" s="908">
        <f>AE129/(AE$155*AE$247)</f>
        <v/>
      </c>
      <c r="AF130" s="908">
        <f>AF129/(AF$155*AF$247)</f>
        <v/>
      </c>
      <c r="AG130" s="908">
        <f>AG129/(AG$155*AG$247)</f>
        <v/>
      </c>
      <c r="AH130" s="908">
        <f>AH129/(AH$155*AH$247)</f>
        <v/>
      </c>
      <c r="AI130" s="908">
        <f>AI129/(AI$155*AI$247)</f>
        <v/>
      </c>
      <c r="AJ130" s="908">
        <f>AJ129/(AJ$155*AJ$247)</f>
        <v/>
      </c>
      <c r="AK130" s="908">
        <f>AK129/(AK$155*AK$247)</f>
        <v/>
      </c>
      <c r="AL130" s="908">
        <f>AL129/(AL$155*AL$247)</f>
        <v/>
      </c>
      <c r="AM130" s="908">
        <f>AM129/(AM$155*AM$247)</f>
        <v/>
      </c>
      <c r="AN130" s="908">
        <f>AN129/(AN$155*AN$247)</f>
        <v/>
      </c>
      <c r="AO130" s="908">
        <f>AO129/(AO$155*AO$247)</f>
        <v/>
      </c>
      <c r="AP130" s="908">
        <f>AP129/(AP$155*AP$247)</f>
        <v/>
      </c>
      <c r="AQ130" s="908">
        <f>AQ129/(AQ$155*AQ$247)</f>
        <v/>
      </c>
      <c r="AR130" s="908">
        <f>AR129/(AR$155*AR$247)</f>
        <v/>
      </c>
      <c r="AS130" s="908">
        <f>AS129/(AS$155*AS$247)</f>
        <v/>
      </c>
      <c r="AT130" s="908">
        <f>AT129/(AT$155*AT$247)</f>
        <v/>
      </c>
      <c r="AU130" s="908">
        <f>AU129/(AU$155*AU$247)</f>
        <v/>
      </c>
      <c r="AV130" s="908">
        <f>AV129/(AV$155*AV$247)</f>
        <v/>
      </c>
      <c r="AW130" s="908">
        <f>AW129/(AW$155*AW$247)</f>
        <v/>
      </c>
      <c r="AX130" s="908">
        <f>AX129/(AX$155*AX$247)</f>
        <v/>
      </c>
      <c r="AY130" s="908">
        <f>AY129/(AY$155*AY$247)</f>
        <v/>
      </c>
      <c r="AZ130" s="908">
        <f>AZ129/(AZ$155*AZ$247)</f>
        <v/>
      </c>
      <c r="BA130" s="908">
        <f>BA129/(BA$155*BA$247)</f>
        <v/>
      </c>
      <c r="BB130" s="908">
        <f>BB129/(BB$155*BB$247)</f>
        <v/>
      </c>
      <c r="BC130" s="908">
        <f>BC129/(BC$155*BC$247)</f>
        <v/>
      </c>
      <c r="BD130" s="908">
        <f>BD129/(BD$155*BD$247)</f>
        <v/>
      </c>
      <c r="BE130" s="908">
        <f>BE129/(BE$155*BE$247)</f>
        <v/>
      </c>
      <c r="BF130" s="908">
        <f>BF129/(BF$155*BF$247)</f>
        <v/>
      </c>
      <c r="BG130" s="908">
        <f>BG129/(BG$155*BG$247)</f>
        <v/>
      </c>
      <c r="BH130" s="908">
        <f>BH129/(BH$155*BH$247)</f>
        <v/>
      </c>
      <c r="BI130" s="908">
        <f>BI129/(BI$155*BI$247)</f>
        <v/>
      </c>
      <c r="BJ130" s="908">
        <f>BJ129/(BJ$155*BJ$247)</f>
        <v/>
      </c>
      <c r="BK130" s="908">
        <f>BK129/(BK$155*BK$247)</f>
        <v/>
      </c>
      <c r="BL130" s="908">
        <f>BL129/(BL$155*BL$247)</f>
        <v/>
      </c>
      <c r="BM130" s="908">
        <f>BM129/(BM$155*BM$247)</f>
        <v/>
      </c>
      <c r="BN130" s="908">
        <f>BN129/(BN$155*BN$247)</f>
        <v/>
      </c>
      <c r="BO130" s="908">
        <f>BO129/(BO$155*BO$247)</f>
        <v/>
      </c>
      <c r="BP130" s="908">
        <f>BP129/(BP$155*BP$247)</f>
        <v/>
      </c>
      <c r="BQ130" s="908">
        <f>BQ129/(BQ$155*BQ$247)</f>
        <v/>
      </c>
      <c r="BR130" s="908">
        <f>BR129/(BR$155*BR$247)</f>
        <v/>
      </c>
      <c r="BS130" s="919">
        <f>AVERAGE(BO130,BK130,BG130)</f>
        <v/>
      </c>
      <c r="BT130" s="919">
        <f>AVERAGE(BP130,BL130,BH130)</f>
        <v/>
      </c>
      <c r="BU130" s="919">
        <f>AVERAGE(BQ130,BM130,BI130)</f>
        <v/>
      </c>
      <c r="BV130" s="919">
        <f>AVERAGE(BR130,BN130,BJ130)</f>
        <v/>
      </c>
      <c r="BW130" s="919">
        <f>AVERAGE(BS130,BO130,BK130)</f>
        <v/>
      </c>
      <c r="BX130" s="919">
        <f>AVERAGE(BT130,BP130,BL130)</f>
        <v/>
      </c>
      <c r="BY130" s="919">
        <f>AVERAGE(BU130,BQ130,BM130)</f>
        <v/>
      </c>
      <c r="BZ130" s="919">
        <f>AVERAGE(BV130,BR130,BN130)</f>
        <v/>
      </c>
      <c r="CA130" s="919">
        <f>AVERAGE(BW130,BS130,BO130)</f>
        <v/>
      </c>
      <c r="CB130" s="919">
        <f>AVERAGE(BX130,BT130,BP130)</f>
        <v/>
      </c>
      <c r="CC130" s="919">
        <f>AVERAGE(BY130,BU130,BQ130)</f>
        <v/>
      </c>
      <c r="CD130" s="919">
        <f>AVERAGE(BZ130,BV130,BR130)</f>
        <v/>
      </c>
      <c r="CE130" s="919">
        <f>AVERAGE(CA130,BW130,BS130)</f>
        <v/>
      </c>
      <c r="CF130" s="919">
        <f>AVERAGE(CB130,BX130,BT130)</f>
        <v/>
      </c>
      <c r="CG130" s="919">
        <f>AVERAGE(CC130,BY130,BU130)</f>
        <v/>
      </c>
      <c r="CH130" s="919">
        <f>AVERAGE(CD130,BZ130,BV130)</f>
        <v/>
      </c>
      <c r="CI130" s="919">
        <f>AVERAGE(CE130,CA130,BW130)</f>
        <v/>
      </c>
      <c r="CJ130" s="919">
        <f>AVERAGE(CF130,CB130,BX130)</f>
        <v/>
      </c>
      <c r="CK130" s="919">
        <f>AVERAGE(CG130,CC130,BY130)</f>
        <v/>
      </c>
    </row>
    <row r="131">
      <c r="A131" s="413" t="n"/>
      <c r="B131" s="50" t="n"/>
      <c r="C131" s="50" t="n"/>
      <c r="D131" s="50" t="n"/>
      <c r="E131" s="50" t="n"/>
      <c r="F131" s="50" t="n"/>
      <c r="G131" s="50" t="n"/>
      <c r="H131" s="50" t="n"/>
      <c r="I131" s="50" t="n"/>
      <c r="J131" s="50" t="n"/>
      <c r="K131" s="50" t="n"/>
      <c r="L131" s="50" t="n"/>
      <c r="M131" s="50" t="n"/>
    </row>
    <row r="132" customFormat="1" s="142">
      <c r="A132" s="524" t="inlineStr">
        <is>
          <t>Prepaid expenses</t>
        </is>
      </c>
      <c r="N132" s="516">
        <f>N160</f>
        <v/>
      </c>
      <c r="O132" s="516">
        <f>O160</f>
        <v/>
      </c>
      <c r="P132" s="516">
        <f>P160</f>
        <v/>
      </c>
      <c r="Q132" s="516">
        <f>Q160</f>
        <v/>
      </c>
      <c r="R132" s="516">
        <f>R160</f>
        <v/>
      </c>
      <c r="S132" s="516">
        <f>S160</f>
        <v/>
      </c>
      <c r="T132" s="516">
        <f>T160</f>
        <v/>
      </c>
      <c r="U132" s="516">
        <f>U160</f>
        <v/>
      </c>
      <c r="V132" s="516">
        <f>V160</f>
        <v/>
      </c>
      <c r="W132" s="516">
        <f>W160</f>
        <v/>
      </c>
      <c r="X132" s="516">
        <f>X160</f>
        <v/>
      </c>
      <c r="Y132" s="516">
        <f>Y160</f>
        <v/>
      </c>
      <c r="Z132" s="516">
        <f>Z160</f>
        <v/>
      </c>
      <c r="AA132" s="516">
        <f>AA160</f>
        <v/>
      </c>
      <c r="AB132" s="516">
        <f>AB160</f>
        <v/>
      </c>
      <c r="AC132" s="516">
        <f>AC160</f>
        <v/>
      </c>
      <c r="AD132" s="516">
        <f>AD160</f>
        <v/>
      </c>
      <c r="AE132" s="516">
        <f>AE160</f>
        <v/>
      </c>
      <c r="AF132" s="516">
        <f>AF160</f>
        <v/>
      </c>
      <c r="AG132" s="516">
        <f>AG160</f>
        <v/>
      </c>
      <c r="AH132" s="516">
        <f>AH160</f>
        <v/>
      </c>
      <c r="AI132" s="516">
        <f>AI160</f>
        <v/>
      </c>
      <c r="AJ132" s="516">
        <f>AJ160</f>
        <v/>
      </c>
      <c r="AK132" s="516">
        <f>AK160</f>
        <v/>
      </c>
      <c r="AL132" s="516">
        <f>AL160</f>
        <v/>
      </c>
      <c r="AM132" s="516">
        <f>AM160</f>
        <v/>
      </c>
      <c r="AN132" s="516">
        <f>AN160</f>
        <v/>
      </c>
      <c r="AO132" s="516">
        <f>AO160</f>
        <v/>
      </c>
      <c r="AP132" s="516">
        <f>AP160</f>
        <v/>
      </c>
      <c r="AQ132" s="516">
        <f>AQ160</f>
        <v/>
      </c>
      <c r="AR132" s="516">
        <f>AR160</f>
        <v/>
      </c>
      <c r="AS132" s="516">
        <f>AS160</f>
        <v/>
      </c>
      <c r="AT132" s="516">
        <f>AT160</f>
        <v/>
      </c>
      <c r="AU132" s="516">
        <f>AU160</f>
        <v/>
      </c>
      <c r="AV132" s="516">
        <f>AV160</f>
        <v/>
      </c>
      <c r="AW132" s="516">
        <f>AW160</f>
        <v/>
      </c>
      <c r="AX132" s="516">
        <f>AX160</f>
        <v/>
      </c>
      <c r="AY132" s="516">
        <f>AY160</f>
        <v/>
      </c>
      <c r="AZ132" s="516">
        <f>AZ160</f>
        <v/>
      </c>
      <c r="BA132" s="516">
        <f>BA160</f>
        <v/>
      </c>
      <c r="BB132" s="516">
        <f>BB160</f>
        <v/>
      </c>
      <c r="BC132" s="516">
        <f>BC160</f>
        <v/>
      </c>
      <c r="BD132" s="516">
        <f>BD160</f>
        <v/>
      </c>
      <c r="BE132" s="516">
        <f>BE160</f>
        <v/>
      </c>
      <c r="BF132" s="516">
        <f>BF160</f>
        <v/>
      </c>
      <c r="BG132" s="516">
        <f>BG160</f>
        <v/>
      </c>
      <c r="BH132" s="516">
        <f>BH160</f>
        <v/>
      </c>
      <c r="BI132" s="516">
        <f>BI160</f>
        <v/>
      </c>
      <c r="BJ132" s="516">
        <f>BJ160</f>
        <v/>
      </c>
      <c r="BK132" s="516">
        <f>BK160</f>
        <v/>
      </c>
      <c r="BL132" s="516">
        <f>BL160</f>
        <v/>
      </c>
      <c r="BM132" s="516">
        <f>BM160</f>
        <v/>
      </c>
      <c r="BN132" s="516">
        <f>BN160</f>
        <v/>
      </c>
      <c r="BO132" s="516">
        <f>BO160</f>
        <v/>
      </c>
      <c r="BP132" s="516">
        <f>BP160</f>
        <v/>
      </c>
      <c r="BQ132" s="516">
        <f>BQ160</f>
        <v/>
      </c>
      <c r="BR132" s="516">
        <f>BR160</f>
        <v/>
      </c>
      <c r="BS132" s="517">
        <f>BS133*BS$153*BS$247</f>
        <v/>
      </c>
      <c r="BT132" s="517">
        <f>BT133*BT$153*BT$247</f>
        <v/>
      </c>
      <c r="BU132" s="517">
        <f>BU133*BU$153*BU$247</f>
        <v/>
      </c>
      <c r="BV132" s="517">
        <f>BV133*BV$153*BV$247</f>
        <v/>
      </c>
      <c r="BW132" s="517">
        <f>BW133*BW$153*BW$247</f>
        <v/>
      </c>
      <c r="BX132" s="517">
        <f>BX133*BX$153*BX$247</f>
        <v/>
      </c>
      <c r="BY132" s="517">
        <f>BY133*BY$153*BY$247</f>
        <v/>
      </c>
      <c r="BZ132" s="517">
        <f>BZ133*BZ$153*BZ$247</f>
        <v/>
      </c>
      <c r="CA132" s="517">
        <f>CA133*CA$153*CA$247</f>
        <v/>
      </c>
      <c r="CB132" s="517">
        <f>CB133*CB$153*CB$247</f>
        <v/>
      </c>
      <c r="CC132" s="517">
        <f>CC133*CC$153*CC$247</f>
        <v/>
      </c>
      <c r="CD132" s="517">
        <f>CD133*CD$153*CD$247</f>
        <v/>
      </c>
      <c r="CE132" s="517">
        <f>CE133*CE$153*CE$247</f>
        <v/>
      </c>
      <c r="CF132" s="517">
        <f>CF133*CF$153*CF$247</f>
        <v/>
      </c>
      <c r="CG132" s="517">
        <f>CG133*CG$153*CG$247</f>
        <v/>
      </c>
      <c r="CH132" s="517">
        <f>CH133*CH$153*CH$247</f>
        <v/>
      </c>
      <c r="CI132" s="517">
        <f>CI133*CI$153*CI$247</f>
        <v/>
      </c>
      <c r="CJ132" s="517">
        <f>CJ133*CJ$153*CJ$247</f>
        <v/>
      </c>
      <c r="CK132" s="517">
        <f>CK133*CK$153*CK$247</f>
        <v/>
      </c>
    </row>
    <row r="133">
      <c r="A133" s="43" t="inlineStr">
        <is>
          <t>as % of COGS (annualized)</t>
        </is>
      </c>
      <c r="B133" s="914" t="n"/>
      <c r="C133" s="914" t="n"/>
      <c r="D133" s="914" t="n"/>
      <c r="E133" s="914" t="n"/>
      <c r="F133" s="914" t="n"/>
      <c r="G133" s="914" t="n"/>
      <c r="H133" s="914" t="n"/>
      <c r="I133" s="914" t="n"/>
      <c r="J133" s="914" t="n"/>
      <c r="K133" s="914" t="n"/>
      <c r="L133" s="914" t="n"/>
      <c r="M133" s="914" t="n"/>
      <c r="N133" s="908">
        <f>N132/(N$153*N$247)</f>
        <v/>
      </c>
      <c r="O133" s="908">
        <f>O132/(O$153*O$247)</f>
        <v/>
      </c>
      <c r="P133" s="908">
        <f>P132/(P$153*P$247)</f>
        <v/>
      </c>
      <c r="Q133" s="908">
        <f>Q132/(Q$153*Q$247)</f>
        <v/>
      </c>
      <c r="R133" s="908">
        <f>R132/(R$153*R$247)</f>
        <v/>
      </c>
      <c r="S133" s="908">
        <f>S132/(S$153*S$247)</f>
        <v/>
      </c>
      <c r="T133" s="908">
        <f>T132/(T$153*T$247)</f>
        <v/>
      </c>
      <c r="U133" s="908">
        <f>U132/(U$153*U$247)</f>
        <v/>
      </c>
      <c r="V133" s="908">
        <f>V132/(V$153*V$247)</f>
        <v/>
      </c>
      <c r="W133" s="908">
        <f>W132/(W$153*W$247)</f>
        <v/>
      </c>
      <c r="X133" s="908">
        <f>X132/(X$153*X$247)</f>
        <v/>
      </c>
      <c r="Y133" s="908">
        <f>Y132/(Y$153*Y$247)</f>
        <v/>
      </c>
      <c r="Z133" s="908">
        <f>Z132/(Z$153*Z$247)</f>
        <v/>
      </c>
      <c r="AA133" s="908">
        <f>AA132/(AA$153*AA$247)</f>
        <v/>
      </c>
      <c r="AB133" s="908">
        <f>AB132/(AB$153*AB$247)</f>
        <v/>
      </c>
      <c r="AC133" s="908">
        <f>AC132/(AC$153*AC$247)</f>
        <v/>
      </c>
      <c r="AD133" s="908">
        <f>AD132/(AD$153*AD$247)</f>
        <v/>
      </c>
      <c r="AE133" s="908">
        <f>AE132/(AE$153*AE$247)</f>
        <v/>
      </c>
      <c r="AF133" s="908">
        <f>AF132/(AF$153*AF$247)</f>
        <v/>
      </c>
      <c r="AG133" s="908">
        <f>AG132/(AG$153*AG$247)</f>
        <v/>
      </c>
      <c r="AH133" s="908">
        <f>AH132/(AH$153*AH$247)</f>
        <v/>
      </c>
      <c r="AI133" s="908">
        <f>AI132/(AI$153*AI$247)</f>
        <v/>
      </c>
      <c r="AJ133" s="908">
        <f>AJ132/(AJ$153*AJ$247)</f>
        <v/>
      </c>
      <c r="AK133" s="908">
        <f>AK132/(AK$153*AK$247)</f>
        <v/>
      </c>
      <c r="AL133" s="908">
        <f>AL132/(AL$153*AL$247)</f>
        <v/>
      </c>
      <c r="AM133" s="908">
        <f>AM132/(AM$153*AM$247)</f>
        <v/>
      </c>
      <c r="AN133" s="908">
        <f>AN132/(AN$153*AN$247)</f>
        <v/>
      </c>
      <c r="AO133" s="908">
        <f>AO132/(AO$153*AO$247)</f>
        <v/>
      </c>
      <c r="AP133" s="908">
        <f>AP132/(AP$153*AP$247)</f>
        <v/>
      </c>
      <c r="AQ133" s="908">
        <f>AQ132/(AQ$153*AQ$247)</f>
        <v/>
      </c>
      <c r="AR133" s="908">
        <f>AR132/(AR$153*AR$247)</f>
        <v/>
      </c>
      <c r="AS133" s="908">
        <f>AS132/(AS$153*AS$247)</f>
        <v/>
      </c>
      <c r="AT133" s="908">
        <f>AT132/(AT$153*AT$247)</f>
        <v/>
      </c>
      <c r="AU133" s="908">
        <f>AU132/(AU$153*AU$247)</f>
        <v/>
      </c>
      <c r="AV133" s="908">
        <f>AV132/(AV$153*AV$247)</f>
        <v/>
      </c>
      <c r="AW133" s="908">
        <f>AW132/(AW$153*AW$247)</f>
        <v/>
      </c>
      <c r="AX133" s="908">
        <f>AX132/(AX$153*AX$247)</f>
        <v/>
      </c>
      <c r="AY133" s="908">
        <f>AY132/(AY$153*AY$247)</f>
        <v/>
      </c>
      <c r="AZ133" s="908">
        <f>AZ132/(AZ$153*AZ$247)</f>
        <v/>
      </c>
      <c r="BA133" s="908">
        <f>BA132/(BA$153*BA$247)</f>
        <v/>
      </c>
      <c r="BB133" s="908">
        <f>BB132/(BB$153*BB$247)</f>
        <v/>
      </c>
      <c r="BC133" s="908">
        <f>BC132/(BC$153*BC$247)</f>
        <v/>
      </c>
      <c r="BD133" s="908">
        <f>BD132/(BD$153*BD$247)</f>
        <v/>
      </c>
      <c r="BE133" s="908">
        <f>BE132/(BE$153*BE$247)</f>
        <v/>
      </c>
      <c r="BF133" s="908">
        <f>BF132/(BF$153*BF$247)</f>
        <v/>
      </c>
      <c r="BG133" s="908">
        <f>BG132/(BG$153*BG$247)</f>
        <v/>
      </c>
      <c r="BH133" s="908">
        <f>BH132/(BH$153*BH$247)</f>
        <v/>
      </c>
      <c r="BI133" s="908">
        <f>BI132/(BI$153*BI$247)</f>
        <v/>
      </c>
      <c r="BJ133" s="908">
        <f>BJ132/(BJ$153*BJ$247)</f>
        <v/>
      </c>
      <c r="BK133" s="908">
        <f>BK132/(BK$153*BK$247)</f>
        <v/>
      </c>
      <c r="BL133" s="908">
        <f>BL132/(BL$153*BL$247)</f>
        <v/>
      </c>
      <c r="BM133" s="908">
        <f>BM132/(BM$153*BM$247)</f>
        <v/>
      </c>
      <c r="BN133" s="908">
        <f>BN132/(BN$153*BN$247)</f>
        <v/>
      </c>
      <c r="BO133" s="908">
        <f>BO132/(BO$153*BO$247)</f>
        <v/>
      </c>
      <c r="BP133" s="908">
        <f>BP132/(BP$153*BP$247)</f>
        <v/>
      </c>
      <c r="BQ133" s="908">
        <f>BQ132/(BQ$153*BQ$247)</f>
        <v/>
      </c>
      <c r="BR133" s="908">
        <f>BR132/(BR$153*BR$247)</f>
        <v/>
      </c>
      <c r="BS133" s="919">
        <f>AVERAGE(BO133,BK133,BG133)</f>
        <v/>
      </c>
      <c r="BT133" s="919">
        <f>AVERAGE(BP133,BL133,BH133)</f>
        <v/>
      </c>
      <c r="BU133" s="919">
        <f>AVERAGE(BQ133,BM133,BI133)</f>
        <v/>
      </c>
      <c r="BV133" s="919">
        <f>AVERAGE(BR133,BN133,BJ133)</f>
        <v/>
      </c>
      <c r="BW133" s="919">
        <f>AVERAGE(BS133,BO133,BK133)</f>
        <v/>
      </c>
      <c r="BX133" s="919">
        <f>AVERAGE(BT133,BP133,BL133)</f>
        <v/>
      </c>
      <c r="BY133" s="919">
        <f>AVERAGE(BU133,BQ133,BM133)</f>
        <v/>
      </c>
      <c r="BZ133" s="919">
        <f>AVERAGE(BV133,BR133,BN133)</f>
        <v/>
      </c>
      <c r="CA133" s="919">
        <f>AVERAGE(BW133,BS133,BO133)</f>
        <v/>
      </c>
      <c r="CB133" s="919">
        <f>AVERAGE(BX133,BT133,BP133)</f>
        <v/>
      </c>
      <c r="CC133" s="919">
        <f>AVERAGE(BY133,BU133,BQ133)</f>
        <v/>
      </c>
      <c r="CD133" s="919">
        <f>AVERAGE(BZ133,BV133,BR133)</f>
        <v/>
      </c>
      <c r="CE133" s="919">
        <f>AVERAGE(CA133,BW133,BS133)</f>
        <v/>
      </c>
      <c r="CF133" s="919">
        <f>AVERAGE(CB133,BX133,BT133)</f>
        <v/>
      </c>
      <c r="CG133" s="919">
        <f>AVERAGE(CC133,BY133,BU133)</f>
        <v/>
      </c>
      <c r="CH133" s="919">
        <f>AVERAGE(CD133,BZ133,BV133)</f>
        <v/>
      </c>
      <c r="CI133" s="919">
        <f>AVERAGE(CE133,CA133,BW133)</f>
        <v/>
      </c>
      <c r="CJ133" s="919">
        <f>AVERAGE(CF133,CB133,BX133)</f>
        <v/>
      </c>
      <c r="CK133" s="919">
        <f>AVERAGE(CG133,CC133,BY133)</f>
        <v/>
      </c>
    </row>
    <row r="134">
      <c r="A134" s="43" t="n"/>
      <c r="B134" s="914" t="n"/>
      <c r="C134" s="914" t="n"/>
      <c r="D134" s="914" t="n"/>
      <c r="E134" s="914" t="n"/>
      <c r="F134" s="914" t="n"/>
      <c r="G134" s="914" t="n"/>
      <c r="H134" s="914" t="n"/>
      <c r="I134" s="914" t="n"/>
      <c r="J134" s="914" t="n"/>
      <c r="K134" s="914" t="n"/>
      <c r="L134" s="914" t="n"/>
      <c r="M134" s="914" t="n"/>
    </row>
    <row r="135">
      <c r="A135" s="524" t="inlineStr">
        <is>
          <t>Other Non-Cash Current Assets</t>
        </is>
      </c>
      <c r="B135" s="914" t="n"/>
      <c r="C135" s="914" t="n"/>
      <c r="D135" s="914" t="n"/>
      <c r="E135" s="914" t="n"/>
      <c r="F135" s="914" t="n"/>
      <c r="G135" s="914" t="n"/>
      <c r="H135" s="914" t="n"/>
      <c r="I135" s="914" t="n"/>
      <c r="J135" s="914" t="n"/>
      <c r="K135" s="914" t="n"/>
      <c r="L135" s="914" t="n"/>
      <c r="M135" s="914" t="n"/>
      <c r="N135" s="516">
        <f>N161</f>
        <v/>
      </c>
      <c r="O135" s="516">
        <f>O161</f>
        <v/>
      </c>
      <c r="P135" s="516">
        <f>P161</f>
        <v/>
      </c>
      <c r="Q135" s="516">
        <f>Q161</f>
        <v/>
      </c>
      <c r="R135" s="516">
        <f>R161</f>
        <v/>
      </c>
      <c r="S135" s="516">
        <f>S161</f>
        <v/>
      </c>
      <c r="T135" s="516">
        <f>T161</f>
        <v/>
      </c>
      <c r="U135" s="516">
        <f>U161</f>
        <v/>
      </c>
      <c r="V135" s="516">
        <f>V161</f>
        <v/>
      </c>
      <c r="W135" s="516">
        <f>W161</f>
        <v/>
      </c>
      <c r="X135" s="516">
        <f>X161</f>
        <v/>
      </c>
      <c r="Y135" s="516">
        <f>Y161</f>
        <v/>
      </c>
      <c r="Z135" s="516">
        <f>Z161</f>
        <v/>
      </c>
      <c r="AA135" s="516">
        <f>AA161</f>
        <v/>
      </c>
      <c r="AB135" s="516">
        <f>AB161</f>
        <v/>
      </c>
      <c r="AC135" s="516">
        <f>AC161</f>
        <v/>
      </c>
      <c r="AD135" s="516">
        <f>AD161</f>
        <v/>
      </c>
      <c r="AE135" s="516">
        <f>AE161</f>
        <v/>
      </c>
      <c r="AF135" s="516">
        <f>AF161</f>
        <v/>
      </c>
      <c r="AG135" s="516">
        <f>AG161</f>
        <v/>
      </c>
      <c r="AH135" s="516">
        <f>AH161</f>
        <v/>
      </c>
      <c r="AI135" s="516">
        <f>AI161</f>
        <v/>
      </c>
      <c r="AJ135" s="516">
        <f>AJ161</f>
        <v/>
      </c>
      <c r="AK135" s="516">
        <f>AK161</f>
        <v/>
      </c>
      <c r="AL135" s="516">
        <f>AL161</f>
        <v/>
      </c>
      <c r="AM135" s="516">
        <f>AM161</f>
        <v/>
      </c>
      <c r="AN135" s="516">
        <f>AN161</f>
        <v/>
      </c>
      <c r="AO135" s="516">
        <f>AO161</f>
        <v/>
      </c>
      <c r="AP135" s="516">
        <f>AP161</f>
        <v/>
      </c>
      <c r="AQ135" s="516">
        <f>AQ161</f>
        <v/>
      </c>
      <c r="AR135" s="516">
        <f>AR161</f>
        <v/>
      </c>
      <c r="AS135" s="516">
        <f>AS161</f>
        <v/>
      </c>
      <c r="AT135" s="516">
        <f>AT161</f>
        <v/>
      </c>
      <c r="AU135" s="516">
        <f>AU161</f>
        <v/>
      </c>
      <c r="AV135" s="516">
        <f>AV161</f>
        <v/>
      </c>
      <c r="AW135" s="516">
        <f>AW161</f>
        <v/>
      </c>
      <c r="AX135" s="516">
        <f>AX161</f>
        <v/>
      </c>
      <c r="AY135" s="516">
        <f>AY161</f>
        <v/>
      </c>
      <c r="AZ135" s="516">
        <f>AZ161</f>
        <v/>
      </c>
      <c r="BA135" s="516">
        <f>BA161</f>
        <v/>
      </c>
      <c r="BB135" s="516">
        <f>BB161</f>
        <v/>
      </c>
      <c r="BC135" s="516">
        <f>BC161</f>
        <v/>
      </c>
      <c r="BD135" s="516">
        <f>BD161</f>
        <v/>
      </c>
      <c r="BE135" s="516">
        <f>BE161</f>
        <v/>
      </c>
      <c r="BF135" s="516">
        <f>BF161</f>
        <v/>
      </c>
      <c r="BG135" s="516">
        <f>BG161</f>
        <v/>
      </c>
      <c r="BH135" s="516">
        <f>BH161</f>
        <v/>
      </c>
      <c r="BI135" s="516">
        <f>BI161</f>
        <v/>
      </c>
      <c r="BJ135" s="516">
        <f>BJ161</f>
        <v/>
      </c>
      <c r="BK135" s="516">
        <f>BK161</f>
        <v/>
      </c>
      <c r="BL135" s="516">
        <f>BL161</f>
        <v/>
      </c>
      <c r="BM135" s="516">
        <f>BM161</f>
        <v/>
      </c>
      <c r="BN135" s="516">
        <f>BN161</f>
        <v/>
      </c>
      <c r="BO135" s="516">
        <f>BO161</f>
        <v/>
      </c>
      <c r="BP135" s="516">
        <f>BP161</f>
        <v/>
      </c>
      <c r="BQ135" s="516">
        <f>BQ161</f>
        <v/>
      </c>
      <c r="BR135" s="516">
        <f>BR161</f>
        <v/>
      </c>
      <c r="BS135" s="517">
        <f>BS136*BS$152*BS$247</f>
        <v/>
      </c>
      <c r="BT135" s="517">
        <f>BT136*BT$152*BT$247</f>
        <v/>
      </c>
      <c r="BU135" s="517">
        <f>BU136*BU$152*BU$247</f>
        <v/>
      </c>
      <c r="BV135" s="517">
        <f>BV136*BV$152*BV$247</f>
        <v/>
      </c>
      <c r="BW135" s="517">
        <f>BW136*BW$152*BW$247</f>
        <v/>
      </c>
      <c r="BX135" s="517">
        <f>BX136*BX$152*BX$247</f>
        <v/>
      </c>
      <c r="BY135" s="517">
        <f>BY136*BY$152*BY$247</f>
        <v/>
      </c>
      <c r="BZ135" s="517">
        <f>BZ136*BZ$152*BZ$247</f>
        <v/>
      </c>
      <c r="CA135" s="517">
        <f>CA136*CA$152*CA$247</f>
        <v/>
      </c>
      <c r="CB135" s="517">
        <f>CB136*CB$152*CB$247</f>
        <v/>
      </c>
      <c r="CC135" s="517">
        <f>CC136*CC$152*CC$247</f>
        <v/>
      </c>
      <c r="CD135" s="517">
        <f>CD136*CD$152*CD$247</f>
        <v/>
      </c>
      <c r="CE135" s="517">
        <f>CE136*CE$152*CE$247</f>
        <v/>
      </c>
      <c r="CF135" s="517">
        <f>CF136*CF$152*CF$247</f>
        <v/>
      </c>
      <c r="CG135" s="517">
        <f>CG136*CG$152*CG$247</f>
        <v/>
      </c>
      <c r="CH135" s="517">
        <f>CH136*CH$152*CH$247</f>
        <v/>
      </c>
      <c r="CI135" s="517">
        <f>CI136*CI$152*CI$247</f>
        <v/>
      </c>
      <c r="CJ135" s="517">
        <f>CJ136*CJ$152*CJ$247</f>
        <v/>
      </c>
      <c r="CK135" s="517">
        <f>CK136*CK$152*CK$247</f>
        <v/>
      </c>
    </row>
    <row r="136">
      <c r="A136" s="43" t="inlineStr">
        <is>
          <t>as % of sales (annualized)</t>
        </is>
      </c>
      <c r="B136" s="914" t="n"/>
      <c r="C136" s="914" t="n"/>
      <c r="D136" s="914" t="n"/>
      <c r="E136" s="914" t="n"/>
      <c r="F136" s="914" t="n"/>
      <c r="G136" s="914" t="n"/>
      <c r="H136" s="914" t="n"/>
      <c r="I136" s="914" t="n"/>
      <c r="J136" s="914" t="n"/>
      <c r="K136" s="914" t="n"/>
      <c r="L136" s="914" t="n"/>
      <c r="M136" s="914" t="n"/>
      <c r="N136" s="908">
        <f>N135/(N$152*N$247)</f>
        <v/>
      </c>
      <c r="O136" s="908">
        <f>O135/(O$152*O$247)</f>
        <v/>
      </c>
      <c r="P136" s="908">
        <f>P135/(P$152*P$247)</f>
        <v/>
      </c>
      <c r="Q136" s="908">
        <f>Q135/(Q$152*Q$247)</f>
        <v/>
      </c>
      <c r="R136" s="908">
        <f>R135/(R$152*R$247)</f>
        <v/>
      </c>
      <c r="S136" s="908">
        <f>S135/(S$152*S$247)</f>
        <v/>
      </c>
      <c r="T136" s="908">
        <f>T135/(T$152*T$247)</f>
        <v/>
      </c>
      <c r="U136" s="908">
        <f>U135/(U$152*U$247)</f>
        <v/>
      </c>
      <c r="V136" s="908">
        <f>V135/(V$152*V$247)</f>
        <v/>
      </c>
      <c r="W136" s="908">
        <f>W135/(W$152*W$247)</f>
        <v/>
      </c>
      <c r="X136" s="908">
        <f>X135/(X$152*X$247)</f>
        <v/>
      </c>
      <c r="Y136" s="908">
        <f>Y135/(Y$152*Y$247)</f>
        <v/>
      </c>
      <c r="Z136" s="908">
        <f>Z135/(Z$152*Z$247)</f>
        <v/>
      </c>
      <c r="AA136" s="908">
        <f>AA135/(AA$152*AA$247)</f>
        <v/>
      </c>
      <c r="AB136" s="908">
        <f>AB135/(AB$152*AB$247)</f>
        <v/>
      </c>
      <c r="AC136" s="908">
        <f>AC135/(AC$152*AC$247)</f>
        <v/>
      </c>
      <c r="AD136" s="908">
        <f>AD135/(AD$152*AD$247)</f>
        <v/>
      </c>
      <c r="AE136" s="908">
        <f>AE135/(AE$152*AE$247)</f>
        <v/>
      </c>
      <c r="AF136" s="908">
        <f>AF135/(AF$152*AF$247)</f>
        <v/>
      </c>
      <c r="AG136" s="908">
        <f>AG135/(AG$152*AG$247)</f>
        <v/>
      </c>
      <c r="AH136" s="908">
        <f>AH135/(AH$152*AH$247)</f>
        <v/>
      </c>
      <c r="AI136" s="908">
        <f>AI135/(AI$152*AI$247)</f>
        <v/>
      </c>
      <c r="AJ136" s="908">
        <f>AJ135/(AJ$152*AJ$247)</f>
        <v/>
      </c>
      <c r="AK136" s="908">
        <f>AK135/(AK$152*AK$247)</f>
        <v/>
      </c>
      <c r="AL136" s="908">
        <f>AL135/(AL$152*AL$247)</f>
        <v/>
      </c>
      <c r="AM136" s="908">
        <f>AM135/(AM$152*AM$247)</f>
        <v/>
      </c>
      <c r="AN136" s="908">
        <f>AN135/(AN$152*AN$247)</f>
        <v/>
      </c>
      <c r="AO136" s="908">
        <f>AO135/(AO$152*AO$247)</f>
        <v/>
      </c>
      <c r="AP136" s="908">
        <f>AP135/(AP$152*AP$247)</f>
        <v/>
      </c>
      <c r="AQ136" s="908">
        <f>AQ135/(AQ$152*AQ$247)</f>
        <v/>
      </c>
      <c r="AR136" s="908">
        <f>AR135/(AR$152*AR$247)</f>
        <v/>
      </c>
      <c r="AS136" s="908">
        <f>AS135/(AS$152*AS$247)</f>
        <v/>
      </c>
      <c r="AT136" s="908">
        <f>AT135/(AT$152*AT$247)</f>
        <v/>
      </c>
      <c r="AU136" s="908">
        <f>AU135/(AU$152*AU$247)</f>
        <v/>
      </c>
      <c r="AV136" s="908">
        <f>AV135/(AV$152*AV$247)</f>
        <v/>
      </c>
      <c r="AW136" s="908">
        <f>AW135/(AW$152*AW$247)</f>
        <v/>
      </c>
      <c r="AX136" s="908">
        <f>AX135/(AX$152*AX$247)</f>
        <v/>
      </c>
      <c r="AY136" s="908">
        <f>AY135/(AY$152*AY$247)</f>
        <v/>
      </c>
      <c r="AZ136" s="908">
        <f>AZ135/(AZ$152*AZ$247)</f>
        <v/>
      </c>
      <c r="BA136" s="908">
        <f>BA135/(BA$152*BA$247)</f>
        <v/>
      </c>
      <c r="BB136" s="908">
        <f>BB135/(BB$152*BB$247)</f>
        <v/>
      </c>
      <c r="BC136" s="908">
        <f>BC135/(BC$152*BC$247)</f>
        <v/>
      </c>
      <c r="BD136" s="908">
        <f>BD135/(BD$152*BD$247)</f>
        <v/>
      </c>
      <c r="BE136" s="908">
        <f>BE135/(BE$152*BE$247)</f>
        <v/>
      </c>
      <c r="BF136" s="908">
        <f>BF135/(BF$152*BF$247)</f>
        <v/>
      </c>
      <c r="BG136" s="908">
        <f>BG135/(BG$152*BG$247)</f>
        <v/>
      </c>
      <c r="BH136" s="908">
        <f>BH135/(BH$152*BH$247)</f>
        <v/>
      </c>
      <c r="BI136" s="908">
        <f>BI135/(BI$152*BI$247)</f>
        <v/>
      </c>
      <c r="BJ136" s="908">
        <f>BJ135/(BJ$152*BJ$247)</f>
        <v/>
      </c>
      <c r="BK136" s="908">
        <f>BK135/(BK$152*BK$247)</f>
        <v/>
      </c>
      <c r="BL136" s="908">
        <f>BL135/(BL$152*BL$247)</f>
        <v/>
      </c>
      <c r="BM136" s="908">
        <f>BM135/(BM$152*BM$247)</f>
        <v/>
      </c>
      <c r="BN136" s="908">
        <f>BN135/(BN$152*BN$247)</f>
        <v/>
      </c>
      <c r="BO136" s="908">
        <f>BO135/(BO$152*BO$247)</f>
        <v/>
      </c>
      <c r="BP136" s="908">
        <f>BP135/(BP$152*BP$247)</f>
        <v/>
      </c>
      <c r="BQ136" s="908">
        <f>BQ135/(BQ$152*BQ$247)</f>
        <v/>
      </c>
      <c r="BR136" s="908">
        <f>BR135/(BR$152*BR$247)</f>
        <v/>
      </c>
      <c r="BS136" s="909">
        <f>BR136</f>
        <v/>
      </c>
      <c r="BT136" s="909">
        <f>BS136</f>
        <v/>
      </c>
      <c r="BU136" s="909">
        <f>BT136</f>
        <v/>
      </c>
      <c r="BV136" s="909">
        <f>BU136</f>
        <v/>
      </c>
      <c r="BW136" s="909">
        <f>BV136</f>
        <v/>
      </c>
      <c r="BX136" s="909">
        <f>BW136</f>
        <v/>
      </c>
      <c r="BY136" s="909">
        <f>BX136</f>
        <v/>
      </c>
      <c r="BZ136" s="909">
        <f>BY136</f>
        <v/>
      </c>
      <c r="CA136" s="909">
        <f>BZ136</f>
        <v/>
      </c>
      <c r="CB136" s="909">
        <f>CA136</f>
        <v/>
      </c>
      <c r="CC136" s="909">
        <f>CB136</f>
        <v/>
      </c>
      <c r="CD136" s="909">
        <f>CC136</f>
        <v/>
      </c>
      <c r="CE136" s="909">
        <f>CD136</f>
        <v/>
      </c>
      <c r="CF136" s="909">
        <f>CE136</f>
        <v/>
      </c>
      <c r="CG136" s="909">
        <f>CF136</f>
        <v/>
      </c>
      <c r="CH136" s="909">
        <f>CG136</f>
        <v/>
      </c>
      <c r="CI136" s="909">
        <f>CH136</f>
        <v/>
      </c>
      <c r="CJ136" s="909">
        <f>CI136</f>
        <v/>
      </c>
      <c r="CK136" s="909">
        <f>CJ136</f>
        <v/>
      </c>
    </row>
    <row r="137" ht="14" customHeight="1" thickBot="1">
      <c r="A137" s="527" t="n"/>
      <c r="B137" s="914" t="n"/>
      <c r="C137" s="914" t="n"/>
      <c r="D137" s="914" t="n"/>
      <c r="E137" s="914" t="n"/>
      <c r="F137" s="914" t="n"/>
      <c r="G137" s="914" t="n"/>
      <c r="H137" s="914" t="n"/>
      <c r="I137" s="914" t="n"/>
      <c r="J137" s="914" t="n"/>
      <c r="K137" s="914" t="n"/>
      <c r="L137" s="914" t="n"/>
      <c r="M137" s="914" t="n"/>
      <c r="N137" s="908" t="n"/>
      <c r="O137" s="908" t="n"/>
      <c r="P137" s="908" t="n"/>
      <c r="Q137" s="908" t="n"/>
      <c r="R137" s="908" t="n"/>
      <c r="S137" s="908" t="n"/>
      <c r="T137" s="908" t="n"/>
      <c r="U137" s="908" t="n"/>
      <c r="V137" s="908" t="n"/>
      <c r="W137" s="908" t="n"/>
      <c r="X137" s="908" t="n"/>
      <c r="Y137" s="908" t="n"/>
      <c r="Z137" s="908" t="n"/>
      <c r="AA137" s="908" t="n"/>
      <c r="AB137" s="908" t="n"/>
      <c r="AC137" s="908" t="n"/>
      <c r="AD137" s="908" t="n"/>
      <c r="AE137" s="908" t="n"/>
      <c r="AF137" s="908" t="n"/>
      <c r="AG137" s="908" t="n"/>
      <c r="AH137" s="908" t="n"/>
      <c r="AI137" s="908" t="n"/>
      <c r="AJ137" s="908" t="n"/>
      <c r="AK137" s="908" t="n"/>
      <c r="AL137" s="908" t="n"/>
      <c r="AM137" s="908" t="n"/>
      <c r="AN137" s="908" t="n"/>
      <c r="AO137" s="908" t="n"/>
      <c r="AP137" s="908" t="n"/>
      <c r="AQ137" s="908" t="n"/>
      <c r="AR137" s="908" t="n"/>
      <c r="AS137" s="908" t="n"/>
    </row>
    <row r="138">
      <c r="A138" s="413" t="n"/>
    </row>
    <row r="139">
      <c r="A139" s="524" t="inlineStr">
        <is>
          <t>Payable days</t>
        </is>
      </c>
      <c r="B139" s="50" t="n"/>
      <c r="C139" s="50" t="n"/>
      <c r="D139" s="50" t="n"/>
      <c r="E139" s="50" t="n"/>
      <c r="F139" s="50" t="n"/>
      <c r="G139" s="50" t="n"/>
      <c r="H139" s="50" t="n"/>
      <c r="I139" s="50" t="n"/>
      <c r="J139" s="50" t="n"/>
      <c r="K139" s="50" t="n"/>
      <c r="L139" s="50" t="n"/>
      <c r="M139" s="50" t="n"/>
      <c r="N139" s="406">
        <f>N164/N153*N245</f>
        <v/>
      </c>
      <c r="O139" s="406">
        <f>O164/O153*O245</f>
        <v/>
      </c>
      <c r="P139" s="406">
        <f>P164/P153*P245</f>
        <v/>
      </c>
      <c r="Q139" s="406">
        <f>Q164/Q153*Q245</f>
        <v/>
      </c>
      <c r="R139" s="406">
        <f>R164/R153*R245</f>
        <v/>
      </c>
      <c r="S139" s="406">
        <f>S164/S153*S245</f>
        <v/>
      </c>
      <c r="T139" s="406">
        <f>T164/T153*T245</f>
        <v/>
      </c>
      <c r="U139" s="406">
        <f>U164/U153*U245</f>
        <v/>
      </c>
      <c r="V139" s="406">
        <f>V164/V153*V245</f>
        <v/>
      </c>
      <c r="W139" s="406">
        <f>W164/W153*W245</f>
        <v/>
      </c>
      <c r="X139" s="406">
        <f>X164/X153*X245</f>
        <v/>
      </c>
      <c r="Y139" s="406">
        <f>Y164/Y153*Y245</f>
        <v/>
      </c>
      <c r="Z139" s="406">
        <f>Z164/Z153*Z245</f>
        <v/>
      </c>
      <c r="AA139" s="406">
        <f>AA164/AA153*AA245</f>
        <v/>
      </c>
      <c r="AB139" s="406">
        <f>AB164/AB153*AB245</f>
        <v/>
      </c>
      <c r="AC139" s="406">
        <f>AC164/AC153*AC245</f>
        <v/>
      </c>
      <c r="AD139" s="406">
        <f>AD164/AD153*AD245</f>
        <v/>
      </c>
      <c r="AE139" s="406">
        <f>AE164/AE153*AE245</f>
        <v/>
      </c>
      <c r="AF139" s="406">
        <f>AF164/AF153*AF245</f>
        <v/>
      </c>
      <c r="AG139" s="406">
        <f>AG164/AG153*AG245</f>
        <v/>
      </c>
      <c r="AH139" s="406">
        <f>AH164/AH153*AH245</f>
        <v/>
      </c>
      <c r="AI139" s="406">
        <f>AI164/AI153*AI245</f>
        <v/>
      </c>
      <c r="AJ139" s="406">
        <f>AJ164/AJ153*AJ245</f>
        <v/>
      </c>
      <c r="AK139" s="406">
        <f>AK164/AK153*AK245</f>
        <v/>
      </c>
      <c r="AL139" s="406">
        <f>AL164/AL153*AL245</f>
        <v/>
      </c>
      <c r="AM139" s="406">
        <f>AM164/AM153*AM245</f>
        <v/>
      </c>
      <c r="AN139" s="406">
        <f>AN164/AN153*AN245</f>
        <v/>
      </c>
      <c r="AO139" s="406">
        <f>AO164/AO153*AO245</f>
        <v/>
      </c>
      <c r="AP139" s="406">
        <f>AP164/AP153*AP245</f>
        <v/>
      </c>
      <c r="AQ139" s="406">
        <f>AQ164/AQ153*AQ245</f>
        <v/>
      </c>
      <c r="AR139" s="406">
        <f>AR164/AR153*AR245</f>
        <v/>
      </c>
      <c r="AS139" s="406">
        <f>AS164/AS153*AS245</f>
        <v/>
      </c>
      <c r="AT139" s="406">
        <f>AT164/AT153*AT245</f>
        <v/>
      </c>
      <c r="AU139" s="406">
        <f>AU164/AU153*AU245</f>
        <v/>
      </c>
      <c r="AV139" s="406">
        <f>AV164/AV153*AV245</f>
        <v/>
      </c>
      <c r="AW139" s="406">
        <f>AW164/AW153*AW245</f>
        <v/>
      </c>
      <c r="AX139" s="406">
        <f>AX164/AX153*AX245</f>
        <v/>
      </c>
      <c r="AY139" s="406">
        <f>AY164/AY153*AY245</f>
        <v/>
      </c>
      <c r="AZ139" s="406">
        <f>AZ164/AZ153*AZ245</f>
        <v/>
      </c>
      <c r="BA139" s="406">
        <f>BA164/BA153*BA245</f>
        <v/>
      </c>
      <c r="BB139" s="406">
        <f>BB164/BB153*BB245</f>
        <v/>
      </c>
      <c r="BC139" s="406">
        <f>BC164/BC153*BC245</f>
        <v/>
      </c>
      <c r="BD139" s="406">
        <f>BD164/BD153*BD245</f>
        <v/>
      </c>
      <c r="BE139" s="406">
        <f>BE164/BE153*BE245</f>
        <v/>
      </c>
      <c r="BF139" s="406">
        <f>BF164/BF153*BF245</f>
        <v/>
      </c>
      <c r="BG139" s="406">
        <f>BG164/BG153*BG245</f>
        <v/>
      </c>
      <c r="BH139" s="406">
        <f>BH164/BH153*BH245</f>
        <v/>
      </c>
      <c r="BI139" s="406">
        <f>BI164/BI153*BI245</f>
        <v/>
      </c>
      <c r="BJ139" s="406">
        <f>BJ164/BJ153*BJ245</f>
        <v/>
      </c>
      <c r="BK139" s="406">
        <f>BK164/BK153*BK245</f>
        <v/>
      </c>
      <c r="BL139" s="406">
        <f>BL164/BL153*BL245</f>
        <v/>
      </c>
      <c r="BM139" s="406">
        <f>BM164/BM153*BM245</f>
        <v/>
      </c>
      <c r="BN139" s="406">
        <f>BN164/BN153*BN245</f>
        <v/>
      </c>
      <c r="BO139" s="406">
        <f>BO164/BO153*BO245</f>
        <v/>
      </c>
      <c r="BP139" s="406">
        <f>BP164/BP153*BP245</f>
        <v/>
      </c>
      <c r="BQ139" s="406">
        <f>BQ164/BQ153*BQ245</f>
        <v/>
      </c>
      <c r="BR139" s="406">
        <f>BR164/BR153*BR245</f>
        <v/>
      </c>
      <c r="BS139" s="541">
        <f>AVERAGE(BO139,BK139,BG139)</f>
        <v/>
      </c>
      <c r="BT139" s="541">
        <f>AVERAGE(BP139,BL139,BH139)</f>
        <v/>
      </c>
      <c r="BU139" s="541">
        <f>AVERAGE(BQ139,BM139,BI139)</f>
        <v/>
      </c>
      <c r="BV139" s="541">
        <f>AVERAGE(BR139,BN139,BJ139)</f>
        <v/>
      </c>
      <c r="BW139" s="541">
        <f>AVERAGE(BS139,BO139,BK139)</f>
        <v/>
      </c>
      <c r="BX139" s="541">
        <f>AVERAGE(BT139,BP139,BL139)</f>
        <v/>
      </c>
      <c r="BY139" s="541">
        <f>AVERAGE(BU139,BQ139,BM139)</f>
        <v/>
      </c>
      <c r="BZ139" s="541">
        <f>AVERAGE(BV139,BR139,BN139)</f>
        <v/>
      </c>
      <c r="CA139" s="541">
        <f>AVERAGE(BW139,BS139,BO139)</f>
        <v/>
      </c>
      <c r="CB139" s="541">
        <f>AVERAGE(BX139,BT139,BP139)</f>
        <v/>
      </c>
      <c r="CC139" s="541">
        <f>AVERAGE(BY139,BU139,BQ139)</f>
        <v/>
      </c>
      <c r="CD139" s="541">
        <f>AVERAGE(BZ139,BV139,BR139)</f>
        <v/>
      </c>
      <c r="CE139" s="541">
        <f>AVERAGE(CA139,BW139,BS139)</f>
        <v/>
      </c>
      <c r="CF139" s="541">
        <f>AVERAGE(CB139,BX139,BT139)</f>
        <v/>
      </c>
      <c r="CG139" s="541">
        <f>AVERAGE(CC139,BY139,BU139)</f>
        <v/>
      </c>
      <c r="CH139" s="541">
        <f>AVERAGE(CD139,BZ139,BV139)</f>
        <v/>
      </c>
      <c r="CI139" s="541">
        <f>AVERAGE(CE139,CA139,BW139)</f>
        <v/>
      </c>
      <c r="CJ139" s="541">
        <f>AVERAGE(CF139,CB139,BX139)</f>
        <v/>
      </c>
      <c r="CK139" s="541">
        <f>AVERAGE(CG139,CC139,BY139)</f>
        <v/>
      </c>
    </row>
    <row r="140">
      <c r="A140" s="43" t="inlineStr">
        <is>
          <t>y/y Increase / (Decrease) - days</t>
        </is>
      </c>
      <c r="B140" s="918" t="n"/>
      <c r="C140" s="918" t="n"/>
      <c r="D140" s="918" t="n"/>
      <c r="E140" s="918" t="n"/>
      <c r="F140" s="50" t="n"/>
      <c r="G140" s="50" t="n"/>
      <c r="H140" s="50" t="n"/>
      <c r="I140" s="50" t="n"/>
      <c r="J140" s="50" t="n"/>
      <c r="K140" s="50" t="n"/>
      <c r="L140" s="50" t="n"/>
      <c r="M140" s="50" t="n"/>
      <c r="O140" s="517">
        <f>O139-N139</f>
        <v/>
      </c>
      <c r="P140" s="517">
        <f>P139-O139</f>
        <v/>
      </c>
      <c r="Q140" s="517">
        <f>Q139-P139</f>
        <v/>
      </c>
      <c r="R140" s="517">
        <f>R139-Q139</f>
        <v/>
      </c>
      <c r="S140" s="517">
        <f>S139-R139</f>
        <v/>
      </c>
      <c r="T140" s="517">
        <f>T139-S139</f>
        <v/>
      </c>
      <c r="U140" s="517">
        <f>U139-T139</f>
        <v/>
      </c>
      <c r="V140" s="517">
        <f>V139-U139</f>
        <v/>
      </c>
      <c r="W140" s="517">
        <f>W139-V139</f>
        <v/>
      </c>
      <c r="X140" s="517">
        <f>X139-W139</f>
        <v/>
      </c>
      <c r="Y140" s="517">
        <f>Y139-X139</f>
        <v/>
      </c>
      <c r="Z140" s="517">
        <f>Z139-Y139</f>
        <v/>
      </c>
      <c r="AA140" s="517">
        <f>AA139-Z139</f>
        <v/>
      </c>
      <c r="AB140" s="517">
        <f>AB139-AA139</f>
        <v/>
      </c>
      <c r="AC140" s="517">
        <f>AC139-AB139</f>
        <v/>
      </c>
      <c r="AD140" s="517">
        <f>AD139-AC139</f>
        <v/>
      </c>
      <c r="AE140" s="517">
        <f>AE139-AD139</f>
        <v/>
      </c>
      <c r="AF140" s="517">
        <f>AF139-AE139</f>
        <v/>
      </c>
      <c r="AG140" s="517">
        <f>AG139-AF139</f>
        <v/>
      </c>
      <c r="AH140" s="517">
        <f>AH139-AG139</f>
        <v/>
      </c>
      <c r="AI140" s="517">
        <f>AI139-AH139</f>
        <v/>
      </c>
      <c r="AJ140" s="517">
        <f>AJ139-AI139</f>
        <v/>
      </c>
      <c r="AK140" s="517">
        <f>AK139-AJ139</f>
        <v/>
      </c>
      <c r="AL140" s="517">
        <f>AL139-AK139</f>
        <v/>
      </c>
      <c r="AM140" s="517">
        <f>AM139-AL139</f>
        <v/>
      </c>
      <c r="AN140" s="517">
        <f>AN139-AM139</f>
        <v/>
      </c>
      <c r="AO140" s="517">
        <f>AO139-AN139</f>
        <v/>
      </c>
      <c r="AP140" s="517">
        <f>AP139-AO139</f>
        <v/>
      </c>
      <c r="AQ140" s="517">
        <f>AQ139-AP139</f>
        <v/>
      </c>
      <c r="AR140" s="517">
        <f>AR139-AQ139</f>
        <v/>
      </c>
      <c r="AS140" s="517">
        <f>AS139-AR139</f>
        <v/>
      </c>
      <c r="AT140" s="517">
        <f>AT139-AS139</f>
        <v/>
      </c>
      <c r="AU140" s="517">
        <f>AU139-AT139</f>
        <v/>
      </c>
      <c r="AV140" s="517">
        <f>AV139-AU139</f>
        <v/>
      </c>
      <c r="AW140" s="517">
        <f>AW139-AV139</f>
        <v/>
      </c>
      <c r="AX140" s="517">
        <f>AX139-AW139</f>
        <v/>
      </c>
      <c r="AY140" s="517">
        <f>AY139-AX139</f>
        <v/>
      </c>
      <c r="AZ140" s="517">
        <f>AZ139-AY139</f>
        <v/>
      </c>
      <c r="BA140" s="517">
        <f>BA139-AZ139</f>
        <v/>
      </c>
      <c r="BB140" s="517">
        <f>BB139-BA139</f>
        <v/>
      </c>
      <c r="BC140" s="517">
        <f>BC139-BB139</f>
        <v/>
      </c>
      <c r="BD140" s="517">
        <f>BD139-BC139</f>
        <v/>
      </c>
      <c r="BE140" s="517">
        <f>BE139-BD139</f>
        <v/>
      </c>
      <c r="BF140" s="517">
        <f>BF139-BE139</f>
        <v/>
      </c>
      <c r="BG140" s="517">
        <f>BG139-BF139</f>
        <v/>
      </c>
      <c r="BH140" s="517">
        <f>BH139-BG139</f>
        <v/>
      </c>
      <c r="BI140" s="517">
        <f>BI139-BH139</f>
        <v/>
      </c>
      <c r="BJ140" s="517">
        <f>BJ139-BI139</f>
        <v/>
      </c>
      <c r="BK140" s="517">
        <f>BK139-BJ139</f>
        <v/>
      </c>
      <c r="BL140" s="517">
        <f>BL139-BK139</f>
        <v/>
      </c>
      <c r="BM140" s="517">
        <f>BM139-BL139</f>
        <v/>
      </c>
      <c r="BN140" s="517">
        <f>BN139-BM139</f>
        <v/>
      </c>
      <c r="BO140" s="517">
        <f>BO139-BN139</f>
        <v/>
      </c>
      <c r="BP140" s="517">
        <f>BP139-BO139</f>
        <v/>
      </c>
      <c r="BQ140" s="517">
        <f>BQ139-BP139</f>
        <v/>
      </c>
      <c r="BR140" s="517">
        <f>BR139-BQ139</f>
        <v/>
      </c>
      <c r="BS140" s="517">
        <f>BS139-BR139</f>
        <v/>
      </c>
      <c r="BT140" s="517">
        <f>BT139-BS139</f>
        <v/>
      </c>
      <c r="BU140" s="517">
        <f>BU139-BT139</f>
        <v/>
      </c>
      <c r="BV140" s="517">
        <f>BV139-BU139</f>
        <v/>
      </c>
      <c r="BW140" s="517">
        <f>BW139-BV139</f>
        <v/>
      </c>
      <c r="BX140" s="517">
        <f>BX139-BW139</f>
        <v/>
      </c>
      <c r="BY140" s="517">
        <f>BY139-BX139</f>
        <v/>
      </c>
      <c r="BZ140" s="517">
        <f>BZ139-BY139</f>
        <v/>
      </c>
      <c r="CA140" s="517">
        <f>CA139-BZ139</f>
        <v/>
      </c>
      <c r="CB140" s="517">
        <f>CB139-CA139</f>
        <v/>
      </c>
      <c r="CC140" s="517">
        <f>CC139-CB139</f>
        <v/>
      </c>
      <c r="CD140" s="517">
        <f>CD139-CC139</f>
        <v/>
      </c>
      <c r="CE140" s="517">
        <f>CE139-CD139</f>
        <v/>
      </c>
      <c r="CF140" s="517">
        <f>CF139-CE139</f>
        <v/>
      </c>
      <c r="CG140" s="517">
        <f>CG139-CF139</f>
        <v/>
      </c>
      <c r="CH140" s="517">
        <f>CH139-CG139</f>
        <v/>
      </c>
      <c r="CI140" s="517">
        <f>CI139-CH139</f>
        <v/>
      </c>
      <c r="CJ140" s="517">
        <f>CJ139-CI139</f>
        <v/>
      </c>
      <c r="CK140" s="517">
        <f>CK139-CJ139</f>
        <v/>
      </c>
    </row>
    <row r="141">
      <c r="A141" s="413" t="n"/>
    </row>
    <row r="142">
      <c r="A142" s="524" t="inlineStr">
        <is>
          <t>Accured expenses</t>
        </is>
      </c>
      <c r="B142" s="50" t="n"/>
      <c r="C142" s="50" t="n"/>
      <c r="D142" s="50" t="n"/>
      <c r="E142" s="50" t="n"/>
      <c r="F142" s="50" t="n"/>
      <c r="G142" s="50" t="n"/>
      <c r="H142" s="50" t="n"/>
      <c r="I142" s="50" t="n"/>
      <c r="J142" s="50" t="n"/>
      <c r="K142" s="50" t="n"/>
      <c r="L142" s="50" t="n"/>
      <c r="M142" s="50" t="n"/>
      <c r="N142" s="516">
        <f>N165</f>
        <v/>
      </c>
      <c r="O142" s="516">
        <f>O165</f>
        <v/>
      </c>
      <c r="P142" s="516">
        <f>P165</f>
        <v/>
      </c>
      <c r="Q142" s="516">
        <f>Q165</f>
        <v/>
      </c>
      <c r="R142" s="516">
        <f>R165</f>
        <v/>
      </c>
      <c r="S142" s="516">
        <f>S165</f>
        <v/>
      </c>
      <c r="T142" s="516">
        <f>T165</f>
        <v/>
      </c>
      <c r="U142" s="516">
        <f>U165</f>
        <v/>
      </c>
      <c r="V142" s="516">
        <f>V165</f>
        <v/>
      </c>
      <c r="W142" s="516">
        <f>W165</f>
        <v/>
      </c>
      <c r="X142" s="516">
        <f>X165</f>
        <v/>
      </c>
      <c r="Y142" s="516">
        <f>Y165</f>
        <v/>
      </c>
      <c r="Z142" s="516">
        <f>Z165</f>
        <v/>
      </c>
      <c r="AA142" s="516">
        <f>AA165</f>
        <v/>
      </c>
      <c r="AB142" s="516">
        <f>AB165</f>
        <v/>
      </c>
      <c r="AC142" s="516">
        <f>AC165</f>
        <v/>
      </c>
      <c r="AD142" s="516">
        <f>AD165</f>
        <v/>
      </c>
      <c r="AE142" s="516">
        <f>AE165</f>
        <v/>
      </c>
      <c r="AF142" s="516">
        <f>AF165</f>
        <v/>
      </c>
      <c r="AG142" s="516">
        <f>AG165</f>
        <v/>
      </c>
      <c r="AH142" s="516">
        <f>AH165</f>
        <v/>
      </c>
      <c r="AI142" s="516">
        <f>AI165</f>
        <v/>
      </c>
      <c r="AJ142" s="516">
        <f>AJ165</f>
        <v/>
      </c>
      <c r="AK142" s="516">
        <f>AK165</f>
        <v/>
      </c>
      <c r="AL142" s="516">
        <f>AL165</f>
        <v/>
      </c>
      <c r="AM142" s="516">
        <f>AM165</f>
        <v/>
      </c>
      <c r="AN142" s="516">
        <f>AN165</f>
        <v/>
      </c>
      <c r="AO142" s="516">
        <f>AO165</f>
        <v/>
      </c>
      <c r="AP142" s="516">
        <f>AP165</f>
        <v/>
      </c>
      <c r="AQ142" s="516">
        <f>AQ165</f>
        <v/>
      </c>
      <c r="AR142" s="516">
        <f>AR165</f>
        <v/>
      </c>
      <c r="AS142" s="516">
        <f>AS165</f>
        <v/>
      </c>
      <c r="AT142" s="516">
        <f>AT165</f>
        <v/>
      </c>
      <c r="AU142" s="516">
        <f>AU165</f>
        <v/>
      </c>
      <c r="AV142" s="516">
        <f>AV165</f>
        <v/>
      </c>
      <c r="AW142" s="516">
        <f>AW165</f>
        <v/>
      </c>
      <c r="AX142" s="516">
        <f>AX165</f>
        <v/>
      </c>
      <c r="AY142" s="516">
        <f>AY165</f>
        <v/>
      </c>
      <c r="AZ142" s="516">
        <f>AZ165</f>
        <v/>
      </c>
      <c r="BA142" s="516">
        <f>BA165</f>
        <v/>
      </c>
      <c r="BB142" s="516">
        <f>BB165</f>
        <v/>
      </c>
      <c r="BC142" s="516">
        <f>BC165</f>
        <v/>
      </c>
      <c r="BD142" s="516">
        <f>BD165</f>
        <v/>
      </c>
      <c r="BE142" s="516">
        <f>BE165</f>
        <v/>
      </c>
      <c r="BF142" s="516">
        <f>BF165</f>
        <v/>
      </c>
      <c r="BG142" s="516">
        <f>BG165</f>
        <v/>
      </c>
      <c r="BH142" s="516">
        <f>BH165</f>
        <v/>
      </c>
      <c r="BI142" s="516">
        <f>BI165</f>
        <v/>
      </c>
      <c r="BJ142" s="516">
        <f>BJ165</f>
        <v/>
      </c>
      <c r="BK142" s="516">
        <f>BK165</f>
        <v/>
      </c>
      <c r="BL142" s="516">
        <f>BL165</f>
        <v/>
      </c>
      <c r="BM142" s="516">
        <f>BM165</f>
        <v/>
      </c>
      <c r="BN142" s="516">
        <f>BN165</f>
        <v/>
      </c>
      <c r="BO142" s="516">
        <f>BO165</f>
        <v/>
      </c>
      <c r="BP142" s="516">
        <f>BP165</f>
        <v/>
      </c>
      <c r="BQ142" s="516">
        <f>BQ165</f>
        <v/>
      </c>
      <c r="BR142" s="516">
        <f>BR165</f>
        <v/>
      </c>
      <c r="BS142" s="517">
        <f>BS143*BS$153*BS$247</f>
        <v/>
      </c>
      <c r="BT142" s="517">
        <f>BT143*BT$153*BT$247</f>
        <v/>
      </c>
      <c r="BU142" s="517">
        <f>BU143*BU$153*BU$247</f>
        <v/>
      </c>
      <c r="BV142" s="517">
        <f>BV143*BV$153*BV$247</f>
        <v/>
      </c>
      <c r="BW142" s="517">
        <f>BW143*BW$153*BW$247</f>
        <v/>
      </c>
      <c r="BX142" s="517">
        <f>BX143*BX$153*BX$247</f>
        <v/>
      </c>
      <c r="BY142" s="517">
        <f>BY143*BY$153*BY$247</f>
        <v/>
      </c>
      <c r="BZ142" s="517">
        <f>BZ143*BZ$153*BZ$247</f>
        <v/>
      </c>
      <c r="CA142" s="517">
        <f>CA143*CA$153*CA$247</f>
        <v/>
      </c>
      <c r="CB142" s="517">
        <f>CB143*CB$153*CB$247</f>
        <v/>
      </c>
      <c r="CC142" s="517">
        <f>CC143*CC$153*CC$247</f>
        <v/>
      </c>
      <c r="CD142" s="517">
        <f>CD143*CD$153*CD$247</f>
        <v/>
      </c>
      <c r="CE142" s="517">
        <f>CE143*CE$153*CE$247</f>
        <v/>
      </c>
      <c r="CF142" s="517">
        <f>CF143*CF$153*CF$247</f>
        <v/>
      </c>
      <c r="CG142" s="517">
        <f>CG143*CG$153*CG$247</f>
        <v/>
      </c>
      <c r="CH142" s="517">
        <f>CH143*CH$153*CH$247</f>
        <v/>
      </c>
      <c r="CI142" s="517">
        <f>CI143*CI$153*CI$247</f>
        <v/>
      </c>
      <c r="CJ142" s="517">
        <f>CJ143*CJ$153*CJ$247</f>
        <v/>
      </c>
      <c r="CK142" s="517">
        <f>CK143*CK$153*CK$247</f>
        <v/>
      </c>
    </row>
    <row r="143">
      <c r="A143" s="920" t="inlineStr">
        <is>
          <t>as % of COGS (annualized)</t>
        </is>
      </c>
      <c r="B143" s="50" t="n"/>
      <c r="C143" s="50" t="n"/>
      <c r="D143" s="50" t="n"/>
      <c r="E143" s="50" t="n"/>
      <c r="F143" s="50" t="n"/>
      <c r="G143" s="50" t="n"/>
      <c r="H143" s="50" t="n"/>
      <c r="I143" s="50" t="n"/>
      <c r="J143" s="50" t="n"/>
      <c r="K143" s="50" t="n"/>
      <c r="L143" s="50" t="n"/>
      <c r="M143" s="50" t="n"/>
      <c r="N143" s="908">
        <f>N142/(N$153*N$247)</f>
        <v/>
      </c>
      <c r="O143" s="908">
        <f>O142/(O$153*O$247)</f>
        <v/>
      </c>
      <c r="P143" s="908">
        <f>P142/(P$153*P$247)</f>
        <v/>
      </c>
      <c r="Q143" s="908">
        <f>Q142/(Q$153*Q$247)</f>
        <v/>
      </c>
      <c r="R143" s="908">
        <f>R142/(R$153*R$247)</f>
        <v/>
      </c>
      <c r="S143" s="908">
        <f>S142/(S$153*S$247)</f>
        <v/>
      </c>
      <c r="T143" s="908">
        <f>T142/(T$153*T$247)</f>
        <v/>
      </c>
      <c r="U143" s="908">
        <f>U142/(U$153*U$247)</f>
        <v/>
      </c>
      <c r="V143" s="908">
        <f>V142/(V$153*V$247)</f>
        <v/>
      </c>
      <c r="W143" s="908">
        <f>W142/(W$153*W$247)</f>
        <v/>
      </c>
      <c r="X143" s="908">
        <f>X142/(X$153*X$247)</f>
        <v/>
      </c>
      <c r="Y143" s="908">
        <f>Y142/(Y$153*Y$247)</f>
        <v/>
      </c>
      <c r="Z143" s="908">
        <f>Z142/(Z$153*Z$247)</f>
        <v/>
      </c>
      <c r="AA143" s="908">
        <f>AA142/(AA$153*AA$247)</f>
        <v/>
      </c>
      <c r="AB143" s="908">
        <f>AB142/(AB$153*AB$247)</f>
        <v/>
      </c>
      <c r="AC143" s="908">
        <f>AC142/(AC$153*AC$247)</f>
        <v/>
      </c>
      <c r="AD143" s="908">
        <f>AD142/(AD$153*AD$247)</f>
        <v/>
      </c>
      <c r="AE143" s="908">
        <f>AE142/(AE$153*AE$247)</f>
        <v/>
      </c>
      <c r="AF143" s="908">
        <f>AF142/(AF$153*AF$247)</f>
        <v/>
      </c>
      <c r="AG143" s="908">
        <f>AG142/(AG$153*AG$247)</f>
        <v/>
      </c>
      <c r="AH143" s="908">
        <f>AH142/(AH$153*AH$247)</f>
        <v/>
      </c>
      <c r="AI143" s="908">
        <f>AI142/(AI$153*AI$247)</f>
        <v/>
      </c>
      <c r="AJ143" s="908">
        <f>AJ142/(AJ$153*AJ$247)</f>
        <v/>
      </c>
      <c r="AK143" s="908">
        <f>AK142/(AK$153*AK$247)</f>
        <v/>
      </c>
      <c r="AL143" s="908">
        <f>AL142/(AL$153*AL$247)</f>
        <v/>
      </c>
      <c r="AM143" s="908">
        <f>AM142/(AM$153*AM$247)</f>
        <v/>
      </c>
      <c r="AN143" s="908">
        <f>AN142/(AN$153*AN$247)</f>
        <v/>
      </c>
      <c r="AO143" s="908">
        <f>AO142/(AO$153*AO$247)</f>
        <v/>
      </c>
      <c r="AP143" s="908">
        <f>AP142/(AP$153*AP$247)</f>
        <v/>
      </c>
      <c r="AQ143" s="908">
        <f>AQ142/(AQ$153*AQ$247)</f>
        <v/>
      </c>
      <c r="AR143" s="908">
        <f>AR142/(AR$153*AR$247)</f>
        <v/>
      </c>
      <c r="AS143" s="908">
        <f>AS142/(AS$153*AS$247)</f>
        <v/>
      </c>
      <c r="AT143" s="908">
        <f>AT142/(AT$153*AT$247)</f>
        <v/>
      </c>
      <c r="AU143" s="908">
        <f>AU142/(AU$153*AU$247)</f>
        <v/>
      </c>
      <c r="AV143" s="908">
        <f>AV142/(AV$153*AV$247)</f>
        <v/>
      </c>
      <c r="AW143" s="908">
        <f>AW142/(AW$153*AW$247)</f>
        <v/>
      </c>
      <c r="AX143" s="908">
        <f>AX142/(AX$153*AX$247)</f>
        <v/>
      </c>
      <c r="AY143" s="908">
        <f>AY142/(AY$153*AY$247)</f>
        <v/>
      </c>
      <c r="AZ143" s="908">
        <f>AZ142/(AZ$153*AZ$247)</f>
        <v/>
      </c>
      <c r="BA143" s="908">
        <f>BA142/(BA$153*BA$247)</f>
        <v/>
      </c>
      <c r="BB143" s="908">
        <f>BB142/(BB$153*BB$247)</f>
        <v/>
      </c>
      <c r="BC143" s="908">
        <f>BC142/(BC$153*BC$247)</f>
        <v/>
      </c>
      <c r="BD143" s="908">
        <f>BD142/(BD$153*BD$247)</f>
        <v/>
      </c>
      <c r="BE143" s="908">
        <f>BE142/(BE$153*BE$247)</f>
        <v/>
      </c>
      <c r="BF143" s="908">
        <f>BF142/(BF$153*BF$247)</f>
        <v/>
      </c>
      <c r="BG143" s="908">
        <f>BG142/(BG$153*BG$247)</f>
        <v/>
      </c>
      <c r="BH143" s="908">
        <f>BH142/(BH$153*BH$247)</f>
        <v/>
      </c>
      <c r="BI143" s="908">
        <f>BI142/(BI$153*BI$247)</f>
        <v/>
      </c>
      <c r="BJ143" s="908">
        <f>BJ142/(BJ$153*BJ$247)</f>
        <v/>
      </c>
      <c r="BK143" s="908">
        <f>BK142/(BK$153*BK$247)</f>
        <v/>
      </c>
      <c r="BL143" s="908">
        <f>BL142/(BL$153*BL$247)</f>
        <v/>
      </c>
      <c r="BM143" s="908">
        <f>BM142/(BM$153*BM$247)</f>
        <v/>
      </c>
      <c r="BN143" s="908">
        <f>BN142/(BN$153*BN$247)</f>
        <v/>
      </c>
      <c r="BO143" s="908">
        <f>BO142/(BO$153*BO$247)</f>
        <v/>
      </c>
      <c r="BP143" s="908">
        <f>BP142/(BP$153*BP$247)</f>
        <v/>
      </c>
      <c r="BQ143" s="908">
        <f>BQ142/(BQ$153*BQ$247)</f>
        <v/>
      </c>
      <c r="BR143" s="908">
        <f>BR142/(BR$153*BR$247)</f>
        <v/>
      </c>
      <c r="BS143" s="919">
        <f>AVERAGE(BO143,BK143,BG143)</f>
        <v/>
      </c>
      <c r="BT143" s="919">
        <f>AVERAGE(BP143,BL143,BH143)</f>
        <v/>
      </c>
      <c r="BU143" s="919">
        <f>AVERAGE(BQ143,BM143,BI143)</f>
        <v/>
      </c>
      <c r="BV143" s="919">
        <f>AVERAGE(BR143,BN143,BJ143)</f>
        <v/>
      </c>
      <c r="BW143" s="919">
        <f>AVERAGE(BS143,BO143,BK143)</f>
        <v/>
      </c>
      <c r="BX143" s="919">
        <f>AVERAGE(BT143,BP143,BL143)</f>
        <v/>
      </c>
      <c r="BY143" s="919">
        <f>AVERAGE(BU143,BQ143,BM143)</f>
        <v/>
      </c>
      <c r="BZ143" s="919">
        <f>AVERAGE(BV143,BR143,BN143)</f>
        <v/>
      </c>
      <c r="CA143" s="919">
        <f>AVERAGE(BW143,BS143,BO143)</f>
        <v/>
      </c>
      <c r="CB143" s="919">
        <f>AVERAGE(BX143,BT143,BP143)</f>
        <v/>
      </c>
      <c r="CC143" s="919">
        <f>AVERAGE(BY143,BU143,BQ143)</f>
        <v/>
      </c>
      <c r="CD143" s="919">
        <f>AVERAGE(BZ143,BV143,BR143)</f>
        <v/>
      </c>
      <c r="CE143" s="919">
        <f>AVERAGE(CA143,BW143,BS143)</f>
        <v/>
      </c>
      <c r="CF143" s="919">
        <f>AVERAGE(CB143,BX143,BT143)</f>
        <v/>
      </c>
      <c r="CG143" s="919">
        <f>AVERAGE(CC143,BY143,BU143)</f>
        <v/>
      </c>
      <c r="CH143" s="919">
        <f>AVERAGE(CD143,BZ143,BV143)</f>
        <v/>
      </c>
      <c r="CI143" s="919">
        <f>AVERAGE(CE143,CA143,BW143)</f>
        <v/>
      </c>
      <c r="CJ143" s="919">
        <f>AVERAGE(CF143,CB143,BX143)</f>
        <v/>
      </c>
      <c r="CK143" s="919">
        <f>AVERAGE(CG143,CC143,BY143)</f>
        <v/>
      </c>
    </row>
    <row r="144">
      <c r="A144" s="413" t="n"/>
      <c r="B144" s="50" t="n"/>
      <c r="C144" s="50" t="n"/>
      <c r="D144" s="50" t="n"/>
      <c r="E144" s="50" t="n"/>
      <c r="F144" s="50" t="n"/>
      <c r="G144" s="50" t="n"/>
      <c r="H144" s="50" t="n"/>
      <c r="I144" s="50" t="n"/>
      <c r="J144" s="50" t="n"/>
      <c r="K144" s="50" t="n"/>
      <c r="L144" s="50" t="n"/>
      <c r="M144" s="50" t="n"/>
    </row>
    <row r="145">
      <c r="A145" s="524" t="inlineStr">
        <is>
          <t>Income Tax Payable</t>
        </is>
      </c>
      <c r="B145" s="50" t="n"/>
      <c r="C145" s="50" t="n"/>
      <c r="D145" s="50" t="n"/>
      <c r="E145" s="50" t="n"/>
      <c r="F145" s="50" t="n"/>
      <c r="G145" s="50" t="n"/>
      <c r="H145" s="50" t="n"/>
      <c r="I145" s="50" t="n"/>
      <c r="J145" s="50" t="n"/>
      <c r="K145" s="50" t="n"/>
      <c r="L145" s="50" t="n"/>
      <c r="M145" s="50" t="n"/>
      <c r="N145" s="516">
        <f>N166</f>
        <v/>
      </c>
      <c r="O145" s="516">
        <f>O166</f>
        <v/>
      </c>
      <c r="P145" s="516">
        <f>P166</f>
        <v/>
      </c>
      <c r="Q145" s="516">
        <f>Q166</f>
        <v/>
      </c>
      <c r="R145" s="516">
        <f>R166</f>
        <v/>
      </c>
      <c r="S145" s="516">
        <f>S166</f>
        <v/>
      </c>
      <c r="T145" s="516">
        <f>T166</f>
        <v/>
      </c>
      <c r="U145" s="516">
        <f>U166</f>
        <v/>
      </c>
      <c r="V145" s="516">
        <f>V166</f>
        <v/>
      </c>
      <c r="W145" s="516">
        <f>W166</f>
        <v/>
      </c>
      <c r="X145" s="516">
        <f>X166</f>
        <v/>
      </c>
      <c r="Y145" s="516">
        <f>Y166</f>
        <v/>
      </c>
      <c r="Z145" s="516">
        <f>Z166</f>
        <v/>
      </c>
      <c r="AA145" s="516">
        <f>AA166</f>
        <v/>
      </c>
      <c r="AB145" s="516">
        <f>AB166</f>
        <v/>
      </c>
      <c r="AC145" s="516">
        <f>AC166</f>
        <v/>
      </c>
      <c r="AD145" s="516">
        <f>AD166</f>
        <v/>
      </c>
      <c r="AE145" s="516">
        <f>AE166</f>
        <v/>
      </c>
      <c r="AF145" s="516">
        <f>AF166</f>
        <v/>
      </c>
      <c r="AG145" s="516">
        <f>AG166</f>
        <v/>
      </c>
      <c r="AH145" s="516">
        <f>AH166</f>
        <v/>
      </c>
      <c r="AI145" s="516">
        <f>AI166</f>
        <v/>
      </c>
      <c r="AJ145" s="516">
        <f>AJ166</f>
        <v/>
      </c>
      <c r="AK145" s="516">
        <f>AK166</f>
        <v/>
      </c>
      <c r="AL145" s="516">
        <f>AL166</f>
        <v/>
      </c>
      <c r="AM145" s="516">
        <f>AM166</f>
        <v/>
      </c>
      <c r="AN145" s="516">
        <f>AN166</f>
        <v/>
      </c>
      <c r="AO145" s="516">
        <f>AO166</f>
        <v/>
      </c>
      <c r="AP145" s="516">
        <f>AP166</f>
        <v/>
      </c>
      <c r="AQ145" s="516">
        <f>AQ166</f>
        <v/>
      </c>
      <c r="AR145" s="516">
        <f>AR166</f>
        <v/>
      </c>
      <c r="AS145" s="516">
        <f>AS166</f>
        <v/>
      </c>
      <c r="AT145" s="516">
        <f>AT166</f>
        <v/>
      </c>
      <c r="AU145" s="516">
        <f>AU166</f>
        <v/>
      </c>
      <c r="AV145" s="516">
        <f>AV166</f>
        <v/>
      </c>
      <c r="AW145" s="516">
        <f>AW166</f>
        <v/>
      </c>
      <c r="AX145" s="516">
        <f>AX166</f>
        <v/>
      </c>
      <c r="AY145" s="516">
        <f>AY166</f>
        <v/>
      </c>
      <c r="AZ145" s="516">
        <f>AZ166</f>
        <v/>
      </c>
      <c r="BA145" s="516">
        <f>BA166</f>
        <v/>
      </c>
      <c r="BB145" s="516">
        <f>BB166</f>
        <v/>
      </c>
      <c r="BC145" s="516">
        <f>BC166</f>
        <v/>
      </c>
      <c r="BD145" s="516">
        <f>BD166</f>
        <v/>
      </c>
      <c r="BE145" s="516">
        <f>BE166</f>
        <v/>
      </c>
      <c r="BF145" s="516">
        <f>BF166</f>
        <v/>
      </c>
      <c r="BG145" s="516">
        <f>BG166</f>
        <v/>
      </c>
      <c r="BH145" s="516">
        <f>BH166</f>
        <v/>
      </c>
      <c r="BI145" s="516">
        <f>BI166</f>
        <v/>
      </c>
      <c r="BJ145" s="516">
        <f>BJ166</f>
        <v/>
      </c>
      <c r="BK145" s="516">
        <f>BK166</f>
        <v/>
      </c>
      <c r="BL145" s="516">
        <f>BL166</f>
        <v/>
      </c>
      <c r="BM145" s="516">
        <f>BM166</f>
        <v/>
      </c>
      <c r="BN145" s="516">
        <f>BN166</f>
        <v/>
      </c>
      <c r="BO145" s="516">
        <f>BO166</f>
        <v/>
      </c>
      <c r="BP145" s="516">
        <f>BP166</f>
        <v/>
      </c>
      <c r="BQ145" s="516">
        <f>BQ166</f>
        <v/>
      </c>
      <c r="BR145" s="516">
        <f>BR166</f>
        <v/>
      </c>
      <c r="BS145" s="517">
        <f>BS146*BS$155*BS$247</f>
        <v/>
      </c>
      <c r="BT145" s="517">
        <f>BT146*BT$155*BT$247</f>
        <v/>
      </c>
      <c r="BU145" s="517">
        <f>BU146*BU$155*BU$247</f>
        <v/>
      </c>
      <c r="BV145" s="517">
        <f>BV146*BV$155*BV$247</f>
        <v/>
      </c>
      <c r="BW145" s="517">
        <f>BW146*BW$155*BW$247</f>
        <v/>
      </c>
      <c r="BX145" s="517">
        <f>BX146*BX$155*BX$247</f>
        <v/>
      </c>
      <c r="BY145" s="517">
        <f>BY146*BY$155*BY$247</f>
        <v/>
      </c>
      <c r="BZ145" s="517">
        <f>BZ146*BZ$155*BZ$247</f>
        <v/>
      </c>
      <c r="CA145" s="517">
        <f>CA146*CA$155*CA$247</f>
        <v/>
      </c>
      <c r="CB145" s="517">
        <f>CB146*CB$155*CB$247</f>
        <v/>
      </c>
      <c r="CC145" s="517">
        <f>CC146*CC$155*CC$247</f>
        <v/>
      </c>
      <c r="CD145" s="517">
        <f>CD146*CD$155*CD$247</f>
        <v/>
      </c>
      <c r="CE145" s="517">
        <f>CE146*CE$155*CE$247</f>
        <v/>
      </c>
      <c r="CF145" s="517">
        <f>CF146*CF$155*CF$247</f>
        <v/>
      </c>
      <c r="CG145" s="517">
        <f>CG146*CG$155*CG$247</f>
        <v/>
      </c>
      <c r="CH145" s="517">
        <f>CH146*CH$155*CH$247</f>
        <v/>
      </c>
      <c r="CI145" s="517">
        <f>CI146*CI$155*CI$247</f>
        <v/>
      </c>
      <c r="CJ145" s="517">
        <f>CJ146*CJ$155*CJ$247</f>
        <v/>
      </c>
      <c r="CK145" s="517">
        <f>CK146*CK$155*CK$247</f>
        <v/>
      </c>
    </row>
    <row r="146">
      <c r="A146" s="525" t="inlineStr">
        <is>
          <t>as % of income tax expense (annualized)</t>
        </is>
      </c>
      <c r="B146" s="883" t="n"/>
      <c r="C146" s="883" t="n"/>
      <c r="D146" s="883" t="n"/>
      <c r="E146" s="883" t="n"/>
      <c r="F146" s="883" t="n"/>
      <c r="G146" s="883" t="n"/>
      <c r="H146" s="883" t="n"/>
      <c r="I146" s="883" t="n"/>
      <c r="J146" s="883" t="n"/>
      <c r="K146" s="883" t="n"/>
      <c r="L146" s="883" t="n"/>
      <c r="M146" s="883" t="n"/>
      <c r="N146" s="908">
        <f>N145/(N$155*N$247)</f>
        <v/>
      </c>
      <c r="O146" s="908">
        <f>O145/(O$155*O$247)</f>
        <v/>
      </c>
      <c r="P146" s="908">
        <f>P145/(P$155*P$247)</f>
        <v/>
      </c>
      <c r="Q146" s="908">
        <f>Q145/(Q$155*Q$247)</f>
        <v/>
      </c>
      <c r="R146" s="908">
        <f>R145/(R$155*R$247)</f>
        <v/>
      </c>
      <c r="S146" s="908">
        <f>S145/(S$155*S$247)</f>
        <v/>
      </c>
      <c r="T146" s="908">
        <f>T145/(T$155*T$247)</f>
        <v/>
      </c>
      <c r="U146" s="908">
        <f>U145/(U$155*U$247)</f>
        <v/>
      </c>
      <c r="V146" s="908">
        <f>V145/(V$155*V$247)</f>
        <v/>
      </c>
      <c r="W146" s="908">
        <f>W145/(W$155*W$247)</f>
        <v/>
      </c>
      <c r="X146" s="908">
        <f>X145/(X$155*X$247)</f>
        <v/>
      </c>
      <c r="Y146" s="908">
        <f>Y145/(Y$155*Y$247)</f>
        <v/>
      </c>
      <c r="Z146" s="908">
        <f>Z145/(Z$155*Z$247)</f>
        <v/>
      </c>
      <c r="AA146" s="908">
        <f>AA145/(AA$155*AA$247)</f>
        <v/>
      </c>
      <c r="AB146" s="908">
        <f>AB145/(AB$155*AB$247)</f>
        <v/>
      </c>
      <c r="AC146" s="908">
        <f>AC145/(AC$155*AC$247)</f>
        <v/>
      </c>
      <c r="AD146" s="908">
        <f>AD145/(AD$155*AD$247)</f>
        <v/>
      </c>
      <c r="AE146" s="908">
        <f>AE145/(AE$155*AE$247)</f>
        <v/>
      </c>
      <c r="AF146" s="908">
        <f>AF145/(AF$155*AF$247)</f>
        <v/>
      </c>
      <c r="AG146" s="908">
        <f>AG145/(AG$155*AG$247)</f>
        <v/>
      </c>
      <c r="AH146" s="908">
        <f>AH145/(AH$155*AH$247)</f>
        <v/>
      </c>
      <c r="AI146" s="908">
        <f>AI145/(AI$155*AI$247)</f>
        <v/>
      </c>
      <c r="AJ146" s="908">
        <f>AJ145/(AJ$155*AJ$247)</f>
        <v/>
      </c>
      <c r="AK146" s="908">
        <f>AK145/(AK$155*AK$247)</f>
        <v/>
      </c>
      <c r="AL146" s="908">
        <f>AL145/(AL$155*AL$247)</f>
        <v/>
      </c>
      <c r="AM146" s="908">
        <f>AM145/(AM$155*AM$247)</f>
        <v/>
      </c>
      <c r="AN146" s="908">
        <f>AN145/(AN$155*AN$247)</f>
        <v/>
      </c>
      <c r="AO146" s="908">
        <f>AO145/(AO$155*AO$247)</f>
        <v/>
      </c>
      <c r="AP146" s="908">
        <f>AP145/(AP$155*AP$247)</f>
        <v/>
      </c>
      <c r="AQ146" s="908">
        <f>AQ145/(AQ$155*AQ$247)</f>
        <v/>
      </c>
      <c r="AR146" s="908">
        <f>AR145/(AR$155*AR$247)</f>
        <v/>
      </c>
      <c r="AS146" s="908">
        <f>AS145/(AS$155*AS$247)</f>
        <v/>
      </c>
      <c r="AT146" s="908">
        <f>AT145/(AT$155*AT$247)</f>
        <v/>
      </c>
      <c r="AU146" s="908">
        <f>AU145/(AU$155*AU$247)</f>
        <v/>
      </c>
      <c r="AV146" s="908">
        <f>AV145/(AV$155*AV$247)</f>
        <v/>
      </c>
      <c r="AW146" s="908">
        <f>AW145/(AW$155*AW$247)</f>
        <v/>
      </c>
      <c r="AX146" s="908">
        <f>AX145/(AX$155*AX$247)</f>
        <v/>
      </c>
      <c r="AY146" s="908">
        <f>AY145/(AY$155*AY$247)</f>
        <v/>
      </c>
      <c r="AZ146" s="908">
        <f>AZ145/(AZ$155*AZ$247)</f>
        <v/>
      </c>
      <c r="BA146" s="908">
        <f>BA145/(BA$155*BA$247)</f>
        <v/>
      </c>
      <c r="BB146" s="908">
        <f>BB145/(BB$155*BB$247)</f>
        <v/>
      </c>
      <c r="BC146" s="908">
        <f>BC145/(BC$155*BC$247)</f>
        <v/>
      </c>
      <c r="BD146" s="908">
        <f>BD145/(BD$155*BD$247)</f>
        <v/>
      </c>
      <c r="BE146" s="908">
        <f>BE145/(BE$155*BE$247)</f>
        <v/>
      </c>
      <c r="BF146" s="908">
        <f>BF145/(BF$155*BF$247)</f>
        <v/>
      </c>
      <c r="BG146" s="908">
        <f>BG145/(BG$155*BG$247)</f>
        <v/>
      </c>
      <c r="BH146" s="908">
        <f>BH145/(BH$155*BH$247)</f>
        <v/>
      </c>
      <c r="BI146" s="908">
        <f>BI145/(BI$155*BI$247)</f>
        <v/>
      </c>
      <c r="BJ146" s="908">
        <f>BJ145/(BJ$155*BJ$247)</f>
        <v/>
      </c>
      <c r="BK146" s="908">
        <f>BK145/(BK$155*BK$247)</f>
        <v/>
      </c>
      <c r="BL146" s="908">
        <f>BL145/(BL$155*BL$247)</f>
        <v/>
      </c>
      <c r="BM146" s="908">
        <f>BM145/(BM$155*BM$247)</f>
        <v/>
      </c>
      <c r="BN146" s="908">
        <f>BN145/(BN$155*BN$247)</f>
        <v/>
      </c>
      <c r="BO146" s="908">
        <f>BO145/(BO$155*BO$247)</f>
        <v/>
      </c>
      <c r="BP146" s="908">
        <f>BP145/(BP$155*BP$247)</f>
        <v/>
      </c>
      <c r="BQ146" s="908">
        <f>BQ145/(BQ$155*BQ$247)</f>
        <v/>
      </c>
      <c r="BR146" s="908">
        <f>BR145/(BR$155*BR$247)</f>
        <v/>
      </c>
      <c r="BS146" s="919">
        <f>AVERAGE(BO146,BK146,BG146)</f>
        <v/>
      </c>
      <c r="BT146" s="919">
        <f>AVERAGE(BP146,BL146,BH146)</f>
        <v/>
      </c>
      <c r="BU146" s="919">
        <f>AVERAGE(BQ146,BM146,BI146)</f>
        <v/>
      </c>
      <c r="BV146" s="919">
        <f>AVERAGE(BR146,BN146,BJ146)</f>
        <v/>
      </c>
      <c r="BW146" s="919">
        <f>AVERAGE(BS146,BO146,BK146)</f>
        <v/>
      </c>
      <c r="BX146" s="919">
        <f>AVERAGE(BT146,BP146,BL146)</f>
        <v/>
      </c>
      <c r="BY146" s="919">
        <f>AVERAGE(BU146,BQ146,BM146)</f>
        <v/>
      </c>
      <c r="BZ146" s="919">
        <f>AVERAGE(BV146,BR146,BN146)</f>
        <v/>
      </c>
      <c r="CA146" s="919">
        <f>AVERAGE(BW146,BS146,BO146)</f>
        <v/>
      </c>
      <c r="CB146" s="919">
        <f>AVERAGE(BX146,BT146,BP146)</f>
        <v/>
      </c>
      <c r="CC146" s="919">
        <f>AVERAGE(BY146,BU146,BQ146)</f>
        <v/>
      </c>
      <c r="CD146" s="919">
        <f>AVERAGE(BZ146,BV146,BR146)</f>
        <v/>
      </c>
      <c r="CE146" s="919">
        <f>AVERAGE(CA146,BW146,BS146)</f>
        <v/>
      </c>
      <c r="CF146" s="919">
        <f>AVERAGE(CB146,BX146,BT146)</f>
        <v/>
      </c>
      <c r="CG146" s="919">
        <f>AVERAGE(CC146,BY146,BU146)</f>
        <v/>
      </c>
      <c r="CH146" s="919">
        <f>AVERAGE(CD146,BZ146,BV146)</f>
        <v/>
      </c>
      <c r="CI146" s="919">
        <f>AVERAGE(CE146,CA146,BW146)</f>
        <v/>
      </c>
      <c r="CJ146" s="919">
        <f>AVERAGE(CF146,CB146,BX146)</f>
        <v/>
      </c>
      <c r="CK146" s="919">
        <f>AVERAGE(CG146,CC146,BY146)</f>
        <v/>
      </c>
    </row>
    <row r="147">
      <c r="A147" s="413" t="n"/>
      <c r="B147" s="883" t="n"/>
      <c r="C147" s="883" t="n"/>
      <c r="D147" s="883" t="n"/>
      <c r="E147" s="883" t="n"/>
      <c r="F147" s="883" t="n"/>
      <c r="G147" s="883" t="n"/>
      <c r="H147" s="883" t="n"/>
      <c r="I147" s="883" t="n"/>
      <c r="J147" s="883" t="n"/>
      <c r="K147" s="883" t="n"/>
      <c r="L147" s="883" t="n"/>
      <c r="M147" s="883" t="n"/>
    </row>
    <row r="148">
      <c r="A148" s="524" t="inlineStr">
        <is>
          <t>Other Non-Debt Current Liabilities</t>
        </is>
      </c>
      <c r="B148" s="50" t="n"/>
      <c r="C148" s="50" t="n"/>
      <c r="D148" s="50" t="n"/>
      <c r="E148" s="50" t="n"/>
      <c r="F148" s="50" t="n"/>
      <c r="G148" s="50" t="n"/>
      <c r="H148" s="50" t="n"/>
      <c r="I148" s="50" t="n"/>
      <c r="J148" s="50" t="n"/>
      <c r="K148" s="50" t="n"/>
      <c r="L148" s="50" t="n"/>
      <c r="M148" s="50" t="n"/>
      <c r="N148" s="516">
        <f>N167</f>
        <v/>
      </c>
      <c r="O148" s="516">
        <f>O167</f>
        <v/>
      </c>
      <c r="P148" s="516">
        <f>P167</f>
        <v/>
      </c>
      <c r="Q148" s="516">
        <f>Q167</f>
        <v/>
      </c>
      <c r="R148" s="516">
        <f>R167</f>
        <v/>
      </c>
      <c r="S148" s="516">
        <f>S167</f>
        <v/>
      </c>
      <c r="T148" s="516">
        <f>T167</f>
        <v/>
      </c>
      <c r="U148" s="516">
        <f>U167</f>
        <v/>
      </c>
      <c r="V148" s="516">
        <f>V167</f>
        <v/>
      </c>
      <c r="W148" s="516">
        <f>W167</f>
        <v/>
      </c>
      <c r="X148" s="516">
        <f>X167</f>
        <v/>
      </c>
      <c r="Y148" s="516">
        <f>Y167</f>
        <v/>
      </c>
      <c r="Z148" s="516">
        <f>Z167</f>
        <v/>
      </c>
      <c r="AA148" s="516">
        <f>AA167</f>
        <v/>
      </c>
      <c r="AB148" s="516">
        <f>AB167</f>
        <v/>
      </c>
      <c r="AC148" s="516">
        <f>AC167</f>
        <v/>
      </c>
      <c r="AD148" s="516">
        <f>AD167</f>
        <v/>
      </c>
      <c r="AE148" s="516">
        <f>AE167</f>
        <v/>
      </c>
      <c r="AF148" s="516">
        <f>AF167</f>
        <v/>
      </c>
      <c r="AG148" s="516">
        <f>AG167</f>
        <v/>
      </c>
      <c r="AH148" s="516">
        <f>AH167</f>
        <v/>
      </c>
      <c r="AI148" s="516">
        <f>AI167</f>
        <v/>
      </c>
      <c r="AJ148" s="516">
        <f>AJ167</f>
        <v/>
      </c>
      <c r="AK148" s="516">
        <f>AK167</f>
        <v/>
      </c>
      <c r="AL148" s="516">
        <f>AL167</f>
        <v/>
      </c>
      <c r="AM148" s="516">
        <f>AM167</f>
        <v/>
      </c>
      <c r="AN148" s="516">
        <f>AN167</f>
        <v/>
      </c>
      <c r="AO148" s="516">
        <f>AO167</f>
        <v/>
      </c>
      <c r="AP148" s="516">
        <f>AP167</f>
        <v/>
      </c>
      <c r="AQ148" s="516">
        <f>AQ167</f>
        <v/>
      </c>
      <c r="AR148" s="516">
        <f>AR167</f>
        <v/>
      </c>
      <c r="AS148" s="516">
        <f>AS167</f>
        <v/>
      </c>
      <c r="AT148" s="516">
        <f>AT167</f>
        <v/>
      </c>
      <c r="AU148" s="516">
        <f>AU167</f>
        <v/>
      </c>
      <c r="AV148" s="516">
        <f>AV167</f>
        <v/>
      </c>
      <c r="AW148" s="516">
        <f>AW167</f>
        <v/>
      </c>
      <c r="AX148" s="516">
        <f>AX167</f>
        <v/>
      </c>
      <c r="AY148" s="516">
        <f>AY167</f>
        <v/>
      </c>
      <c r="AZ148" s="516">
        <f>AZ167</f>
        <v/>
      </c>
      <c r="BA148" s="516">
        <f>BA167</f>
        <v/>
      </c>
      <c r="BB148" s="516">
        <f>BB167</f>
        <v/>
      </c>
      <c r="BC148" s="516">
        <f>BC167</f>
        <v/>
      </c>
      <c r="BD148" s="516">
        <f>BD167</f>
        <v/>
      </c>
      <c r="BE148" s="516">
        <f>BE167</f>
        <v/>
      </c>
      <c r="BF148" s="516">
        <f>BF167</f>
        <v/>
      </c>
      <c r="BG148" s="516">
        <f>BG167</f>
        <v/>
      </c>
      <c r="BH148" s="516">
        <f>BH167</f>
        <v/>
      </c>
      <c r="BI148" s="516">
        <f>BI167</f>
        <v/>
      </c>
      <c r="BJ148" s="516">
        <f>BJ167</f>
        <v/>
      </c>
      <c r="BK148" s="516">
        <f>BK167</f>
        <v/>
      </c>
      <c r="BL148" s="516">
        <f>BL167</f>
        <v/>
      </c>
      <c r="BM148" s="516">
        <f>BM167</f>
        <v/>
      </c>
      <c r="BN148" s="516">
        <f>BN167</f>
        <v/>
      </c>
      <c r="BO148" s="516">
        <f>BO167</f>
        <v/>
      </c>
      <c r="BP148" s="516">
        <f>BP167</f>
        <v/>
      </c>
      <c r="BQ148" s="516">
        <f>BQ167</f>
        <v/>
      </c>
      <c r="BR148" s="516">
        <f>BR167</f>
        <v/>
      </c>
      <c r="BS148" s="517">
        <f>BS149*BS$153*BS$247</f>
        <v/>
      </c>
      <c r="BT148" s="517">
        <f>BT149*BT$153*BT$247</f>
        <v/>
      </c>
      <c r="BU148" s="517">
        <f>BU149*BU$153*BU$247</f>
        <v/>
      </c>
      <c r="BV148" s="517">
        <f>BV149*BV$153*BV$247</f>
        <v/>
      </c>
      <c r="BW148" s="517">
        <f>BW149*BW$153*BW$247</f>
        <v/>
      </c>
      <c r="BX148" s="517">
        <f>BX149*BX$153*BX$247</f>
        <v/>
      </c>
      <c r="BY148" s="517">
        <f>BY149*BY$153*BY$247</f>
        <v/>
      </c>
      <c r="BZ148" s="517">
        <f>BZ149*BZ$153*BZ$247</f>
        <v/>
      </c>
      <c r="CA148" s="517">
        <f>CA149*CA$153*CA$247</f>
        <v/>
      </c>
      <c r="CB148" s="517">
        <f>CB149*CB$153*CB$247</f>
        <v/>
      </c>
      <c r="CC148" s="517">
        <f>CC149*CC$153*CC$247</f>
        <v/>
      </c>
      <c r="CD148" s="517">
        <f>CD149*CD$153*CD$247</f>
        <v/>
      </c>
      <c r="CE148" s="517">
        <f>CE149*CE$153*CE$247</f>
        <v/>
      </c>
      <c r="CF148" s="517">
        <f>CF149*CF$153*CF$247</f>
        <v/>
      </c>
      <c r="CG148" s="517">
        <f>CG149*CG$153*CG$247</f>
        <v/>
      </c>
      <c r="CH148" s="517">
        <f>CH149*CH$153*CH$247</f>
        <v/>
      </c>
      <c r="CI148" s="517">
        <f>CI149*CI$153*CI$247</f>
        <v/>
      </c>
      <c r="CJ148" s="517">
        <f>CJ149*CJ$153*CJ$247</f>
        <v/>
      </c>
      <c r="CK148" s="517">
        <f>CK149*CK$153*CK$247</f>
        <v/>
      </c>
    </row>
    <row r="149">
      <c r="A149" s="920" t="inlineStr">
        <is>
          <t>as % of COGS (annualized)</t>
        </is>
      </c>
      <c r="B149" s="914" t="n"/>
      <c r="C149" s="914" t="n"/>
      <c r="D149" s="914" t="n"/>
      <c r="E149" s="914" t="n"/>
      <c r="F149" s="914" t="n"/>
      <c r="G149" s="914" t="n"/>
      <c r="H149" s="914" t="n"/>
      <c r="I149" s="914" t="n"/>
      <c r="J149" s="914" t="n"/>
      <c r="K149" s="914" t="n"/>
      <c r="L149" s="914" t="n"/>
      <c r="M149" s="914" t="n"/>
      <c r="N149" s="908">
        <f>N148/(N$153*N$247)</f>
        <v/>
      </c>
      <c r="O149" s="908">
        <f>O148/(O$153*O$247)</f>
        <v/>
      </c>
      <c r="P149" s="908">
        <f>P148/(P$153*P$247)</f>
        <v/>
      </c>
      <c r="Q149" s="908">
        <f>Q148/(Q$153*Q$247)</f>
        <v/>
      </c>
      <c r="R149" s="908">
        <f>R148/(R$153*R$247)</f>
        <v/>
      </c>
      <c r="S149" s="908">
        <f>S148/(S$153*S$247)</f>
        <v/>
      </c>
      <c r="T149" s="908">
        <f>T148/(T$153*T$247)</f>
        <v/>
      </c>
      <c r="U149" s="908">
        <f>U148/(U$153*U$247)</f>
        <v/>
      </c>
      <c r="V149" s="908">
        <f>V148/(V$153*V$247)</f>
        <v/>
      </c>
      <c r="W149" s="908">
        <f>W148/(W$153*W$247)</f>
        <v/>
      </c>
      <c r="X149" s="908">
        <f>X148/(X$153*X$247)</f>
        <v/>
      </c>
      <c r="Y149" s="908">
        <f>Y148/(Y$153*Y$247)</f>
        <v/>
      </c>
      <c r="Z149" s="908">
        <f>Z148/(Z$153*Z$247)</f>
        <v/>
      </c>
      <c r="AA149" s="908">
        <f>AA148/(AA$153*AA$247)</f>
        <v/>
      </c>
      <c r="AB149" s="908">
        <f>AB148/(AB$153*AB$247)</f>
        <v/>
      </c>
      <c r="AC149" s="908">
        <f>AC148/(AC$153*AC$247)</f>
        <v/>
      </c>
      <c r="AD149" s="908">
        <f>AD148/(AD$153*AD$247)</f>
        <v/>
      </c>
      <c r="AE149" s="908">
        <f>AE148/(AE$153*AE$247)</f>
        <v/>
      </c>
      <c r="AF149" s="908">
        <f>AF148/(AF$153*AF$247)</f>
        <v/>
      </c>
      <c r="AG149" s="908">
        <f>AG148/(AG$153*AG$247)</f>
        <v/>
      </c>
      <c r="AH149" s="908">
        <f>AH148/(AH$153*AH$247)</f>
        <v/>
      </c>
      <c r="AI149" s="908">
        <f>AI148/(AI$153*AI$247)</f>
        <v/>
      </c>
      <c r="AJ149" s="908">
        <f>AJ148/(AJ$153*AJ$247)</f>
        <v/>
      </c>
      <c r="AK149" s="908">
        <f>AK148/(AK$153*AK$247)</f>
        <v/>
      </c>
      <c r="AL149" s="908">
        <f>AL148/(AL$153*AL$247)</f>
        <v/>
      </c>
      <c r="AM149" s="908">
        <f>AM148/(AM$153*AM$247)</f>
        <v/>
      </c>
      <c r="AN149" s="908">
        <f>AN148/(AN$153*AN$247)</f>
        <v/>
      </c>
      <c r="AO149" s="908">
        <f>AO148/(AO$153*AO$247)</f>
        <v/>
      </c>
      <c r="AP149" s="908">
        <f>AP148/(AP$153*AP$247)</f>
        <v/>
      </c>
      <c r="AQ149" s="908">
        <f>AQ148/(AQ$153*AQ$247)</f>
        <v/>
      </c>
      <c r="AR149" s="908">
        <f>AR148/(AR$153*AR$247)</f>
        <v/>
      </c>
      <c r="AS149" s="908">
        <f>AS148/(AS$153*AS$247)</f>
        <v/>
      </c>
      <c r="AT149" s="908">
        <f>AT148/(AT$153*AT$247)</f>
        <v/>
      </c>
      <c r="AU149" s="908">
        <f>AU148/(AU$153*AU$247)</f>
        <v/>
      </c>
      <c r="AV149" s="908">
        <f>AV148/(AV$153*AV$247)</f>
        <v/>
      </c>
      <c r="AW149" s="908">
        <f>AW148/(AW$153*AW$247)</f>
        <v/>
      </c>
      <c r="AX149" s="908">
        <f>AX148/(AX$153*AX$247)</f>
        <v/>
      </c>
      <c r="AY149" s="908">
        <f>AY148/(AY$153*AY$247)</f>
        <v/>
      </c>
      <c r="AZ149" s="908">
        <f>AZ148/(AZ$153*AZ$247)</f>
        <v/>
      </c>
      <c r="BA149" s="908">
        <f>BA148/(BA$153*BA$247)</f>
        <v/>
      </c>
      <c r="BB149" s="908">
        <f>BB148/(BB$153*BB$247)</f>
        <v/>
      </c>
      <c r="BC149" s="908">
        <f>BC148/(BC$153*BC$247)</f>
        <v/>
      </c>
      <c r="BD149" s="908">
        <f>BD148/(BD$153*BD$247)</f>
        <v/>
      </c>
      <c r="BE149" s="908">
        <f>BE148/(BE$153*BE$247)</f>
        <v/>
      </c>
      <c r="BF149" s="908">
        <f>BF148/(BF$153*BF$247)</f>
        <v/>
      </c>
      <c r="BG149" s="908">
        <f>BG148/(BG$153*BG$247)</f>
        <v/>
      </c>
      <c r="BH149" s="908">
        <f>BH148/(BH$153*BH$247)</f>
        <v/>
      </c>
      <c r="BI149" s="908">
        <f>BI148/(BI$153*BI$247)</f>
        <v/>
      </c>
      <c r="BJ149" s="908">
        <f>BJ148/(BJ$153*BJ$247)</f>
        <v/>
      </c>
      <c r="BK149" s="908">
        <f>BK148/(BK$153*BK$247)</f>
        <v/>
      </c>
      <c r="BL149" s="908">
        <f>BL148/(BL$153*BL$247)</f>
        <v/>
      </c>
      <c r="BM149" s="908">
        <f>BM148/(BM$153*BM$247)</f>
        <v/>
      </c>
      <c r="BN149" s="908">
        <f>BN148/(BN$153*BN$247)</f>
        <v/>
      </c>
      <c r="BO149" s="908">
        <f>BO148/(BO$153*BO$247)</f>
        <v/>
      </c>
      <c r="BP149" s="908">
        <f>BP148/(BP$153*BP$247)</f>
        <v/>
      </c>
      <c r="BQ149" s="908">
        <f>BQ148/(BQ$153*BQ$247)</f>
        <v/>
      </c>
      <c r="BR149" s="908">
        <f>BR148/(BR$153*BR$247)</f>
        <v/>
      </c>
      <c r="BS149" s="908">
        <f>BR149</f>
        <v/>
      </c>
      <c r="BT149" s="908">
        <f>BS149</f>
        <v/>
      </c>
      <c r="BU149" s="908">
        <f>BT149</f>
        <v/>
      </c>
      <c r="BV149" s="908">
        <f>BU149</f>
        <v/>
      </c>
      <c r="BW149" s="908">
        <f>BV149</f>
        <v/>
      </c>
      <c r="BX149" s="908">
        <f>BW149</f>
        <v/>
      </c>
      <c r="BY149" s="908">
        <f>BX149</f>
        <v/>
      </c>
      <c r="BZ149" s="908">
        <f>BY149</f>
        <v/>
      </c>
      <c r="CA149" s="908">
        <f>BZ149</f>
        <v/>
      </c>
      <c r="CB149" s="908">
        <f>CA149</f>
        <v/>
      </c>
      <c r="CC149" s="908">
        <f>CB149</f>
        <v/>
      </c>
      <c r="CD149" s="908">
        <f>CC149</f>
        <v/>
      </c>
      <c r="CE149" s="908">
        <f>CD149</f>
        <v/>
      </c>
      <c r="CF149" s="908">
        <f>CE149</f>
        <v/>
      </c>
      <c r="CG149" s="908">
        <f>CF149</f>
        <v/>
      </c>
      <c r="CH149" s="908">
        <f>CG149</f>
        <v/>
      </c>
      <c r="CI149" s="908">
        <f>CH149</f>
        <v/>
      </c>
      <c r="CJ149" s="908">
        <f>CI149</f>
        <v/>
      </c>
      <c r="CK149" s="908">
        <f>CJ149</f>
        <v/>
      </c>
    </row>
    <row r="150" ht="14" customHeight="1" thickBot="1">
      <c r="A150" s="921" t="n"/>
      <c r="B150" s="914" t="n"/>
      <c r="C150" s="914" t="n"/>
      <c r="D150" s="914" t="n"/>
      <c r="E150" s="914" t="n"/>
      <c r="F150" s="914" t="n"/>
      <c r="G150" s="914" t="n"/>
      <c r="H150" s="914" t="n"/>
      <c r="I150" s="914" t="n"/>
      <c r="J150" s="914" t="n"/>
      <c r="K150" s="914" t="n"/>
      <c r="L150" s="914" t="n"/>
      <c r="M150" s="914" t="n"/>
      <c r="N150" s="908" t="n"/>
    </row>
    <row r="151">
      <c r="A151" s="413" t="n"/>
    </row>
    <row r="152">
      <c r="A152" s="922" t="inlineStr">
        <is>
          <t>Revenue</t>
        </is>
      </c>
      <c r="B152" s="72" t="n"/>
      <c r="C152" s="72" t="n"/>
      <c r="D152" s="72" t="n"/>
      <c r="E152" s="72" t="n"/>
      <c r="F152" s="72" t="n"/>
      <c r="G152" s="72" t="n"/>
      <c r="H152" s="72" t="n"/>
      <c r="I152" s="72" t="n"/>
      <c r="J152" s="72" t="n"/>
      <c r="K152" s="72" t="n"/>
      <c r="L152" s="72" t="n"/>
      <c r="M152" s="72" t="n"/>
      <c r="N152" s="516">
        <f>N20</f>
        <v/>
      </c>
      <c r="O152" s="516">
        <f>O20</f>
        <v/>
      </c>
      <c r="P152" s="516">
        <f>P20</f>
        <v/>
      </c>
      <c r="Q152" s="516">
        <f>Q20</f>
        <v/>
      </c>
      <c r="R152" s="516">
        <f>R20</f>
        <v/>
      </c>
      <c r="S152" s="516">
        <f>S20</f>
        <v/>
      </c>
      <c r="T152" s="516">
        <f>T20</f>
        <v/>
      </c>
      <c r="U152" s="516">
        <f>U20</f>
        <v/>
      </c>
      <c r="V152" s="516">
        <f>V20</f>
        <v/>
      </c>
      <c r="W152" s="516">
        <f>W20</f>
        <v/>
      </c>
      <c r="X152" s="516">
        <f>X20</f>
        <v/>
      </c>
      <c r="Y152" s="516">
        <f>Y20</f>
        <v/>
      </c>
      <c r="Z152" s="516">
        <f>Z20</f>
        <v/>
      </c>
      <c r="AA152" s="516">
        <f>AA20</f>
        <v/>
      </c>
      <c r="AB152" s="516">
        <f>AB20</f>
        <v/>
      </c>
      <c r="AC152" s="516">
        <f>AC20</f>
        <v/>
      </c>
      <c r="AD152" s="516">
        <f>AD20</f>
        <v/>
      </c>
      <c r="AE152" s="516">
        <f>AE20</f>
        <v/>
      </c>
      <c r="AF152" s="516">
        <f>AF20</f>
        <v/>
      </c>
      <c r="AG152" s="516">
        <f>AG20</f>
        <v/>
      </c>
      <c r="AH152" s="516">
        <f>AH20</f>
        <v/>
      </c>
      <c r="AI152" s="516">
        <f>AI20</f>
        <v/>
      </c>
      <c r="AJ152" s="516">
        <f>AJ20</f>
        <v/>
      </c>
      <c r="AK152" s="516">
        <f>AK20</f>
        <v/>
      </c>
      <c r="AL152" s="516">
        <f>AL20</f>
        <v/>
      </c>
      <c r="AM152" s="516">
        <f>AM20</f>
        <v/>
      </c>
      <c r="AN152" s="516">
        <f>AN20</f>
        <v/>
      </c>
      <c r="AO152" s="516">
        <f>AO20</f>
        <v/>
      </c>
      <c r="AP152" s="516">
        <f>AP20</f>
        <v/>
      </c>
      <c r="AQ152" s="516">
        <f>AQ20</f>
        <v/>
      </c>
      <c r="AR152" s="516">
        <f>AR20</f>
        <v/>
      </c>
      <c r="AS152" s="516">
        <f>AS20</f>
        <v/>
      </c>
      <c r="AT152" s="516">
        <f>AT20</f>
        <v/>
      </c>
      <c r="AU152" s="516">
        <f>AU20</f>
        <v/>
      </c>
      <c r="AV152" s="516">
        <f>AV20</f>
        <v/>
      </c>
      <c r="AW152" s="516">
        <f>AW20</f>
        <v/>
      </c>
      <c r="AX152" s="516">
        <f>AX20</f>
        <v/>
      </c>
      <c r="AY152" s="516">
        <f>AY20</f>
        <v/>
      </c>
      <c r="AZ152" s="516">
        <f>AZ20</f>
        <v/>
      </c>
      <c r="BA152" s="516">
        <f>BA20</f>
        <v/>
      </c>
      <c r="BB152" s="516">
        <f>BB20</f>
        <v/>
      </c>
      <c r="BC152" s="516">
        <f>BC20</f>
        <v/>
      </c>
      <c r="BD152" s="516">
        <f>BD20</f>
        <v/>
      </c>
      <c r="BE152" s="516">
        <f>BE20</f>
        <v/>
      </c>
      <c r="BF152" s="516">
        <f>BF20</f>
        <v/>
      </c>
      <c r="BG152" s="516">
        <f>BG20</f>
        <v/>
      </c>
      <c r="BH152" s="516">
        <f>BH20</f>
        <v/>
      </c>
      <c r="BI152" s="516">
        <f>BI20</f>
        <v/>
      </c>
      <c r="BJ152" s="516">
        <f>BJ20</f>
        <v/>
      </c>
      <c r="BK152" s="516">
        <f>BK20</f>
        <v/>
      </c>
      <c r="BL152" s="516">
        <f>BL20</f>
        <v/>
      </c>
      <c r="BM152" s="516">
        <f>BM20</f>
        <v/>
      </c>
      <c r="BN152" s="516">
        <f>BN20</f>
        <v/>
      </c>
      <c r="BO152" s="516">
        <f>BO20</f>
        <v/>
      </c>
      <c r="BP152" s="516">
        <f>BP20</f>
        <v/>
      </c>
      <c r="BQ152" s="516">
        <f>BQ20</f>
        <v/>
      </c>
      <c r="BR152" s="516">
        <f>BR20</f>
        <v/>
      </c>
      <c r="BS152" s="517">
        <f>BS20</f>
        <v/>
      </c>
      <c r="BT152" s="517">
        <f>BT20</f>
        <v/>
      </c>
      <c r="BU152" s="517">
        <f>BU20</f>
        <v/>
      </c>
      <c r="BV152" s="517">
        <f>BV20</f>
        <v/>
      </c>
      <c r="BW152" s="517">
        <f>BW20</f>
        <v/>
      </c>
      <c r="BX152" s="517">
        <f>BX20</f>
        <v/>
      </c>
      <c r="BY152" s="517">
        <f>BY20</f>
        <v/>
      </c>
      <c r="BZ152" s="517">
        <f>BZ20</f>
        <v/>
      </c>
      <c r="CA152" s="517">
        <f>CA20</f>
        <v/>
      </c>
      <c r="CB152" s="517">
        <f>CB20</f>
        <v/>
      </c>
      <c r="CC152" s="517">
        <f>CC20</f>
        <v/>
      </c>
      <c r="CD152" s="517">
        <f>CD20</f>
        <v/>
      </c>
      <c r="CE152" s="517">
        <f>CE20</f>
        <v/>
      </c>
      <c r="CF152" s="517">
        <f>CF20</f>
        <v/>
      </c>
      <c r="CG152" s="517">
        <f>CG20</f>
        <v/>
      </c>
      <c r="CH152" s="517">
        <f>CH20</f>
        <v/>
      </c>
      <c r="CI152" s="517">
        <f>CI20</f>
        <v/>
      </c>
      <c r="CJ152" s="517">
        <f>CJ20</f>
        <v/>
      </c>
      <c r="CK152" s="517">
        <f>CK20</f>
        <v/>
      </c>
    </row>
    <row r="153">
      <c r="A153" s="923" t="inlineStr">
        <is>
          <t>COGS</t>
        </is>
      </c>
      <c r="B153" s="140" t="n"/>
      <c r="C153" s="140" t="n"/>
      <c r="D153" s="140" t="n"/>
      <c r="E153" s="140" t="n"/>
      <c r="F153" s="140" t="n"/>
      <c r="G153" s="140" t="n"/>
      <c r="H153" s="140" t="n"/>
      <c r="I153" s="140" t="n"/>
      <c r="J153" s="140" t="n"/>
      <c r="K153" s="140" t="n"/>
      <c r="L153" s="140" t="n"/>
      <c r="M153" s="140" t="n"/>
      <c r="N153" s="516">
        <f>N64</f>
        <v/>
      </c>
      <c r="O153" s="516">
        <f>O64</f>
        <v/>
      </c>
      <c r="P153" s="516">
        <f>P64</f>
        <v/>
      </c>
      <c r="Q153" s="516">
        <f>Q64</f>
        <v/>
      </c>
      <c r="R153" s="516">
        <f>R64</f>
        <v/>
      </c>
      <c r="S153" s="516">
        <f>S64</f>
        <v/>
      </c>
      <c r="T153" s="516">
        <f>T64</f>
        <v/>
      </c>
      <c r="U153" s="516">
        <f>U64</f>
        <v/>
      </c>
      <c r="V153" s="516">
        <f>V64</f>
        <v/>
      </c>
      <c r="W153" s="516">
        <f>W64</f>
        <v/>
      </c>
      <c r="X153" s="516">
        <f>X64</f>
        <v/>
      </c>
      <c r="Y153" s="516">
        <f>Y64</f>
        <v/>
      </c>
      <c r="Z153" s="516">
        <f>Z64</f>
        <v/>
      </c>
      <c r="AA153" s="516">
        <f>AA64</f>
        <v/>
      </c>
      <c r="AB153" s="516">
        <f>AB64</f>
        <v/>
      </c>
      <c r="AC153" s="516">
        <f>AC64</f>
        <v/>
      </c>
      <c r="AD153" s="516">
        <f>AD64</f>
        <v/>
      </c>
      <c r="AE153" s="516">
        <f>AE64</f>
        <v/>
      </c>
      <c r="AF153" s="516">
        <f>AF64</f>
        <v/>
      </c>
      <c r="AG153" s="516">
        <f>AG64</f>
        <v/>
      </c>
      <c r="AH153" s="516">
        <f>AH64</f>
        <v/>
      </c>
      <c r="AI153" s="516">
        <f>AI64</f>
        <v/>
      </c>
      <c r="AJ153" s="516">
        <f>AJ64</f>
        <v/>
      </c>
      <c r="AK153" s="516">
        <f>AK64</f>
        <v/>
      </c>
      <c r="AL153" s="516">
        <f>AL64</f>
        <v/>
      </c>
      <c r="AM153" s="516">
        <f>AM64</f>
        <v/>
      </c>
      <c r="AN153" s="516">
        <f>AN64</f>
        <v/>
      </c>
      <c r="AO153" s="516">
        <f>AO64</f>
        <v/>
      </c>
      <c r="AP153" s="516">
        <f>AP64</f>
        <v/>
      </c>
      <c r="AQ153" s="516">
        <f>AQ64</f>
        <v/>
      </c>
      <c r="AR153" s="516">
        <f>AR64</f>
        <v/>
      </c>
      <c r="AS153" s="516">
        <f>AS64</f>
        <v/>
      </c>
      <c r="AT153" s="516">
        <f>AT64</f>
        <v/>
      </c>
      <c r="AU153" s="516">
        <f>AU64</f>
        <v/>
      </c>
      <c r="AV153" s="516">
        <f>AV64</f>
        <v/>
      </c>
      <c r="AW153" s="516">
        <f>AW64</f>
        <v/>
      </c>
      <c r="AX153" s="516">
        <f>AX64</f>
        <v/>
      </c>
      <c r="AY153" s="516">
        <f>AY64</f>
        <v/>
      </c>
      <c r="AZ153" s="516">
        <f>AZ64</f>
        <v/>
      </c>
      <c r="BA153" s="516">
        <f>BA64</f>
        <v/>
      </c>
      <c r="BB153" s="516">
        <f>BB64</f>
        <v/>
      </c>
      <c r="BC153" s="516">
        <f>BC64</f>
        <v/>
      </c>
      <c r="BD153" s="516">
        <f>BD64</f>
        <v/>
      </c>
      <c r="BE153" s="516">
        <f>BE64</f>
        <v/>
      </c>
      <c r="BF153" s="516">
        <f>BF64</f>
        <v/>
      </c>
      <c r="BG153" s="516">
        <f>BG64</f>
        <v/>
      </c>
      <c r="BH153" s="516">
        <f>BH64</f>
        <v/>
      </c>
      <c r="BI153" s="516">
        <f>BI64</f>
        <v/>
      </c>
      <c r="BJ153" s="516">
        <f>BJ64</f>
        <v/>
      </c>
      <c r="BK153" s="516">
        <f>BK64</f>
        <v/>
      </c>
      <c r="BL153" s="516">
        <f>BL64</f>
        <v/>
      </c>
      <c r="BM153" s="516">
        <f>BM64</f>
        <v/>
      </c>
      <c r="BN153" s="516">
        <f>BN64</f>
        <v/>
      </c>
      <c r="BO153" s="516">
        <f>BO64</f>
        <v/>
      </c>
      <c r="BP153" s="516">
        <f>BP64</f>
        <v/>
      </c>
      <c r="BQ153" s="516">
        <f>BQ64</f>
        <v/>
      </c>
      <c r="BR153" s="516">
        <f>BR64</f>
        <v/>
      </c>
      <c r="BS153" s="517">
        <f>BS64</f>
        <v/>
      </c>
      <c r="BT153" s="517">
        <f>BT64</f>
        <v/>
      </c>
      <c r="BU153" s="517">
        <f>BU64</f>
        <v/>
      </c>
      <c r="BV153" s="517">
        <f>BV64</f>
        <v/>
      </c>
      <c r="BW153" s="517">
        <f>BW64</f>
        <v/>
      </c>
      <c r="BX153" s="517">
        <f>BX64</f>
        <v/>
      </c>
      <c r="BY153" s="517">
        <f>BY64</f>
        <v/>
      </c>
      <c r="BZ153" s="517">
        <f>BZ64</f>
        <v/>
      </c>
      <c r="CA153" s="517">
        <f>CA64</f>
        <v/>
      </c>
      <c r="CB153" s="517">
        <f>CB64</f>
        <v/>
      </c>
      <c r="CC153" s="517">
        <f>CC64</f>
        <v/>
      </c>
      <c r="CD153" s="517">
        <f>CD64</f>
        <v/>
      </c>
      <c r="CE153" s="517">
        <f>CE64</f>
        <v/>
      </c>
      <c r="CF153" s="517">
        <f>CF64</f>
        <v/>
      </c>
      <c r="CG153" s="517">
        <f>CG64</f>
        <v/>
      </c>
      <c r="CH153" s="517">
        <f>CH64</f>
        <v/>
      </c>
      <c r="CI153" s="517">
        <f>CI64</f>
        <v/>
      </c>
      <c r="CJ153" s="517">
        <f>CJ64</f>
        <v/>
      </c>
      <c r="CK153" s="517">
        <f>CK64</f>
        <v/>
      </c>
    </row>
    <row r="154">
      <c r="A154" s="923" t="inlineStr">
        <is>
          <t>Operating income</t>
        </is>
      </c>
      <c r="B154" s="140" t="n"/>
      <c r="C154" s="140" t="n"/>
      <c r="D154" s="140" t="n"/>
      <c r="E154" s="140" t="n"/>
      <c r="F154" s="140" t="n"/>
      <c r="G154" s="140" t="n"/>
      <c r="H154" s="140" t="n"/>
      <c r="I154" s="140" t="n"/>
      <c r="J154" s="140" t="n"/>
      <c r="K154" s="140" t="n"/>
      <c r="L154" s="140" t="n"/>
      <c r="M154" s="140" t="n"/>
      <c r="N154" s="516">
        <f>N88</f>
        <v/>
      </c>
      <c r="O154" s="516">
        <f>O88</f>
        <v/>
      </c>
      <c r="P154" s="516">
        <f>P88</f>
        <v/>
      </c>
      <c r="Q154" s="516">
        <f>Q88</f>
        <v/>
      </c>
      <c r="R154" s="516">
        <f>R88</f>
        <v/>
      </c>
      <c r="S154" s="516">
        <f>S88</f>
        <v/>
      </c>
      <c r="T154" s="516">
        <f>T88</f>
        <v/>
      </c>
      <c r="U154" s="516">
        <f>U88</f>
        <v/>
      </c>
      <c r="V154" s="516">
        <f>V88</f>
        <v/>
      </c>
      <c r="W154" s="516">
        <f>W88</f>
        <v/>
      </c>
      <c r="X154" s="516">
        <f>X88</f>
        <v/>
      </c>
      <c r="Y154" s="516">
        <f>Y88</f>
        <v/>
      </c>
      <c r="Z154" s="516">
        <f>Z88</f>
        <v/>
      </c>
      <c r="AA154" s="516">
        <f>AA88</f>
        <v/>
      </c>
      <c r="AB154" s="516">
        <f>AB88</f>
        <v/>
      </c>
      <c r="AC154" s="516">
        <f>AC88</f>
        <v/>
      </c>
      <c r="AD154" s="516">
        <f>AD88</f>
        <v/>
      </c>
      <c r="AE154" s="516">
        <f>AE88</f>
        <v/>
      </c>
      <c r="AF154" s="516">
        <f>AF88</f>
        <v/>
      </c>
      <c r="AG154" s="516">
        <f>AG88</f>
        <v/>
      </c>
      <c r="AH154" s="516">
        <f>AH88</f>
        <v/>
      </c>
      <c r="AI154" s="516">
        <f>AI88</f>
        <v/>
      </c>
      <c r="AJ154" s="516">
        <f>AJ88</f>
        <v/>
      </c>
      <c r="AK154" s="516">
        <f>AK88</f>
        <v/>
      </c>
      <c r="AL154" s="516">
        <f>AL88</f>
        <v/>
      </c>
      <c r="AM154" s="516">
        <f>AM88</f>
        <v/>
      </c>
      <c r="AN154" s="516">
        <f>AN88</f>
        <v/>
      </c>
      <c r="AO154" s="516">
        <f>AO88</f>
        <v/>
      </c>
      <c r="AP154" s="516">
        <f>AP88</f>
        <v/>
      </c>
      <c r="AQ154" s="516">
        <f>AQ88</f>
        <v/>
      </c>
      <c r="AR154" s="516">
        <f>AR88</f>
        <v/>
      </c>
      <c r="AS154" s="516">
        <f>AS88</f>
        <v/>
      </c>
      <c r="AT154" s="516">
        <f>AT88</f>
        <v/>
      </c>
      <c r="AU154" s="516">
        <f>AU88</f>
        <v/>
      </c>
      <c r="AV154" s="516">
        <f>AV88</f>
        <v/>
      </c>
      <c r="AW154" s="516">
        <f>AW88</f>
        <v/>
      </c>
      <c r="AX154" s="516">
        <f>AX88</f>
        <v/>
      </c>
      <c r="AY154" s="516">
        <f>AY88</f>
        <v/>
      </c>
      <c r="AZ154" s="516">
        <f>AZ88</f>
        <v/>
      </c>
      <c r="BA154" s="516">
        <f>BA88</f>
        <v/>
      </c>
      <c r="BB154" s="516">
        <f>BB88</f>
        <v/>
      </c>
      <c r="BC154" s="516">
        <f>BC88</f>
        <v/>
      </c>
      <c r="BD154" s="516">
        <f>BD88</f>
        <v/>
      </c>
      <c r="BE154" s="516">
        <f>BE88</f>
        <v/>
      </c>
      <c r="BF154" s="516">
        <f>BF88</f>
        <v/>
      </c>
      <c r="BG154" s="516">
        <f>BG88</f>
        <v/>
      </c>
      <c r="BH154" s="516">
        <f>BH88</f>
        <v/>
      </c>
      <c r="BI154" s="516">
        <f>BI88</f>
        <v/>
      </c>
      <c r="BJ154" s="516">
        <f>BJ88</f>
        <v/>
      </c>
      <c r="BK154" s="516">
        <f>BK88</f>
        <v/>
      </c>
      <c r="BL154" s="516">
        <f>BL88</f>
        <v/>
      </c>
      <c r="BM154" s="516">
        <f>BM88</f>
        <v/>
      </c>
      <c r="BN154" s="516">
        <f>BN88</f>
        <v/>
      </c>
      <c r="BO154" s="516">
        <f>BO88</f>
        <v/>
      </c>
      <c r="BP154" s="516">
        <f>BP88</f>
        <v/>
      </c>
      <c r="BQ154" s="516">
        <f>BQ88</f>
        <v/>
      </c>
      <c r="BR154" s="516">
        <f>BR88</f>
        <v/>
      </c>
      <c r="BS154" s="517">
        <f>BS88</f>
        <v/>
      </c>
      <c r="BT154" s="517">
        <f>BT88</f>
        <v/>
      </c>
      <c r="BU154" s="517">
        <f>BU88</f>
        <v/>
      </c>
      <c r="BV154" s="517">
        <f>BV88</f>
        <v/>
      </c>
      <c r="BW154" s="517">
        <f>BW88</f>
        <v/>
      </c>
      <c r="BX154" s="517">
        <f>BX88</f>
        <v/>
      </c>
      <c r="BY154" s="517">
        <f>BY88</f>
        <v/>
      </c>
      <c r="BZ154" s="517">
        <f>BZ88</f>
        <v/>
      </c>
      <c r="CA154" s="517">
        <f>CA88</f>
        <v/>
      </c>
      <c r="CB154" s="517">
        <f>CB88</f>
        <v/>
      </c>
      <c r="CC154" s="517">
        <f>CC88</f>
        <v/>
      </c>
      <c r="CD154" s="517">
        <f>CD88</f>
        <v/>
      </c>
      <c r="CE154" s="517">
        <f>CE88</f>
        <v/>
      </c>
      <c r="CF154" s="517">
        <f>CF88</f>
        <v/>
      </c>
      <c r="CG154" s="517">
        <f>CG88</f>
        <v/>
      </c>
      <c r="CH154" s="517">
        <f>CH88</f>
        <v/>
      </c>
      <c r="CI154" s="517">
        <f>CI88</f>
        <v/>
      </c>
      <c r="CJ154" s="517">
        <f>CJ88</f>
        <v/>
      </c>
      <c r="CK154" s="517">
        <f>CK88</f>
        <v/>
      </c>
    </row>
    <row r="155">
      <c r="A155" s="923" t="inlineStr">
        <is>
          <t>Income tax expense</t>
        </is>
      </c>
      <c r="B155" s="140" t="n"/>
      <c r="C155" s="140" t="n"/>
      <c r="D155" s="140" t="n"/>
      <c r="E155" s="140" t="n"/>
      <c r="F155" s="140" t="n"/>
      <c r="G155" s="140" t="n"/>
      <c r="H155" s="140" t="n"/>
      <c r="I155" s="140" t="n"/>
      <c r="J155" s="140" t="n"/>
      <c r="K155" s="140" t="n"/>
      <c r="L155" s="140" t="n"/>
      <c r="M155" s="140" t="n"/>
      <c r="N155" s="517">
        <f>-N101</f>
        <v/>
      </c>
      <c r="O155" s="517">
        <f>-O101</f>
        <v/>
      </c>
      <c r="P155" s="517">
        <f>-P101</f>
        <v/>
      </c>
      <c r="Q155" s="517">
        <f>-Q101</f>
        <v/>
      </c>
      <c r="R155" s="517">
        <f>-R101</f>
        <v/>
      </c>
      <c r="S155" s="517">
        <f>-S101</f>
        <v/>
      </c>
      <c r="T155" s="517">
        <f>-T101</f>
        <v/>
      </c>
      <c r="U155" s="517">
        <f>-U101</f>
        <v/>
      </c>
      <c r="V155" s="517">
        <f>-V101</f>
        <v/>
      </c>
      <c r="W155" s="517">
        <f>-W101</f>
        <v/>
      </c>
      <c r="X155" s="517">
        <f>-X101</f>
        <v/>
      </c>
      <c r="Y155" s="517">
        <f>-Y101</f>
        <v/>
      </c>
      <c r="Z155" s="517">
        <f>-Z101</f>
        <v/>
      </c>
      <c r="AA155" s="517">
        <f>-AA101</f>
        <v/>
      </c>
      <c r="AB155" s="517">
        <f>-AB101</f>
        <v/>
      </c>
      <c r="AC155" s="517">
        <f>-AC101</f>
        <v/>
      </c>
      <c r="AD155" s="517">
        <f>-AD101</f>
        <v/>
      </c>
      <c r="AE155" s="517">
        <f>-AE101</f>
        <v/>
      </c>
      <c r="AF155" s="517">
        <f>-AF101</f>
        <v/>
      </c>
      <c r="AG155" s="517">
        <f>-AG101</f>
        <v/>
      </c>
      <c r="AH155" s="517">
        <f>-AH101</f>
        <v/>
      </c>
      <c r="AI155" s="517">
        <f>-AI101</f>
        <v/>
      </c>
      <c r="AJ155" s="517">
        <f>-AJ101</f>
        <v/>
      </c>
      <c r="AK155" s="517">
        <f>-AK101</f>
        <v/>
      </c>
      <c r="AL155" s="517">
        <f>-AL101</f>
        <v/>
      </c>
      <c r="AM155" s="517">
        <f>-AM101</f>
        <v/>
      </c>
      <c r="AN155" s="517">
        <f>-AN101</f>
        <v/>
      </c>
      <c r="AO155" s="517">
        <f>-AO101</f>
        <v/>
      </c>
      <c r="AP155" s="517">
        <f>-AP101</f>
        <v/>
      </c>
      <c r="AQ155" s="517">
        <f>-AQ101</f>
        <v/>
      </c>
      <c r="AR155" s="517">
        <f>-AR101</f>
        <v/>
      </c>
      <c r="AS155" s="517">
        <f>-AS101</f>
        <v/>
      </c>
      <c r="AT155" s="517">
        <f>-AT101</f>
        <v/>
      </c>
      <c r="AU155" s="517">
        <f>-AU101</f>
        <v/>
      </c>
      <c r="AV155" s="517">
        <f>-AV101</f>
        <v/>
      </c>
      <c r="AW155" s="517">
        <f>-AW101</f>
        <v/>
      </c>
      <c r="AX155" s="517">
        <f>-AX101</f>
        <v/>
      </c>
      <c r="AY155" s="517">
        <f>-AY101</f>
        <v/>
      </c>
      <c r="AZ155" s="517">
        <f>-AZ101</f>
        <v/>
      </c>
      <c r="BA155" s="517">
        <f>-BA101</f>
        <v/>
      </c>
      <c r="BB155" s="517">
        <f>-BB101</f>
        <v/>
      </c>
      <c r="BC155" s="517">
        <f>-BC101</f>
        <v/>
      </c>
      <c r="BD155" s="517">
        <f>-BD101</f>
        <v/>
      </c>
      <c r="BE155" s="517">
        <f>-BE101</f>
        <v/>
      </c>
      <c r="BF155" s="517">
        <f>-BF101</f>
        <v/>
      </c>
      <c r="BG155" s="517">
        <f>-BG101</f>
        <v/>
      </c>
      <c r="BH155" s="517">
        <f>-BH101</f>
        <v/>
      </c>
      <c r="BI155" s="517">
        <f>-BI101</f>
        <v/>
      </c>
      <c r="BJ155" s="517">
        <f>-BJ101</f>
        <v/>
      </c>
      <c r="BK155" s="517">
        <f>-BK101</f>
        <v/>
      </c>
      <c r="BL155" s="517">
        <f>-BL101</f>
        <v/>
      </c>
      <c r="BM155" s="517">
        <f>-BM101</f>
        <v/>
      </c>
      <c r="BN155" s="517">
        <f>-BN101</f>
        <v/>
      </c>
      <c r="BO155" s="517">
        <f>-BO101</f>
        <v/>
      </c>
      <c r="BP155" s="517">
        <f>-BP101</f>
        <v/>
      </c>
      <c r="BQ155" s="517">
        <f>-BQ101</f>
        <v/>
      </c>
      <c r="BR155" s="517">
        <f>-BR101</f>
        <v/>
      </c>
      <c r="BS155" s="517">
        <f>-BS101</f>
        <v/>
      </c>
      <c r="BT155" s="517">
        <f>-BT101</f>
        <v/>
      </c>
      <c r="BU155" s="517">
        <f>-BU101</f>
        <v/>
      </c>
      <c r="BV155" s="517">
        <f>-BV101</f>
        <v/>
      </c>
      <c r="BW155" s="517">
        <f>-BW101</f>
        <v/>
      </c>
      <c r="BX155" s="517">
        <f>-BX101</f>
        <v/>
      </c>
      <c r="BY155" s="517">
        <f>-BY101</f>
        <v/>
      </c>
      <c r="BZ155" s="517">
        <f>-BZ101</f>
        <v/>
      </c>
      <c r="CA155" s="517">
        <f>-CA101</f>
        <v/>
      </c>
      <c r="CB155" s="517">
        <f>-CB101</f>
        <v/>
      </c>
      <c r="CC155" s="517">
        <f>-CC101</f>
        <v/>
      </c>
      <c r="CD155" s="517">
        <f>-CD101</f>
        <v/>
      </c>
      <c r="CE155" s="517">
        <f>-CE101</f>
        <v/>
      </c>
      <c r="CF155" s="517">
        <f>-CF101</f>
        <v/>
      </c>
      <c r="CG155" s="517">
        <f>-CG101</f>
        <v/>
      </c>
      <c r="CH155" s="517">
        <f>-CH101</f>
        <v/>
      </c>
      <c r="CI155" s="517">
        <f>-CI101</f>
        <v/>
      </c>
      <c r="CJ155" s="517">
        <f>-CJ101</f>
        <v/>
      </c>
      <c r="CK155" s="517">
        <f>-CK101</f>
        <v/>
      </c>
    </row>
    <row r="156">
      <c r="A156" s="415" t="n"/>
    </row>
    <row r="157">
      <c r="A157" s="415">
        <f>FS_Q!A46</f>
        <v/>
      </c>
      <c r="B157" s="140" t="n"/>
      <c r="C157" s="140" t="n"/>
      <c r="D157" s="140" t="n"/>
      <c r="E157" s="140" t="n"/>
      <c r="F157" s="140" t="n"/>
      <c r="G157" s="140" t="n"/>
      <c r="H157" s="140" t="n"/>
      <c r="I157" s="140" t="n"/>
      <c r="J157" s="140" t="n"/>
      <c r="K157" s="140" t="n"/>
      <c r="L157" s="140" t="n"/>
      <c r="M157" s="140" t="n"/>
      <c r="N157" s="516">
        <f>FS_Q!N46</f>
        <v/>
      </c>
      <c r="O157" s="516">
        <f>FS_Q!O46</f>
        <v/>
      </c>
      <c r="P157" s="516">
        <f>FS_Q!P46</f>
        <v/>
      </c>
      <c r="Q157" s="516">
        <f>FS_Q!Q46</f>
        <v/>
      </c>
      <c r="R157" s="516">
        <f>FS_Q!R46</f>
        <v/>
      </c>
      <c r="S157" s="516">
        <f>FS_Q!S46</f>
        <v/>
      </c>
      <c r="T157" s="516">
        <f>FS_Q!T46</f>
        <v/>
      </c>
      <c r="U157" s="516">
        <f>FS_Q!U46</f>
        <v/>
      </c>
      <c r="V157" s="516">
        <f>FS_Q!V46</f>
        <v/>
      </c>
      <c r="W157" s="516">
        <f>FS_Q!W46</f>
        <v/>
      </c>
      <c r="X157" s="516">
        <f>FS_Q!X46</f>
        <v/>
      </c>
      <c r="Y157" s="516">
        <f>FS_Q!Y46</f>
        <v/>
      </c>
      <c r="Z157" s="516">
        <f>FS_Q!Z46</f>
        <v/>
      </c>
      <c r="AA157" s="516">
        <f>FS_Q!AA46</f>
        <v/>
      </c>
      <c r="AB157" s="516">
        <f>FS_Q!AB46</f>
        <v/>
      </c>
      <c r="AC157" s="516">
        <f>FS_Q!AC46</f>
        <v/>
      </c>
      <c r="AD157" s="516">
        <f>FS_Q!AD46</f>
        <v/>
      </c>
      <c r="AE157" s="516">
        <f>FS_Q!AE46</f>
        <v/>
      </c>
      <c r="AF157" s="516">
        <f>FS_Q!AF46</f>
        <v/>
      </c>
      <c r="AG157" s="516">
        <f>FS_Q!AG46</f>
        <v/>
      </c>
      <c r="AH157" s="516">
        <f>FS_Q!AH46</f>
        <v/>
      </c>
      <c r="AI157" s="516">
        <f>FS_Q!AI46</f>
        <v/>
      </c>
      <c r="AJ157" s="516">
        <f>FS_Q!AJ46</f>
        <v/>
      </c>
      <c r="AK157" s="516">
        <f>FS_Q!AK46</f>
        <v/>
      </c>
      <c r="AL157" s="516">
        <f>FS_Q!AL46</f>
        <v/>
      </c>
      <c r="AM157" s="516">
        <f>FS_Q!AM46</f>
        <v/>
      </c>
      <c r="AN157" s="516">
        <f>FS_Q!AN46</f>
        <v/>
      </c>
      <c r="AO157" s="516">
        <f>FS_Q!AO46</f>
        <v/>
      </c>
      <c r="AP157" s="516">
        <f>FS_Q!AP46</f>
        <v/>
      </c>
      <c r="AQ157" s="516">
        <f>FS_Q!AQ46</f>
        <v/>
      </c>
      <c r="AR157" s="516">
        <f>FS_Q!AR46</f>
        <v/>
      </c>
      <c r="AS157" s="516">
        <f>FS_Q!AS46</f>
        <v/>
      </c>
      <c r="AT157" s="516">
        <f>FS_Q!AT46</f>
        <v/>
      </c>
      <c r="AU157" s="516">
        <f>FS_Q!AU46</f>
        <v/>
      </c>
      <c r="AV157" s="516">
        <f>FS_Q!AV46</f>
        <v/>
      </c>
      <c r="AW157" s="516">
        <f>FS_Q!AW46</f>
        <v/>
      </c>
      <c r="AX157" s="516">
        <f>FS_Q!AX46</f>
        <v/>
      </c>
      <c r="AY157" s="516">
        <f>FS_Q!AY46</f>
        <v/>
      </c>
      <c r="AZ157" s="516">
        <f>FS_Q!AZ46</f>
        <v/>
      </c>
      <c r="BA157" s="516">
        <f>FS_Q!BA46</f>
        <v/>
      </c>
      <c r="BB157" s="516">
        <f>FS_Q!BB46</f>
        <v/>
      </c>
      <c r="BC157" s="516">
        <f>FS_Q!BC46</f>
        <v/>
      </c>
      <c r="BD157" s="516">
        <f>FS_Q!BD46</f>
        <v/>
      </c>
      <c r="BE157" s="516">
        <f>FS_Q!BE46</f>
        <v/>
      </c>
      <c r="BF157" s="516">
        <f>FS_Q!BF46</f>
        <v/>
      </c>
      <c r="BG157" s="516">
        <f>FS_Q!BG46</f>
        <v/>
      </c>
      <c r="BH157" s="516">
        <f>FS_Q!BH46</f>
        <v/>
      </c>
      <c r="BI157" s="516">
        <f>FS_Q!BI46</f>
        <v/>
      </c>
      <c r="BJ157" s="516">
        <f>FS_Q!BJ46</f>
        <v/>
      </c>
      <c r="BK157" s="516">
        <f>FS_Q!BK46</f>
        <v/>
      </c>
      <c r="BL157" s="516">
        <f>FS_Q!BL46</f>
        <v/>
      </c>
      <c r="BM157" s="516">
        <f>FS_Q!BM46</f>
        <v/>
      </c>
      <c r="BN157" s="516">
        <f>FS_Q!BN46</f>
        <v/>
      </c>
      <c r="BO157" s="516">
        <f>FS_Q!BO46</f>
        <v/>
      </c>
      <c r="BP157" s="516">
        <f>FS_Q!BP46</f>
        <v/>
      </c>
      <c r="BQ157" s="516">
        <f>FS_Q!BQ46</f>
        <v/>
      </c>
      <c r="BR157" s="516">
        <f>FS_Q!BR46</f>
        <v/>
      </c>
      <c r="BS157" s="517">
        <f>BS$152*BS123/BS$245</f>
        <v/>
      </c>
      <c r="BT157" s="517">
        <f>BT$152*BT123/BT$245</f>
        <v/>
      </c>
      <c r="BU157" s="517">
        <f>BU$152*BU123/BU$245</f>
        <v/>
      </c>
      <c r="BV157" s="517">
        <f>BV$152*BV123/BV$245</f>
        <v/>
      </c>
      <c r="BW157" s="517">
        <f>BW$152*BW123/BW$245</f>
        <v/>
      </c>
      <c r="BX157" s="517">
        <f>BX$152*BX123/BX$245</f>
        <v/>
      </c>
      <c r="BY157" s="517">
        <f>BY$152*BY123/BY$245</f>
        <v/>
      </c>
      <c r="BZ157" s="517">
        <f>BZ$152*BZ123/BZ$245</f>
        <v/>
      </c>
      <c r="CA157" s="517">
        <f>CA$152*CA123/CA$245</f>
        <v/>
      </c>
      <c r="CB157" s="517">
        <f>CB$152*CB123/CB$245</f>
        <v/>
      </c>
      <c r="CC157" s="517">
        <f>CC$152*CC123/CC$245</f>
        <v/>
      </c>
      <c r="CD157" s="517">
        <f>CD$152*CD123/CD$245</f>
        <v/>
      </c>
      <c r="CE157" s="517">
        <f>CE$152*CE123/CE$245</f>
        <v/>
      </c>
      <c r="CF157" s="517">
        <f>CF$152*CF123/CF$245</f>
        <v/>
      </c>
      <c r="CG157" s="517">
        <f>CG$152*CG123/CG$245</f>
        <v/>
      </c>
      <c r="CH157" s="517">
        <f>CH$152*CH123/CH$245</f>
        <v/>
      </c>
      <c r="CI157" s="517">
        <f>CI$152*CI123/CI$245</f>
        <v/>
      </c>
      <c r="CJ157" s="517">
        <f>CJ$152*CJ123/CJ$245</f>
        <v/>
      </c>
      <c r="CK157" s="517">
        <f>CK$152*CK123/CK$245</f>
        <v/>
      </c>
    </row>
    <row r="158">
      <c r="A158" s="415">
        <f>FS_Q!A47</f>
        <v/>
      </c>
      <c r="B158" s="140" t="n"/>
      <c r="C158" s="140" t="n"/>
      <c r="D158" s="140" t="n"/>
      <c r="E158" s="140" t="n"/>
      <c r="F158" s="140" t="n"/>
      <c r="G158" s="140" t="n"/>
      <c r="H158" s="140" t="n"/>
      <c r="I158" s="140" t="n"/>
      <c r="J158" s="140" t="n"/>
      <c r="K158" s="140" t="n"/>
      <c r="L158" s="140" t="n"/>
      <c r="M158" s="140" t="n"/>
      <c r="N158" s="516">
        <f>FS_Q!N47</f>
        <v/>
      </c>
      <c r="O158" s="516">
        <f>FS_Q!O47</f>
        <v/>
      </c>
      <c r="P158" s="516">
        <f>FS_Q!P47</f>
        <v/>
      </c>
      <c r="Q158" s="516">
        <f>FS_Q!Q47</f>
        <v/>
      </c>
      <c r="R158" s="516">
        <f>FS_Q!R47</f>
        <v/>
      </c>
      <c r="S158" s="516">
        <f>FS_Q!S47</f>
        <v/>
      </c>
      <c r="T158" s="516">
        <f>FS_Q!T47</f>
        <v/>
      </c>
      <c r="U158" s="516">
        <f>FS_Q!U47</f>
        <v/>
      </c>
      <c r="V158" s="516">
        <f>FS_Q!V47</f>
        <v/>
      </c>
      <c r="W158" s="516">
        <f>FS_Q!W47</f>
        <v/>
      </c>
      <c r="X158" s="516">
        <f>FS_Q!X47</f>
        <v/>
      </c>
      <c r="Y158" s="516">
        <f>FS_Q!Y47</f>
        <v/>
      </c>
      <c r="Z158" s="516">
        <f>FS_Q!Z47</f>
        <v/>
      </c>
      <c r="AA158" s="516">
        <f>FS_Q!AA47</f>
        <v/>
      </c>
      <c r="AB158" s="516">
        <f>FS_Q!AB47</f>
        <v/>
      </c>
      <c r="AC158" s="516">
        <f>FS_Q!AC47</f>
        <v/>
      </c>
      <c r="AD158" s="516">
        <f>FS_Q!AD47</f>
        <v/>
      </c>
      <c r="AE158" s="516">
        <f>FS_Q!AE47</f>
        <v/>
      </c>
      <c r="AF158" s="516">
        <f>FS_Q!AF47</f>
        <v/>
      </c>
      <c r="AG158" s="516">
        <f>FS_Q!AG47</f>
        <v/>
      </c>
      <c r="AH158" s="516">
        <f>FS_Q!AH47</f>
        <v/>
      </c>
      <c r="AI158" s="516">
        <f>FS_Q!AI47</f>
        <v/>
      </c>
      <c r="AJ158" s="516">
        <f>FS_Q!AJ47</f>
        <v/>
      </c>
      <c r="AK158" s="516">
        <f>FS_Q!AK47</f>
        <v/>
      </c>
      <c r="AL158" s="516">
        <f>FS_Q!AL47</f>
        <v/>
      </c>
      <c r="AM158" s="516">
        <f>FS_Q!AM47</f>
        <v/>
      </c>
      <c r="AN158" s="516">
        <f>FS_Q!AN47</f>
        <v/>
      </c>
      <c r="AO158" s="516">
        <f>FS_Q!AO47</f>
        <v/>
      </c>
      <c r="AP158" s="516">
        <f>FS_Q!AP47</f>
        <v/>
      </c>
      <c r="AQ158" s="516">
        <f>FS_Q!AQ47</f>
        <v/>
      </c>
      <c r="AR158" s="516">
        <f>FS_Q!AR47</f>
        <v/>
      </c>
      <c r="AS158" s="516">
        <f>FS_Q!AS47</f>
        <v/>
      </c>
      <c r="AT158" s="516">
        <f>FS_Q!AT47</f>
        <v/>
      </c>
      <c r="AU158" s="516">
        <f>FS_Q!AU47</f>
        <v/>
      </c>
      <c r="AV158" s="516">
        <f>FS_Q!AV47</f>
        <v/>
      </c>
      <c r="AW158" s="516">
        <f>FS_Q!AW47</f>
        <v/>
      </c>
      <c r="AX158" s="516">
        <f>FS_Q!AX47</f>
        <v/>
      </c>
      <c r="AY158" s="516">
        <f>FS_Q!AY47</f>
        <v/>
      </c>
      <c r="AZ158" s="516">
        <f>FS_Q!AZ47</f>
        <v/>
      </c>
      <c r="BA158" s="516">
        <f>FS_Q!BA47</f>
        <v/>
      </c>
      <c r="BB158" s="516">
        <f>FS_Q!BB47</f>
        <v/>
      </c>
      <c r="BC158" s="516">
        <f>FS_Q!BC47</f>
        <v/>
      </c>
      <c r="BD158" s="516">
        <f>FS_Q!BD47</f>
        <v/>
      </c>
      <c r="BE158" s="516">
        <f>FS_Q!BE47</f>
        <v/>
      </c>
      <c r="BF158" s="516">
        <f>FS_Q!BF47</f>
        <v/>
      </c>
      <c r="BG158" s="516">
        <f>FS_Q!BG47</f>
        <v/>
      </c>
      <c r="BH158" s="516">
        <f>FS_Q!BH47</f>
        <v/>
      </c>
      <c r="BI158" s="516">
        <f>FS_Q!BI47</f>
        <v/>
      </c>
      <c r="BJ158" s="516">
        <f>FS_Q!BJ47</f>
        <v/>
      </c>
      <c r="BK158" s="516">
        <f>FS_Q!BK47</f>
        <v/>
      </c>
      <c r="BL158" s="516">
        <f>FS_Q!BL47</f>
        <v/>
      </c>
      <c r="BM158" s="516">
        <f>FS_Q!BM47</f>
        <v/>
      </c>
      <c r="BN158" s="516">
        <f>FS_Q!BN47</f>
        <v/>
      </c>
      <c r="BO158" s="516">
        <f>FS_Q!BO47</f>
        <v/>
      </c>
      <c r="BP158" s="516">
        <f>FS_Q!BP47</f>
        <v/>
      </c>
      <c r="BQ158" s="516">
        <f>FS_Q!BQ47</f>
        <v/>
      </c>
      <c r="BR158" s="516">
        <f>FS_Q!BR47</f>
        <v/>
      </c>
      <c r="BS158" s="517">
        <f>BS$153*BS126/BS$245</f>
        <v/>
      </c>
      <c r="BT158" s="517">
        <f>BT$153*BT126/BT$245</f>
        <v/>
      </c>
      <c r="BU158" s="517">
        <f>BU$153*BU126/BU$245</f>
        <v/>
      </c>
      <c r="BV158" s="517">
        <f>BV$153*BV126/BV$245</f>
        <v/>
      </c>
      <c r="BW158" s="517">
        <f>BW$153*BW126/BW$245</f>
        <v/>
      </c>
      <c r="BX158" s="517">
        <f>BX$153*BX126/BX$245</f>
        <v/>
      </c>
      <c r="BY158" s="517">
        <f>BY$153*BY126/BY$245</f>
        <v/>
      </c>
      <c r="BZ158" s="517">
        <f>BZ$153*BZ126/BZ$245</f>
        <v/>
      </c>
      <c r="CA158" s="517">
        <f>CA$153*CA126/CA$245</f>
        <v/>
      </c>
      <c r="CB158" s="517">
        <f>CB$153*CB126/CB$245</f>
        <v/>
      </c>
      <c r="CC158" s="517">
        <f>CC$153*CC126/CC$245</f>
        <v/>
      </c>
      <c r="CD158" s="517">
        <f>CD$153*CD126/CD$245</f>
        <v/>
      </c>
      <c r="CE158" s="517">
        <f>CE$153*CE126/CE$245</f>
        <v/>
      </c>
      <c r="CF158" s="517">
        <f>CF$153*CF126/CF$245</f>
        <v/>
      </c>
      <c r="CG158" s="517">
        <f>CG$153*CG126/CG$245</f>
        <v/>
      </c>
      <c r="CH158" s="517">
        <f>CH$153*CH126/CH$245</f>
        <v/>
      </c>
      <c r="CI158" s="517">
        <f>CI$153*CI126/CI$245</f>
        <v/>
      </c>
      <c r="CJ158" s="517">
        <f>CJ$153*CJ126/CJ$245</f>
        <v/>
      </c>
      <c r="CK158" s="517">
        <f>CK$153*CK126/CK$245</f>
        <v/>
      </c>
    </row>
    <row r="159">
      <c r="A159" s="415">
        <f>FS_Q!A48</f>
        <v/>
      </c>
      <c r="B159" s="140" t="n"/>
      <c r="C159" s="140" t="n"/>
      <c r="D159" s="140" t="n"/>
      <c r="E159" s="140" t="n"/>
      <c r="F159" s="140" t="n"/>
      <c r="G159" s="140" t="n"/>
      <c r="H159" s="140" t="n"/>
      <c r="I159" s="140" t="n"/>
      <c r="J159" s="140" t="n"/>
      <c r="K159" s="140" t="n"/>
      <c r="L159" s="140" t="n"/>
      <c r="M159" s="140" t="n"/>
      <c r="N159" s="516">
        <f>FS_Q!N48</f>
        <v/>
      </c>
      <c r="O159" s="516">
        <f>FS_Q!O48</f>
        <v/>
      </c>
      <c r="P159" s="516">
        <f>FS_Q!P48</f>
        <v/>
      </c>
      <c r="Q159" s="516">
        <f>FS_Q!Q48</f>
        <v/>
      </c>
      <c r="R159" s="516">
        <f>FS_Q!R48</f>
        <v/>
      </c>
      <c r="S159" s="516">
        <f>FS_Q!S48</f>
        <v/>
      </c>
      <c r="T159" s="516">
        <f>FS_Q!T48</f>
        <v/>
      </c>
      <c r="U159" s="516">
        <f>FS_Q!U48</f>
        <v/>
      </c>
      <c r="V159" s="516">
        <f>FS_Q!V48</f>
        <v/>
      </c>
      <c r="W159" s="516">
        <f>FS_Q!W48</f>
        <v/>
      </c>
      <c r="X159" s="516">
        <f>FS_Q!X48</f>
        <v/>
      </c>
      <c r="Y159" s="516">
        <f>FS_Q!Y48</f>
        <v/>
      </c>
      <c r="Z159" s="516">
        <f>FS_Q!Z48</f>
        <v/>
      </c>
      <c r="AA159" s="516">
        <f>FS_Q!AA48</f>
        <v/>
      </c>
      <c r="AB159" s="516">
        <f>FS_Q!AB48</f>
        <v/>
      </c>
      <c r="AC159" s="516">
        <f>FS_Q!AC48</f>
        <v/>
      </c>
      <c r="AD159" s="516">
        <f>FS_Q!AD48</f>
        <v/>
      </c>
      <c r="AE159" s="516">
        <f>FS_Q!AE48</f>
        <v/>
      </c>
      <c r="AF159" s="516">
        <f>FS_Q!AF48</f>
        <v/>
      </c>
      <c r="AG159" s="516">
        <f>FS_Q!AG48</f>
        <v/>
      </c>
      <c r="AH159" s="516">
        <f>FS_Q!AH48</f>
        <v/>
      </c>
      <c r="AI159" s="516">
        <f>FS_Q!AI48</f>
        <v/>
      </c>
      <c r="AJ159" s="516">
        <f>FS_Q!AJ48</f>
        <v/>
      </c>
      <c r="AK159" s="516">
        <f>FS_Q!AK48</f>
        <v/>
      </c>
      <c r="AL159" s="516">
        <f>FS_Q!AL48</f>
        <v/>
      </c>
      <c r="AM159" s="516">
        <f>FS_Q!AM48</f>
        <v/>
      </c>
      <c r="AN159" s="516">
        <f>FS_Q!AN48</f>
        <v/>
      </c>
      <c r="AO159" s="516">
        <f>FS_Q!AO48</f>
        <v/>
      </c>
      <c r="AP159" s="516">
        <f>FS_Q!AP48</f>
        <v/>
      </c>
      <c r="AQ159" s="516">
        <f>FS_Q!AQ48</f>
        <v/>
      </c>
      <c r="AR159" s="516">
        <f>FS_Q!AR48</f>
        <v/>
      </c>
      <c r="AS159" s="516">
        <f>FS_Q!AS48</f>
        <v/>
      </c>
      <c r="AT159" s="516">
        <f>FS_Q!AT48</f>
        <v/>
      </c>
      <c r="AU159" s="516">
        <f>FS_Q!AU48</f>
        <v/>
      </c>
      <c r="AV159" s="516">
        <f>FS_Q!AV48</f>
        <v/>
      </c>
      <c r="AW159" s="516">
        <f>FS_Q!AW48</f>
        <v/>
      </c>
      <c r="AX159" s="516">
        <f>FS_Q!AX48</f>
        <v/>
      </c>
      <c r="AY159" s="516">
        <f>FS_Q!AY48</f>
        <v/>
      </c>
      <c r="AZ159" s="516">
        <f>FS_Q!AZ48</f>
        <v/>
      </c>
      <c r="BA159" s="516">
        <f>FS_Q!BA48</f>
        <v/>
      </c>
      <c r="BB159" s="516">
        <f>FS_Q!BB48</f>
        <v/>
      </c>
      <c r="BC159" s="516">
        <f>FS_Q!BC48</f>
        <v/>
      </c>
      <c r="BD159" s="516">
        <f>FS_Q!BD48</f>
        <v/>
      </c>
      <c r="BE159" s="516">
        <f>FS_Q!BE48</f>
        <v/>
      </c>
      <c r="BF159" s="516">
        <f>FS_Q!BF48</f>
        <v/>
      </c>
      <c r="BG159" s="516">
        <f>FS_Q!BG48</f>
        <v/>
      </c>
      <c r="BH159" s="516">
        <f>FS_Q!BH48</f>
        <v/>
      </c>
      <c r="BI159" s="516">
        <f>FS_Q!BI48</f>
        <v/>
      </c>
      <c r="BJ159" s="516">
        <f>FS_Q!BJ48</f>
        <v/>
      </c>
      <c r="BK159" s="516">
        <f>FS_Q!BK48</f>
        <v/>
      </c>
      <c r="BL159" s="516">
        <f>FS_Q!BL48</f>
        <v/>
      </c>
      <c r="BM159" s="516">
        <f>FS_Q!BM48</f>
        <v/>
      </c>
      <c r="BN159" s="516">
        <f>FS_Q!BN48</f>
        <v/>
      </c>
      <c r="BO159" s="516">
        <f>FS_Q!BO48</f>
        <v/>
      </c>
      <c r="BP159" s="516">
        <f>FS_Q!BP48</f>
        <v/>
      </c>
      <c r="BQ159" s="516">
        <f>FS_Q!BQ48</f>
        <v/>
      </c>
      <c r="BR159" s="516">
        <f>FS_Q!BR48</f>
        <v/>
      </c>
      <c r="BS159" s="517">
        <f>BS129</f>
        <v/>
      </c>
      <c r="BT159" s="517">
        <f>BT129</f>
        <v/>
      </c>
      <c r="BU159" s="517">
        <f>BU129</f>
        <v/>
      </c>
      <c r="BV159" s="517">
        <f>BV129</f>
        <v/>
      </c>
      <c r="BW159" s="517">
        <f>BW129</f>
        <v/>
      </c>
      <c r="BX159" s="517">
        <f>BX129</f>
        <v/>
      </c>
      <c r="BY159" s="517">
        <f>BY129</f>
        <v/>
      </c>
      <c r="BZ159" s="517">
        <f>BZ129</f>
        <v/>
      </c>
      <c r="CA159" s="517">
        <f>CA129</f>
        <v/>
      </c>
      <c r="CB159" s="517">
        <f>CB129</f>
        <v/>
      </c>
      <c r="CC159" s="517">
        <f>CC129</f>
        <v/>
      </c>
      <c r="CD159" s="517">
        <f>CD129</f>
        <v/>
      </c>
      <c r="CE159" s="517">
        <f>CE129</f>
        <v/>
      </c>
      <c r="CF159" s="517">
        <f>CF129</f>
        <v/>
      </c>
      <c r="CG159" s="517">
        <f>CG129</f>
        <v/>
      </c>
      <c r="CH159" s="517">
        <f>CH129</f>
        <v/>
      </c>
      <c r="CI159" s="517">
        <f>CI129</f>
        <v/>
      </c>
      <c r="CJ159" s="517">
        <f>CJ129</f>
        <v/>
      </c>
      <c r="CK159" s="517">
        <f>CK129</f>
        <v/>
      </c>
    </row>
    <row r="160">
      <c r="A160" s="415">
        <f>FS_Q!A49</f>
        <v/>
      </c>
      <c r="B160" s="140" t="n"/>
      <c r="C160" s="140" t="n"/>
      <c r="D160" s="140" t="n"/>
      <c r="E160" s="140" t="n"/>
      <c r="F160" s="140" t="n"/>
      <c r="G160" s="140" t="n"/>
      <c r="H160" s="140" t="n"/>
      <c r="I160" s="140" t="n"/>
      <c r="J160" s="140" t="n"/>
      <c r="K160" s="140" t="n"/>
      <c r="L160" s="140" t="n"/>
      <c r="M160" s="140" t="n"/>
      <c r="N160" s="516">
        <f>FS_Q!N49</f>
        <v/>
      </c>
      <c r="O160" s="516">
        <f>FS_Q!O49</f>
        <v/>
      </c>
      <c r="P160" s="516">
        <f>FS_Q!P49</f>
        <v/>
      </c>
      <c r="Q160" s="516">
        <f>FS_Q!Q49</f>
        <v/>
      </c>
      <c r="R160" s="516">
        <f>FS_Q!R49</f>
        <v/>
      </c>
      <c r="S160" s="516">
        <f>FS_Q!S49</f>
        <v/>
      </c>
      <c r="T160" s="516">
        <f>FS_Q!T49</f>
        <v/>
      </c>
      <c r="U160" s="516">
        <f>FS_Q!U49</f>
        <v/>
      </c>
      <c r="V160" s="516">
        <f>FS_Q!V49</f>
        <v/>
      </c>
      <c r="W160" s="516">
        <f>FS_Q!W49</f>
        <v/>
      </c>
      <c r="X160" s="516">
        <f>FS_Q!X49</f>
        <v/>
      </c>
      <c r="Y160" s="516">
        <f>FS_Q!Y49</f>
        <v/>
      </c>
      <c r="Z160" s="516">
        <f>FS_Q!Z49</f>
        <v/>
      </c>
      <c r="AA160" s="516">
        <f>FS_Q!AA49</f>
        <v/>
      </c>
      <c r="AB160" s="516">
        <f>FS_Q!AB49</f>
        <v/>
      </c>
      <c r="AC160" s="516">
        <f>FS_Q!AC49</f>
        <v/>
      </c>
      <c r="AD160" s="516">
        <f>FS_Q!AD49</f>
        <v/>
      </c>
      <c r="AE160" s="516">
        <f>FS_Q!AE49</f>
        <v/>
      </c>
      <c r="AF160" s="516">
        <f>FS_Q!AF49</f>
        <v/>
      </c>
      <c r="AG160" s="516">
        <f>FS_Q!AG49</f>
        <v/>
      </c>
      <c r="AH160" s="516">
        <f>FS_Q!AH49</f>
        <v/>
      </c>
      <c r="AI160" s="516">
        <f>FS_Q!AI49</f>
        <v/>
      </c>
      <c r="AJ160" s="516">
        <f>FS_Q!AJ49</f>
        <v/>
      </c>
      <c r="AK160" s="516">
        <f>FS_Q!AK49</f>
        <v/>
      </c>
      <c r="AL160" s="516">
        <f>FS_Q!AL49</f>
        <v/>
      </c>
      <c r="AM160" s="516">
        <f>FS_Q!AM49</f>
        <v/>
      </c>
      <c r="AN160" s="516">
        <f>FS_Q!AN49</f>
        <v/>
      </c>
      <c r="AO160" s="516">
        <f>FS_Q!AO49</f>
        <v/>
      </c>
      <c r="AP160" s="516">
        <f>FS_Q!AP49</f>
        <v/>
      </c>
      <c r="AQ160" s="516">
        <f>FS_Q!AQ49</f>
        <v/>
      </c>
      <c r="AR160" s="516">
        <f>FS_Q!AR49</f>
        <v/>
      </c>
      <c r="AS160" s="516">
        <f>FS_Q!AS49</f>
        <v/>
      </c>
      <c r="AT160" s="516">
        <f>FS_Q!AT49</f>
        <v/>
      </c>
      <c r="AU160" s="516">
        <f>FS_Q!AU49</f>
        <v/>
      </c>
      <c r="AV160" s="516">
        <f>FS_Q!AV49</f>
        <v/>
      </c>
      <c r="AW160" s="516">
        <f>FS_Q!AW49</f>
        <v/>
      </c>
      <c r="AX160" s="516">
        <f>FS_Q!AX49</f>
        <v/>
      </c>
      <c r="AY160" s="516">
        <f>FS_Q!AY49</f>
        <v/>
      </c>
      <c r="AZ160" s="516">
        <f>FS_Q!AZ49</f>
        <v/>
      </c>
      <c r="BA160" s="516">
        <f>FS_Q!BA49</f>
        <v/>
      </c>
      <c r="BB160" s="516">
        <f>FS_Q!BB49</f>
        <v/>
      </c>
      <c r="BC160" s="516">
        <f>FS_Q!BC49</f>
        <v/>
      </c>
      <c r="BD160" s="516">
        <f>FS_Q!BD49</f>
        <v/>
      </c>
      <c r="BE160" s="516">
        <f>FS_Q!BE49</f>
        <v/>
      </c>
      <c r="BF160" s="516">
        <f>FS_Q!BF49</f>
        <v/>
      </c>
      <c r="BG160" s="516">
        <f>FS_Q!BG49</f>
        <v/>
      </c>
      <c r="BH160" s="516">
        <f>FS_Q!BH49</f>
        <v/>
      </c>
      <c r="BI160" s="516">
        <f>FS_Q!BI49</f>
        <v/>
      </c>
      <c r="BJ160" s="516">
        <f>FS_Q!BJ49</f>
        <v/>
      </c>
      <c r="BK160" s="516">
        <f>FS_Q!BK49</f>
        <v/>
      </c>
      <c r="BL160" s="516">
        <f>FS_Q!BL49</f>
        <v/>
      </c>
      <c r="BM160" s="516">
        <f>FS_Q!BM49</f>
        <v/>
      </c>
      <c r="BN160" s="516">
        <f>FS_Q!BN49</f>
        <v/>
      </c>
      <c r="BO160" s="516">
        <f>FS_Q!BO49</f>
        <v/>
      </c>
      <c r="BP160" s="516">
        <f>FS_Q!BP49</f>
        <v/>
      </c>
      <c r="BQ160" s="516">
        <f>FS_Q!BQ49</f>
        <v/>
      </c>
      <c r="BR160" s="516">
        <f>FS_Q!BR49</f>
        <v/>
      </c>
      <c r="BS160" s="517">
        <f>BS132</f>
        <v/>
      </c>
      <c r="BT160" s="517">
        <f>BT132</f>
        <v/>
      </c>
      <c r="BU160" s="517">
        <f>BU132</f>
        <v/>
      </c>
      <c r="BV160" s="517">
        <f>BV132</f>
        <v/>
      </c>
      <c r="BW160" s="517">
        <f>BW132</f>
        <v/>
      </c>
      <c r="BX160" s="517">
        <f>BX132</f>
        <v/>
      </c>
      <c r="BY160" s="517">
        <f>BY132</f>
        <v/>
      </c>
      <c r="BZ160" s="517">
        <f>BZ132</f>
        <v/>
      </c>
      <c r="CA160" s="517">
        <f>CA132</f>
        <v/>
      </c>
      <c r="CB160" s="517">
        <f>CB132</f>
        <v/>
      </c>
      <c r="CC160" s="517">
        <f>CC132</f>
        <v/>
      </c>
      <c r="CD160" s="517">
        <f>CD132</f>
        <v/>
      </c>
      <c r="CE160" s="517">
        <f>CE132</f>
        <v/>
      </c>
      <c r="CF160" s="517">
        <f>CF132</f>
        <v/>
      </c>
      <c r="CG160" s="517">
        <f>CG132</f>
        <v/>
      </c>
      <c r="CH160" s="517">
        <f>CH132</f>
        <v/>
      </c>
      <c r="CI160" s="517">
        <f>CI132</f>
        <v/>
      </c>
      <c r="CJ160" s="517">
        <f>CJ132</f>
        <v/>
      </c>
      <c r="CK160" s="517">
        <f>CK132</f>
        <v/>
      </c>
    </row>
    <row r="161">
      <c r="A161" s="415">
        <f>FS_Q!A50</f>
        <v/>
      </c>
      <c r="B161" s="140" t="n"/>
      <c r="C161" s="140" t="n"/>
      <c r="D161" s="140" t="n"/>
      <c r="E161" s="140" t="n"/>
      <c r="F161" s="140" t="n"/>
      <c r="G161" s="140" t="n"/>
      <c r="H161" s="140" t="n"/>
      <c r="I161" s="140" t="n"/>
      <c r="J161" s="140" t="n"/>
      <c r="K161" s="140" t="n"/>
      <c r="L161" s="140" t="n"/>
      <c r="M161" s="140" t="n"/>
      <c r="N161" s="516">
        <f>FS_Q!N50</f>
        <v/>
      </c>
      <c r="O161" s="516">
        <f>FS_Q!O50</f>
        <v/>
      </c>
      <c r="P161" s="516">
        <f>FS_Q!P50</f>
        <v/>
      </c>
      <c r="Q161" s="516">
        <f>FS_Q!Q50</f>
        <v/>
      </c>
      <c r="R161" s="516">
        <f>FS_Q!R50</f>
        <v/>
      </c>
      <c r="S161" s="516">
        <f>FS_Q!S50</f>
        <v/>
      </c>
      <c r="T161" s="516">
        <f>FS_Q!T50</f>
        <v/>
      </c>
      <c r="U161" s="516">
        <f>FS_Q!U50</f>
        <v/>
      </c>
      <c r="V161" s="516">
        <f>FS_Q!V50</f>
        <v/>
      </c>
      <c r="W161" s="516">
        <f>FS_Q!W50</f>
        <v/>
      </c>
      <c r="X161" s="516">
        <f>FS_Q!X50</f>
        <v/>
      </c>
      <c r="Y161" s="516">
        <f>FS_Q!Y50</f>
        <v/>
      </c>
      <c r="Z161" s="516">
        <f>FS_Q!Z50</f>
        <v/>
      </c>
      <c r="AA161" s="516">
        <f>FS_Q!AA50</f>
        <v/>
      </c>
      <c r="AB161" s="516">
        <f>FS_Q!AB50</f>
        <v/>
      </c>
      <c r="AC161" s="516">
        <f>FS_Q!AC50</f>
        <v/>
      </c>
      <c r="AD161" s="516">
        <f>FS_Q!AD50</f>
        <v/>
      </c>
      <c r="AE161" s="516">
        <f>FS_Q!AE50</f>
        <v/>
      </c>
      <c r="AF161" s="516">
        <f>FS_Q!AF50</f>
        <v/>
      </c>
      <c r="AG161" s="516">
        <f>FS_Q!AG50</f>
        <v/>
      </c>
      <c r="AH161" s="516">
        <f>FS_Q!AH50</f>
        <v/>
      </c>
      <c r="AI161" s="516">
        <f>FS_Q!AI50</f>
        <v/>
      </c>
      <c r="AJ161" s="516">
        <f>FS_Q!AJ50</f>
        <v/>
      </c>
      <c r="AK161" s="516">
        <f>FS_Q!AK50</f>
        <v/>
      </c>
      <c r="AL161" s="516">
        <f>FS_Q!AL50</f>
        <v/>
      </c>
      <c r="AM161" s="516">
        <f>FS_Q!AM50</f>
        <v/>
      </c>
      <c r="AN161" s="516">
        <f>FS_Q!AN50</f>
        <v/>
      </c>
      <c r="AO161" s="516">
        <f>FS_Q!AO50</f>
        <v/>
      </c>
      <c r="AP161" s="516">
        <f>FS_Q!AP50</f>
        <v/>
      </c>
      <c r="AQ161" s="516">
        <f>FS_Q!AQ50</f>
        <v/>
      </c>
      <c r="AR161" s="516">
        <f>FS_Q!AR50</f>
        <v/>
      </c>
      <c r="AS161" s="516">
        <f>FS_Q!AS50</f>
        <v/>
      </c>
      <c r="AT161" s="516">
        <f>FS_Q!AT50</f>
        <v/>
      </c>
      <c r="AU161" s="516">
        <f>FS_Q!AU50</f>
        <v/>
      </c>
      <c r="AV161" s="516">
        <f>FS_Q!AV50</f>
        <v/>
      </c>
      <c r="AW161" s="516">
        <f>FS_Q!AW50</f>
        <v/>
      </c>
      <c r="AX161" s="516">
        <f>FS_Q!AX50</f>
        <v/>
      </c>
      <c r="AY161" s="516">
        <f>FS_Q!AY50</f>
        <v/>
      </c>
      <c r="AZ161" s="516">
        <f>FS_Q!AZ50</f>
        <v/>
      </c>
      <c r="BA161" s="516">
        <f>FS_Q!BA50</f>
        <v/>
      </c>
      <c r="BB161" s="516">
        <f>FS_Q!BB50</f>
        <v/>
      </c>
      <c r="BC161" s="516">
        <f>FS_Q!BC50</f>
        <v/>
      </c>
      <c r="BD161" s="516">
        <f>FS_Q!BD50</f>
        <v/>
      </c>
      <c r="BE161" s="516">
        <f>FS_Q!BE50</f>
        <v/>
      </c>
      <c r="BF161" s="516">
        <f>FS_Q!BF50</f>
        <v/>
      </c>
      <c r="BG161" s="516">
        <f>FS_Q!BG50</f>
        <v/>
      </c>
      <c r="BH161" s="516">
        <f>FS_Q!BH50</f>
        <v/>
      </c>
      <c r="BI161" s="516">
        <f>FS_Q!BI50</f>
        <v/>
      </c>
      <c r="BJ161" s="516">
        <f>FS_Q!BJ50</f>
        <v/>
      </c>
      <c r="BK161" s="516">
        <f>FS_Q!BK50</f>
        <v/>
      </c>
      <c r="BL161" s="516">
        <f>FS_Q!BL50</f>
        <v/>
      </c>
      <c r="BM161" s="516">
        <f>FS_Q!BM50</f>
        <v/>
      </c>
      <c r="BN161" s="516">
        <f>FS_Q!BN50</f>
        <v/>
      </c>
      <c r="BO161" s="516">
        <f>FS_Q!BO50</f>
        <v/>
      </c>
      <c r="BP161" s="516">
        <f>FS_Q!BP50</f>
        <v/>
      </c>
      <c r="BQ161" s="516">
        <f>FS_Q!BQ50</f>
        <v/>
      </c>
      <c r="BR161" s="516">
        <f>FS_Q!BR50</f>
        <v/>
      </c>
      <c r="BS161" s="517">
        <f>BS135</f>
        <v/>
      </c>
      <c r="BT161" s="517">
        <f>BT135</f>
        <v/>
      </c>
      <c r="BU161" s="517">
        <f>BU135</f>
        <v/>
      </c>
      <c r="BV161" s="517">
        <f>BV135</f>
        <v/>
      </c>
      <c r="BW161" s="517">
        <f>BW135</f>
        <v/>
      </c>
      <c r="BX161" s="517">
        <f>BX135</f>
        <v/>
      </c>
      <c r="BY161" s="517">
        <f>BY135</f>
        <v/>
      </c>
      <c r="BZ161" s="517">
        <f>BZ135</f>
        <v/>
      </c>
      <c r="CA161" s="517">
        <f>CA135</f>
        <v/>
      </c>
      <c r="CB161" s="517">
        <f>CB135</f>
        <v/>
      </c>
      <c r="CC161" s="517">
        <f>CC135</f>
        <v/>
      </c>
      <c r="CD161" s="517">
        <f>CD135</f>
        <v/>
      </c>
      <c r="CE161" s="517">
        <f>CE135</f>
        <v/>
      </c>
      <c r="CF161" s="517">
        <f>CF135</f>
        <v/>
      </c>
      <c r="CG161" s="517">
        <f>CG135</f>
        <v/>
      </c>
      <c r="CH161" s="517">
        <f>CH135</f>
        <v/>
      </c>
      <c r="CI161" s="517">
        <f>CI135</f>
        <v/>
      </c>
      <c r="CJ161" s="517">
        <f>CJ135</f>
        <v/>
      </c>
      <c r="CK161" s="517">
        <f>CK135</f>
        <v/>
      </c>
    </row>
    <row r="162" customFormat="1" s="22">
      <c r="A162" s="416" t="inlineStr">
        <is>
          <t>Total Current Assets Less cash and short-term investment</t>
        </is>
      </c>
      <c r="B162" s="403" t="n"/>
      <c r="C162" s="403" t="n"/>
      <c r="D162" s="403" t="n"/>
      <c r="E162" s="403" t="n"/>
      <c r="F162" s="403" t="n"/>
      <c r="G162" s="403" t="n"/>
      <c r="H162" s="403" t="n"/>
      <c r="I162" s="403" t="n"/>
      <c r="J162" s="403" t="n"/>
      <c r="K162" s="403" t="n"/>
      <c r="L162" s="403" t="n"/>
      <c r="M162" s="403" t="n"/>
      <c r="N162" s="517">
        <f>SUM(N157:N161)</f>
        <v/>
      </c>
      <c r="O162" s="517">
        <f>SUM(O157:O161)</f>
        <v/>
      </c>
      <c r="P162" s="517">
        <f>SUM(P157:P161)</f>
        <v/>
      </c>
      <c r="Q162" s="517">
        <f>SUM(Q157:Q161)</f>
        <v/>
      </c>
      <c r="R162" s="517">
        <f>SUM(R157:R161)</f>
        <v/>
      </c>
      <c r="S162" s="517">
        <f>SUM(S157:S161)</f>
        <v/>
      </c>
      <c r="T162" s="517">
        <f>SUM(T157:T161)</f>
        <v/>
      </c>
      <c r="U162" s="517">
        <f>SUM(U157:U161)</f>
        <v/>
      </c>
      <c r="V162" s="517">
        <f>SUM(V157:V161)</f>
        <v/>
      </c>
      <c r="W162" s="517">
        <f>SUM(W157:W161)</f>
        <v/>
      </c>
      <c r="X162" s="517">
        <f>SUM(X157:X161)</f>
        <v/>
      </c>
      <c r="Y162" s="517">
        <f>SUM(Y157:Y161)</f>
        <v/>
      </c>
      <c r="Z162" s="517">
        <f>SUM(Z157:Z161)</f>
        <v/>
      </c>
      <c r="AA162" s="517">
        <f>SUM(AA157:AA161)</f>
        <v/>
      </c>
      <c r="AB162" s="517">
        <f>SUM(AB157:AB161)</f>
        <v/>
      </c>
      <c r="AC162" s="517">
        <f>SUM(AC157:AC161)</f>
        <v/>
      </c>
      <c r="AD162" s="517">
        <f>SUM(AD157:AD161)</f>
        <v/>
      </c>
      <c r="AE162" s="517">
        <f>SUM(AE157:AE161)</f>
        <v/>
      </c>
      <c r="AF162" s="517">
        <f>SUM(AF157:AF161)</f>
        <v/>
      </c>
      <c r="AG162" s="517">
        <f>SUM(AG157:AG161)</f>
        <v/>
      </c>
      <c r="AH162" s="517">
        <f>SUM(AH157:AH161)</f>
        <v/>
      </c>
      <c r="AI162" s="517">
        <f>SUM(AI157:AI161)</f>
        <v/>
      </c>
      <c r="AJ162" s="517">
        <f>SUM(AJ157:AJ161)</f>
        <v/>
      </c>
      <c r="AK162" s="517">
        <f>SUM(AK157:AK161)</f>
        <v/>
      </c>
      <c r="AL162" s="517">
        <f>SUM(AL157:AL161)</f>
        <v/>
      </c>
      <c r="AM162" s="517">
        <f>SUM(AM157:AM161)</f>
        <v/>
      </c>
      <c r="AN162" s="517">
        <f>SUM(AN157:AN161)</f>
        <v/>
      </c>
      <c r="AO162" s="517">
        <f>SUM(AO157:AO161)</f>
        <v/>
      </c>
      <c r="AP162" s="517">
        <f>SUM(AP157:AP161)</f>
        <v/>
      </c>
      <c r="AQ162" s="517">
        <f>SUM(AQ157:AQ161)</f>
        <v/>
      </c>
      <c r="AR162" s="517">
        <f>SUM(AR157:AR161)</f>
        <v/>
      </c>
      <c r="AS162" s="517">
        <f>SUM(AS157:AS161)</f>
        <v/>
      </c>
      <c r="AT162" s="517">
        <f>SUM(AT157:AT161)</f>
        <v/>
      </c>
      <c r="AU162" s="517">
        <f>SUM(AU157:AU161)</f>
        <v/>
      </c>
      <c r="AV162" s="517">
        <f>SUM(AV157:AV161)</f>
        <v/>
      </c>
      <c r="AW162" s="517">
        <f>SUM(AW157:AW161)</f>
        <v/>
      </c>
      <c r="AX162" s="517">
        <f>SUM(AX157:AX161)</f>
        <v/>
      </c>
      <c r="AY162" s="517">
        <f>SUM(AY157:AY161)</f>
        <v/>
      </c>
      <c r="AZ162" s="517">
        <f>SUM(AZ157:AZ161)</f>
        <v/>
      </c>
      <c r="BA162" s="517">
        <f>SUM(BA157:BA161)</f>
        <v/>
      </c>
      <c r="BB162" s="517">
        <f>SUM(BB157:BB161)</f>
        <v/>
      </c>
      <c r="BC162" s="517">
        <f>SUM(BC157:BC161)</f>
        <v/>
      </c>
      <c r="BD162" s="517">
        <f>SUM(BD157:BD161)</f>
        <v/>
      </c>
      <c r="BE162" s="517">
        <f>SUM(BE157:BE161)</f>
        <v/>
      </c>
      <c r="BF162" s="517">
        <f>SUM(BF157:BF161)</f>
        <v/>
      </c>
      <c r="BG162" s="517">
        <f>SUM(BG157:BG161)</f>
        <v/>
      </c>
      <c r="BH162" s="517">
        <f>SUM(BH157:BH161)</f>
        <v/>
      </c>
      <c r="BI162" s="517">
        <f>SUM(BI157:BI161)</f>
        <v/>
      </c>
      <c r="BJ162" s="517">
        <f>SUM(BJ157:BJ161)</f>
        <v/>
      </c>
      <c r="BK162" s="517">
        <f>SUM(BK157:BK161)</f>
        <v/>
      </c>
      <c r="BL162" s="517">
        <f>SUM(BL157:BL161)</f>
        <v/>
      </c>
      <c r="BM162" s="517">
        <f>SUM(BM157:BM161)</f>
        <v/>
      </c>
      <c r="BN162" s="517">
        <f>SUM(BN157:BN161)</f>
        <v/>
      </c>
      <c r="BO162" s="517">
        <f>SUM(BO157:BO161)</f>
        <v/>
      </c>
      <c r="BP162" s="517">
        <f>SUM(BP157:BP161)</f>
        <v/>
      </c>
      <c r="BQ162" s="517">
        <f>SUM(BQ157:BQ161)</f>
        <v/>
      </c>
      <c r="BR162" s="517">
        <f>SUM(BR157:BR161)</f>
        <v/>
      </c>
      <c r="BS162" s="517">
        <f>SUM(BS157:BS161)</f>
        <v/>
      </c>
      <c r="BT162" s="517">
        <f>SUM(BT157:BT161)</f>
        <v/>
      </c>
      <c r="BU162" s="517">
        <f>SUM(BU157:BU161)</f>
        <v/>
      </c>
      <c r="BV162" s="517">
        <f>SUM(BV157:BV161)</f>
        <v/>
      </c>
      <c r="BW162" s="517">
        <f>SUM(BW157:BW161)</f>
        <v/>
      </c>
      <c r="BX162" s="517">
        <f>SUM(BX157:BX161)</f>
        <v/>
      </c>
      <c r="BY162" s="517">
        <f>SUM(BY157:BY161)</f>
        <v/>
      </c>
      <c r="BZ162" s="517">
        <f>SUM(BZ157:BZ161)</f>
        <v/>
      </c>
      <c r="CA162" s="517">
        <f>SUM(CA157:CA161)</f>
        <v/>
      </c>
      <c r="CB162" s="517">
        <f>SUM(CB157:CB161)</f>
        <v/>
      </c>
      <c r="CC162" s="517">
        <f>SUM(CC157:CC161)</f>
        <v/>
      </c>
      <c r="CD162" s="517">
        <f>SUM(CD157:CD161)</f>
        <v/>
      </c>
      <c r="CE162" s="517">
        <f>SUM(CE157:CE161)</f>
        <v/>
      </c>
      <c r="CF162" s="517">
        <f>SUM(CF157:CF161)</f>
        <v/>
      </c>
      <c r="CG162" s="517">
        <f>SUM(CG157:CG161)</f>
        <v/>
      </c>
      <c r="CH162" s="517">
        <f>SUM(CH157:CH161)</f>
        <v/>
      </c>
      <c r="CI162" s="517">
        <f>SUM(CI157:CI161)</f>
        <v/>
      </c>
      <c r="CJ162" s="517">
        <f>SUM(CJ157:CJ161)</f>
        <v/>
      </c>
      <c r="CK162" s="517">
        <f>SUM(CK157:CK161)</f>
        <v/>
      </c>
    </row>
    <row r="163" customFormat="1" s="22">
      <c r="A163" s="416" t="n"/>
      <c r="B163" s="403" t="n"/>
      <c r="C163" s="403" t="n"/>
      <c r="D163" s="403" t="n"/>
      <c r="E163" s="403" t="n"/>
      <c r="F163" s="403" t="n"/>
      <c r="G163" s="403" t="n"/>
      <c r="H163" s="403" t="n"/>
      <c r="I163" s="403" t="n"/>
      <c r="J163" s="403" t="n"/>
      <c r="K163" s="403" t="n"/>
      <c r="L163" s="403" t="n"/>
      <c r="M163" s="403" t="n"/>
    </row>
    <row r="164">
      <c r="A164" s="924">
        <f>FS_Q!A59</f>
        <v/>
      </c>
      <c r="B164" s="140" t="n"/>
      <c r="C164" s="140" t="n"/>
      <c r="D164" s="140" t="n"/>
      <c r="E164" s="140" t="n"/>
      <c r="F164" s="140" t="n"/>
      <c r="G164" s="140" t="n"/>
      <c r="H164" s="140" t="n"/>
      <c r="I164" s="140" t="n"/>
      <c r="J164" s="140" t="n"/>
      <c r="K164" s="140" t="n"/>
      <c r="L164" s="140" t="n"/>
      <c r="M164" s="140" t="n"/>
      <c r="N164" s="516">
        <f>FS_Q!N59</f>
        <v/>
      </c>
      <c r="O164" s="516">
        <f>FS_Q!O59</f>
        <v/>
      </c>
      <c r="P164" s="516">
        <f>FS_Q!P59</f>
        <v/>
      </c>
      <c r="Q164" s="516">
        <f>FS_Q!Q59</f>
        <v/>
      </c>
      <c r="R164" s="516">
        <f>FS_Q!R59</f>
        <v/>
      </c>
      <c r="S164" s="516">
        <f>FS_Q!S59</f>
        <v/>
      </c>
      <c r="T164" s="516">
        <f>FS_Q!T59</f>
        <v/>
      </c>
      <c r="U164" s="516">
        <f>FS_Q!U59</f>
        <v/>
      </c>
      <c r="V164" s="516">
        <f>FS_Q!V59</f>
        <v/>
      </c>
      <c r="W164" s="516">
        <f>FS_Q!W59</f>
        <v/>
      </c>
      <c r="X164" s="516">
        <f>FS_Q!X59</f>
        <v/>
      </c>
      <c r="Y164" s="516">
        <f>FS_Q!Y59</f>
        <v/>
      </c>
      <c r="Z164" s="516">
        <f>FS_Q!Z59</f>
        <v/>
      </c>
      <c r="AA164" s="516">
        <f>FS_Q!AA59</f>
        <v/>
      </c>
      <c r="AB164" s="516">
        <f>FS_Q!AB59</f>
        <v/>
      </c>
      <c r="AC164" s="516">
        <f>FS_Q!AC59</f>
        <v/>
      </c>
      <c r="AD164" s="516">
        <f>FS_Q!AD59</f>
        <v/>
      </c>
      <c r="AE164" s="516">
        <f>FS_Q!AE59</f>
        <v/>
      </c>
      <c r="AF164" s="516">
        <f>FS_Q!AF59</f>
        <v/>
      </c>
      <c r="AG164" s="516">
        <f>FS_Q!AG59</f>
        <v/>
      </c>
      <c r="AH164" s="516">
        <f>FS_Q!AH59</f>
        <v/>
      </c>
      <c r="AI164" s="516">
        <f>FS_Q!AI59</f>
        <v/>
      </c>
      <c r="AJ164" s="516">
        <f>FS_Q!AJ59</f>
        <v/>
      </c>
      <c r="AK164" s="516">
        <f>FS_Q!AK59</f>
        <v/>
      </c>
      <c r="AL164" s="516">
        <f>FS_Q!AL59</f>
        <v/>
      </c>
      <c r="AM164" s="516">
        <f>FS_Q!AM59</f>
        <v/>
      </c>
      <c r="AN164" s="516">
        <f>FS_Q!AN59</f>
        <v/>
      </c>
      <c r="AO164" s="516">
        <f>FS_Q!AO59</f>
        <v/>
      </c>
      <c r="AP164" s="516">
        <f>FS_Q!AP59</f>
        <v/>
      </c>
      <c r="AQ164" s="516">
        <f>FS_Q!AQ59</f>
        <v/>
      </c>
      <c r="AR164" s="516">
        <f>FS_Q!AR59</f>
        <v/>
      </c>
      <c r="AS164" s="516">
        <f>FS_Q!AS59</f>
        <v/>
      </c>
      <c r="AT164" s="516">
        <f>FS_Q!AT59</f>
        <v/>
      </c>
      <c r="AU164" s="516">
        <f>FS_Q!AU59</f>
        <v/>
      </c>
      <c r="AV164" s="516">
        <f>FS_Q!AV59</f>
        <v/>
      </c>
      <c r="AW164" s="516">
        <f>FS_Q!AW59</f>
        <v/>
      </c>
      <c r="AX164" s="516">
        <f>FS_Q!AX59</f>
        <v/>
      </c>
      <c r="AY164" s="516">
        <f>FS_Q!AY59</f>
        <v/>
      </c>
      <c r="AZ164" s="516">
        <f>FS_Q!AZ59</f>
        <v/>
      </c>
      <c r="BA164" s="516">
        <f>FS_Q!BA59</f>
        <v/>
      </c>
      <c r="BB164" s="516">
        <f>FS_Q!BB59</f>
        <v/>
      </c>
      <c r="BC164" s="516">
        <f>FS_Q!BC59</f>
        <v/>
      </c>
      <c r="BD164" s="516">
        <f>FS_Q!BD59</f>
        <v/>
      </c>
      <c r="BE164" s="516">
        <f>FS_Q!BE59</f>
        <v/>
      </c>
      <c r="BF164" s="516">
        <f>FS_Q!BF59</f>
        <v/>
      </c>
      <c r="BG164" s="516">
        <f>FS_Q!BG59</f>
        <v/>
      </c>
      <c r="BH164" s="516">
        <f>FS_Q!BH59</f>
        <v/>
      </c>
      <c r="BI164" s="516">
        <f>FS_Q!BI59</f>
        <v/>
      </c>
      <c r="BJ164" s="516">
        <f>FS_Q!BJ59</f>
        <v/>
      </c>
      <c r="BK164" s="516">
        <f>FS_Q!BK59</f>
        <v/>
      </c>
      <c r="BL164" s="516">
        <f>FS_Q!BL59</f>
        <v/>
      </c>
      <c r="BM164" s="516">
        <f>FS_Q!BM59</f>
        <v/>
      </c>
      <c r="BN164" s="516">
        <f>FS_Q!BN59</f>
        <v/>
      </c>
      <c r="BO164" s="516">
        <f>FS_Q!BO59</f>
        <v/>
      </c>
      <c r="BP164" s="516">
        <f>FS_Q!BP59</f>
        <v/>
      </c>
      <c r="BQ164" s="516">
        <f>FS_Q!BQ59</f>
        <v/>
      </c>
      <c r="BR164" s="516">
        <f>FS_Q!BR59</f>
        <v/>
      </c>
      <c r="BS164" s="517">
        <f>BS$153*BS139/BS$245</f>
        <v/>
      </c>
      <c r="BT164" s="517">
        <f>BT$153*BT139/BT$245</f>
        <v/>
      </c>
      <c r="BU164" s="517">
        <f>BU$153*BU139/BU$245</f>
        <v/>
      </c>
      <c r="BV164" s="517">
        <f>BV$153*BV139/BV$245</f>
        <v/>
      </c>
      <c r="BW164" s="517">
        <f>BW$153*BW139/BW$245</f>
        <v/>
      </c>
      <c r="BX164" s="517">
        <f>BX$153*BX139/BX$245</f>
        <v/>
      </c>
      <c r="BY164" s="517">
        <f>BY$153*BY139/BY$245</f>
        <v/>
      </c>
      <c r="BZ164" s="517">
        <f>BZ$153*BZ139/BZ$245</f>
        <v/>
      </c>
      <c r="CA164" s="517">
        <f>CA$153*CA139/CA$245</f>
        <v/>
      </c>
      <c r="CB164" s="517">
        <f>CB$153*CB139/CB$245</f>
        <v/>
      </c>
      <c r="CC164" s="517">
        <f>CC$153*CC139/CC$245</f>
        <v/>
      </c>
      <c r="CD164" s="517">
        <f>CD$153*CD139/CD$245</f>
        <v/>
      </c>
      <c r="CE164" s="517">
        <f>CE$153*CE139/CE$245</f>
        <v/>
      </c>
      <c r="CF164" s="517">
        <f>CF$153*CF139/CF$245</f>
        <v/>
      </c>
      <c r="CG164" s="517">
        <f>CG$153*CG139/CG$245</f>
        <v/>
      </c>
      <c r="CH164" s="517">
        <f>CH$153*CH139/CH$245</f>
        <v/>
      </c>
      <c r="CI164" s="517">
        <f>CI$153*CI139/CI$245</f>
        <v/>
      </c>
      <c r="CJ164" s="517">
        <f>CJ$153*CJ139/CJ$245</f>
        <v/>
      </c>
      <c r="CK164" s="517">
        <f>CK$153*CK139/CK$245</f>
        <v/>
      </c>
    </row>
    <row r="165">
      <c r="A165" s="924">
        <f>FS_Q!A60</f>
        <v/>
      </c>
      <c r="B165" s="140" t="n"/>
      <c r="C165" s="140" t="n"/>
      <c r="D165" s="140" t="n"/>
      <c r="E165" s="140" t="n"/>
      <c r="F165" s="140" t="n"/>
      <c r="G165" s="140" t="n"/>
      <c r="H165" s="140" t="n"/>
      <c r="I165" s="140" t="n"/>
      <c r="J165" s="140" t="n"/>
      <c r="K165" s="140" t="n"/>
      <c r="L165" s="140" t="n"/>
      <c r="M165" s="140" t="n"/>
      <c r="N165" s="516">
        <f>FS_Q!N60</f>
        <v/>
      </c>
      <c r="O165" s="516">
        <f>FS_Q!O60</f>
        <v/>
      </c>
      <c r="P165" s="516">
        <f>FS_Q!P60</f>
        <v/>
      </c>
      <c r="Q165" s="516">
        <f>FS_Q!Q60</f>
        <v/>
      </c>
      <c r="R165" s="516">
        <f>FS_Q!R60</f>
        <v/>
      </c>
      <c r="S165" s="516">
        <f>FS_Q!S60</f>
        <v/>
      </c>
      <c r="T165" s="516">
        <f>FS_Q!T60</f>
        <v/>
      </c>
      <c r="U165" s="516">
        <f>FS_Q!U60</f>
        <v/>
      </c>
      <c r="V165" s="516">
        <f>FS_Q!V60</f>
        <v/>
      </c>
      <c r="W165" s="516">
        <f>FS_Q!W60</f>
        <v/>
      </c>
      <c r="X165" s="516">
        <f>FS_Q!X60</f>
        <v/>
      </c>
      <c r="Y165" s="516">
        <f>FS_Q!Y60</f>
        <v/>
      </c>
      <c r="Z165" s="516">
        <f>FS_Q!Z60</f>
        <v/>
      </c>
      <c r="AA165" s="516">
        <f>FS_Q!AA60</f>
        <v/>
      </c>
      <c r="AB165" s="516">
        <f>FS_Q!AB60</f>
        <v/>
      </c>
      <c r="AC165" s="516">
        <f>FS_Q!AC60</f>
        <v/>
      </c>
      <c r="AD165" s="516">
        <f>FS_Q!AD60</f>
        <v/>
      </c>
      <c r="AE165" s="516">
        <f>FS_Q!AE60</f>
        <v/>
      </c>
      <c r="AF165" s="516">
        <f>FS_Q!AF60</f>
        <v/>
      </c>
      <c r="AG165" s="516">
        <f>FS_Q!AG60</f>
        <v/>
      </c>
      <c r="AH165" s="516">
        <f>FS_Q!AH60</f>
        <v/>
      </c>
      <c r="AI165" s="516">
        <f>FS_Q!AI60</f>
        <v/>
      </c>
      <c r="AJ165" s="516">
        <f>FS_Q!AJ60</f>
        <v/>
      </c>
      <c r="AK165" s="516">
        <f>FS_Q!AK60</f>
        <v/>
      </c>
      <c r="AL165" s="516">
        <f>FS_Q!AL60</f>
        <v/>
      </c>
      <c r="AM165" s="516">
        <f>FS_Q!AM60</f>
        <v/>
      </c>
      <c r="AN165" s="516">
        <f>FS_Q!AN60</f>
        <v/>
      </c>
      <c r="AO165" s="516">
        <f>FS_Q!AO60</f>
        <v/>
      </c>
      <c r="AP165" s="516">
        <f>FS_Q!AP60</f>
        <v/>
      </c>
      <c r="AQ165" s="516">
        <f>FS_Q!AQ60</f>
        <v/>
      </c>
      <c r="AR165" s="516">
        <f>FS_Q!AR60</f>
        <v/>
      </c>
      <c r="AS165" s="516">
        <f>FS_Q!AS60</f>
        <v/>
      </c>
      <c r="AT165" s="516">
        <f>FS_Q!AT60</f>
        <v/>
      </c>
      <c r="AU165" s="516">
        <f>FS_Q!AU60</f>
        <v/>
      </c>
      <c r="AV165" s="516">
        <f>FS_Q!AV60</f>
        <v/>
      </c>
      <c r="AW165" s="516">
        <f>FS_Q!AW60</f>
        <v/>
      </c>
      <c r="AX165" s="516">
        <f>FS_Q!AX60</f>
        <v/>
      </c>
      <c r="AY165" s="516">
        <f>FS_Q!AY60</f>
        <v/>
      </c>
      <c r="AZ165" s="516">
        <f>FS_Q!AZ60</f>
        <v/>
      </c>
      <c r="BA165" s="516">
        <f>FS_Q!BA60</f>
        <v/>
      </c>
      <c r="BB165" s="516">
        <f>FS_Q!BB60</f>
        <v/>
      </c>
      <c r="BC165" s="516">
        <f>FS_Q!BC60</f>
        <v/>
      </c>
      <c r="BD165" s="516">
        <f>FS_Q!BD60</f>
        <v/>
      </c>
      <c r="BE165" s="516">
        <f>FS_Q!BE60</f>
        <v/>
      </c>
      <c r="BF165" s="516">
        <f>FS_Q!BF60</f>
        <v/>
      </c>
      <c r="BG165" s="516">
        <f>FS_Q!BG60</f>
        <v/>
      </c>
      <c r="BH165" s="516">
        <f>FS_Q!BH60</f>
        <v/>
      </c>
      <c r="BI165" s="516">
        <f>FS_Q!BI60</f>
        <v/>
      </c>
      <c r="BJ165" s="516">
        <f>FS_Q!BJ60</f>
        <v/>
      </c>
      <c r="BK165" s="516">
        <f>FS_Q!BK60</f>
        <v/>
      </c>
      <c r="BL165" s="516">
        <f>FS_Q!BL60</f>
        <v/>
      </c>
      <c r="BM165" s="516">
        <f>FS_Q!BM60</f>
        <v/>
      </c>
      <c r="BN165" s="516">
        <f>FS_Q!BN60</f>
        <v/>
      </c>
      <c r="BO165" s="516">
        <f>FS_Q!BO60</f>
        <v/>
      </c>
      <c r="BP165" s="516">
        <f>FS_Q!BP60</f>
        <v/>
      </c>
      <c r="BQ165" s="516">
        <f>FS_Q!BQ60</f>
        <v/>
      </c>
      <c r="BR165" s="516">
        <f>FS_Q!BR60</f>
        <v/>
      </c>
      <c r="BS165" s="517">
        <f>BS142</f>
        <v/>
      </c>
      <c r="BT165" s="517">
        <f>BT142</f>
        <v/>
      </c>
      <c r="BU165" s="517">
        <f>BU142</f>
        <v/>
      </c>
      <c r="BV165" s="517">
        <f>BV142</f>
        <v/>
      </c>
      <c r="BW165" s="517">
        <f>BW142</f>
        <v/>
      </c>
      <c r="BX165" s="517">
        <f>BX142</f>
        <v/>
      </c>
      <c r="BY165" s="517">
        <f>BY142</f>
        <v/>
      </c>
      <c r="BZ165" s="517">
        <f>BZ142</f>
        <v/>
      </c>
      <c r="CA165" s="517">
        <f>CA142</f>
        <v/>
      </c>
      <c r="CB165" s="517">
        <f>CB142</f>
        <v/>
      </c>
      <c r="CC165" s="517">
        <f>CC142</f>
        <v/>
      </c>
      <c r="CD165" s="517">
        <f>CD142</f>
        <v/>
      </c>
      <c r="CE165" s="517">
        <f>CE142</f>
        <v/>
      </c>
      <c r="CF165" s="517">
        <f>CF142</f>
        <v/>
      </c>
      <c r="CG165" s="517">
        <f>CG142</f>
        <v/>
      </c>
      <c r="CH165" s="517">
        <f>CH142</f>
        <v/>
      </c>
      <c r="CI165" s="517">
        <f>CI142</f>
        <v/>
      </c>
      <c r="CJ165" s="517">
        <f>CJ142</f>
        <v/>
      </c>
      <c r="CK165" s="517">
        <f>CK142</f>
        <v/>
      </c>
    </row>
    <row r="166">
      <c r="A166" s="924">
        <f>FS_Q!A61</f>
        <v/>
      </c>
      <c r="B166" s="140" t="n"/>
      <c r="C166" s="140" t="n"/>
      <c r="D166" s="140" t="n"/>
      <c r="E166" s="140" t="n"/>
      <c r="F166" s="140" t="n"/>
      <c r="G166" s="140" t="n"/>
      <c r="H166" s="140" t="n"/>
      <c r="I166" s="140" t="n"/>
      <c r="J166" s="140" t="n"/>
      <c r="K166" s="140" t="n"/>
      <c r="L166" s="140" t="n"/>
      <c r="M166" s="140" t="n"/>
      <c r="N166" s="516">
        <f>FS_Q!N61</f>
        <v/>
      </c>
      <c r="O166" s="516">
        <f>FS_Q!O61</f>
        <v/>
      </c>
      <c r="P166" s="516">
        <f>FS_Q!P61</f>
        <v/>
      </c>
      <c r="Q166" s="516">
        <f>FS_Q!Q61</f>
        <v/>
      </c>
      <c r="R166" s="516">
        <f>FS_Q!R61</f>
        <v/>
      </c>
      <c r="S166" s="516">
        <f>FS_Q!S61</f>
        <v/>
      </c>
      <c r="T166" s="516">
        <f>FS_Q!T61</f>
        <v/>
      </c>
      <c r="U166" s="516">
        <f>FS_Q!U61</f>
        <v/>
      </c>
      <c r="V166" s="516">
        <f>FS_Q!V61</f>
        <v/>
      </c>
      <c r="W166" s="516">
        <f>FS_Q!W61</f>
        <v/>
      </c>
      <c r="X166" s="516">
        <f>FS_Q!X61</f>
        <v/>
      </c>
      <c r="Y166" s="516">
        <f>FS_Q!Y61</f>
        <v/>
      </c>
      <c r="Z166" s="516">
        <f>FS_Q!Z61</f>
        <v/>
      </c>
      <c r="AA166" s="516">
        <f>FS_Q!AA61</f>
        <v/>
      </c>
      <c r="AB166" s="516">
        <f>FS_Q!AB61</f>
        <v/>
      </c>
      <c r="AC166" s="516">
        <f>FS_Q!AC61</f>
        <v/>
      </c>
      <c r="AD166" s="516">
        <f>FS_Q!AD61</f>
        <v/>
      </c>
      <c r="AE166" s="516">
        <f>FS_Q!AE61</f>
        <v/>
      </c>
      <c r="AF166" s="516">
        <f>FS_Q!AF61</f>
        <v/>
      </c>
      <c r="AG166" s="516">
        <f>FS_Q!AG61</f>
        <v/>
      </c>
      <c r="AH166" s="516">
        <f>FS_Q!AH61</f>
        <v/>
      </c>
      <c r="AI166" s="516">
        <f>FS_Q!AI61</f>
        <v/>
      </c>
      <c r="AJ166" s="516">
        <f>FS_Q!AJ61</f>
        <v/>
      </c>
      <c r="AK166" s="516">
        <f>FS_Q!AK61</f>
        <v/>
      </c>
      <c r="AL166" s="516">
        <f>FS_Q!AL61</f>
        <v/>
      </c>
      <c r="AM166" s="516">
        <f>FS_Q!AM61</f>
        <v/>
      </c>
      <c r="AN166" s="516">
        <f>FS_Q!AN61</f>
        <v/>
      </c>
      <c r="AO166" s="516">
        <f>FS_Q!AO61</f>
        <v/>
      </c>
      <c r="AP166" s="516">
        <f>FS_Q!AP61</f>
        <v/>
      </c>
      <c r="AQ166" s="516">
        <f>FS_Q!AQ61</f>
        <v/>
      </c>
      <c r="AR166" s="516">
        <f>FS_Q!AR61</f>
        <v/>
      </c>
      <c r="AS166" s="516">
        <f>FS_Q!AS61</f>
        <v/>
      </c>
      <c r="AT166" s="516">
        <f>FS_Q!AT61</f>
        <v/>
      </c>
      <c r="AU166" s="516">
        <f>FS_Q!AU61</f>
        <v/>
      </c>
      <c r="AV166" s="516">
        <f>FS_Q!AV61</f>
        <v/>
      </c>
      <c r="AW166" s="516">
        <f>FS_Q!AW61</f>
        <v/>
      </c>
      <c r="AX166" s="516">
        <f>FS_Q!AX61</f>
        <v/>
      </c>
      <c r="AY166" s="516">
        <f>FS_Q!AY61</f>
        <v/>
      </c>
      <c r="AZ166" s="516">
        <f>FS_Q!AZ61</f>
        <v/>
      </c>
      <c r="BA166" s="516">
        <f>FS_Q!BA61</f>
        <v/>
      </c>
      <c r="BB166" s="516">
        <f>FS_Q!BB61</f>
        <v/>
      </c>
      <c r="BC166" s="516">
        <f>FS_Q!BC61</f>
        <v/>
      </c>
      <c r="BD166" s="516">
        <f>FS_Q!BD61</f>
        <v/>
      </c>
      <c r="BE166" s="516">
        <f>FS_Q!BE61</f>
        <v/>
      </c>
      <c r="BF166" s="516">
        <f>FS_Q!BF61</f>
        <v/>
      </c>
      <c r="BG166" s="516">
        <f>FS_Q!BG61</f>
        <v/>
      </c>
      <c r="BH166" s="516">
        <f>FS_Q!BH61</f>
        <v/>
      </c>
      <c r="BI166" s="516">
        <f>FS_Q!BI61</f>
        <v/>
      </c>
      <c r="BJ166" s="516">
        <f>FS_Q!BJ61</f>
        <v/>
      </c>
      <c r="BK166" s="516">
        <f>FS_Q!BK61</f>
        <v/>
      </c>
      <c r="BL166" s="516">
        <f>FS_Q!BL61</f>
        <v/>
      </c>
      <c r="BM166" s="516">
        <f>FS_Q!BM61</f>
        <v/>
      </c>
      <c r="BN166" s="516">
        <f>FS_Q!BN61</f>
        <v/>
      </c>
      <c r="BO166" s="516">
        <f>FS_Q!BO61</f>
        <v/>
      </c>
      <c r="BP166" s="516">
        <f>FS_Q!BP61</f>
        <v/>
      </c>
      <c r="BQ166" s="516">
        <f>FS_Q!BQ61</f>
        <v/>
      </c>
      <c r="BR166" s="516">
        <f>FS_Q!BR61</f>
        <v/>
      </c>
      <c r="BS166" s="517">
        <f>BS145</f>
        <v/>
      </c>
      <c r="BT166" s="517">
        <f>BT145</f>
        <v/>
      </c>
      <c r="BU166" s="517">
        <f>BU145</f>
        <v/>
      </c>
      <c r="BV166" s="517">
        <f>BV145</f>
        <v/>
      </c>
      <c r="BW166" s="517">
        <f>BW145</f>
        <v/>
      </c>
      <c r="BX166" s="517">
        <f>BX145</f>
        <v/>
      </c>
      <c r="BY166" s="517">
        <f>BY145</f>
        <v/>
      </c>
      <c r="BZ166" s="517">
        <f>BZ145</f>
        <v/>
      </c>
      <c r="CA166" s="517">
        <f>CA145</f>
        <v/>
      </c>
      <c r="CB166" s="517">
        <f>CB145</f>
        <v/>
      </c>
      <c r="CC166" s="517">
        <f>CC145</f>
        <v/>
      </c>
      <c r="CD166" s="517">
        <f>CD145</f>
        <v/>
      </c>
      <c r="CE166" s="517">
        <f>CE145</f>
        <v/>
      </c>
      <c r="CF166" s="517">
        <f>CF145</f>
        <v/>
      </c>
      <c r="CG166" s="517">
        <f>CG145</f>
        <v/>
      </c>
      <c r="CH166" s="517">
        <f>CH145</f>
        <v/>
      </c>
      <c r="CI166" s="517">
        <f>CI145</f>
        <v/>
      </c>
      <c r="CJ166" s="517">
        <f>CJ145</f>
        <v/>
      </c>
      <c r="CK166" s="517">
        <f>CK145</f>
        <v/>
      </c>
    </row>
    <row r="167">
      <c r="A167" s="924">
        <f>FS_Q!A62</f>
        <v/>
      </c>
      <c r="B167" s="140" t="n"/>
      <c r="C167" s="140" t="n"/>
      <c r="D167" s="140" t="n"/>
      <c r="E167" s="140" t="n"/>
      <c r="F167" s="140" t="n"/>
      <c r="G167" s="140" t="n"/>
      <c r="H167" s="140" t="n"/>
      <c r="I167" s="140" t="n"/>
      <c r="J167" s="140" t="n"/>
      <c r="K167" s="140" t="n"/>
      <c r="L167" s="140" t="n"/>
      <c r="M167" s="140" t="n"/>
      <c r="N167" s="516">
        <f>FS_Q!N62</f>
        <v/>
      </c>
      <c r="O167" s="516">
        <f>FS_Q!O62</f>
        <v/>
      </c>
      <c r="P167" s="516">
        <f>FS_Q!P62</f>
        <v/>
      </c>
      <c r="Q167" s="516">
        <f>FS_Q!Q62</f>
        <v/>
      </c>
      <c r="R167" s="516">
        <f>FS_Q!R62</f>
        <v/>
      </c>
      <c r="S167" s="516">
        <f>FS_Q!S62</f>
        <v/>
      </c>
      <c r="T167" s="516">
        <f>FS_Q!T62</f>
        <v/>
      </c>
      <c r="U167" s="516">
        <f>FS_Q!U62</f>
        <v/>
      </c>
      <c r="V167" s="516">
        <f>FS_Q!V62</f>
        <v/>
      </c>
      <c r="W167" s="516">
        <f>FS_Q!W62</f>
        <v/>
      </c>
      <c r="X167" s="516">
        <f>FS_Q!X62</f>
        <v/>
      </c>
      <c r="Y167" s="516">
        <f>FS_Q!Y62</f>
        <v/>
      </c>
      <c r="Z167" s="516">
        <f>FS_Q!Z62</f>
        <v/>
      </c>
      <c r="AA167" s="516">
        <f>FS_Q!AA62</f>
        <v/>
      </c>
      <c r="AB167" s="516">
        <f>FS_Q!AB62</f>
        <v/>
      </c>
      <c r="AC167" s="516">
        <f>FS_Q!AC62</f>
        <v/>
      </c>
      <c r="AD167" s="516">
        <f>FS_Q!AD62</f>
        <v/>
      </c>
      <c r="AE167" s="516">
        <f>FS_Q!AE62</f>
        <v/>
      </c>
      <c r="AF167" s="516">
        <f>FS_Q!AF62</f>
        <v/>
      </c>
      <c r="AG167" s="516">
        <f>FS_Q!AG62</f>
        <v/>
      </c>
      <c r="AH167" s="516">
        <f>FS_Q!AH62</f>
        <v/>
      </c>
      <c r="AI167" s="516">
        <f>FS_Q!AI62</f>
        <v/>
      </c>
      <c r="AJ167" s="516">
        <f>FS_Q!AJ62</f>
        <v/>
      </c>
      <c r="AK167" s="516">
        <f>FS_Q!AK62</f>
        <v/>
      </c>
      <c r="AL167" s="516">
        <f>FS_Q!AL62</f>
        <v/>
      </c>
      <c r="AM167" s="516">
        <f>FS_Q!AM62</f>
        <v/>
      </c>
      <c r="AN167" s="516">
        <f>FS_Q!AN62</f>
        <v/>
      </c>
      <c r="AO167" s="516">
        <f>FS_Q!AO62</f>
        <v/>
      </c>
      <c r="AP167" s="516">
        <f>FS_Q!AP62</f>
        <v/>
      </c>
      <c r="AQ167" s="516">
        <f>FS_Q!AQ62</f>
        <v/>
      </c>
      <c r="AR167" s="516">
        <f>FS_Q!AR62</f>
        <v/>
      </c>
      <c r="AS167" s="516">
        <f>FS_Q!AS62</f>
        <v/>
      </c>
      <c r="AT167" s="516">
        <f>FS_Q!AT62</f>
        <v/>
      </c>
      <c r="AU167" s="516">
        <f>FS_Q!AU62</f>
        <v/>
      </c>
      <c r="AV167" s="516">
        <f>FS_Q!AV62</f>
        <v/>
      </c>
      <c r="AW167" s="516">
        <f>FS_Q!AW62</f>
        <v/>
      </c>
      <c r="AX167" s="516">
        <f>FS_Q!AX62</f>
        <v/>
      </c>
      <c r="AY167" s="516">
        <f>FS_Q!AY62</f>
        <v/>
      </c>
      <c r="AZ167" s="516">
        <f>FS_Q!AZ62</f>
        <v/>
      </c>
      <c r="BA167" s="516">
        <f>FS_Q!BA62</f>
        <v/>
      </c>
      <c r="BB167" s="516">
        <f>FS_Q!BB62</f>
        <v/>
      </c>
      <c r="BC167" s="516">
        <f>FS_Q!BC62</f>
        <v/>
      </c>
      <c r="BD167" s="516">
        <f>FS_Q!BD62</f>
        <v/>
      </c>
      <c r="BE167" s="516">
        <f>FS_Q!BE62</f>
        <v/>
      </c>
      <c r="BF167" s="516">
        <f>FS_Q!BF62</f>
        <v/>
      </c>
      <c r="BG167" s="516">
        <f>FS_Q!BG62</f>
        <v/>
      </c>
      <c r="BH167" s="516">
        <f>FS_Q!BH62</f>
        <v/>
      </c>
      <c r="BI167" s="516">
        <f>FS_Q!BI62</f>
        <v/>
      </c>
      <c r="BJ167" s="516">
        <f>FS_Q!BJ62</f>
        <v/>
      </c>
      <c r="BK167" s="516">
        <f>FS_Q!BK62</f>
        <v/>
      </c>
      <c r="BL167" s="516">
        <f>FS_Q!BL62</f>
        <v/>
      </c>
      <c r="BM167" s="516">
        <f>FS_Q!BM62</f>
        <v/>
      </c>
      <c r="BN167" s="516">
        <f>FS_Q!BN62</f>
        <v/>
      </c>
      <c r="BO167" s="516">
        <f>FS_Q!BO62</f>
        <v/>
      </c>
      <c r="BP167" s="516">
        <f>FS_Q!BP62</f>
        <v/>
      </c>
      <c r="BQ167" s="516">
        <f>FS_Q!BQ62</f>
        <v/>
      </c>
      <c r="BR167" s="516">
        <f>FS_Q!BR62</f>
        <v/>
      </c>
      <c r="BS167" s="517">
        <f>BS148</f>
        <v/>
      </c>
      <c r="BT167" s="517">
        <f>BT148</f>
        <v/>
      </c>
      <c r="BU167" s="517">
        <f>BU148</f>
        <v/>
      </c>
      <c r="BV167" s="517">
        <f>BV148</f>
        <v/>
      </c>
      <c r="BW167" s="517">
        <f>BW148</f>
        <v/>
      </c>
      <c r="BX167" s="517">
        <f>BX148</f>
        <v/>
      </c>
      <c r="BY167" s="517">
        <f>BY148</f>
        <v/>
      </c>
      <c r="BZ167" s="517">
        <f>BZ148</f>
        <v/>
      </c>
      <c r="CA167" s="517">
        <f>CA148</f>
        <v/>
      </c>
      <c r="CB167" s="517">
        <f>CB148</f>
        <v/>
      </c>
      <c r="CC167" s="517">
        <f>CC148</f>
        <v/>
      </c>
      <c r="CD167" s="517">
        <f>CD148</f>
        <v/>
      </c>
      <c r="CE167" s="517">
        <f>CE148</f>
        <v/>
      </c>
      <c r="CF167" s="517">
        <f>CF148</f>
        <v/>
      </c>
      <c r="CG167" s="517">
        <f>CG148</f>
        <v/>
      </c>
      <c r="CH167" s="517">
        <f>CH148</f>
        <v/>
      </c>
      <c r="CI167" s="517">
        <f>CI148</f>
        <v/>
      </c>
      <c r="CJ167" s="517">
        <f>CJ148</f>
        <v/>
      </c>
      <c r="CK167" s="517">
        <f>CK148</f>
        <v/>
      </c>
    </row>
    <row r="168">
      <c r="A168" s="923" t="inlineStr">
        <is>
          <t>Total Current Liabilities Less Debt</t>
        </is>
      </c>
      <c r="B168" s="403" t="n"/>
      <c r="C168" s="403" t="n"/>
      <c r="D168" s="403" t="n"/>
      <c r="E168" s="403" t="n"/>
      <c r="F168" s="403" t="n"/>
      <c r="G168" s="403" t="n"/>
      <c r="H168" s="403" t="n"/>
      <c r="I168" s="403" t="n"/>
      <c r="J168" s="403" t="n"/>
      <c r="K168" s="403" t="n"/>
      <c r="L168" s="403" t="n"/>
      <c r="M168" s="403" t="n"/>
      <c r="N168" s="517">
        <f>SUM(N164:N167)</f>
        <v/>
      </c>
      <c r="O168" s="517">
        <f>SUM(O164:O167)</f>
        <v/>
      </c>
      <c r="P168" s="517">
        <f>SUM(P164:P167)</f>
        <v/>
      </c>
      <c r="Q168" s="517">
        <f>SUM(Q164:Q167)</f>
        <v/>
      </c>
      <c r="R168" s="517">
        <f>SUM(R164:R167)</f>
        <v/>
      </c>
      <c r="S168" s="517">
        <f>SUM(S164:S167)</f>
        <v/>
      </c>
      <c r="T168" s="517">
        <f>SUM(T164:T167)</f>
        <v/>
      </c>
      <c r="U168" s="517">
        <f>SUM(U164:U167)</f>
        <v/>
      </c>
      <c r="V168" s="517">
        <f>SUM(V164:V167)</f>
        <v/>
      </c>
      <c r="W168" s="517">
        <f>SUM(W164:W167)</f>
        <v/>
      </c>
      <c r="X168" s="517">
        <f>SUM(X164:X167)</f>
        <v/>
      </c>
      <c r="Y168" s="517">
        <f>SUM(Y164:Y167)</f>
        <v/>
      </c>
      <c r="Z168" s="517">
        <f>SUM(Z164:Z167)</f>
        <v/>
      </c>
      <c r="AA168" s="517">
        <f>SUM(AA164:AA167)</f>
        <v/>
      </c>
      <c r="AB168" s="517">
        <f>SUM(AB164:AB167)</f>
        <v/>
      </c>
      <c r="AC168" s="517">
        <f>SUM(AC164:AC167)</f>
        <v/>
      </c>
      <c r="AD168" s="517">
        <f>SUM(AD164:AD167)</f>
        <v/>
      </c>
      <c r="AE168" s="517">
        <f>SUM(AE164:AE167)</f>
        <v/>
      </c>
      <c r="AF168" s="517">
        <f>SUM(AF164:AF167)</f>
        <v/>
      </c>
      <c r="AG168" s="517">
        <f>SUM(AG164:AG167)</f>
        <v/>
      </c>
      <c r="AH168" s="517">
        <f>SUM(AH164:AH167)</f>
        <v/>
      </c>
      <c r="AI168" s="517">
        <f>SUM(AI164:AI167)</f>
        <v/>
      </c>
      <c r="AJ168" s="517">
        <f>SUM(AJ164:AJ167)</f>
        <v/>
      </c>
      <c r="AK168" s="517">
        <f>SUM(AK164:AK167)</f>
        <v/>
      </c>
      <c r="AL168" s="517">
        <f>SUM(AL164:AL167)</f>
        <v/>
      </c>
      <c r="AM168" s="517">
        <f>SUM(AM164:AM167)</f>
        <v/>
      </c>
      <c r="AN168" s="517">
        <f>SUM(AN164:AN167)</f>
        <v/>
      </c>
      <c r="AO168" s="517">
        <f>SUM(AO164:AO167)</f>
        <v/>
      </c>
      <c r="AP168" s="517">
        <f>SUM(AP164:AP167)</f>
        <v/>
      </c>
      <c r="AQ168" s="517">
        <f>SUM(AQ164:AQ167)</f>
        <v/>
      </c>
      <c r="AR168" s="517">
        <f>SUM(AR164:AR167)</f>
        <v/>
      </c>
      <c r="AS168" s="517">
        <f>SUM(AS164:AS167)</f>
        <v/>
      </c>
      <c r="AT168" s="517">
        <f>SUM(AT164:AT167)</f>
        <v/>
      </c>
      <c r="AU168" s="517">
        <f>SUM(AU164:AU167)</f>
        <v/>
      </c>
      <c r="AV168" s="517">
        <f>SUM(AV164:AV167)</f>
        <v/>
      </c>
      <c r="AW168" s="517">
        <f>SUM(AW164:AW167)</f>
        <v/>
      </c>
      <c r="AX168" s="517">
        <f>SUM(AX164:AX167)</f>
        <v/>
      </c>
      <c r="AY168" s="517">
        <f>SUM(AY164:AY167)</f>
        <v/>
      </c>
      <c r="AZ168" s="517">
        <f>SUM(AZ164:AZ167)</f>
        <v/>
      </c>
      <c r="BA168" s="517">
        <f>SUM(BA164:BA167)</f>
        <v/>
      </c>
      <c r="BB168" s="517">
        <f>SUM(BB164:BB167)</f>
        <v/>
      </c>
      <c r="BC168" s="517">
        <f>SUM(BC164:BC167)</f>
        <v/>
      </c>
      <c r="BD168" s="517">
        <f>SUM(BD164:BD167)</f>
        <v/>
      </c>
      <c r="BE168" s="517">
        <f>SUM(BE164:BE167)</f>
        <v/>
      </c>
      <c r="BF168" s="517">
        <f>SUM(BF164:BF167)</f>
        <v/>
      </c>
      <c r="BG168" s="517">
        <f>SUM(BG164:BG167)</f>
        <v/>
      </c>
      <c r="BH168" s="517">
        <f>SUM(BH164:BH167)</f>
        <v/>
      </c>
      <c r="BI168" s="517">
        <f>SUM(BI164:BI167)</f>
        <v/>
      </c>
      <c r="BJ168" s="517">
        <f>SUM(BJ164:BJ167)</f>
        <v/>
      </c>
      <c r="BK168" s="517">
        <f>SUM(BK164:BK167)</f>
        <v/>
      </c>
      <c r="BL168" s="517">
        <f>SUM(BL164:BL167)</f>
        <v/>
      </c>
      <c r="BM168" s="517">
        <f>SUM(BM164:BM167)</f>
        <v/>
      </c>
      <c r="BN168" s="517">
        <f>SUM(BN164:BN167)</f>
        <v/>
      </c>
      <c r="BO168" s="517">
        <f>SUM(BO164:BO167)</f>
        <v/>
      </c>
      <c r="BP168" s="517">
        <f>SUM(BP164:BP167)</f>
        <v/>
      </c>
      <c r="BQ168" s="517">
        <f>SUM(BQ164:BQ167)</f>
        <v/>
      </c>
      <c r="BR168" s="517">
        <f>SUM(BR164:BR167)</f>
        <v/>
      </c>
      <c r="BS168" s="517">
        <f>SUM(BS164:BS167)</f>
        <v/>
      </c>
      <c r="BT168" s="517">
        <f>SUM(BT164:BT167)</f>
        <v/>
      </c>
      <c r="BU168" s="517">
        <f>SUM(BU164:BU167)</f>
        <v/>
      </c>
      <c r="BV168" s="517">
        <f>SUM(BV164:BV167)</f>
        <v/>
      </c>
      <c r="BW168" s="517">
        <f>SUM(BW164:BW167)</f>
        <v/>
      </c>
      <c r="BX168" s="517">
        <f>SUM(BX164:BX167)</f>
        <v/>
      </c>
      <c r="BY168" s="517">
        <f>SUM(BY164:BY167)</f>
        <v/>
      </c>
      <c r="BZ168" s="517">
        <f>SUM(BZ164:BZ167)</f>
        <v/>
      </c>
      <c r="CA168" s="517">
        <f>SUM(CA164:CA167)</f>
        <v/>
      </c>
      <c r="CB168" s="517">
        <f>SUM(CB164:CB167)</f>
        <v/>
      </c>
      <c r="CC168" s="517">
        <f>SUM(CC164:CC167)</f>
        <v/>
      </c>
      <c r="CD168" s="517">
        <f>SUM(CD164:CD167)</f>
        <v/>
      </c>
      <c r="CE168" s="517">
        <f>SUM(CE164:CE167)</f>
        <v/>
      </c>
      <c r="CF168" s="517">
        <f>SUM(CF164:CF167)</f>
        <v/>
      </c>
      <c r="CG168" s="517">
        <f>SUM(CG164:CG167)</f>
        <v/>
      </c>
      <c r="CH168" s="517">
        <f>SUM(CH164:CH167)</f>
        <v/>
      </c>
      <c r="CI168" s="517">
        <f>SUM(CI164:CI167)</f>
        <v/>
      </c>
      <c r="CJ168" s="517">
        <f>SUM(CJ164:CJ167)</f>
        <v/>
      </c>
      <c r="CK168" s="517">
        <f>SUM(CK164:CK167)</f>
        <v/>
      </c>
    </row>
    <row r="169" ht="14" customHeight="1" thickBot="1">
      <c r="A169" s="925" t="n"/>
      <c r="B169" s="403" t="n"/>
      <c r="C169" s="403" t="n"/>
      <c r="D169" s="403" t="n"/>
      <c r="E169" s="403" t="n"/>
      <c r="F169" s="403" t="n"/>
      <c r="G169" s="403" t="n"/>
      <c r="H169" s="403" t="n"/>
      <c r="I169" s="403" t="n"/>
      <c r="J169" s="403" t="n"/>
      <c r="K169" s="403" t="n"/>
      <c r="L169" s="403" t="n"/>
      <c r="M169" s="403" t="n"/>
      <c r="N169" s="517" t="n"/>
      <c r="O169" s="517" t="n"/>
      <c r="P169" s="517" t="n"/>
      <c r="Q169" s="517" t="n"/>
      <c r="R169" s="517" t="n"/>
      <c r="S169" s="517" t="n"/>
      <c r="T169" s="517" t="n"/>
      <c r="U169" s="517" t="n"/>
      <c r="V169" s="517" t="n"/>
      <c r="W169" s="517" t="n"/>
      <c r="X169" s="517" t="n"/>
      <c r="Y169" s="517" t="n"/>
      <c r="Z169" s="517" t="n"/>
      <c r="AA169" s="517" t="n"/>
      <c r="AB169" s="517" t="n"/>
      <c r="AC169" s="517" t="n"/>
      <c r="AD169" s="517" t="n"/>
      <c r="AE169" s="517" t="n"/>
      <c r="AF169" s="517" t="n"/>
      <c r="AG169" s="517" t="n"/>
      <c r="AH169" s="517" t="n"/>
      <c r="AI169" s="517" t="n"/>
      <c r="AJ169" s="517" t="n"/>
      <c r="AK169" s="517" t="n"/>
      <c r="AL169" s="517" t="n"/>
      <c r="AM169" s="517" t="n"/>
      <c r="AN169" s="517" t="n"/>
      <c r="AO169" s="517" t="n"/>
      <c r="AP169" s="517" t="n"/>
      <c r="AQ169" s="517" t="n"/>
      <c r="AR169" s="517" t="n"/>
      <c r="AS169" s="517" t="n"/>
      <c r="AT169" s="517" t="n"/>
      <c r="AU169" s="517" t="n"/>
      <c r="AV169" s="517" t="n"/>
      <c r="AW169" s="517" t="n"/>
      <c r="AX169" s="517" t="n"/>
      <c r="AY169" s="517" t="n"/>
      <c r="AZ169" s="517" t="n"/>
      <c r="BA169" s="517" t="n"/>
      <c r="BB169" s="517" t="n"/>
      <c r="BC169" s="517" t="n"/>
      <c r="BD169" s="517" t="n"/>
      <c r="BE169" s="517" t="n"/>
      <c r="BF169" s="517" t="n"/>
      <c r="BG169" s="517" t="n"/>
      <c r="BH169" s="517" t="n"/>
      <c r="BI169" s="517" t="n"/>
      <c r="BJ169" s="517" t="n"/>
      <c r="BK169" s="517" t="n"/>
      <c r="BL169" s="517" t="n"/>
      <c r="BM169" s="517" t="n"/>
      <c r="BN169" s="517" t="n"/>
      <c r="BO169" s="517" t="n"/>
      <c r="BP169" s="517" t="n"/>
      <c r="BQ169" s="517" t="n"/>
      <c r="BR169" s="517" t="n"/>
      <c r="BS169" s="517" t="n"/>
      <c r="BT169" s="517" t="n"/>
      <c r="BU169" s="517" t="n"/>
      <c r="BV169" s="517" t="n"/>
      <c r="BW169" s="517" t="n"/>
      <c r="BX169" s="517" t="n"/>
      <c r="BY169" s="517" t="n"/>
      <c r="BZ169" s="517" t="n"/>
      <c r="CA169" s="517" t="n"/>
      <c r="CB169" s="517" t="n"/>
      <c r="CC169" s="517" t="n"/>
      <c r="CD169" s="517" t="n"/>
      <c r="CE169" s="517" t="n"/>
      <c r="CF169" s="517" t="n"/>
      <c r="CG169" s="517" t="n"/>
      <c r="CH169" s="517" t="n"/>
      <c r="CI169" s="517" t="n"/>
      <c r="CJ169" s="517" t="n"/>
      <c r="CK169" s="517" t="n"/>
    </row>
    <row r="170">
      <c r="A170" s="923" t="n"/>
      <c r="B170" s="403" t="n"/>
      <c r="C170" s="403" t="n"/>
      <c r="D170" s="403" t="n"/>
      <c r="E170" s="403" t="n"/>
      <c r="F170" s="403" t="n"/>
      <c r="G170" s="403" t="n"/>
      <c r="H170" s="403" t="n"/>
      <c r="I170" s="403" t="n"/>
      <c r="J170" s="403" t="n"/>
      <c r="K170" s="403" t="n"/>
      <c r="L170" s="403" t="n"/>
      <c r="M170" s="403" t="n"/>
      <c r="N170" s="517" t="n"/>
      <c r="O170" s="517" t="n"/>
      <c r="P170" s="517" t="n"/>
      <c r="Q170" s="517" t="n"/>
      <c r="R170" s="517" t="n"/>
      <c r="S170" s="517" t="n"/>
      <c r="T170" s="517" t="n"/>
      <c r="U170" s="517" t="n"/>
      <c r="V170" s="517" t="n"/>
      <c r="W170" s="517" t="n"/>
      <c r="X170" s="517" t="n"/>
      <c r="Y170" s="517" t="n"/>
      <c r="Z170" s="517" t="n"/>
      <c r="AA170" s="517" t="n"/>
      <c r="AB170" s="517" t="n"/>
      <c r="AC170" s="517" t="n"/>
      <c r="AD170" s="517" t="n"/>
      <c r="AE170" s="517" t="n"/>
      <c r="AF170" s="517" t="n"/>
      <c r="AG170" s="517" t="n"/>
      <c r="AH170" s="517" t="n"/>
      <c r="AI170" s="517" t="n"/>
      <c r="AJ170" s="517" t="n"/>
      <c r="AK170" s="517" t="n"/>
      <c r="AL170" s="517" t="n"/>
      <c r="AM170" s="517" t="n"/>
      <c r="AN170" s="517" t="n"/>
      <c r="AO170" s="517" t="n"/>
      <c r="AP170" s="517" t="n"/>
      <c r="AQ170" s="517" t="n"/>
      <c r="AR170" s="517" t="n"/>
      <c r="AS170" s="517" t="n"/>
      <c r="AT170" s="517" t="n"/>
      <c r="AU170" s="517" t="n"/>
      <c r="AV170" s="517" t="n"/>
      <c r="AW170" s="517" t="n"/>
      <c r="AX170" s="517" t="n"/>
      <c r="AY170" s="517" t="n"/>
      <c r="AZ170" s="517" t="n"/>
      <c r="BA170" s="517" t="n"/>
      <c r="BB170" s="517" t="n"/>
      <c r="BC170" s="517" t="n"/>
      <c r="BD170" s="517" t="n"/>
      <c r="BE170" s="517" t="n"/>
      <c r="BF170" s="517" t="n"/>
      <c r="BG170" s="517" t="n"/>
      <c r="BH170" s="517" t="n"/>
      <c r="BI170" s="517" t="n"/>
      <c r="BJ170" s="517" t="n"/>
      <c r="BK170" s="517" t="n"/>
      <c r="BL170" s="517" t="n"/>
      <c r="BM170" s="517" t="n"/>
      <c r="BN170" s="517" t="n"/>
      <c r="BO170" s="517" t="n"/>
      <c r="BP170" s="517" t="n"/>
      <c r="BQ170" s="517" t="n"/>
      <c r="BR170" s="517" t="n"/>
      <c r="BS170" s="517" t="n"/>
      <c r="BT170" s="517" t="n"/>
      <c r="BU170" s="517" t="n"/>
      <c r="BV170" s="517" t="n"/>
      <c r="BW170" s="517" t="n"/>
      <c r="BX170" s="517" t="n"/>
      <c r="BY170" s="517" t="n"/>
      <c r="BZ170" s="517" t="n"/>
      <c r="CA170" s="517" t="n"/>
      <c r="CB170" s="517" t="n"/>
      <c r="CC170" s="517" t="n"/>
      <c r="CD170" s="517" t="n"/>
      <c r="CE170" s="517" t="n"/>
      <c r="CF170" s="517" t="n"/>
      <c r="CG170" s="517" t="n"/>
      <c r="CH170" s="517" t="n"/>
      <c r="CI170" s="517" t="n"/>
      <c r="CJ170" s="517" t="n"/>
      <c r="CK170" s="517" t="n"/>
    </row>
    <row r="171">
      <c r="A171" s="923">
        <f>FS_Q!A45</f>
        <v/>
      </c>
      <c r="B171" s="923">
        <f>FS_Q!B45</f>
        <v/>
      </c>
      <c r="C171" s="923">
        <f>FS_Q!C45</f>
        <v/>
      </c>
      <c r="D171" s="923">
        <f>FS_Q!D45</f>
        <v/>
      </c>
      <c r="E171" s="923">
        <f>FS_Q!E45</f>
        <v/>
      </c>
      <c r="F171" s="923">
        <f>FS_Q!F45</f>
        <v/>
      </c>
      <c r="G171" s="923">
        <f>FS_Q!G45</f>
        <v/>
      </c>
      <c r="H171" s="923">
        <f>FS_Q!H45</f>
        <v/>
      </c>
      <c r="I171" s="923">
        <f>FS_Q!I45</f>
        <v/>
      </c>
      <c r="J171" s="923">
        <f>FS_Q!J45</f>
        <v/>
      </c>
      <c r="K171" s="923">
        <f>FS_Q!K45</f>
        <v/>
      </c>
      <c r="L171" s="923">
        <f>FS_Q!L45</f>
        <v/>
      </c>
      <c r="M171" s="923">
        <f>FS_Q!M45</f>
        <v/>
      </c>
      <c r="N171" s="516">
        <f>FS_Q!N45</f>
        <v/>
      </c>
      <c r="O171" s="516">
        <f>FS_Q!O45</f>
        <v/>
      </c>
      <c r="P171" s="516">
        <f>FS_Q!P45</f>
        <v/>
      </c>
      <c r="Q171" s="516">
        <f>FS_Q!Q45</f>
        <v/>
      </c>
      <c r="R171" s="516">
        <f>FS_Q!R45</f>
        <v/>
      </c>
      <c r="S171" s="516">
        <f>FS_Q!S45</f>
        <v/>
      </c>
      <c r="T171" s="516">
        <f>FS_Q!T45</f>
        <v/>
      </c>
      <c r="U171" s="516">
        <f>FS_Q!U45</f>
        <v/>
      </c>
      <c r="V171" s="516">
        <f>FS_Q!V45</f>
        <v/>
      </c>
      <c r="W171" s="516">
        <f>FS_Q!W45</f>
        <v/>
      </c>
      <c r="X171" s="516">
        <f>FS_Q!X45</f>
        <v/>
      </c>
      <c r="Y171" s="516">
        <f>FS_Q!Y45</f>
        <v/>
      </c>
      <c r="Z171" s="516">
        <f>FS_Q!Z45</f>
        <v/>
      </c>
      <c r="AA171" s="516">
        <f>FS_Q!AA45</f>
        <v/>
      </c>
      <c r="AB171" s="516">
        <f>FS_Q!AB45</f>
        <v/>
      </c>
      <c r="AC171" s="516">
        <f>FS_Q!AC45</f>
        <v/>
      </c>
      <c r="AD171" s="516">
        <f>FS_Q!AD45</f>
        <v/>
      </c>
      <c r="AE171" s="516">
        <f>FS_Q!AE45</f>
        <v/>
      </c>
      <c r="AF171" s="516">
        <f>FS_Q!AF45</f>
        <v/>
      </c>
      <c r="AG171" s="516">
        <f>FS_Q!AG45</f>
        <v/>
      </c>
      <c r="AH171" s="516">
        <f>FS_Q!AH45</f>
        <v/>
      </c>
      <c r="AI171" s="516">
        <f>FS_Q!AI45</f>
        <v/>
      </c>
      <c r="AJ171" s="516">
        <f>FS_Q!AJ45</f>
        <v/>
      </c>
      <c r="AK171" s="516">
        <f>FS_Q!AK45</f>
        <v/>
      </c>
      <c r="AL171" s="516">
        <f>FS_Q!AL45</f>
        <v/>
      </c>
      <c r="AM171" s="516">
        <f>FS_Q!AM45</f>
        <v/>
      </c>
      <c r="AN171" s="516">
        <f>FS_Q!AN45</f>
        <v/>
      </c>
      <c r="AO171" s="516">
        <f>FS_Q!AO45</f>
        <v/>
      </c>
      <c r="AP171" s="516">
        <f>FS_Q!AP45</f>
        <v/>
      </c>
      <c r="AQ171" s="516">
        <f>FS_Q!AQ45</f>
        <v/>
      </c>
      <c r="AR171" s="516">
        <f>FS_Q!AR45</f>
        <v/>
      </c>
      <c r="AS171" s="516">
        <f>FS_Q!AS45</f>
        <v/>
      </c>
      <c r="AT171" s="516">
        <f>FS_Q!AT45</f>
        <v/>
      </c>
      <c r="AU171" s="516">
        <f>FS_Q!AU45</f>
        <v/>
      </c>
      <c r="AV171" s="516">
        <f>FS_Q!AV45</f>
        <v/>
      </c>
      <c r="AW171" s="516">
        <f>FS_Q!AW45</f>
        <v/>
      </c>
      <c r="AX171" s="516">
        <f>FS_Q!AX45</f>
        <v/>
      </c>
      <c r="AY171" s="516">
        <f>FS_Q!AY45</f>
        <v/>
      </c>
      <c r="AZ171" s="516">
        <f>FS_Q!AZ45</f>
        <v/>
      </c>
      <c r="BA171" s="516">
        <f>FS_Q!BA45</f>
        <v/>
      </c>
      <c r="BB171" s="516">
        <f>FS_Q!BB45</f>
        <v/>
      </c>
      <c r="BC171" s="516">
        <f>FS_Q!BC45</f>
        <v/>
      </c>
      <c r="BD171" s="516">
        <f>FS_Q!BD45</f>
        <v/>
      </c>
      <c r="BE171" s="516">
        <f>FS_Q!BE45</f>
        <v/>
      </c>
      <c r="BF171" s="516">
        <f>FS_Q!BF45</f>
        <v/>
      </c>
      <c r="BG171" s="516">
        <f>FS_Q!BG45</f>
        <v/>
      </c>
      <c r="BH171" s="516">
        <f>FS_Q!BH45</f>
        <v/>
      </c>
      <c r="BI171" s="516">
        <f>FS_Q!BI45</f>
        <v/>
      </c>
      <c r="BJ171" s="516">
        <f>FS_Q!BJ45</f>
        <v/>
      </c>
      <c r="BK171" s="516">
        <f>FS_Q!BK45</f>
        <v/>
      </c>
      <c r="BL171" s="516">
        <f>FS_Q!BL45</f>
        <v/>
      </c>
      <c r="BM171" s="516">
        <f>FS_Q!BM45</f>
        <v/>
      </c>
      <c r="BN171" s="516">
        <f>FS_Q!BN45</f>
        <v/>
      </c>
      <c r="BO171" s="516">
        <f>FS_Q!BO45</f>
        <v/>
      </c>
      <c r="BP171" s="516">
        <f>FS_Q!BP45</f>
        <v/>
      </c>
      <c r="BQ171" s="516">
        <f>FS_Q!BQ45</f>
        <v/>
      </c>
      <c r="BR171" s="516">
        <f>FS_Q!BR45</f>
        <v/>
      </c>
      <c r="BS171" s="517">
        <f>BS172*BS$152*BS$247</f>
        <v/>
      </c>
      <c r="BT171" s="517">
        <f>BT172*BT$152*BT$247</f>
        <v/>
      </c>
      <c r="BU171" s="517">
        <f>BU172*BU$152*BU$247</f>
        <v/>
      </c>
      <c r="BV171" s="517">
        <f>BV172*BV$152*BV$247</f>
        <v/>
      </c>
      <c r="BW171" s="517">
        <f>BW172*BW$152*BW$247</f>
        <v/>
      </c>
      <c r="BX171" s="517">
        <f>BX172*BX$152*BX$247</f>
        <v/>
      </c>
      <c r="BY171" s="517">
        <f>BY172*BY$152*BY$247</f>
        <v/>
      </c>
      <c r="BZ171" s="517">
        <f>BZ172*BZ$152*BZ$247</f>
        <v/>
      </c>
      <c r="CA171" s="517">
        <f>CA172*CA$152*CA$247</f>
        <v/>
      </c>
      <c r="CB171" s="517">
        <f>CB172*CB$152*CB$247</f>
        <v/>
      </c>
      <c r="CC171" s="517">
        <f>CC172*CC$152*CC$247</f>
        <v/>
      </c>
      <c r="CD171" s="517">
        <f>CD172*CD$152*CD$247</f>
        <v/>
      </c>
      <c r="CE171" s="517">
        <f>CE172*CE$152*CE$247</f>
        <v/>
      </c>
      <c r="CF171" s="517">
        <f>CF172*CF$152*CF$247</f>
        <v/>
      </c>
      <c r="CG171" s="517">
        <f>CG172*CG$152*CG$247</f>
        <v/>
      </c>
      <c r="CH171" s="517">
        <f>CH172*CH$152*CH$247</f>
        <v/>
      </c>
      <c r="CI171" s="517">
        <f>CI172*CI$152*CI$247</f>
        <v/>
      </c>
      <c r="CJ171" s="517">
        <f>CJ172*CJ$152*CJ$247</f>
        <v/>
      </c>
      <c r="CK171" s="517">
        <f>CK172*CK$152*CK$247</f>
        <v/>
      </c>
    </row>
    <row r="172">
      <c r="A172" s="920">
        <f>A136</f>
        <v/>
      </c>
      <c r="B172" s="923" t="n"/>
      <c r="C172" s="923" t="n"/>
      <c r="D172" s="923" t="n"/>
      <c r="E172" s="923" t="n"/>
      <c r="F172" s="923" t="n"/>
      <c r="G172" s="923" t="n"/>
      <c r="H172" s="923" t="n"/>
      <c r="I172" s="923" t="n"/>
      <c r="J172" s="923" t="n"/>
      <c r="K172" s="923" t="n"/>
      <c r="L172" s="923" t="n"/>
      <c r="M172" s="923" t="n"/>
      <c r="N172" s="908">
        <f>N171/(N$152*N$247)</f>
        <v/>
      </c>
      <c r="O172" s="908">
        <f>O171/(O$152*O$247)</f>
        <v/>
      </c>
      <c r="P172" s="908">
        <f>P171/(P$152*P$247)</f>
        <v/>
      </c>
      <c r="Q172" s="908">
        <f>Q171/(Q$152*Q$247)</f>
        <v/>
      </c>
      <c r="R172" s="908">
        <f>R171/(R$152*R$247)</f>
        <v/>
      </c>
      <c r="S172" s="908">
        <f>S171/(S$152*S$247)</f>
        <v/>
      </c>
      <c r="T172" s="908">
        <f>T171/(T$152*T$247)</f>
        <v/>
      </c>
      <c r="U172" s="908">
        <f>U171/(U$152*U$247)</f>
        <v/>
      </c>
      <c r="V172" s="908">
        <f>V171/(V$152*V$247)</f>
        <v/>
      </c>
      <c r="W172" s="908">
        <f>W171/(W$152*W$247)</f>
        <v/>
      </c>
      <c r="X172" s="908">
        <f>X171/(X$152*X$247)</f>
        <v/>
      </c>
      <c r="Y172" s="908">
        <f>Y171/(Y$152*Y$247)</f>
        <v/>
      </c>
      <c r="Z172" s="908">
        <f>Z171/(Z$152*Z$247)</f>
        <v/>
      </c>
      <c r="AA172" s="908">
        <f>AA171/(AA$152*AA$247)</f>
        <v/>
      </c>
      <c r="AB172" s="908">
        <f>AB171/(AB$152*AB$247)</f>
        <v/>
      </c>
      <c r="AC172" s="908">
        <f>AC171/(AC$152*AC$247)</f>
        <v/>
      </c>
      <c r="AD172" s="908">
        <f>AD171/(AD$152*AD$247)</f>
        <v/>
      </c>
      <c r="AE172" s="908">
        <f>AE171/(AE$152*AE$247)</f>
        <v/>
      </c>
      <c r="AF172" s="908">
        <f>AF171/(AF$152*AF$247)</f>
        <v/>
      </c>
      <c r="AG172" s="908">
        <f>AG171/(AG$152*AG$247)</f>
        <v/>
      </c>
      <c r="AH172" s="908">
        <f>AH171/(AH$152*AH$247)</f>
        <v/>
      </c>
      <c r="AI172" s="908">
        <f>AI171/(AI$152*AI$247)</f>
        <v/>
      </c>
      <c r="AJ172" s="908">
        <f>AJ171/(AJ$152*AJ$247)</f>
        <v/>
      </c>
      <c r="AK172" s="908">
        <f>AK171/(AK$152*AK$247)</f>
        <v/>
      </c>
      <c r="AL172" s="908">
        <f>AL171/(AL$152*AL$247)</f>
        <v/>
      </c>
      <c r="AM172" s="908">
        <f>AM171/(AM$152*AM$247)</f>
        <v/>
      </c>
      <c r="AN172" s="908">
        <f>AN171/(AN$152*AN$247)</f>
        <v/>
      </c>
      <c r="AO172" s="908">
        <f>AO171/(AO$152*AO$247)</f>
        <v/>
      </c>
      <c r="AP172" s="908">
        <f>AP171/(AP$152*AP$247)</f>
        <v/>
      </c>
      <c r="AQ172" s="908">
        <f>AQ171/(AQ$152*AQ$247)</f>
        <v/>
      </c>
      <c r="AR172" s="908">
        <f>AR171/(AR$152*AR$247)</f>
        <v/>
      </c>
      <c r="AS172" s="908">
        <f>AS171/(AS$152*AS$247)</f>
        <v/>
      </c>
      <c r="AT172" s="908">
        <f>AT171/(AT$152*AT$247)</f>
        <v/>
      </c>
      <c r="AU172" s="908">
        <f>AU171/(AU$152*AU$247)</f>
        <v/>
      </c>
      <c r="AV172" s="908">
        <f>AV171/(AV$152*AV$247)</f>
        <v/>
      </c>
      <c r="AW172" s="908">
        <f>AW171/(AW$152*AW$247)</f>
        <v/>
      </c>
      <c r="AX172" s="908">
        <f>AX171/(AX$152*AX$247)</f>
        <v/>
      </c>
      <c r="AY172" s="908">
        <f>AY171/(AY$152*AY$247)</f>
        <v/>
      </c>
      <c r="AZ172" s="908">
        <f>AZ171/(AZ$152*AZ$247)</f>
        <v/>
      </c>
      <c r="BA172" s="908">
        <f>BA171/(BA$152*BA$247)</f>
        <v/>
      </c>
      <c r="BB172" s="908">
        <f>BB171/(BB$152*BB$247)</f>
        <v/>
      </c>
      <c r="BC172" s="908">
        <f>BC171/(BC$152*BC$247)</f>
        <v/>
      </c>
      <c r="BD172" s="908">
        <f>BD171/(BD$152*BD$247)</f>
        <v/>
      </c>
      <c r="BE172" s="908">
        <f>BE171/(BE$152*BE$247)</f>
        <v/>
      </c>
      <c r="BF172" s="908">
        <f>BF171/(BF$152*BF$247)</f>
        <v/>
      </c>
      <c r="BG172" s="908">
        <f>BG171/(BG$152*BG$247)</f>
        <v/>
      </c>
      <c r="BH172" s="908">
        <f>BH171/(BH$152*BH$247)</f>
        <v/>
      </c>
      <c r="BI172" s="908">
        <f>BI171/(BI$152*BI$247)</f>
        <v/>
      </c>
      <c r="BJ172" s="908">
        <f>BJ171/(BJ$152*BJ$247)</f>
        <v/>
      </c>
      <c r="BK172" s="908">
        <f>BK171/(BK$152*BK$247)</f>
        <v/>
      </c>
      <c r="BL172" s="908">
        <f>BL171/(BL$152*BL$247)</f>
        <v/>
      </c>
      <c r="BM172" s="908">
        <f>BM171/(BM$152*BM$247)</f>
        <v/>
      </c>
      <c r="BN172" s="908">
        <f>BN171/(BN$152*BN$247)</f>
        <v/>
      </c>
      <c r="BO172" s="908">
        <f>BO171/(BO$152*BO$247)</f>
        <v/>
      </c>
      <c r="BP172" s="908">
        <f>BP171/(BP$152*BP$247)</f>
        <v/>
      </c>
      <c r="BQ172" s="908">
        <f>BQ171/(BQ$152*BQ$247)</f>
        <v/>
      </c>
      <c r="BR172" s="908">
        <f>BR171/(BR$152*BR$247)</f>
        <v/>
      </c>
      <c r="BS172" s="909">
        <f>AVERAGE(BO172,BK172)</f>
        <v/>
      </c>
      <c r="BT172" s="909">
        <f>AVERAGE(BP172,BL172)</f>
        <v/>
      </c>
      <c r="BU172" s="909">
        <f>AVERAGE(BQ172,BM172)</f>
        <v/>
      </c>
      <c r="BV172" s="909">
        <f>AVERAGE(BR172,BN172)</f>
        <v/>
      </c>
      <c r="BW172" s="909">
        <f>AVERAGE(BS172,BO172)</f>
        <v/>
      </c>
      <c r="BX172" s="909">
        <f>AVERAGE(BT172,BP172)</f>
        <v/>
      </c>
      <c r="BY172" s="909">
        <f>AVERAGE(BU172,BQ172)</f>
        <v/>
      </c>
      <c r="BZ172" s="909">
        <f>AVERAGE(BV172,BR172)</f>
        <v/>
      </c>
      <c r="CA172" s="909">
        <f>AVERAGE(BW172,BS172)</f>
        <v/>
      </c>
      <c r="CB172" s="909">
        <f>AVERAGE(BX172,BT172)</f>
        <v/>
      </c>
      <c r="CC172" s="909">
        <f>AVERAGE(BY172,BU172)</f>
        <v/>
      </c>
      <c r="CD172" s="909">
        <f>AVERAGE(BZ172,BV172)</f>
        <v/>
      </c>
      <c r="CE172" s="909">
        <f>AVERAGE(CA172,BW172)</f>
        <v/>
      </c>
      <c r="CF172" s="909">
        <f>AVERAGE(CB172,BX172)</f>
        <v/>
      </c>
      <c r="CG172" s="909">
        <f>AVERAGE(CC172,BY172)</f>
        <v/>
      </c>
      <c r="CH172" s="909">
        <f>AVERAGE(CD172,BZ172)</f>
        <v/>
      </c>
      <c r="CI172" s="909">
        <f>AVERAGE(CE172,CA172)</f>
        <v/>
      </c>
      <c r="CJ172" s="909">
        <f>AVERAGE(CF172,CB172)</f>
        <v/>
      </c>
      <c r="CK172" s="909">
        <f>AVERAGE(CG172,CC172)</f>
        <v/>
      </c>
    </row>
    <row r="173">
      <c r="A173" s="410" t="n"/>
      <c r="B173" s="917" t="n"/>
      <c r="C173" s="917" t="n"/>
      <c r="D173" s="917" t="n"/>
      <c r="E173" s="917" t="n"/>
      <c r="F173" s="917" t="n"/>
      <c r="G173" s="917" t="n"/>
      <c r="H173" s="917" t="n"/>
      <c r="I173" s="917" t="n"/>
      <c r="J173" s="917" t="n"/>
      <c r="K173" s="917" t="n"/>
      <c r="L173" s="917" t="n"/>
      <c r="M173" s="917" t="n"/>
    </row>
    <row r="174">
      <c r="A174" s="425" t="inlineStr">
        <is>
          <t>Long-term Assets and Liabilities (in '000 USD)</t>
        </is>
      </c>
    </row>
    <row r="175">
      <c r="G175" s="50" t="n"/>
      <c r="H175" s="50" t="n"/>
      <c r="I175" s="50" t="n"/>
      <c r="J175" s="50" t="n"/>
      <c r="K175" s="50" t="n"/>
      <c r="L175" s="50" t="n"/>
      <c r="M175" s="50" t="n"/>
    </row>
    <row r="176">
      <c r="A176" s="421" t="inlineStr">
        <is>
          <t>Beginning Net PP&amp;E and IA</t>
        </is>
      </c>
      <c r="B176" s="50" t="n"/>
      <c r="C176" s="50" t="n"/>
      <c r="D176" s="50" t="n"/>
      <c r="E176" s="918" t="n"/>
      <c r="F176" s="918" t="n"/>
      <c r="G176" s="918" t="n"/>
      <c r="H176" s="918" t="n"/>
      <c r="I176" s="918" t="n"/>
      <c r="J176" s="918" t="n"/>
      <c r="K176" s="918" t="n"/>
      <c r="L176" s="918" t="n"/>
      <c r="M176" s="918" t="n"/>
      <c r="O176" s="517">
        <f>N180</f>
        <v/>
      </c>
      <c r="P176" s="517">
        <f>O180</f>
        <v/>
      </c>
      <c r="Q176" s="517">
        <f>P180</f>
        <v/>
      </c>
      <c r="R176" s="517">
        <f>Q180</f>
        <v/>
      </c>
      <c r="S176" s="517">
        <f>R180</f>
        <v/>
      </c>
      <c r="T176" s="517">
        <f>S180</f>
        <v/>
      </c>
      <c r="U176" s="517">
        <f>T180</f>
        <v/>
      </c>
      <c r="V176" s="517">
        <f>U180</f>
        <v/>
      </c>
      <c r="W176" s="517">
        <f>V180</f>
        <v/>
      </c>
      <c r="X176" s="517">
        <f>W180</f>
        <v/>
      </c>
      <c r="Y176" s="517">
        <f>X180</f>
        <v/>
      </c>
      <c r="Z176" s="517">
        <f>Y180</f>
        <v/>
      </c>
      <c r="AA176" s="517">
        <f>Z180</f>
        <v/>
      </c>
      <c r="AB176" s="517">
        <f>AA180</f>
        <v/>
      </c>
      <c r="AC176" s="517">
        <f>AB180</f>
        <v/>
      </c>
      <c r="AD176" s="517">
        <f>AC180</f>
        <v/>
      </c>
      <c r="AE176" s="517">
        <f>AD180</f>
        <v/>
      </c>
      <c r="AF176" s="517">
        <f>AE180</f>
        <v/>
      </c>
      <c r="AG176" s="517">
        <f>AF180</f>
        <v/>
      </c>
      <c r="AH176" s="517">
        <f>AG180</f>
        <v/>
      </c>
      <c r="AI176" s="517">
        <f>AH180</f>
        <v/>
      </c>
      <c r="AJ176" s="517">
        <f>AI180</f>
        <v/>
      </c>
      <c r="AK176" s="517">
        <f>AJ180</f>
        <v/>
      </c>
      <c r="AL176" s="517">
        <f>AK180</f>
        <v/>
      </c>
      <c r="AM176" s="517">
        <f>AL180</f>
        <v/>
      </c>
      <c r="AN176" s="517">
        <f>AM180</f>
        <v/>
      </c>
      <c r="AO176" s="517">
        <f>AN180</f>
        <v/>
      </c>
      <c r="AP176" s="517">
        <f>AO180</f>
        <v/>
      </c>
      <c r="AQ176" s="517">
        <f>AP180</f>
        <v/>
      </c>
      <c r="AR176" s="517">
        <f>AQ180</f>
        <v/>
      </c>
      <c r="AS176" s="517">
        <f>AR180</f>
        <v/>
      </c>
      <c r="AT176" s="517">
        <f>AS180</f>
        <v/>
      </c>
      <c r="AU176" s="517">
        <f>AT180</f>
        <v/>
      </c>
      <c r="AV176" s="517">
        <f>AU180</f>
        <v/>
      </c>
      <c r="AW176" s="517">
        <f>AV180</f>
        <v/>
      </c>
      <c r="AX176" s="517">
        <f>AW180</f>
        <v/>
      </c>
      <c r="AY176" s="517">
        <f>AX180</f>
        <v/>
      </c>
      <c r="AZ176" s="517">
        <f>AY180</f>
        <v/>
      </c>
      <c r="BA176" s="517">
        <f>AZ180</f>
        <v/>
      </c>
      <c r="BB176" s="517">
        <f>BA180</f>
        <v/>
      </c>
      <c r="BC176" s="517">
        <f>BB180</f>
        <v/>
      </c>
      <c r="BD176" s="517">
        <f>BC180</f>
        <v/>
      </c>
      <c r="BE176" s="517">
        <f>BD180</f>
        <v/>
      </c>
      <c r="BF176" s="517">
        <f>BE180</f>
        <v/>
      </c>
      <c r="BG176" s="517">
        <f>BF180</f>
        <v/>
      </c>
      <c r="BH176" s="517">
        <f>BG180</f>
        <v/>
      </c>
      <c r="BI176" s="517">
        <f>BH180</f>
        <v/>
      </c>
      <c r="BJ176" s="517">
        <f>BI180</f>
        <v/>
      </c>
      <c r="BK176" s="517">
        <f>BJ180</f>
        <v/>
      </c>
      <c r="BL176" s="517">
        <f>BK180</f>
        <v/>
      </c>
      <c r="BM176" s="517">
        <f>BL180</f>
        <v/>
      </c>
      <c r="BN176" s="517">
        <f>BM180</f>
        <v/>
      </c>
      <c r="BO176" s="517">
        <f>BN180</f>
        <v/>
      </c>
      <c r="BP176" s="517">
        <f>BO180</f>
        <v/>
      </c>
      <c r="BQ176" s="517">
        <f>BP180</f>
        <v/>
      </c>
      <c r="BR176" s="517">
        <f>BQ180</f>
        <v/>
      </c>
      <c r="BS176" s="517">
        <f>BR180</f>
        <v/>
      </c>
      <c r="BT176" s="517">
        <f>BS180</f>
        <v/>
      </c>
      <c r="BU176" s="517">
        <f>BT180</f>
        <v/>
      </c>
      <c r="BV176" s="517">
        <f>BU180</f>
        <v/>
      </c>
      <c r="BW176" s="517">
        <f>BV180</f>
        <v/>
      </c>
      <c r="BX176" s="517">
        <f>BW180</f>
        <v/>
      </c>
      <c r="BY176" s="517">
        <f>BX180</f>
        <v/>
      </c>
      <c r="BZ176" s="517">
        <f>BY180</f>
        <v/>
      </c>
      <c r="CA176" s="517">
        <f>BZ180</f>
        <v/>
      </c>
      <c r="CB176" s="517">
        <f>CA180</f>
        <v/>
      </c>
      <c r="CC176" s="517">
        <f>CB180</f>
        <v/>
      </c>
      <c r="CD176" s="517">
        <f>CC180</f>
        <v/>
      </c>
      <c r="CE176" s="517">
        <f>CD180</f>
        <v/>
      </c>
      <c r="CF176" s="517">
        <f>CE180</f>
        <v/>
      </c>
      <c r="CG176" s="517">
        <f>CF180</f>
        <v/>
      </c>
      <c r="CH176" s="517">
        <f>CG180</f>
        <v/>
      </c>
      <c r="CI176" s="517">
        <f>CH180</f>
        <v/>
      </c>
      <c r="CJ176" s="517">
        <f>CI180</f>
        <v/>
      </c>
      <c r="CK176" s="517">
        <f>CJ180</f>
        <v/>
      </c>
    </row>
    <row r="177">
      <c r="A177" s="419" t="inlineStr">
        <is>
          <t>Capital expenditures on PP&amp;E and IA</t>
        </is>
      </c>
      <c r="B177" s="50" t="n"/>
      <c r="C177" s="50" t="n"/>
      <c r="D177" s="50" t="n"/>
      <c r="E177" s="918" t="n"/>
      <c r="F177" s="918" t="n"/>
      <c r="G177" s="918" t="n"/>
      <c r="H177" s="918" t="n"/>
      <c r="I177" s="918" t="n"/>
      <c r="J177" s="918" t="n"/>
      <c r="K177" s="918" t="n"/>
      <c r="L177" s="918" t="n"/>
      <c r="M177" s="918" t="n"/>
      <c r="N177" s="516">
        <f>-FS_Q!N105</f>
        <v/>
      </c>
      <c r="O177" s="516">
        <f>-FS_Q!O105</f>
        <v/>
      </c>
      <c r="P177" s="516">
        <f>-FS_Q!P105</f>
        <v/>
      </c>
      <c r="Q177" s="516">
        <f>-FS_Q!Q105</f>
        <v/>
      </c>
      <c r="R177" s="516">
        <f>-FS_Q!R105</f>
        <v/>
      </c>
      <c r="S177" s="516">
        <f>-FS_Q!S105</f>
        <v/>
      </c>
      <c r="T177" s="516">
        <f>-FS_Q!T105</f>
        <v/>
      </c>
      <c r="U177" s="516">
        <f>-FS_Q!U105</f>
        <v/>
      </c>
      <c r="V177" s="516">
        <f>-FS_Q!V105</f>
        <v/>
      </c>
      <c r="W177" s="516">
        <f>-FS_Q!W105</f>
        <v/>
      </c>
      <c r="X177" s="516">
        <f>-FS_Q!X105</f>
        <v/>
      </c>
      <c r="Y177" s="516">
        <f>-FS_Q!Y105</f>
        <v/>
      </c>
      <c r="Z177" s="516">
        <f>-FS_Q!Z105</f>
        <v/>
      </c>
      <c r="AA177" s="516">
        <f>-FS_Q!AA105</f>
        <v/>
      </c>
      <c r="AB177" s="516">
        <f>-FS_Q!AB105</f>
        <v/>
      </c>
      <c r="AC177" s="516">
        <f>-FS_Q!AC105</f>
        <v/>
      </c>
      <c r="AD177" s="516">
        <f>-FS_Q!AD105</f>
        <v/>
      </c>
      <c r="AE177" s="516">
        <f>-FS_Q!AE105</f>
        <v/>
      </c>
      <c r="AF177" s="516">
        <f>-FS_Q!AF105</f>
        <v/>
      </c>
      <c r="AG177" s="516">
        <f>-FS_Q!AG105</f>
        <v/>
      </c>
      <c r="AH177" s="516">
        <f>-FS_Q!AH105</f>
        <v/>
      </c>
      <c r="AI177" s="516">
        <f>-FS_Q!AI105</f>
        <v/>
      </c>
      <c r="AJ177" s="516">
        <f>-FS_Q!AJ105</f>
        <v/>
      </c>
      <c r="AK177" s="516">
        <f>-FS_Q!AK105</f>
        <v/>
      </c>
      <c r="AL177" s="516">
        <f>-FS_Q!AL105</f>
        <v/>
      </c>
      <c r="AM177" s="516">
        <f>-FS_Q!AM105</f>
        <v/>
      </c>
      <c r="AN177" s="516">
        <f>-FS_Q!AN105</f>
        <v/>
      </c>
      <c r="AO177" s="516">
        <f>-FS_Q!AO105</f>
        <v/>
      </c>
      <c r="AP177" s="516">
        <f>-FS_Q!AP105</f>
        <v/>
      </c>
      <c r="AQ177" s="516">
        <f>-FS_Q!AQ105</f>
        <v/>
      </c>
      <c r="AR177" s="516">
        <f>-FS_Q!AR105</f>
        <v/>
      </c>
      <c r="AS177" s="516">
        <f>-FS_Q!AS105</f>
        <v/>
      </c>
      <c r="AT177" s="516">
        <f>-FS_Q!AT105</f>
        <v/>
      </c>
      <c r="AU177" s="516">
        <f>-FS_Q!AU105</f>
        <v/>
      </c>
      <c r="AV177" s="516">
        <f>-FS_Q!AV105</f>
        <v/>
      </c>
      <c r="AW177" s="516">
        <f>-FS_Q!AW105</f>
        <v/>
      </c>
      <c r="AX177" s="516">
        <f>-FS_Q!AX105</f>
        <v/>
      </c>
      <c r="AY177" s="516">
        <f>-FS_Q!AY105</f>
        <v/>
      </c>
      <c r="AZ177" s="516">
        <f>-FS_Q!AZ105</f>
        <v/>
      </c>
      <c r="BA177" s="516">
        <f>-FS_Q!BA105</f>
        <v/>
      </c>
      <c r="BB177" s="516">
        <f>-FS_Q!BB105</f>
        <v/>
      </c>
      <c r="BC177" s="516">
        <f>-FS_Q!BC105</f>
        <v/>
      </c>
      <c r="BD177" s="516">
        <f>-FS_Q!BD105</f>
        <v/>
      </c>
      <c r="BE177" s="516">
        <f>-FS_Q!BE105</f>
        <v/>
      </c>
      <c r="BF177" s="516">
        <f>-FS_Q!BF105</f>
        <v/>
      </c>
      <c r="BG177" s="516">
        <f>-FS_Q!BG105</f>
        <v/>
      </c>
      <c r="BH177" s="516">
        <f>-FS_Q!BH105</f>
        <v/>
      </c>
      <c r="BI177" s="516">
        <f>-FS_Q!BI105</f>
        <v/>
      </c>
      <c r="BJ177" s="516">
        <f>-FS_Q!BJ105</f>
        <v/>
      </c>
      <c r="BK177" s="516">
        <f>-FS_Q!BK105</f>
        <v/>
      </c>
      <c r="BL177" s="516">
        <f>-FS_Q!BL105</f>
        <v/>
      </c>
      <c r="BM177" s="516">
        <f>-FS_Q!BM105</f>
        <v/>
      </c>
      <c r="BN177" s="516">
        <f>-FS_Q!BN105</f>
        <v/>
      </c>
      <c r="BO177" s="516">
        <f>-FS_Q!BO105</f>
        <v/>
      </c>
      <c r="BP177" s="516">
        <f>-FS_Q!BP105</f>
        <v/>
      </c>
      <c r="BQ177" s="516">
        <f>-FS_Q!BQ105</f>
        <v/>
      </c>
      <c r="BR177" s="516">
        <f>-FS_Q!BR105</f>
        <v/>
      </c>
      <c r="BS177" s="517">
        <f>BS187</f>
        <v/>
      </c>
      <c r="BT177" s="517">
        <f>BT187</f>
        <v/>
      </c>
      <c r="BU177" s="517">
        <f>BU187</f>
        <v/>
      </c>
      <c r="BV177" s="517">
        <f>BV187</f>
        <v/>
      </c>
      <c r="BW177" s="517">
        <f>BW187</f>
        <v/>
      </c>
      <c r="BX177" s="517">
        <f>BX187</f>
        <v/>
      </c>
      <c r="BY177" s="517">
        <f>BY187</f>
        <v/>
      </c>
      <c r="BZ177" s="517">
        <f>BZ187</f>
        <v/>
      </c>
      <c r="CA177" s="517">
        <f>CA187</f>
        <v/>
      </c>
      <c r="CB177" s="517">
        <f>CB187</f>
        <v/>
      </c>
      <c r="CC177" s="517">
        <f>CC187</f>
        <v/>
      </c>
      <c r="CD177" s="517">
        <f>CD187</f>
        <v/>
      </c>
      <c r="CE177" s="517">
        <f>CE187</f>
        <v/>
      </c>
      <c r="CF177" s="517">
        <f>CF187</f>
        <v/>
      </c>
      <c r="CG177" s="517">
        <f>CG187</f>
        <v/>
      </c>
      <c r="CH177" s="517">
        <f>CH187</f>
        <v/>
      </c>
      <c r="CI177" s="517">
        <f>CI187</f>
        <v/>
      </c>
      <c r="CJ177" s="517">
        <f>CJ187</f>
        <v/>
      </c>
      <c r="CK177" s="517">
        <f>CK187</f>
        <v/>
      </c>
    </row>
    <row r="178">
      <c r="A178" s="419" t="inlineStr">
        <is>
          <t>Depreciation and amortization</t>
        </is>
      </c>
      <c r="B178" s="50" t="n"/>
      <c r="C178" s="50" t="n"/>
      <c r="D178" s="50" t="n"/>
      <c r="E178" s="918" t="n"/>
      <c r="F178" s="918" t="n"/>
      <c r="G178" s="918" t="n"/>
      <c r="H178" s="918" t="n"/>
      <c r="I178" s="918" t="n"/>
      <c r="J178" s="918" t="n"/>
      <c r="K178" s="918" t="n"/>
      <c r="L178" s="918" t="n"/>
      <c r="M178" s="918" t="n"/>
      <c r="N178" s="516">
        <f>FS_Q!N93</f>
        <v/>
      </c>
      <c r="O178" s="516">
        <f>FS_Q!O93</f>
        <v/>
      </c>
      <c r="P178" s="516">
        <f>FS_Q!P93</f>
        <v/>
      </c>
      <c r="Q178" s="516">
        <f>FS_Q!Q93</f>
        <v/>
      </c>
      <c r="R178" s="516">
        <f>FS_Q!R93</f>
        <v/>
      </c>
      <c r="S178" s="516">
        <f>FS_Q!S93</f>
        <v/>
      </c>
      <c r="T178" s="516">
        <f>FS_Q!T93</f>
        <v/>
      </c>
      <c r="U178" s="516">
        <f>FS_Q!U93</f>
        <v/>
      </c>
      <c r="V178" s="516">
        <f>FS_Q!V93</f>
        <v/>
      </c>
      <c r="W178" s="516">
        <f>FS_Q!W93</f>
        <v/>
      </c>
      <c r="X178" s="516">
        <f>FS_Q!X93</f>
        <v/>
      </c>
      <c r="Y178" s="516">
        <f>FS_Q!Y93</f>
        <v/>
      </c>
      <c r="Z178" s="516">
        <f>FS_Q!Z93</f>
        <v/>
      </c>
      <c r="AA178" s="516">
        <f>FS_Q!AA93</f>
        <v/>
      </c>
      <c r="AB178" s="516">
        <f>FS_Q!AB93</f>
        <v/>
      </c>
      <c r="AC178" s="516">
        <f>FS_Q!AC93</f>
        <v/>
      </c>
      <c r="AD178" s="516">
        <f>FS_Q!AD93</f>
        <v/>
      </c>
      <c r="AE178" s="516">
        <f>FS_Q!AE93</f>
        <v/>
      </c>
      <c r="AF178" s="516">
        <f>FS_Q!AF93</f>
        <v/>
      </c>
      <c r="AG178" s="516">
        <f>FS_Q!AG93</f>
        <v/>
      </c>
      <c r="AH178" s="516">
        <f>FS_Q!AH93</f>
        <v/>
      </c>
      <c r="AI178" s="516">
        <f>FS_Q!AI93</f>
        <v/>
      </c>
      <c r="AJ178" s="516">
        <f>FS_Q!AJ93</f>
        <v/>
      </c>
      <c r="AK178" s="516">
        <f>FS_Q!AK93</f>
        <v/>
      </c>
      <c r="AL178" s="516">
        <f>FS_Q!AL93</f>
        <v/>
      </c>
      <c r="AM178" s="516">
        <f>FS_Q!AM93</f>
        <v/>
      </c>
      <c r="AN178" s="516">
        <f>FS_Q!AN93</f>
        <v/>
      </c>
      <c r="AO178" s="516">
        <f>FS_Q!AO93</f>
        <v/>
      </c>
      <c r="AP178" s="516">
        <f>FS_Q!AP93</f>
        <v/>
      </c>
      <c r="AQ178" s="516">
        <f>FS_Q!AQ93</f>
        <v/>
      </c>
      <c r="AR178" s="516">
        <f>FS_Q!AR93</f>
        <v/>
      </c>
      <c r="AS178" s="516">
        <f>FS_Q!AS93</f>
        <v/>
      </c>
      <c r="AT178" s="516">
        <f>FS_Q!AT93</f>
        <v/>
      </c>
      <c r="AU178" s="516">
        <f>FS_Q!AU93</f>
        <v/>
      </c>
      <c r="AV178" s="516">
        <f>FS_Q!AV93</f>
        <v/>
      </c>
      <c r="AW178" s="516">
        <f>FS_Q!AW93</f>
        <v/>
      </c>
      <c r="AX178" s="516">
        <f>FS_Q!AX93</f>
        <v/>
      </c>
      <c r="AY178" s="516">
        <f>FS_Q!AY93</f>
        <v/>
      </c>
      <c r="AZ178" s="516">
        <f>FS_Q!AZ93</f>
        <v/>
      </c>
      <c r="BA178" s="516">
        <f>FS_Q!BA93</f>
        <v/>
      </c>
      <c r="BB178" s="516">
        <f>FS_Q!BB93</f>
        <v/>
      </c>
      <c r="BC178" s="516">
        <f>FS_Q!BC93</f>
        <v/>
      </c>
      <c r="BD178" s="516">
        <f>FS_Q!BD93</f>
        <v/>
      </c>
      <c r="BE178" s="516">
        <f>FS_Q!BE93</f>
        <v/>
      </c>
      <c r="BF178" s="516">
        <f>FS_Q!BF93</f>
        <v/>
      </c>
      <c r="BG178" s="516">
        <f>FS_Q!BG93</f>
        <v/>
      </c>
      <c r="BH178" s="516">
        <f>FS_Q!BH93</f>
        <v/>
      </c>
      <c r="BI178" s="516">
        <f>FS_Q!BI93</f>
        <v/>
      </c>
      <c r="BJ178" s="516">
        <f>FS_Q!BJ93</f>
        <v/>
      </c>
      <c r="BK178" s="516">
        <f>FS_Q!BK93</f>
        <v/>
      </c>
      <c r="BL178" s="516">
        <f>FS_Q!BL93</f>
        <v/>
      </c>
      <c r="BM178" s="516">
        <f>FS_Q!BM93</f>
        <v/>
      </c>
      <c r="BN178" s="516">
        <f>FS_Q!BN93</f>
        <v/>
      </c>
      <c r="BO178" s="516">
        <f>FS_Q!BO93</f>
        <v/>
      </c>
      <c r="BP178" s="516">
        <f>FS_Q!BP93</f>
        <v/>
      </c>
      <c r="BQ178" s="516">
        <f>FS_Q!BQ93</f>
        <v/>
      </c>
      <c r="BR178" s="516">
        <f>FS_Q!BR93</f>
        <v/>
      </c>
      <c r="BS178" s="517">
        <f>BS182</f>
        <v/>
      </c>
      <c r="BT178" s="517">
        <f>BT182</f>
        <v/>
      </c>
      <c r="BU178" s="517">
        <f>BU182</f>
        <v/>
      </c>
      <c r="BV178" s="517">
        <f>BV182</f>
        <v/>
      </c>
      <c r="BW178" s="517">
        <f>BW182</f>
        <v/>
      </c>
      <c r="BX178" s="517">
        <f>BX182</f>
        <v/>
      </c>
      <c r="BY178" s="517">
        <f>BY182</f>
        <v/>
      </c>
      <c r="BZ178" s="517">
        <f>BZ182</f>
        <v/>
      </c>
      <c r="CA178" s="517">
        <f>CA182</f>
        <v/>
      </c>
      <c r="CB178" s="517">
        <f>CB182</f>
        <v/>
      </c>
      <c r="CC178" s="517">
        <f>CC182</f>
        <v/>
      </c>
      <c r="CD178" s="517">
        <f>CD182</f>
        <v/>
      </c>
      <c r="CE178" s="517">
        <f>CE182</f>
        <v/>
      </c>
      <c r="CF178" s="517">
        <f>CF182</f>
        <v/>
      </c>
      <c r="CG178" s="517">
        <f>CG182</f>
        <v/>
      </c>
      <c r="CH178" s="517">
        <f>CH182</f>
        <v/>
      </c>
      <c r="CI178" s="517">
        <f>CI182</f>
        <v/>
      </c>
      <c r="CJ178" s="517">
        <f>CJ182</f>
        <v/>
      </c>
      <c r="CK178" s="517">
        <f>CK182</f>
        <v/>
      </c>
    </row>
    <row r="179">
      <c r="A179" s="420" t="inlineStr">
        <is>
          <t>Adjustments for historical (disposal, M&amp;A etc.)</t>
        </is>
      </c>
      <c r="B179" s="851" t="n"/>
      <c r="C179" s="851" t="n"/>
      <c r="D179" s="851" t="n"/>
      <c r="E179" s="851" t="n"/>
      <c r="F179" s="851" t="n"/>
      <c r="G179" s="851" t="n"/>
      <c r="H179" s="851" t="n"/>
      <c r="I179" s="851" t="n"/>
      <c r="J179" s="851" t="n"/>
      <c r="K179" s="851" t="n"/>
      <c r="L179" s="851" t="n"/>
      <c r="M179" s="851" t="n"/>
      <c r="O179" s="517">
        <f>O180-O176-O177+O178</f>
        <v/>
      </c>
      <c r="P179" s="517">
        <f>P180-P176-P177+P178</f>
        <v/>
      </c>
      <c r="Q179" s="517">
        <f>Q180-Q176-Q177+Q178</f>
        <v/>
      </c>
      <c r="R179" s="517">
        <f>R180-R176-R177+R178</f>
        <v/>
      </c>
      <c r="S179" s="517">
        <f>S180-S176-S177+S178</f>
        <v/>
      </c>
      <c r="T179" s="517">
        <f>T180-T176-T177+T178</f>
        <v/>
      </c>
      <c r="U179" s="517">
        <f>U180-U176-U177+U178</f>
        <v/>
      </c>
      <c r="V179" s="517">
        <f>V180-V176-V177+V178</f>
        <v/>
      </c>
      <c r="W179" s="517">
        <f>W180-W176-W177+W178</f>
        <v/>
      </c>
      <c r="X179" s="517">
        <f>X180-X176-X177+X178</f>
        <v/>
      </c>
      <c r="Y179" s="517">
        <f>Y180-Y176-Y177+Y178</f>
        <v/>
      </c>
      <c r="Z179" s="517">
        <f>Z180-Z176-Z177+Z178</f>
        <v/>
      </c>
      <c r="AA179" s="517">
        <f>AA180-AA176-AA177+AA178</f>
        <v/>
      </c>
      <c r="AB179" s="517">
        <f>AB180-AB176-AB177+AB178</f>
        <v/>
      </c>
      <c r="AC179" s="517">
        <f>AC180-AC176-AC177+AC178</f>
        <v/>
      </c>
      <c r="AD179" s="517">
        <f>AD180-AD176-AD177+AD178</f>
        <v/>
      </c>
      <c r="AE179" s="517">
        <f>AE180-AE176-AE177+AE178</f>
        <v/>
      </c>
      <c r="AF179" s="517">
        <f>AF180-AF176-AF177+AF178</f>
        <v/>
      </c>
      <c r="AG179" s="517">
        <f>AG180-AG176-AG177+AG178</f>
        <v/>
      </c>
      <c r="AH179" s="517">
        <f>AH180-AH176-AH177+AH178</f>
        <v/>
      </c>
      <c r="AI179" s="517">
        <f>AI180-AI176-AI177+AI178</f>
        <v/>
      </c>
      <c r="AJ179" s="517">
        <f>AJ180-AJ176-AJ177+AJ178</f>
        <v/>
      </c>
      <c r="AK179" s="517">
        <f>AK180-AK176-AK177+AK178</f>
        <v/>
      </c>
      <c r="AL179" s="517">
        <f>AL180-AL176-AL177+AL178</f>
        <v/>
      </c>
      <c r="AM179" s="517">
        <f>AM180-AM176-AM177+AM178</f>
        <v/>
      </c>
      <c r="AN179" s="517">
        <f>AN180-AN176-AN177+AN178</f>
        <v/>
      </c>
      <c r="AO179" s="517">
        <f>AO180-AO176-AO177+AO178</f>
        <v/>
      </c>
      <c r="AP179" s="517">
        <f>AP180-AP176-AP177+AP178</f>
        <v/>
      </c>
      <c r="AQ179" s="517">
        <f>AQ180-AQ176-AQ177+AQ178</f>
        <v/>
      </c>
      <c r="AR179" s="517">
        <f>AR180-AR176-AR177+AR178</f>
        <v/>
      </c>
      <c r="AS179" s="517">
        <f>AS180-AS176-AS177+AS178</f>
        <v/>
      </c>
      <c r="AT179" s="517">
        <f>AT180-AT176-AT177+AT178</f>
        <v/>
      </c>
      <c r="AU179" s="517">
        <f>AU180-AU176-AU177+AU178</f>
        <v/>
      </c>
      <c r="AV179" s="517">
        <f>AV180-AV176-AV177+AV178</f>
        <v/>
      </c>
      <c r="AW179" s="517">
        <f>AW180-AW176-AW177+AW178</f>
        <v/>
      </c>
      <c r="AX179" s="517">
        <f>AX180-AX176-AX177+AX178</f>
        <v/>
      </c>
      <c r="AY179" s="517">
        <f>AY180-AY176-AY177+AY178</f>
        <v/>
      </c>
      <c r="AZ179" s="517">
        <f>AZ180-AZ176-AZ177+AZ178</f>
        <v/>
      </c>
      <c r="BA179" s="517">
        <f>BA180-BA176-BA177+BA178</f>
        <v/>
      </c>
      <c r="BB179" s="517">
        <f>BB180-BB176-BB177+BB178</f>
        <v/>
      </c>
      <c r="BC179" s="517">
        <f>BC180-BC176-BC177+BC178</f>
        <v/>
      </c>
      <c r="BD179" s="517">
        <f>BD180-BD176-BD177+BD178</f>
        <v/>
      </c>
      <c r="BE179" s="517">
        <f>BE180-BE176-BE177+BE178</f>
        <v/>
      </c>
      <c r="BF179" s="517">
        <f>BF180-BF176-BF177+BF178</f>
        <v/>
      </c>
      <c r="BG179" s="517">
        <f>BG180-BG176-BG177+BG178</f>
        <v/>
      </c>
      <c r="BH179" s="517">
        <f>BH180-BH176-BH177+BH178</f>
        <v/>
      </c>
      <c r="BI179" s="517">
        <f>BI180-BI176-BI177+BI178</f>
        <v/>
      </c>
      <c r="BJ179" s="517">
        <f>BJ180-BJ176-BJ177+BJ178</f>
        <v/>
      </c>
      <c r="BK179" s="517">
        <f>BK180-BK176-BK177+BK178</f>
        <v/>
      </c>
      <c r="BL179" s="517">
        <f>BL180-BL176-BL177+BL178</f>
        <v/>
      </c>
      <c r="BM179" s="517">
        <f>BM180-BM176-BM177+BM178</f>
        <v/>
      </c>
      <c r="BN179" s="517">
        <f>BN180-BN176-BN177+BN178</f>
        <v/>
      </c>
      <c r="BO179" s="517">
        <f>BO180-BO176-BO177+BO178</f>
        <v/>
      </c>
      <c r="BP179" s="517">
        <f>BP180-BP176-BP177+BP178</f>
        <v/>
      </c>
      <c r="BQ179" s="517">
        <f>BQ180-BQ176-BQ177+BQ178</f>
        <v/>
      </c>
      <c r="BR179" s="517">
        <f>BR180-BR176-BR177+BR178</f>
        <v/>
      </c>
      <c r="BS179" s="515" t="n"/>
      <c r="BT179" s="515" t="n"/>
      <c r="BU179" s="515" t="n"/>
      <c r="BV179" s="515" t="n"/>
      <c r="BW179" s="515" t="n"/>
      <c r="BX179" s="515" t="n"/>
      <c r="BY179" s="515" t="n"/>
      <c r="BZ179" s="515" t="n"/>
      <c r="CA179" s="515" t="n"/>
      <c r="CB179" s="515" t="n"/>
      <c r="CC179" s="515" t="n"/>
      <c r="CD179" s="515" t="n"/>
      <c r="CE179" s="515" t="n"/>
      <c r="CF179" s="515" t="n"/>
      <c r="CG179" s="515" t="n"/>
      <c r="CH179" s="515" t="n"/>
      <c r="CI179" s="515" t="n"/>
      <c r="CJ179" s="515" t="n"/>
      <c r="CK179" s="515" t="n"/>
    </row>
    <row r="180">
      <c r="A180" s="421" t="inlineStr">
        <is>
          <t>Ending Net PP&amp;E and IA</t>
        </is>
      </c>
      <c r="B180" s="926" t="n"/>
      <c r="C180" s="926" t="n"/>
      <c r="D180" s="926" t="n"/>
      <c r="E180" s="926" t="n"/>
      <c r="F180" s="926" t="n"/>
      <c r="G180" s="926" t="n"/>
      <c r="H180" s="926" t="n"/>
      <c r="I180" s="926" t="n"/>
      <c r="J180" s="926" t="n"/>
      <c r="K180" s="926" t="n"/>
      <c r="L180" s="926" t="n"/>
      <c r="M180" s="926" t="n"/>
      <c r="N180" s="516">
        <f>FS_Q!N54</f>
        <v/>
      </c>
      <c r="O180" s="516">
        <f>FS_Q!O54</f>
        <v/>
      </c>
      <c r="P180" s="516">
        <f>FS_Q!P54</f>
        <v/>
      </c>
      <c r="Q180" s="516">
        <f>FS_Q!Q54</f>
        <v/>
      </c>
      <c r="R180" s="516">
        <f>FS_Q!R54</f>
        <v/>
      </c>
      <c r="S180" s="516">
        <f>FS_Q!S54</f>
        <v/>
      </c>
      <c r="T180" s="516">
        <f>FS_Q!T54</f>
        <v/>
      </c>
      <c r="U180" s="516">
        <f>FS_Q!U54</f>
        <v/>
      </c>
      <c r="V180" s="516">
        <f>FS_Q!V54</f>
        <v/>
      </c>
      <c r="W180" s="516">
        <f>FS_Q!W54</f>
        <v/>
      </c>
      <c r="X180" s="516">
        <f>FS_Q!X54</f>
        <v/>
      </c>
      <c r="Y180" s="516">
        <f>FS_Q!Y54</f>
        <v/>
      </c>
      <c r="Z180" s="516">
        <f>FS_Q!Z54</f>
        <v/>
      </c>
      <c r="AA180" s="516">
        <f>FS_Q!AA54</f>
        <v/>
      </c>
      <c r="AB180" s="516">
        <f>FS_Q!AB54</f>
        <v/>
      </c>
      <c r="AC180" s="516">
        <f>FS_Q!AC54</f>
        <v/>
      </c>
      <c r="AD180" s="516">
        <f>FS_Q!AD54</f>
        <v/>
      </c>
      <c r="AE180" s="516">
        <f>FS_Q!AE54</f>
        <v/>
      </c>
      <c r="AF180" s="516">
        <f>FS_Q!AF54</f>
        <v/>
      </c>
      <c r="AG180" s="516">
        <f>FS_Q!AG54</f>
        <v/>
      </c>
      <c r="AH180" s="516">
        <f>FS_Q!AH54</f>
        <v/>
      </c>
      <c r="AI180" s="516">
        <f>FS_Q!AI54</f>
        <v/>
      </c>
      <c r="AJ180" s="516">
        <f>FS_Q!AJ54</f>
        <v/>
      </c>
      <c r="AK180" s="516">
        <f>FS_Q!AK54</f>
        <v/>
      </c>
      <c r="AL180" s="516">
        <f>FS_Q!AL54</f>
        <v/>
      </c>
      <c r="AM180" s="516">
        <f>FS_Q!AM54</f>
        <v/>
      </c>
      <c r="AN180" s="516">
        <f>FS_Q!AN54</f>
        <v/>
      </c>
      <c r="AO180" s="516">
        <f>FS_Q!AO54</f>
        <v/>
      </c>
      <c r="AP180" s="516">
        <f>FS_Q!AP54</f>
        <v/>
      </c>
      <c r="AQ180" s="516">
        <f>FS_Q!AQ54</f>
        <v/>
      </c>
      <c r="AR180" s="516">
        <f>FS_Q!AR54</f>
        <v/>
      </c>
      <c r="AS180" s="516">
        <f>FS_Q!AS54</f>
        <v/>
      </c>
      <c r="AT180" s="516">
        <f>FS_Q!AT54</f>
        <v/>
      </c>
      <c r="AU180" s="516">
        <f>FS_Q!AU54</f>
        <v/>
      </c>
      <c r="AV180" s="516">
        <f>FS_Q!AV54</f>
        <v/>
      </c>
      <c r="AW180" s="516">
        <f>FS_Q!AW54</f>
        <v/>
      </c>
      <c r="AX180" s="516">
        <f>FS_Q!AX54</f>
        <v/>
      </c>
      <c r="AY180" s="516">
        <f>FS_Q!AY54</f>
        <v/>
      </c>
      <c r="AZ180" s="516">
        <f>FS_Q!AZ54</f>
        <v/>
      </c>
      <c r="BA180" s="516">
        <f>FS_Q!BA54</f>
        <v/>
      </c>
      <c r="BB180" s="516">
        <f>FS_Q!BB54</f>
        <v/>
      </c>
      <c r="BC180" s="516">
        <f>FS_Q!BC54</f>
        <v/>
      </c>
      <c r="BD180" s="516">
        <f>FS_Q!BD54</f>
        <v/>
      </c>
      <c r="BE180" s="516">
        <f>FS_Q!BE54</f>
        <v/>
      </c>
      <c r="BF180" s="516">
        <f>FS_Q!BF54</f>
        <v/>
      </c>
      <c r="BG180" s="516">
        <f>FS_Q!BG54</f>
        <v/>
      </c>
      <c r="BH180" s="516">
        <f>FS_Q!BH54</f>
        <v/>
      </c>
      <c r="BI180" s="516">
        <f>FS_Q!BI54</f>
        <v/>
      </c>
      <c r="BJ180" s="516">
        <f>FS_Q!BJ54</f>
        <v/>
      </c>
      <c r="BK180" s="516">
        <f>FS_Q!BK54</f>
        <v/>
      </c>
      <c r="BL180" s="516">
        <f>FS_Q!BL54</f>
        <v/>
      </c>
      <c r="BM180" s="516">
        <f>FS_Q!BM54</f>
        <v/>
      </c>
      <c r="BN180" s="516">
        <f>FS_Q!BN54</f>
        <v/>
      </c>
      <c r="BO180" s="516">
        <f>FS_Q!BO54</f>
        <v/>
      </c>
      <c r="BP180" s="516">
        <f>FS_Q!BP54</f>
        <v/>
      </c>
      <c r="BQ180" s="516">
        <f>FS_Q!BQ54</f>
        <v/>
      </c>
      <c r="BR180" s="516">
        <f>FS_Q!BR54</f>
        <v/>
      </c>
      <c r="BS180" s="517">
        <f>BS176+BS177-BS178</f>
        <v/>
      </c>
      <c r="BT180" s="517">
        <f>BT176+BT177-BT178</f>
        <v/>
      </c>
      <c r="BU180" s="517">
        <f>BU176+BU177-BU178</f>
        <v/>
      </c>
      <c r="BV180" s="517">
        <f>BV176+BV177-BV178</f>
        <v/>
      </c>
      <c r="BW180" s="517">
        <f>BW176+BW177-BW178</f>
        <v/>
      </c>
      <c r="BX180" s="517">
        <f>BX176+BX177-BX178</f>
        <v/>
      </c>
      <c r="BY180" s="517">
        <f>BY176+BY177-BY178</f>
        <v/>
      </c>
      <c r="BZ180" s="517">
        <f>BZ176+BZ177-BZ178</f>
        <v/>
      </c>
      <c r="CA180" s="517">
        <f>CA176+CA177-CA178</f>
        <v/>
      </c>
      <c r="CB180" s="517">
        <f>CB176+CB177-CB178</f>
        <v/>
      </c>
      <c r="CC180" s="517">
        <f>CC176+CC177-CC178</f>
        <v/>
      </c>
      <c r="CD180" s="517">
        <f>CD176+CD177-CD178</f>
        <v/>
      </c>
      <c r="CE180" s="517">
        <f>CE176+CE177-CE178</f>
        <v/>
      </c>
      <c r="CF180" s="517">
        <f>CF176+CF177-CF178</f>
        <v/>
      </c>
      <c r="CG180" s="517">
        <f>CG176+CG177-CG178</f>
        <v/>
      </c>
      <c r="CH180" s="517">
        <f>CH176+CH177-CH178</f>
        <v/>
      </c>
      <c r="CI180" s="517">
        <f>CI176+CI177-CI178</f>
        <v/>
      </c>
      <c r="CJ180" s="517">
        <f>CJ176+CJ177-CJ178</f>
        <v/>
      </c>
      <c r="CK180" s="517">
        <f>CK176+CK177-CK178</f>
        <v/>
      </c>
    </row>
    <row r="181">
      <c r="B181" s="50" t="n"/>
      <c r="C181" s="50" t="n"/>
      <c r="D181" s="50" t="n"/>
      <c r="E181" s="50" t="n"/>
      <c r="F181" s="50" t="n"/>
      <c r="G181" s="50" t="n"/>
      <c r="H181" s="50" t="n"/>
      <c r="I181" s="50" t="n"/>
      <c r="J181" s="50" t="n"/>
      <c r="K181" s="50" t="n"/>
      <c r="L181" s="50" t="n"/>
      <c r="M181" s="50" t="n"/>
    </row>
    <row r="182">
      <c r="A182" s="415" t="inlineStr">
        <is>
          <t>D&amp;A - Reported</t>
        </is>
      </c>
      <c r="B182" s="851" t="n"/>
      <c r="C182" s="851" t="n"/>
      <c r="D182" s="851" t="n"/>
      <c r="E182" s="851" t="n"/>
      <c r="F182" s="851" t="n"/>
      <c r="G182" s="851" t="n"/>
      <c r="H182" s="851" t="n"/>
      <c r="I182" s="851" t="n"/>
      <c r="J182" s="851" t="n"/>
      <c r="K182" s="851" t="n"/>
      <c r="L182" s="851" t="n"/>
      <c r="M182" s="851" t="n"/>
      <c r="N182" s="516">
        <f>FS_Q!N93</f>
        <v/>
      </c>
      <c r="O182" s="516">
        <f>FS_Q!O93</f>
        <v/>
      </c>
      <c r="P182" s="516">
        <f>FS_Q!P93</f>
        <v/>
      </c>
      <c r="Q182" s="516">
        <f>FS_Q!Q93</f>
        <v/>
      </c>
      <c r="R182" s="516">
        <f>FS_Q!R93</f>
        <v/>
      </c>
      <c r="S182" s="516">
        <f>FS_Q!S93</f>
        <v/>
      </c>
      <c r="T182" s="516">
        <f>FS_Q!T93</f>
        <v/>
      </c>
      <c r="U182" s="516">
        <f>FS_Q!U93</f>
        <v/>
      </c>
      <c r="V182" s="516">
        <f>FS_Q!V93</f>
        <v/>
      </c>
      <c r="W182" s="516">
        <f>FS_Q!W93</f>
        <v/>
      </c>
      <c r="X182" s="516">
        <f>FS_Q!X93</f>
        <v/>
      </c>
      <c r="Y182" s="516">
        <f>FS_Q!Y93</f>
        <v/>
      </c>
      <c r="Z182" s="516">
        <f>FS_Q!Z93</f>
        <v/>
      </c>
      <c r="AA182" s="516">
        <f>FS_Q!AA93</f>
        <v/>
      </c>
      <c r="AB182" s="516">
        <f>FS_Q!AB93</f>
        <v/>
      </c>
      <c r="AC182" s="516">
        <f>FS_Q!AC93</f>
        <v/>
      </c>
      <c r="AD182" s="516">
        <f>FS_Q!AD93</f>
        <v/>
      </c>
      <c r="AE182" s="516">
        <f>FS_Q!AE93</f>
        <v/>
      </c>
      <c r="AF182" s="516">
        <f>FS_Q!AF93</f>
        <v/>
      </c>
      <c r="AG182" s="516">
        <f>FS_Q!AG93</f>
        <v/>
      </c>
      <c r="AH182" s="516">
        <f>FS_Q!AH93</f>
        <v/>
      </c>
      <c r="AI182" s="516">
        <f>FS_Q!AI93</f>
        <v/>
      </c>
      <c r="AJ182" s="516">
        <f>FS_Q!AJ93</f>
        <v/>
      </c>
      <c r="AK182" s="516">
        <f>FS_Q!AK93</f>
        <v/>
      </c>
      <c r="AL182" s="516">
        <f>FS_Q!AL93</f>
        <v/>
      </c>
      <c r="AM182" s="516">
        <f>FS_Q!AM93</f>
        <v/>
      </c>
      <c r="AN182" s="516">
        <f>FS_Q!AN93</f>
        <v/>
      </c>
      <c r="AO182" s="516">
        <f>FS_Q!AO93</f>
        <v/>
      </c>
      <c r="AP182" s="516">
        <f>FS_Q!AP93</f>
        <v/>
      </c>
      <c r="AQ182" s="516">
        <f>FS_Q!AQ93</f>
        <v/>
      </c>
      <c r="AR182" s="516">
        <f>FS_Q!AR93</f>
        <v/>
      </c>
      <c r="AS182" s="516">
        <f>FS_Q!AS93</f>
        <v/>
      </c>
      <c r="AT182" s="516">
        <f>FS_Q!AT93</f>
        <v/>
      </c>
      <c r="AU182" s="516">
        <f>FS_Q!AU93</f>
        <v/>
      </c>
      <c r="AV182" s="516">
        <f>FS_Q!AV93</f>
        <v/>
      </c>
      <c r="AW182" s="516">
        <f>FS_Q!AW93</f>
        <v/>
      </c>
      <c r="AX182" s="516">
        <f>FS_Q!AX93</f>
        <v/>
      </c>
      <c r="AY182" s="516">
        <f>FS_Q!AY93</f>
        <v/>
      </c>
      <c r="AZ182" s="516">
        <f>FS_Q!AZ93</f>
        <v/>
      </c>
      <c r="BA182" s="516">
        <f>FS_Q!BA93</f>
        <v/>
      </c>
      <c r="BB182" s="516">
        <f>FS_Q!BB93</f>
        <v/>
      </c>
      <c r="BC182" s="516">
        <f>FS_Q!BC93</f>
        <v/>
      </c>
      <c r="BD182" s="516">
        <f>FS_Q!BD93</f>
        <v/>
      </c>
      <c r="BE182" s="516">
        <f>FS_Q!BE93</f>
        <v/>
      </c>
      <c r="BF182" s="516">
        <f>FS_Q!BF93</f>
        <v/>
      </c>
      <c r="BG182" s="516">
        <f>FS_Q!BG93</f>
        <v/>
      </c>
      <c r="BH182" s="516">
        <f>FS_Q!BH93</f>
        <v/>
      </c>
      <c r="BI182" s="516">
        <f>FS_Q!BI93</f>
        <v/>
      </c>
      <c r="BJ182" s="516">
        <f>FS_Q!BJ93</f>
        <v/>
      </c>
      <c r="BK182" s="516">
        <f>FS_Q!BK93</f>
        <v/>
      </c>
      <c r="BL182" s="516">
        <f>FS_Q!BL93</f>
        <v/>
      </c>
      <c r="BM182" s="516">
        <f>FS_Q!BM93</f>
        <v/>
      </c>
      <c r="BN182" s="516">
        <f>FS_Q!BN93</f>
        <v/>
      </c>
      <c r="BO182" s="516">
        <f>FS_Q!BO93</f>
        <v/>
      </c>
      <c r="BP182" s="516">
        <f>FS_Q!BP93</f>
        <v/>
      </c>
      <c r="BQ182" s="516">
        <f>FS_Q!BQ93</f>
        <v/>
      </c>
      <c r="BR182" s="516">
        <f>FS_Q!BR93</f>
        <v/>
      </c>
      <c r="BS182" s="517">
        <f>BS176*BS183</f>
        <v/>
      </c>
      <c r="BT182" s="517">
        <f>BT176*BT183</f>
        <v/>
      </c>
      <c r="BU182" s="517">
        <f>BU176*BU183</f>
        <v/>
      </c>
      <c r="BV182" s="517">
        <f>BV176*BV183</f>
        <v/>
      </c>
      <c r="BW182" s="517">
        <f>BW176*BW183</f>
        <v/>
      </c>
      <c r="BX182" s="517">
        <f>BX176*BX183</f>
        <v/>
      </c>
      <c r="BY182" s="517">
        <f>BY176*BY183</f>
        <v/>
      </c>
      <c r="BZ182" s="517">
        <f>BZ176*BZ183</f>
        <v/>
      </c>
      <c r="CA182" s="517">
        <f>CA176*CA183</f>
        <v/>
      </c>
      <c r="CB182" s="517">
        <f>CB176*CB183</f>
        <v/>
      </c>
      <c r="CC182" s="517">
        <f>CC176*CC183</f>
        <v/>
      </c>
      <c r="CD182" s="517">
        <f>CD176*CD183</f>
        <v/>
      </c>
      <c r="CE182" s="517">
        <f>CE176*CE183</f>
        <v/>
      </c>
      <c r="CF182" s="517">
        <f>CF176*CF183</f>
        <v/>
      </c>
      <c r="CG182" s="517">
        <f>CG176*CG183</f>
        <v/>
      </c>
      <c r="CH182" s="517">
        <f>CH176*CH183</f>
        <v/>
      </c>
      <c r="CI182" s="517">
        <f>CI176*CI183</f>
        <v/>
      </c>
      <c r="CJ182" s="517">
        <f>CJ176*CJ183</f>
        <v/>
      </c>
      <c r="CK182" s="517">
        <f>CK176*CK183</f>
        <v/>
      </c>
    </row>
    <row r="183">
      <c r="A183" s="415" t="inlineStr">
        <is>
          <t>D&amp;A as % of PP&amp;E and IA</t>
        </is>
      </c>
      <c r="B183" s="890" t="n"/>
      <c r="C183" s="890" t="n"/>
      <c r="D183" s="890" t="n"/>
      <c r="E183" s="890" t="n"/>
      <c r="F183" s="890" t="n"/>
      <c r="G183" s="890" t="n"/>
      <c r="H183" s="890" t="n"/>
      <c r="I183" s="890" t="n"/>
      <c r="J183" s="890" t="n"/>
      <c r="K183" s="890" t="n"/>
      <c r="L183" s="890" t="n"/>
      <c r="M183" s="890" t="n"/>
      <c r="O183" s="908">
        <f>O182/O176</f>
        <v/>
      </c>
      <c r="P183" s="908">
        <f>P182/P176</f>
        <v/>
      </c>
      <c r="Q183" s="908">
        <f>Q182/Q176</f>
        <v/>
      </c>
      <c r="R183" s="908">
        <f>R182/R176</f>
        <v/>
      </c>
      <c r="S183" s="908">
        <f>S182/S176</f>
        <v/>
      </c>
      <c r="T183" s="908">
        <f>T182/T176</f>
        <v/>
      </c>
      <c r="U183" s="908">
        <f>U182/U176</f>
        <v/>
      </c>
      <c r="V183" s="908">
        <f>V182/V176</f>
        <v/>
      </c>
      <c r="W183" s="908">
        <f>W182/W176</f>
        <v/>
      </c>
      <c r="X183" s="908">
        <f>X182/X176</f>
        <v/>
      </c>
      <c r="Y183" s="908">
        <f>Y182/Y176</f>
        <v/>
      </c>
      <c r="Z183" s="908">
        <f>Z182/Z176</f>
        <v/>
      </c>
      <c r="AA183" s="908">
        <f>AA182/AA176</f>
        <v/>
      </c>
      <c r="AB183" s="908">
        <f>AB182/AB176</f>
        <v/>
      </c>
      <c r="AC183" s="908">
        <f>AC182/AC176</f>
        <v/>
      </c>
      <c r="AD183" s="908">
        <f>AD182/AD176</f>
        <v/>
      </c>
      <c r="AE183" s="908">
        <f>AE182/AE176</f>
        <v/>
      </c>
      <c r="AF183" s="908">
        <f>AF182/AF176</f>
        <v/>
      </c>
      <c r="AG183" s="908">
        <f>AG182/AG176</f>
        <v/>
      </c>
      <c r="AH183" s="908">
        <f>AH182/AH176</f>
        <v/>
      </c>
      <c r="AI183" s="908">
        <f>AI182/AI176</f>
        <v/>
      </c>
      <c r="AJ183" s="908">
        <f>AJ182/AJ176</f>
        <v/>
      </c>
      <c r="AK183" s="908">
        <f>AK182/AK176</f>
        <v/>
      </c>
      <c r="AL183" s="908">
        <f>AL182/AL176</f>
        <v/>
      </c>
      <c r="AM183" s="908">
        <f>AM182/AM176</f>
        <v/>
      </c>
      <c r="AN183" s="908">
        <f>AN182/AN176</f>
        <v/>
      </c>
      <c r="AO183" s="908">
        <f>AO182/AO176</f>
        <v/>
      </c>
      <c r="AP183" s="908">
        <f>AP182/AP176</f>
        <v/>
      </c>
      <c r="AQ183" s="908">
        <f>AQ182/AQ176</f>
        <v/>
      </c>
      <c r="AR183" s="908">
        <f>AR182/AR176</f>
        <v/>
      </c>
      <c r="AS183" s="908">
        <f>AS182/AS176</f>
        <v/>
      </c>
      <c r="AT183" s="908">
        <f>AT182/AT176</f>
        <v/>
      </c>
      <c r="AU183" s="908">
        <f>AU182/AU176</f>
        <v/>
      </c>
      <c r="AV183" s="908">
        <f>AV182/AV176</f>
        <v/>
      </c>
      <c r="AW183" s="908">
        <f>AW182/AW176</f>
        <v/>
      </c>
      <c r="AX183" s="908">
        <f>AX182/AX176</f>
        <v/>
      </c>
      <c r="AY183" s="908">
        <f>AY182/AY176</f>
        <v/>
      </c>
      <c r="AZ183" s="908">
        <f>AZ182/AZ176</f>
        <v/>
      </c>
      <c r="BA183" s="908">
        <f>BA182/BA176</f>
        <v/>
      </c>
      <c r="BB183" s="908">
        <f>BB182/BB176</f>
        <v/>
      </c>
      <c r="BC183" s="908">
        <f>BC182/BC176</f>
        <v/>
      </c>
      <c r="BD183" s="908">
        <f>BD182/BD176</f>
        <v/>
      </c>
      <c r="BE183" s="908">
        <f>BE182/BE176</f>
        <v/>
      </c>
      <c r="BF183" s="908">
        <f>BF182/BF176</f>
        <v/>
      </c>
      <c r="BG183" s="908">
        <f>BG182/BG176</f>
        <v/>
      </c>
      <c r="BH183" s="908">
        <f>BH182/BH176</f>
        <v/>
      </c>
      <c r="BI183" s="908">
        <f>BI182/BI176</f>
        <v/>
      </c>
      <c r="BJ183" s="908">
        <f>BJ182/BJ176</f>
        <v/>
      </c>
      <c r="BK183" s="908">
        <f>BK182/BK176</f>
        <v/>
      </c>
      <c r="BL183" s="908">
        <f>BL182/BL176</f>
        <v/>
      </c>
      <c r="BM183" s="908">
        <f>BM182/BM176</f>
        <v/>
      </c>
      <c r="BN183" s="908">
        <f>BN182/BN176</f>
        <v/>
      </c>
      <c r="BO183" s="908">
        <f>BO182/BO176</f>
        <v/>
      </c>
      <c r="BP183" s="908">
        <f>BP182/BP176</f>
        <v/>
      </c>
      <c r="BQ183" s="908">
        <f>BQ182/BQ176</f>
        <v/>
      </c>
      <c r="BR183" s="908">
        <f>BR182/BR176</f>
        <v/>
      </c>
      <c r="BS183" s="909">
        <f>AVERAGE(BO183,BK183,BG183)</f>
        <v/>
      </c>
      <c r="BT183" s="909">
        <f>AVERAGE(BP183,BL183,BH183)</f>
        <v/>
      </c>
      <c r="BU183" s="909">
        <f>AVERAGE(BQ183,BM183,BI183)</f>
        <v/>
      </c>
      <c r="BV183" s="909">
        <f>AVERAGE(BR183,BN183,BJ183)</f>
        <v/>
      </c>
      <c r="BW183" s="909">
        <f>AVERAGE(BS183,BO183,BK183)</f>
        <v/>
      </c>
      <c r="BX183" s="909">
        <f>AVERAGE(BT183,BP183,BL183)</f>
        <v/>
      </c>
      <c r="BY183" s="909">
        <f>AVERAGE(BU183,BQ183,BM183)</f>
        <v/>
      </c>
      <c r="BZ183" s="909">
        <f>AVERAGE(BV183,BR183,BN183)</f>
        <v/>
      </c>
      <c r="CA183" s="909">
        <f>AVERAGE(BW183,BS183,BO183)</f>
        <v/>
      </c>
      <c r="CB183" s="909">
        <f>AVERAGE(BX183,BT183,BP183)</f>
        <v/>
      </c>
      <c r="CC183" s="909">
        <f>AVERAGE(BY183,BU183,BQ183)</f>
        <v/>
      </c>
      <c r="CD183" s="909">
        <f>AVERAGE(BZ183,BV183,BR183)</f>
        <v/>
      </c>
      <c r="CE183" s="909">
        <f>AVERAGE(CA183,BW183,BS183)</f>
        <v/>
      </c>
      <c r="CF183" s="909">
        <f>AVERAGE(CB183,BX183,BT183)</f>
        <v/>
      </c>
      <c r="CG183" s="909">
        <f>AVERAGE(CC183,BY183,BU183)</f>
        <v/>
      </c>
      <c r="CH183" s="909">
        <f>AVERAGE(CD183,BZ183,BV183)</f>
        <v/>
      </c>
      <c r="CI183" s="909">
        <f>AVERAGE(CE183,CA183,BW183)</f>
        <v/>
      </c>
      <c r="CJ183" s="909">
        <f>AVERAGE(CF183,CB183,BX183)</f>
        <v/>
      </c>
      <c r="CK183" s="909">
        <f>AVERAGE(CG183,CC183,BY183)</f>
        <v/>
      </c>
    </row>
    <row r="184">
      <c r="A184" s="415" t="inlineStr">
        <is>
          <t>D&amp;A as % of CAPEX</t>
        </is>
      </c>
      <c r="B184" s="883" t="n"/>
      <c r="C184" s="883" t="n"/>
      <c r="D184" s="883" t="n"/>
      <c r="E184" s="883" t="n"/>
      <c r="F184" s="883" t="n"/>
      <c r="G184" s="883" t="n"/>
      <c r="H184" s="883" t="n"/>
      <c r="I184" s="883" t="n"/>
      <c r="J184" s="883" t="n"/>
      <c r="K184" s="883" t="n"/>
      <c r="L184" s="883" t="n"/>
      <c r="M184" s="883" t="n"/>
      <c r="O184" s="908">
        <f>O182/O177</f>
        <v/>
      </c>
      <c r="P184" s="908">
        <f>P182/P177</f>
        <v/>
      </c>
      <c r="Q184" s="908">
        <f>Q182/Q177</f>
        <v/>
      </c>
      <c r="R184" s="908">
        <f>R182/R177</f>
        <v/>
      </c>
      <c r="S184" s="908">
        <f>S182/S177</f>
        <v/>
      </c>
      <c r="T184" s="908">
        <f>T182/T177</f>
        <v/>
      </c>
      <c r="U184" s="908">
        <f>U182/U177</f>
        <v/>
      </c>
      <c r="V184" s="908">
        <f>V182/V177</f>
        <v/>
      </c>
      <c r="W184" s="908">
        <f>W182/W177</f>
        <v/>
      </c>
      <c r="X184" s="908">
        <f>X182/X177</f>
        <v/>
      </c>
      <c r="Y184" s="908">
        <f>Y182/Y177</f>
        <v/>
      </c>
      <c r="Z184" s="908">
        <f>Z182/Z177</f>
        <v/>
      </c>
      <c r="AA184" s="908">
        <f>AA182/AA177</f>
        <v/>
      </c>
      <c r="AB184" s="908">
        <f>AB182/AB177</f>
        <v/>
      </c>
      <c r="AC184" s="908">
        <f>AC182/AC177</f>
        <v/>
      </c>
      <c r="AD184" s="908">
        <f>AD182/AD177</f>
        <v/>
      </c>
      <c r="AE184" s="908">
        <f>AE182/AE177</f>
        <v/>
      </c>
      <c r="AF184" s="908">
        <f>AF182/AF177</f>
        <v/>
      </c>
      <c r="AG184" s="908">
        <f>AG182/AG177</f>
        <v/>
      </c>
      <c r="AH184" s="908">
        <f>AH182/AH177</f>
        <v/>
      </c>
      <c r="AI184" s="908">
        <f>AI182/AI177</f>
        <v/>
      </c>
      <c r="AJ184" s="908">
        <f>AJ182/AJ177</f>
        <v/>
      </c>
      <c r="AK184" s="908">
        <f>AK182/AK177</f>
        <v/>
      </c>
      <c r="AL184" s="908">
        <f>AL182/AL177</f>
        <v/>
      </c>
      <c r="AM184" s="908">
        <f>AM182/AM177</f>
        <v/>
      </c>
      <c r="AN184" s="908">
        <f>AN182/AN177</f>
        <v/>
      </c>
      <c r="AO184" s="908">
        <f>AO182/AO177</f>
        <v/>
      </c>
      <c r="AP184" s="908">
        <f>AP182/AP177</f>
        <v/>
      </c>
      <c r="AQ184" s="908">
        <f>AQ182/AQ177</f>
        <v/>
      </c>
      <c r="AR184" s="908">
        <f>AR182/AR177</f>
        <v/>
      </c>
      <c r="AS184" s="908">
        <f>AS182/AS177</f>
        <v/>
      </c>
      <c r="AT184" s="908">
        <f>AT182/AT177</f>
        <v/>
      </c>
      <c r="AU184" s="908">
        <f>AU182/AU177</f>
        <v/>
      </c>
      <c r="AV184" s="908">
        <f>AV182/AV177</f>
        <v/>
      </c>
      <c r="AW184" s="908">
        <f>AW182/AW177</f>
        <v/>
      </c>
      <c r="AX184" s="908">
        <f>AX182/AX177</f>
        <v/>
      </c>
      <c r="AY184" s="908">
        <f>AY182/AY177</f>
        <v/>
      </c>
      <c r="AZ184" s="908">
        <f>AZ182/AZ177</f>
        <v/>
      </c>
      <c r="BA184" s="908">
        <f>BA182/BA177</f>
        <v/>
      </c>
      <c r="BB184" s="908">
        <f>BB182/BB177</f>
        <v/>
      </c>
      <c r="BC184" s="908">
        <f>BC182/BC177</f>
        <v/>
      </c>
      <c r="BD184" s="908">
        <f>BD182/BD177</f>
        <v/>
      </c>
      <c r="BE184" s="908">
        <f>BE182/BE177</f>
        <v/>
      </c>
      <c r="BF184" s="908">
        <f>BF182/BF177</f>
        <v/>
      </c>
      <c r="BG184" s="908">
        <f>BG182/BG177</f>
        <v/>
      </c>
      <c r="BH184" s="908">
        <f>BH182/BH177</f>
        <v/>
      </c>
      <c r="BI184" s="908">
        <f>BI182/BI177</f>
        <v/>
      </c>
      <c r="BJ184" s="908">
        <f>BJ182/BJ177</f>
        <v/>
      </c>
      <c r="BK184" s="908">
        <f>BK182/BK177</f>
        <v/>
      </c>
      <c r="BL184" s="908">
        <f>BL182/BL177</f>
        <v/>
      </c>
      <c r="BM184" s="908">
        <f>BM182/BM177</f>
        <v/>
      </c>
      <c r="BN184" s="908">
        <f>BN182/BN177</f>
        <v/>
      </c>
      <c r="BO184" s="908">
        <f>BO182/BO177</f>
        <v/>
      </c>
      <c r="BP184" s="908">
        <f>BP182/BP177</f>
        <v/>
      </c>
      <c r="BQ184" s="908">
        <f>BQ182/BQ177</f>
        <v/>
      </c>
      <c r="BR184" s="908">
        <f>BR182/BR177</f>
        <v/>
      </c>
      <c r="BS184" s="908">
        <f>BS182/BS177</f>
        <v/>
      </c>
      <c r="BT184" s="908">
        <f>BT182/BT177</f>
        <v/>
      </c>
      <c r="BU184" s="908">
        <f>BU182/BU177</f>
        <v/>
      </c>
      <c r="BV184" s="908">
        <f>BV182/BV177</f>
        <v/>
      </c>
      <c r="BW184" s="908">
        <f>BW182/BW177</f>
        <v/>
      </c>
      <c r="BX184" s="908">
        <f>BX182/BX177</f>
        <v/>
      </c>
      <c r="BY184" s="908">
        <f>BY182/BY177</f>
        <v/>
      </c>
      <c r="BZ184" s="908">
        <f>BZ182/BZ177</f>
        <v/>
      </c>
      <c r="CA184" s="908">
        <f>CA182/CA177</f>
        <v/>
      </c>
      <c r="CB184" s="908">
        <f>CB182/CB177</f>
        <v/>
      </c>
      <c r="CC184" s="908">
        <f>CC182/CC177</f>
        <v/>
      </c>
      <c r="CD184" s="908">
        <f>CD182/CD177</f>
        <v/>
      </c>
      <c r="CE184" s="908">
        <f>CE182/CE177</f>
        <v/>
      </c>
      <c r="CF184" s="908">
        <f>CF182/CF177</f>
        <v/>
      </c>
      <c r="CG184" s="908">
        <f>CG182/CG177</f>
        <v/>
      </c>
      <c r="CH184" s="908">
        <f>CH182/CH177</f>
        <v/>
      </c>
      <c r="CI184" s="908">
        <f>CI182/CI177</f>
        <v/>
      </c>
      <c r="CJ184" s="908">
        <f>CJ182/CJ177</f>
        <v/>
      </c>
      <c r="CK184" s="908">
        <f>CK182/CK177</f>
        <v/>
      </c>
    </row>
    <row r="185">
      <c r="A185" s="415" t="inlineStr">
        <is>
          <t xml:space="preserve">Avg. years of Remaining Asset Life (annualized) </t>
        </is>
      </c>
      <c r="B185" s="927" t="n"/>
      <c r="C185" s="927" t="n"/>
      <c r="D185" s="927" t="n"/>
      <c r="E185" s="927" t="n"/>
      <c r="F185" s="927" t="n"/>
      <c r="G185" s="927" t="n"/>
      <c r="H185" s="927" t="n"/>
      <c r="I185" s="927" t="n"/>
      <c r="J185" s="927" t="n"/>
      <c r="K185" s="927" t="n"/>
      <c r="L185" s="927" t="n"/>
      <c r="M185" s="927" t="n"/>
      <c r="O185" s="928">
        <f>O180/O182</f>
        <v/>
      </c>
      <c r="P185" s="928">
        <f>P180/P182</f>
        <v/>
      </c>
      <c r="Q185" s="928">
        <f>Q180/Q182</f>
        <v/>
      </c>
      <c r="R185" s="928">
        <f>R180/R182</f>
        <v/>
      </c>
      <c r="S185" s="928">
        <f>S180/S182</f>
        <v/>
      </c>
      <c r="T185" s="928">
        <f>T180/T182</f>
        <v/>
      </c>
      <c r="U185" s="928">
        <f>U180/U182</f>
        <v/>
      </c>
      <c r="V185" s="928">
        <f>V180/V182</f>
        <v/>
      </c>
      <c r="W185" s="928">
        <f>W180/W182</f>
        <v/>
      </c>
      <c r="X185" s="928">
        <f>X180/X182</f>
        <v/>
      </c>
      <c r="Y185" s="928">
        <f>Y180/Y182</f>
        <v/>
      </c>
      <c r="Z185" s="928">
        <f>Z180/Z182</f>
        <v/>
      </c>
      <c r="AA185" s="928">
        <f>AA180/AA182</f>
        <v/>
      </c>
      <c r="AB185" s="928">
        <f>AB180/AB182</f>
        <v/>
      </c>
      <c r="AC185" s="928">
        <f>AC180/AC182</f>
        <v/>
      </c>
      <c r="AD185" s="928">
        <f>AD180/AD182</f>
        <v/>
      </c>
      <c r="AE185" s="928">
        <f>AE180/AE182</f>
        <v/>
      </c>
      <c r="AF185" s="928">
        <f>AF180/AF182</f>
        <v/>
      </c>
      <c r="AG185" s="928">
        <f>AG180/AG182</f>
        <v/>
      </c>
      <c r="AH185" s="928">
        <f>AH180/AH182</f>
        <v/>
      </c>
      <c r="AI185" s="928">
        <f>AI180/AI182</f>
        <v/>
      </c>
      <c r="AJ185" s="928">
        <f>AJ180/AJ182</f>
        <v/>
      </c>
      <c r="AK185" s="928">
        <f>AK180/AK182</f>
        <v/>
      </c>
      <c r="AL185" s="928">
        <f>AL180/AL182</f>
        <v/>
      </c>
      <c r="AM185" s="928">
        <f>AM180/AM182</f>
        <v/>
      </c>
      <c r="AN185" s="928">
        <f>AN180/AN182</f>
        <v/>
      </c>
      <c r="AO185" s="928">
        <f>AO180/AO182</f>
        <v/>
      </c>
      <c r="AP185" s="928">
        <f>AP180/AP182</f>
        <v/>
      </c>
      <c r="AQ185" s="928">
        <f>AQ180/AQ182</f>
        <v/>
      </c>
      <c r="AR185" s="928">
        <f>AR180/AR182</f>
        <v/>
      </c>
      <c r="AS185" s="928">
        <f>AS180/AS182</f>
        <v/>
      </c>
      <c r="AT185" s="928">
        <f>AT180/AT182</f>
        <v/>
      </c>
      <c r="AU185" s="928">
        <f>AU180/AU182</f>
        <v/>
      </c>
      <c r="AV185" s="928">
        <f>AV180/AV182</f>
        <v/>
      </c>
      <c r="AW185" s="928">
        <f>AW180/AW182</f>
        <v/>
      </c>
      <c r="AX185" s="928">
        <f>AX180/AX182</f>
        <v/>
      </c>
      <c r="AY185" s="928">
        <f>AY180/AY182</f>
        <v/>
      </c>
      <c r="AZ185" s="928">
        <f>AZ180/AZ182</f>
        <v/>
      </c>
      <c r="BA185" s="928">
        <f>BA180/BA182</f>
        <v/>
      </c>
      <c r="BB185" s="928">
        <f>BB180/BB182</f>
        <v/>
      </c>
      <c r="BC185" s="928">
        <f>BC180/BC182</f>
        <v/>
      </c>
      <c r="BD185" s="928">
        <f>BD180/BD182</f>
        <v/>
      </c>
      <c r="BE185" s="928">
        <f>BE180/BE182</f>
        <v/>
      </c>
      <c r="BF185" s="928">
        <f>BF180/BF182</f>
        <v/>
      </c>
      <c r="BG185" s="928">
        <f>BG180/BG182</f>
        <v/>
      </c>
      <c r="BH185" s="928">
        <f>BH180/BH182</f>
        <v/>
      </c>
      <c r="BI185" s="928">
        <f>BI180/BI182</f>
        <v/>
      </c>
      <c r="BJ185" s="928">
        <f>BJ180/BJ182</f>
        <v/>
      </c>
      <c r="BK185" s="928">
        <f>BK180/BK182</f>
        <v/>
      </c>
      <c r="BL185" s="928">
        <f>BL180/BL182</f>
        <v/>
      </c>
      <c r="BM185" s="928">
        <f>BM180/BM182</f>
        <v/>
      </c>
      <c r="BN185" s="928">
        <f>BN180/BN182</f>
        <v/>
      </c>
      <c r="BO185" s="928">
        <f>BO180/BO182</f>
        <v/>
      </c>
      <c r="BP185" s="928">
        <f>BP180/BP182</f>
        <v/>
      </c>
      <c r="BQ185" s="928">
        <f>BQ180/BQ182</f>
        <v/>
      </c>
      <c r="BR185" s="928">
        <f>BR180/BR182</f>
        <v/>
      </c>
      <c r="BS185" s="928">
        <f>BS180/BS182</f>
        <v/>
      </c>
      <c r="BT185" s="928">
        <f>BT180/BT182</f>
        <v/>
      </c>
      <c r="BU185" s="928">
        <f>BU180/BU182</f>
        <v/>
      </c>
      <c r="BV185" s="928">
        <f>BV180/BV182</f>
        <v/>
      </c>
      <c r="BW185" s="928">
        <f>BW180/BW182</f>
        <v/>
      </c>
      <c r="BX185" s="928">
        <f>BX180/BX182</f>
        <v/>
      </c>
      <c r="BY185" s="928">
        <f>BY180/BY182</f>
        <v/>
      </c>
      <c r="BZ185" s="928">
        <f>BZ180/BZ182</f>
        <v/>
      </c>
      <c r="CA185" s="928">
        <f>CA180/CA182</f>
        <v/>
      </c>
      <c r="CB185" s="928">
        <f>CB180/CB182</f>
        <v/>
      </c>
      <c r="CC185" s="928">
        <f>CC180/CC182</f>
        <v/>
      </c>
      <c r="CD185" s="928">
        <f>CD180/CD182</f>
        <v/>
      </c>
      <c r="CE185" s="928">
        <f>CE180/CE182</f>
        <v/>
      </c>
      <c r="CF185" s="928">
        <f>CF180/CF182</f>
        <v/>
      </c>
      <c r="CG185" s="928">
        <f>CG180/CG182</f>
        <v/>
      </c>
      <c r="CH185" s="928">
        <f>CH180/CH182</f>
        <v/>
      </c>
      <c r="CI185" s="928">
        <f>CI180/CI182</f>
        <v/>
      </c>
      <c r="CJ185" s="928">
        <f>CJ180/CJ182</f>
        <v/>
      </c>
      <c r="CK185" s="928">
        <f>CK180/CK182</f>
        <v/>
      </c>
    </row>
    <row r="186">
      <c r="B186" s="140" t="n"/>
      <c r="C186" s="140" t="n"/>
      <c r="D186" s="140" t="n"/>
      <c r="E186" s="140" t="n"/>
      <c r="F186" s="140" t="n"/>
      <c r="G186" s="50" t="n"/>
      <c r="H186" s="140" t="n"/>
      <c r="I186" s="50" t="n"/>
      <c r="J186" s="140" t="n"/>
      <c r="K186" s="140" t="n"/>
      <c r="L186" s="140" t="n"/>
      <c r="M186" s="140" t="n"/>
      <c r="BM186" s="517">
        <f>SUM(BJ187:BM187)</f>
        <v/>
      </c>
      <c r="BQ186" s="517">
        <f>SUM(BN187:BQ187)</f>
        <v/>
      </c>
      <c r="BU186" s="517">
        <f>SUM(BR187:BU187)</f>
        <v/>
      </c>
      <c r="BY186" s="517">
        <f>SUM(BV187:BY187)</f>
        <v/>
      </c>
      <c r="CC186" s="517" t="n"/>
    </row>
    <row r="187">
      <c r="A187" s="415" t="inlineStr">
        <is>
          <t>CAPEX</t>
        </is>
      </c>
      <c r="B187" s="140" t="n"/>
      <c r="C187" s="140" t="n"/>
      <c r="D187" s="140" t="n"/>
      <c r="E187" s="140" t="n"/>
      <c r="F187" s="140" t="n"/>
      <c r="G187" s="140" t="n"/>
      <c r="H187" s="140" t="n"/>
      <c r="I187" s="140" t="n"/>
      <c r="J187" s="140" t="n"/>
      <c r="K187" s="140" t="n"/>
      <c r="L187" s="140" t="n"/>
      <c r="M187" s="140" t="n"/>
      <c r="N187" s="516">
        <f>-FS_Q!N105</f>
        <v/>
      </c>
      <c r="O187" s="516">
        <f>-FS_Q!O105</f>
        <v/>
      </c>
      <c r="P187" s="516">
        <f>-FS_Q!P105</f>
        <v/>
      </c>
      <c r="Q187" s="516">
        <f>-FS_Q!Q105</f>
        <v/>
      </c>
      <c r="R187" s="516">
        <f>-FS_Q!R105</f>
        <v/>
      </c>
      <c r="S187" s="516">
        <f>-FS_Q!S105</f>
        <v/>
      </c>
      <c r="T187" s="516">
        <f>-FS_Q!T105</f>
        <v/>
      </c>
      <c r="U187" s="516">
        <f>-FS_Q!U105</f>
        <v/>
      </c>
      <c r="V187" s="516">
        <f>-FS_Q!V105</f>
        <v/>
      </c>
      <c r="W187" s="516">
        <f>-FS_Q!W105</f>
        <v/>
      </c>
      <c r="X187" s="516">
        <f>-FS_Q!X105</f>
        <v/>
      </c>
      <c r="Y187" s="516">
        <f>-FS_Q!Y105</f>
        <v/>
      </c>
      <c r="Z187" s="516">
        <f>-FS_Q!Z105</f>
        <v/>
      </c>
      <c r="AA187" s="516">
        <f>-FS_Q!AA105</f>
        <v/>
      </c>
      <c r="AB187" s="516">
        <f>-FS_Q!AB105</f>
        <v/>
      </c>
      <c r="AC187" s="516">
        <f>-FS_Q!AC105</f>
        <v/>
      </c>
      <c r="AD187" s="516">
        <f>-FS_Q!AD105</f>
        <v/>
      </c>
      <c r="AE187" s="516">
        <f>-FS_Q!AE105</f>
        <v/>
      </c>
      <c r="AF187" s="516">
        <f>-FS_Q!AF105</f>
        <v/>
      </c>
      <c r="AG187" s="516">
        <f>-FS_Q!AG105</f>
        <v/>
      </c>
      <c r="AH187" s="516">
        <f>-FS_Q!AH105</f>
        <v/>
      </c>
      <c r="AI187" s="516">
        <f>-FS_Q!AI105</f>
        <v/>
      </c>
      <c r="AJ187" s="516">
        <f>-FS_Q!AJ105</f>
        <v/>
      </c>
      <c r="AK187" s="516">
        <f>-FS_Q!AK105</f>
        <v/>
      </c>
      <c r="AL187" s="516">
        <f>-FS_Q!AL105</f>
        <v/>
      </c>
      <c r="AM187" s="516">
        <f>-FS_Q!AM105</f>
        <v/>
      </c>
      <c r="AN187" s="516">
        <f>-FS_Q!AN105</f>
        <v/>
      </c>
      <c r="AO187" s="516">
        <f>-FS_Q!AO105</f>
        <v/>
      </c>
      <c r="AP187" s="516">
        <f>-FS_Q!AP105</f>
        <v/>
      </c>
      <c r="AQ187" s="516">
        <f>-FS_Q!AQ105</f>
        <v/>
      </c>
      <c r="AR187" s="516">
        <f>-FS_Q!AR105</f>
        <v/>
      </c>
      <c r="AS187" s="516">
        <f>-FS_Q!AS105</f>
        <v/>
      </c>
      <c r="AT187" s="516">
        <f>-FS_Q!AT105</f>
        <v/>
      </c>
      <c r="AU187" s="516">
        <f>-FS_Q!AU105</f>
        <v/>
      </c>
      <c r="AV187" s="516">
        <f>-FS_Q!AV105</f>
        <v/>
      </c>
      <c r="AW187" s="516">
        <f>-FS_Q!AW105</f>
        <v/>
      </c>
      <c r="AX187" s="667">
        <f>-FS_Q!AX105</f>
        <v/>
      </c>
      <c r="AY187" s="667">
        <f>-FS_Q!AY105</f>
        <v/>
      </c>
      <c r="AZ187" s="667">
        <f>-FS_Q!AZ105</f>
        <v/>
      </c>
      <c r="BA187" s="667">
        <f>-FS_Q!BA105</f>
        <v/>
      </c>
      <c r="BB187" s="667">
        <f>-FS_Q!BB105</f>
        <v/>
      </c>
      <c r="BC187" s="667">
        <f>-FS_Q!BC105</f>
        <v/>
      </c>
      <c r="BD187" s="667">
        <f>-FS_Q!BD105</f>
        <v/>
      </c>
      <c r="BE187" s="667">
        <f>-FS_Q!BE105</f>
        <v/>
      </c>
      <c r="BF187" s="667">
        <f>-FS_Q!BF105</f>
        <v/>
      </c>
      <c r="BG187" s="667">
        <f>-FS_Q!BG105</f>
        <v/>
      </c>
      <c r="BH187" s="667">
        <f>-FS_Q!BH105</f>
        <v/>
      </c>
      <c r="BI187" s="667">
        <f>-FS_Q!BI105</f>
        <v/>
      </c>
      <c r="BJ187" s="667">
        <f>-FS_Q!BJ105</f>
        <v/>
      </c>
      <c r="BK187" s="667">
        <f>-FS_Q!BK105</f>
        <v/>
      </c>
      <c r="BL187" s="667">
        <f>-FS_Q!BL105</f>
        <v/>
      </c>
      <c r="BM187" s="667">
        <f>-FS_Q!BM105</f>
        <v/>
      </c>
      <c r="BN187" s="667">
        <f>-FS_Q!BN105</f>
        <v/>
      </c>
      <c r="BO187" s="667">
        <f>-FS_Q!BO105</f>
        <v/>
      </c>
      <c r="BP187" s="667">
        <f>-FS_Q!BP105</f>
        <v/>
      </c>
      <c r="BQ187" s="667">
        <f>-FS_Q!BQ105</f>
        <v/>
      </c>
      <c r="BR187" s="667">
        <f>-FS_Q!BR105</f>
        <v/>
      </c>
      <c r="BS187" s="517">
        <f>BS$152*BS188</f>
        <v/>
      </c>
      <c r="BT187" s="517">
        <f>BT$152*BT188</f>
        <v/>
      </c>
      <c r="BU187" s="517">
        <f>BU$152*BU188</f>
        <v/>
      </c>
      <c r="BV187" s="517">
        <f>BV$152*BV188</f>
        <v/>
      </c>
      <c r="BW187" s="517">
        <f>BW$152*BW188</f>
        <v/>
      </c>
      <c r="BX187" s="517">
        <f>BX$152*BX188</f>
        <v/>
      </c>
      <c r="BY187" s="517">
        <f>BY$152*BY188</f>
        <v/>
      </c>
      <c r="BZ187" s="517">
        <f>BZ$152*BZ188</f>
        <v/>
      </c>
      <c r="CA187" s="517">
        <f>CA$152*CA188</f>
        <v/>
      </c>
      <c r="CB187" s="517">
        <f>CB$152*CB188</f>
        <v/>
      </c>
      <c r="CC187" s="517">
        <f>CC$152*CC188</f>
        <v/>
      </c>
      <c r="CD187" s="517">
        <f>CD$152*CD188</f>
        <v/>
      </c>
      <c r="CE187" s="517">
        <f>CE$152*CE188</f>
        <v/>
      </c>
      <c r="CF187" s="517">
        <f>CF$152*CF188</f>
        <v/>
      </c>
      <c r="CG187" s="517">
        <f>CG$152*CG188</f>
        <v/>
      </c>
      <c r="CH187" s="517">
        <f>CH$152*CH188</f>
        <v/>
      </c>
      <c r="CI187" s="517">
        <f>CI$152*CI188</f>
        <v/>
      </c>
      <c r="CJ187" s="517">
        <f>CJ$152*CJ188</f>
        <v/>
      </c>
      <c r="CK187" s="517">
        <f>CK$152*CK188</f>
        <v/>
      </c>
    </row>
    <row r="188">
      <c r="A188" s="415" t="inlineStr">
        <is>
          <t>CAPEX as % of sales</t>
        </is>
      </c>
      <c r="B188" s="929" t="n"/>
      <c r="C188" s="929" t="n"/>
      <c r="D188" s="929" t="n"/>
      <c r="E188" s="929" t="n"/>
      <c r="F188" s="929" t="n"/>
      <c r="G188" s="929" t="n"/>
      <c r="H188" s="929" t="n"/>
      <c r="I188" s="929" t="n"/>
      <c r="J188" s="857" t="n"/>
      <c r="K188" s="857" t="n"/>
      <c r="L188" s="857" t="n"/>
      <c r="M188" s="857" t="n"/>
      <c r="N188" s="908">
        <f>N187/N152</f>
        <v/>
      </c>
      <c r="O188" s="908">
        <f>O187/O152</f>
        <v/>
      </c>
      <c r="P188" s="908">
        <f>P187/P152</f>
        <v/>
      </c>
      <c r="Q188" s="908">
        <f>Q187/Q152</f>
        <v/>
      </c>
      <c r="R188" s="908">
        <f>R187/R152</f>
        <v/>
      </c>
      <c r="S188" s="908">
        <f>S187/S152</f>
        <v/>
      </c>
      <c r="T188" s="908">
        <f>T187/T152</f>
        <v/>
      </c>
      <c r="U188" s="908">
        <f>U187/U152</f>
        <v/>
      </c>
      <c r="V188" s="908">
        <f>V187/V152</f>
        <v/>
      </c>
      <c r="W188" s="908">
        <f>W187/W152</f>
        <v/>
      </c>
      <c r="X188" s="908">
        <f>X187/X152</f>
        <v/>
      </c>
      <c r="Y188" s="908">
        <f>Y187/Y152</f>
        <v/>
      </c>
      <c r="Z188" s="908">
        <f>Z187/Z152</f>
        <v/>
      </c>
      <c r="AA188" s="908">
        <f>AA187/AA152</f>
        <v/>
      </c>
      <c r="AB188" s="908">
        <f>AB187/AB152</f>
        <v/>
      </c>
      <c r="AC188" s="908">
        <f>AC187/AC152</f>
        <v/>
      </c>
      <c r="AD188" s="908">
        <f>AD187/AD152</f>
        <v/>
      </c>
      <c r="AE188" s="908">
        <f>AE187/AE152</f>
        <v/>
      </c>
      <c r="AF188" s="908">
        <f>AF187/AF152</f>
        <v/>
      </c>
      <c r="AG188" s="908">
        <f>AG187/AG152</f>
        <v/>
      </c>
      <c r="AH188" s="908">
        <f>AH187/AH152</f>
        <v/>
      </c>
      <c r="AI188" s="908">
        <f>AI187/AI152</f>
        <v/>
      </c>
      <c r="AJ188" s="908">
        <f>AJ187/AJ152</f>
        <v/>
      </c>
      <c r="AK188" s="908">
        <f>AK187/AK152</f>
        <v/>
      </c>
      <c r="AL188" s="908">
        <f>AL187/AL152</f>
        <v/>
      </c>
      <c r="AM188" s="908">
        <f>AM187/AM152</f>
        <v/>
      </c>
      <c r="AN188" s="908">
        <f>AN187/AN152</f>
        <v/>
      </c>
      <c r="AO188" s="908">
        <f>AO187/AO152</f>
        <v/>
      </c>
      <c r="AP188" s="908">
        <f>AP187/AP152</f>
        <v/>
      </c>
      <c r="AQ188" s="908">
        <f>AQ187/AQ152</f>
        <v/>
      </c>
      <c r="AR188" s="908">
        <f>AR187/AR152</f>
        <v/>
      </c>
      <c r="AS188" s="908">
        <f>AS187/AS152</f>
        <v/>
      </c>
      <c r="AT188" s="908">
        <f>AT187/AT152</f>
        <v/>
      </c>
      <c r="AU188" s="908">
        <f>AU187/AU152</f>
        <v/>
      </c>
      <c r="AV188" s="908">
        <f>AV187/AV152</f>
        <v/>
      </c>
      <c r="AW188" s="908">
        <f>AW187/AW152</f>
        <v/>
      </c>
      <c r="AX188" s="908">
        <f>AX187/AX152</f>
        <v/>
      </c>
      <c r="AY188" s="908">
        <f>AY187/AY152</f>
        <v/>
      </c>
      <c r="AZ188" s="908">
        <f>AZ187/AZ152</f>
        <v/>
      </c>
      <c r="BA188" s="908">
        <f>BA187/BA152</f>
        <v/>
      </c>
      <c r="BB188" s="908">
        <f>BB187/BB152</f>
        <v/>
      </c>
      <c r="BC188" s="908">
        <f>BC187/BC152</f>
        <v/>
      </c>
      <c r="BD188" s="908">
        <f>BD187/BD152</f>
        <v/>
      </c>
      <c r="BE188" s="908">
        <f>BE187/BE152</f>
        <v/>
      </c>
      <c r="BF188" s="908">
        <f>BF187/BF152</f>
        <v/>
      </c>
      <c r="BG188" s="908">
        <f>BG187/BG152</f>
        <v/>
      </c>
      <c r="BH188" s="908">
        <f>BH187/BH152</f>
        <v/>
      </c>
      <c r="BI188" s="908">
        <f>BI187/BI152</f>
        <v/>
      </c>
      <c r="BJ188" s="908">
        <f>BJ187/BJ152</f>
        <v/>
      </c>
      <c r="BK188" s="908">
        <f>BK187/BK152</f>
        <v/>
      </c>
      <c r="BL188" s="908">
        <f>BL187/BL152</f>
        <v/>
      </c>
      <c r="BM188" s="908">
        <f>BM187/BM152</f>
        <v/>
      </c>
      <c r="BN188" s="908">
        <f>BN187/BN152</f>
        <v/>
      </c>
      <c r="BO188" s="908">
        <f>BO187/BO152</f>
        <v/>
      </c>
      <c r="BP188" s="908">
        <f>BP187/BP152</f>
        <v/>
      </c>
      <c r="BQ188" s="908">
        <f>BQ187/BQ152</f>
        <v/>
      </c>
      <c r="BR188" s="908">
        <f>BR187/BR152</f>
        <v/>
      </c>
      <c r="BS188" s="915" t="n">
        <v>0.11</v>
      </c>
      <c r="BT188" s="915" t="n">
        <v>0.105</v>
      </c>
      <c r="BU188" s="915" t="n">
        <v>0.105</v>
      </c>
      <c r="BV188" s="909" t="n">
        <v>0.075</v>
      </c>
      <c r="BW188" s="909" t="n">
        <v>0.07000000000000001</v>
      </c>
      <c r="BX188" s="909" t="n">
        <v>0.06</v>
      </c>
      <c r="BY188" s="909" t="n">
        <v>0.06</v>
      </c>
      <c r="BZ188" s="909" t="n">
        <v>0.06</v>
      </c>
      <c r="CA188" s="909" t="n">
        <v>0.06</v>
      </c>
      <c r="CB188" s="909" t="n">
        <v>0.06</v>
      </c>
      <c r="CC188" s="909" t="n">
        <v>0.06</v>
      </c>
      <c r="CD188" s="909" t="n">
        <v>0.065</v>
      </c>
      <c r="CE188" s="909" t="n">
        <v>0.065</v>
      </c>
      <c r="CF188" s="909" t="n">
        <v>0.065</v>
      </c>
      <c r="CG188" s="909" t="n">
        <v>0.065</v>
      </c>
      <c r="CH188" s="909" t="n">
        <v>0.06</v>
      </c>
      <c r="CI188" s="909" t="n">
        <v>0.06</v>
      </c>
      <c r="CJ188" s="909" t="n">
        <v>0.06</v>
      </c>
      <c r="CK188" s="909" t="n">
        <v>0.06</v>
      </c>
    </row>
    <row r="189">
      <c r="A189" s="415" t="inlineStr">
        <is>
          <t>CAPEX % of D&amp;A</t>
        </is>
      </c>
      <c r="B189" s="883" t="n"/>
      <c r="C189" s="883" t="n"/>
      <c r="D189" s="883" t="n"/>
      <c r="E189" s="883" t="n"/>
      <c r="F189" s="883" t="n"/>
      <c r="G189" s="883" t="n"/>
      <c r="H189" s="883" t="n"/>
      <c r="I189" s="883" t="n"/>
      <c r="J189" s="883" t="n"/>
      <c r="K189" s="883" t="n"/>
      <c r="L189" s="883" t="n"/>
      <c r="M189" s="883" t="n"/>
      <c r="N189" s="908">
        <f>N187/N182</f>
        <v/>
      </c>
      <c r="O189" s="908">
        <f>O187/O182</f>
        <v/>
      </c>
      <c r="P189" s="908">
        <f>P187/P182</f>
        <v/>
      </c>
      <c r="Q189" s="908">
        <f>Q187/Q182</f>
        <v/>
      </c>
      <c r="R189" s="908">
        <f>R187/R182</f>
        <v/>
      </c>
      <c r="S189" s="908">
        <f>S187/S182</f>
        <v/>
      </c>
      <c r="T189" s="908">
        <f>T187/T182</f>
        <v/>
      </c>
      <c r="U189" s="908">
        <f>U187/U182</f>
        <v/>
      </c>
      <c r="V189" s="908">
        <f>V187/V182</f>
        <v/>
      </c>
      <c r="W189" s="908">
        <f>W187/W182</f>
        <v/>
      </c>
      <c r="X189" s="908">
        <f>X187/X182</f>
        <v/>
      </c>
      <c r="Y189" s="908">
        <f>Y187/Y182</f>
        <v/>
      </c>
      <c r="Z189" s="908">
        <f>Z187/Z182</f>
        <v/>
      </c>
      <c r="AA189" s="908">
        <f>AA187/AA182</f>
        <v/>
      </c>
      <c r="AB189" s="908">
        <f>AB187/AB182</f>
        <v/>
      </c>
      <c r="AC189" s="908">
        <f>AC187/AC182</f>
        <v/>
      </c>
      <c r="AD189" s="908">
        <f>AD187/AD182</f>
        <v/>
      </c>
      <c r="AE189" s="908">
        <f>AE187/AE182</f>
        <v/>
      </c>
      <c r="AF189" s="908">
        <f>AF187/AF182</f>
        <v/>
      </c>
      <c r="AG189" s="908">
        <f>AG187/AG182</f>
        <v/>
      </c>
      <c r="AH189" s="908">
        <f>AH187/AH182</f>
        <v/>
      </c>
      <c r="AI189" s="908">
        <f>AI187/AI182</f>
        <v/>
      </c>
      <c r="AJ189" s="908">
        <f>AJ187/AJ182</f>
        <v/>
      </c>
      <c r="AK189" s="908">
        <f>AK187/AK182</f>
        <v/>
      </c>
      <c r="AL189" s="908">
        <f>AL187/AL182</f>
        <v/>
      </c>
      <c r="AM189" s="908">
        <f>AM187/AM182</f>
        <v/>
      </c>
      <c r="AN189" s="908">
        <f>AN187/AN182</f>
        <v/>
      </c>
      <c r="AO189" s="908">
        <f>AO187/AO182</f>
        <v/>
      </c>
      <c r="AP189" s="908">
        <f>AP187/AP182</f>
        <v/>
      </c>
      <c r="AQ189" s="908">
        <f>AQ187/AQ182</f>
        <v/>
      </c>
      <c r="AR189" s="908">
        <f>AR187/AR182</f>
        <v/>
      </c>
      <c r="AS189" s="908">
        <f>AS187/AS182</f>
        <v/>
      </c>
      <c r="AT189" s="908">
        <f>AT187/AT182</f>
        <v/>
      </c>
      <c r="AU189" s="908">
        <f>AU187/AU182</f>
        <v/>
      </c>
      <c r="AV189" s="908">
        <f>AV187/AV182</f>
        <v/>
      </c>
      <c r="AW189" s="908">
        <f>AW187/AW182</f>
        <v/>
      </c>
      <c r="AX189" s="908">
        <f>AX187/AX182</f>
        <v/>
      </c>
      <c r="AY189" s="908">
        <f>AY187/AY182</f>
        <v/>
      </c>
      <c r="AZ189" s="908">
        <f>AZ187/AZ182</f>
        <v/>
      </c>
      <c r="BA189" s="908">
        <f>BA187/BA182</f>
        <v/>
      </c>
      <c r="BB189" s="908">
        <f>BB187/BB182</f>
        <v/>
      </c>
      <c r="BC189" s="908">
        <f>BC187/BC182</f>
        <v/>
      </c>
      <c r="BD189" s="908">
        <f>BD187/BD182</f>
        <v/>
      </c>
      <c r="BE189" s="908">
        <f>BE187/BE182</f>
        <v/>
      </c>
      <c r="BF189" s="908">
        <f>BF187/BF182</f>
        <v/>
      </c>
      <c r="BG189" s="908">
        <f>BG187/BG182</f>
        <v/>
      </c>
      <c r="BH189" s="908">
        <f>BH187/BH182</f>
        <v/>
      </c>
      <c r="BI189" s="908">
        <f>BI187/BI182</f>
        <v/>
      </c>
      <c r="BJ189" s="908">
        <f>BJ187/BJ182</f>
        <v/>
      </c>
      <c r="BK189" s="908">
        <f>BK187/BK182</f>
        <v/>
      </c>
      <c r="BL189" s="908">
        <f>BL187/BL182</f>
        <v/>
      </c>
      <c r="BM189" s="908">
        <f>BM187/BM182</f>
        <v/>
      </c>
      <c r="BN189" s="908">
        <f>BN187/BN182</f>
        <v/>
      </c>
      <c r="BO189" s="908">
        <f>BO187/BO182</f>
        <v/>
      </c>
      <c r="BP189" s="908">
        <f>BP187/BP182</f>
        <v/>
      </c>
      <c r="BQ189" s="908">
        <f>BQ187/BQ182</f>
        <v/>
      </c>
      <c r="BR189" s="908">
        <f>BR187/BR182</f>
        <v/>
      </c>
      <c r="BS189" s="908">
        <f>BS187/BS182</f>
        <v/>
      </c>
      <c r="BT189" s="908">
        <f>BT187/BT182</f>
        <v/>
      </c>
      <c r="BU189" s="908">
        <f>BU187/BU182</f>
        <v/>
      </c>
      <c r="BV189" s="908">
        <f>BV187/BV182</f>
        <v/>
      </c>
      <c r="BW189" s="908">
        <f>BW187/BW182</f>
        <v/>
      </c>
      <c r="BX189" s="908">
        <f>BX187/BX182</f>
        <v/>
      </c>
      <c r="BY189" s="908">
        <f>BY187/BY182</f>
        <v/>
      </c>
      <c r="BZ189" s="908">
        <f>BZ187/BZ182</f>
        <v/>
      </c>
      <c r="CA189" s="908">
        <f>CA187/CA182</f>
        <v/>
      </c>
      <c r="CB189" s="908">
        <f>CB187/CB182</f>
        <v/>
      </c>
      <c r="CC189" s="908">
        <f>CC187/CC182</f>
        <v/>
      </c>
      <c r="CD189" s="908">
        <f>CD187/CD182</f>
        <v/>
      </c>
      <c r="CE189" s="908">
        <f>CE187/CE182</f>
        <v/>
      </c>
      <c r="CF189" s="908">
        <f>CF187/CF182</f>
        <v/>
      </c>
      <c r="CG189" s="908">
        <f>CG187/CG182</f>
        <v/>
      </c>
      <c r="CH189" s="908">
        <f>CH187/CH182</f>
        <v/>
      </c>
      <c r="CI189" s="908">
        <f>CI187/CI182</f>
        <v/>
      </c>
      <c r="CJ189" s="908">
        <f>CJ187/CJ182</f>
        <v/>
      </c>
      <c r="CK189" s="908">
        <f>CK187/CK182</f>
        <v/>
      </c>
    </row>
    <row r="190"/>
    <row r="191">
      <c r="A191" s="530" t="inlineStr">
        <is>
          <t>Deferred income taxes, net</t>
        </is>
      </c>
      <c r="B191" s="152" t="n"/>
      <c r="C191" s="152" t="n"/>
      <c r="D191" s="152" t="n"/>
      <c r="E191" s="152" t="n"/>
      <c r="F191" s="152" t="n"/>
      <c r="G191" s="152" t="n"/>
      <c r="H191" s="152" t="n"/>
      <c r="I191" s="152" t="n"/>
      <c r="J191" s="152" t="n"/>
      <c r="K191" s="152" t="n"/>
      <c r="L191" s="152" t="n"/>
      <c r="M191" s="152" t="n"/>
      <c r="N191" s="516">
        <f>FS_Q!N52</f>
        <v/>
      </c>
      <c r="O191" s="516">
        <f>FS_Q!O52</f>
        <v/>
      </c>
      <c r="P191" s="516">
        <f>FS_Q!P52</f>
        <v/>
      </c>
      <c r="Q191" s="516">
        <f>FS_Q!Q52</f>
        <v/>
      </c>
      <c r="R191" s="516">
        <f>FS_Q!R52</f>
        <v/>
      </c>
      <c r="S191" s="516">
        <f>FS_Q!S52</f>
        <v/>
      </c>
      <c r="T191" s="516">
        <f>FS_Q!T52</f>
        <v/>
      </c>
      <c r="U191" s="516">
        <f>FS_Q!U52</f>
        <v/>
      </c>
      <c r="V191" s="516">
        <f>FS_Q!V52</f>
        <v/>
      </c>
      <c r="W191" s="516">
        <f>FS_Q!W52</f>
        <v/>
      </c>
      <c r="X191" s="516">
        <f>FS_Q!X52</f>
        <v/>
      </c>
      <c r="Y191" s="516">
        <f>FS_Q!Y52</f>
        <v/>
      </c>
      <c r="Z191" s="516">
        <f>FS_Q!Z52</f>
        <v/>
      </c>
      <c r="AA191" s="516">
        <f>FS_Q!AA52</f>
        <v/>
      </c>
      <c r="AB191" s="516">
        <f>FS_Q!AB52</f>
        <v/>
      </c>
      <c r="AC191" s="516">
        <f>FS_Q!AC52</f>
        <v/>
      </c>
      <c r="AD191" s="516">
        <f>FS_Q!AD52</f>
        <v/>
      </c>
      <c r="AE191" s="516">
        <f>FS_Q!AE52</f>
        <v/>
      </c>
      <c r="AF191" s="516">
        <f>FS_Q!AF52</f>
        <v/>
      </c>
      <c r="AG191" s="516">
        <f>FS_Q!AG52</f>
        <v/>
      </c>
      <c r="AH191" s="516">
        <f>FS_Q!AH52</f>
        <v/>
      </c>
      <c r="AI191" s="516">
        <f>FS_Q!AI52</f>
        <v/>
      </c>
      <c r="AJ191" s="516">
        <f>FS_Q!AJ52</f>
        <v/>
      </c>
      <c r="AK191" s="516">
        <f>FS_Q!AK52</f>
        <v/>
      </c>
      <c r="AL191" s="516">
        <f>FS_Q!AL52</f>
        <v/>
      </c>
      <c r="AM191" s="516">
        <f>FS_Q!AM52</f>
        <v/>
      </c>
      <c r="AN191" s="516">
        <f>FS_Q!AN52</f>
        <v/>
      </c>
      <c r="AO191" s="516">
        <f>FS_Q!AO52</f>
        <v/>
      </c>
      <c r="AP191" s="516">
        <f>FS_Q!AP52</f>
        <v/>
      </c>
      <c r="AQ191" s="516">
        <f>FS_Q!AQ52</f>
        <v/>
      </c>
      <c r="AR191" s="516">
        <f>FS_Q!AR52</f>
        <v/>
      </c>
      <c r="AS191" s="516">
        <f>FS_Q!AS52</f>
        <v/>
      </c>
      <c r="AT191" s="516">
        <f>FS_Q!AT52</f>
        <v/>
      </c>
      <c r="AU191" s="516">
        <f>FS_Q!AU52</f>
        <v/>
      </c>
      <c r="AV191" s="516">
        <f>FS_Q!AV52</f>
        <v/>
      </c>
      <c r="AW191" s="516">
        <f>FS_Q!AW52</f>
        <v/>
      </c>
      <c r="AX191" s="516">
        <f>FS_Q!AX52</f>
        <v/>
      </c>
      <c r="AY191" s="516">
        <f>FS_Q!AY52</f>
        <v/>
      </c>
      <c r="AZ191" s="516">
        <f>FS_Q!AZ52</f>
        <v/>
      </c>
      <c r="BA191" s="516">
        <f>FS_Q!BA52</f>
        <v/>
      </c>
      <c r="BB191" s="516">
        <f>FS_Q!BB52</f>
        <v/>
      </c>
      <c r="BC191" s="516">
        <f>FS_Q!BC52</f>
        <v/>
      </c>
      <c r="BD191" s="516">
        <f>FS_Q!BD52</f>
        <v/>
      </c>
      <c r="BE191" s="516">
        <f>FS_Q!BE52</f>
        <v/>
      </c>
      <c r="BF191" s="516">
        <f>FS_Q!BF52</f>
        <v/>
      </c>
      <c r="BG191" s="516">
        <f>FS_Q!BG52</f>
        <v/>
      </c>
      <c r="BH191" s="516">
        <f>FS_Q!BH52</f>
        <v/>
      </c>
      <c r="BI191" s="516">
        <f>FS_Q!BI52</f>
        <v/>
      </c>
      <c r="BJ191" s="516">
        <f>FS_Q!BJ52</f>
        <v/>
      </c>
      <c r="BK191" s="516">
        <f>FS_Q!BK52</f>
        <v/>
      </c>
      <c r="BL191" s="516">
        <f>FS_Q!BL52</f>
        <v/>
      </c>
      <c r="BM191" s="516">
        <f>FS_Q!BM52</f>
        <v/>
      </c>
      <c r="BN191" s="516">
        <f>FS_Q!BN52</f>
        <v/>
      </c>
      <c r="BO191" s="516">
        <f>FS_Q!BO52</f>
        <v/>
      </c>
      <c r="BP191" s="516">
        <f>FS_Q!BP52</f>
        <v/>
      </c>
      <c r="BQ191" s="516">
        <f>FS_Q!BQ52</f>
        <v/>
      </c>
      <c r="BR191" s="516">
        <f>FS_Q!BR52</f>
        <v/>
      </c>
      <c r="BS191" s="517">
        <f>BS192*BS$155*BS$247</f>
        <v/>
      </c>
      <c r="BT191" s="517">
        <f>BT192*BT$155*BT$247</f>
        <v/>
      </c>
      <c r="BU191" s="517">
        <f>BU192*BU$155*BU$247</f>
        <v/>
      </c>
      <c r="BV191" s="517">
        <f>BV192*BV$155*BV$247</f>
        <v/>
      </c>
      <c r="BW191" s="517">
        <f>BW192*BW$155*BW$247</f>
        <v/>
      </c>
      <c r="BX191" s="517">
        <f>BX192*BX$155*BX$247</f>
        <v/>
      </c>
      <c r="BY191" s="517">
        <f>BY192*BY$155*BY$247</f>
        <v/>
      </c>
      <c r="BZ191" s="517">
        <f>BZ192*BZ$155*BZ$247</f>
        <v/>
      </c>
      <c r="CA191" s="517">
        <f>CA192*CA$155*CA$247</f>
        <v/>
      </c>
      <c r="CB191" s="517">
        <f>CB192*CB$155*CB$247</f>
        <v/>
      </c>
      <c r="CC191" s="517">
        <f>CC192*CC$155*CC$247</f>
        <v/>
      </c>
      <c r="CD191" s="517">
        <f>CD192*CD$155*CD$247</f>
        <v/>
      </c>
      <c r="CE191" s="517">
        <f>CE192*CE$155*CE$247</f>
        <v/>
      </c>
      <c r="CF191" s="517">
        <f>CF192*CF$155*CF$247</f>
        <v/>
      </c>
      <c r="CG191" s="517">
        <f>CG192*CG$155*CG$247</f>
        <v/>
      </c>
      <c r="CH191" s="517">
        <f>CH192*CH$155*CH$247</f>
        <v/>
      </c>
      <c r="CI191" s="517">
        <f>CI192*CI$155*CI$247</f>
        <v/>
      </c>
      <c r="CJ191" s="517">
        <f>CJ192*CJ$155*CJ$247</f>
        <v/>
      </c>
      <c r="CK191" s="517">
        <f>CK192*CK$155*CK$247</f>
        <v/>
      </c>
    </row>
    <row r="192">
      <c r="A192" s="525">
        <f>A146</f>
        <v/>
      </c>
      <c r="B192" s="152" t="n"/>
      <c r="C192" s="152" t="n"/>
      <c r="D192" s="152" t="n"/>
      <c r="E192" s="152" t="n"/>
      <c r="F192" s="152" t="n"/>
      <c r="G192" s="152" t="n"/>
      <c r="H192" s="152" t="n"/>
      <c r="I192" s="152" t="n"/>
      <c r="J192" s="152" t="n"/>
      <c r="K192" s="152" t="n"/>
      <c r="L192" s="152" t="n"/>
      <c r="M192" s="152" t="n"/>
      <c r="N192" s="908">
        <f>N191/(N$155*N$247)</f>
        <v/>
      </c>
      <c r="O192" s="908">
        <f>O191/(O$155*O$247)</f>
        <v/>
      </c>
      <c r="P192" s="908">
        <f>P191/(P$155*P$247)</f>
        <v/>
      </c>
      <c r="Q192" s="908">
        <f>Q191/(Q$155*Q$247)</f>
        <v/>
      </c>
      <c r="R192" s="908">
        <f>R191/(R$155*R$247)</f>
        <v/>
      </c>
      <c r="S192" s="908">
        <f>S191/(S$155*S$247)</f>
        <v/>
      </c>
      <c r="T192" s="908">
        <f>T191/(T$155*T$247)</f>
        <v/>
      </c>
      <c r="U192" s="908">
        <f>U191/(U$155*U$247)</f>
        <v/>
      </c>
      <c r="V192" s="908">
        <f>V191/(V$155*V$247)</f>
        <v/>
      </c>
      <c r="W192" s="908">
        <f>W191/(W$155*W$247)</f>
        <v/>
      </c>
      <c r="X192" s="908">
        <f>X191/(X$155*X$247)</f>
        <v/>
      </c>
      <c r="Y192" s="908">
        <f>Y191/(Y$155*Y$247)</f>
        <v/>
      </c>
      <c r="Z192" s="908">
        <f>Z191/(Z$155*Z$247)</f>
        <v/>
      </c>
      <c r="AA192" s="908">
        <f>AA191/(AA$155*AA$247)</f>
        <v/>
      </c>
      <c r="AB192" s="908">
        <f>AB191/(AB$155*AB$247)</f>
        <v/>
      </c>
      <c r="AC192" s="908">
        <f>AC191/(AC$155*AC$247)</f>
        <v/>
      </c>
      <c r="AD192" s="908">
        <f>AD191/(AD$155*AD$247)</f>
        <v/>
      </c>
      <c r="AE192" s="908">
        <f>AE191/(AE$155*AE$247)</f>
        <v/>
      </c>
      <c r="AF192" s="908">
        <f>AF191/(AF$155*AF$247)</f>
        <v/>
      </c>
      <c r="AG192" s="908">
        <f>AG191/(AG$155*AG$247)</f>
        <v/>
      </c>
      <c r="AH192" s="908">
        <f>AH191/(AH$155*AH$247)</f>
        <v/>
      </c>
      <c r="AI192" s="908">
        <f>AI191/(AI$155*AI$247)</f>
        <v/>
      </c>
      <c r="AJ192" s="908">
        <f>AJ191/(AJ$155*AJ$247)</f>
        <v/>
      </c>
      <c r="AK192" s="908">
        <f>AK191/(AK$155*AK$247)</f>
        <v/>
      </c>
      <c r="AL192" s="908">
        <f>AL191/(AL$155*AL$247)</f>
        <v/>
      </c>
      <c r="AM192" s="908">
        <f>AM191/(AM$155*AM$247)</f>
        <v/>
      </c>
      <c r="AN192" s="908">
        <f>AN191/(AN$155*AN$247)</f>
        <v/>
      </c>
      <c r="AO192" s="908">
        <f>AO191/(AO$155*AO$247)</f>
        <v/>
      </c>
      <c r="AP192" s="908">
        <f>AP191/(AP$155*AP$247)</f>
        <v/>
      </c>
      <c r="AQ192" s="908">
        <f>AQ191/(AQ$155*AQ$247)</f>
        <v/>
      </c>
      <c r="AR192" s="908">
        <f>AR191/(AR$155*AR$247)</f>
        <v/>
      </c>
      <c r="AS192" s="908">
        <f>AS191/(AS$155*AS$247)</f>
        <v/>
      </c>
      <c r="AT192" s="908">
        <f>AT191/(AT$155*AT$247)</f>
        <v/>
      </c>
      <c r="AU192" s="908">
        <f>AU191/(AU$155*AU$247)</f>
        <v/>
      </c>
      <c r="AV192" s="908">
        <f>AV191/(AV$155*AV$247)</f>
        <v/>
      </c>
      <c r="AW192" s="908">
        <f>AW191/(AW$155*AW$247)</f>
        <v/>
      </c>
      <c r="AX192" s="908">
        <f>AX191/(AX$155*AX$247)</f>
        <v/>
      </c>
      <c r="AY192" s="908">
        <f>AY191/(AY$155*AY$247)</f>
        <v/>
      </c>
      <c r="AZ192" s="908">
        <f>AZ191/(AZ$155*AZ$247)</f>
        <v/>
      </c>
      <c r="BA192" s="908">
        <f>BA191/(BA$155*BA$247)</f>
        <v/>
      </c>
      <c r="BB192" s="908">
        <f>BB191/(BB$155*BB$247)</f>
        <v/>
      </c>
      <c r="BC192" s="908">
        <f>BC191/(BC$155*BC$247)</f>
        <v/>
      </c>
      <c r="BD192" s="908">
        <f>BD191/(BD$155*BD$247)</f>
        <v/>
      </c>
      <c r="BE192" s="908">
        <f>BE191/(BE$155*BE$247)</f>
        <v/>
      </c>
      <c r="BF192" s="908">
        <f>BF191/(BF$155*BF$247)</f>
        <v/>
      </c>
      <c r="BG192" s="908">
        <f>BG191/(BG$155*BG$247)</f>
        <v/>
      </c>
      <c r="BH192" s="908">
        <f>BH191/(BH$155*BH$247)</f>
        <v/>
      </c>
      <c r="BI192" s="908">
        <f>BI191/(BI$155*BI$247)</f>
        <v/>
      </c>
      <c r="BJ192" s="908">
        <f>BJ191/(BJ$155*BJ$247)</f>
        <v/>
      </c>
      <c r="BK192" s="908">
        <f>BK191/(BK$155*BK$247)</f>
        <v/>
      </c>
      <c r="BL192" s="908">
        <f>BL191/(BL$155*BL$247)</f>
        <v/>
      </c>
      <c r="BM192" s="908">
        <f>BM191/(BM$155*BM$247)</f>
        <v/>
      </c>
      <c r="BN192" s="908">
        <f>BN191/(BN$155*BN$247)</f>
        <v/>
      </c>
      <c r="BO192" s="908">
        <f>BO191/(BO$155*BO$247)</f>
        <v/>
      </c>
      <c r="BP192" s="908">
        <f>BP191/(BP$155*BP$247)</f>
        <v/>
      </c>
      <c r="BQ192" s="908">
        <f>BQ191/(BQ$155*BQ$247)</f>
        <v/>
      </c>
      <c r="BR192" s="908">
        <f>BR191/(BR$155*BR$247)</f>
        <v/>
      </c>
      <c r="BS192" s="909">
        <f>AVERAGE(BO192,BK192,BG192)</f>
        <v/>
      </c>
      <c r="BT192" s="909">
        <f>AVERAGE(BP192,BL192,BH192)</f>
        <v/>
      </c>
      <c r="BU192" s="909">
        <f>AVERAGE(BM192,BI192)</f>
        <v/>
      </c>
      <c r="BV192" s="909">
        <f>AVERAGE(BR192,BN192,BJ192)</f>
        <v/>
      </c>
      <c r="BW192" s="909">
        <f>AVERAGE(BS192,BO192,BK192)</f>
        <v/>
      </c>
      <c r="BX192" s="909">
        <f>AVERAGE(BT192,BP192,BL192)</f>
        <v/>
      </c>
      <c r="BY192" s="909">
        <f>AVERAGE(BU192,BM192)</f>
        <v/>
      </c>
      <c r="BZ192" s="909">
        <f>AVERAGE(BV192,BR192,BN192)</f>
        <v/>
      </c>
      <c r="CA192" s="909">
        <f>AVERAGE(BW192,BS192,BO192)</f>
        <v/>
      </c>
      <c r="CB192" s="909">
        <f>AVERAGE(BX192,BT192,BP192)</f>
        <v/>
      </c>
      <c r="CC192" s="909">
        <f>AVERAGE(BY192,BU192)</f>
        <v/>
      </c>
      <c r="CD192" s="909">
        <f>AVERAGE(BZ192,BV192,BR192)</f>
        <v/>
      </c>
      <c r="CE192" s="909">
        <f>AVERAGE(CA192,BW192,BS192)</f>
        <v/>
      </c>
      <c r="CF192" s="909">
        <f>AVERAGE(CB192,BX192,BT192)</f>
        <v/>
      </c>
      <c r="CG192" s="909">
        <f>AVERAGE(CC192,BY192,BU192)</f>
        <v/>
      </c>
      <c r="CH192" s="909">
        <f>AVERAGE(CD192,BZ192,BV192)</f>
        <v/>
      </c>
      <c r="CI192" s="909">
        <f>AVERAGE(CE192,CA192,BW192)</f>
        <v/>
      </c>
      <c r="CJ192" s="909">
        <f>AVERAGE(CF192,CB192,BX192)</f>
        <v/>
      </c>
      <c r="CK192" s="909">
        <f>AVERAGE(CG192,CC192,BY192)</f>
        <v/>
      </c>
    </row>
    <row r="193">
      <c r="A193" s="413" t="n"/>
      <c r="B193" s="883" t="n"/>
      <c r="C193" s="883" t="n"/>
      <c r="D193" s="883" t="n"/>
      <c r="E193" s="883" t="n"/>
      <c r="F193" s="883" t="n"/>
      <c r="G193" s="883" t="n"/>
      <c r="H193" s="883" t="n"/>
      <c r="I193" s="883" t="n"/>
      <c r="J193" s="883" t="n"/>
      <c r="K193" s="883" t="n"/>
      <c r="L193" s="883" t="n"/>
      <c r="M193" s="883" t="n"/>
    </row>
    <row r="194">
      <c r="A194" s="524">
        <f>FS_Q!A53</f>
        <v/>
      </c>
      <c r="N194" s="516">
        <f>FS_Q!N53</f>
        <v/>
      </c>
      <c r="O194" s="516">
        <f>FS_Q!O53</f>
        <v/>
      </c>
      <c r="P194" s="516">
        <f>FS_Q!P53</f>
        <v/>
      </c>
      <c r="Q194" s="516">
        <f>FS_Q!Q53</f>
        <v/>
      </c>
      <c r="R194" s="516">
        <f>FS_Q!R53</f>
        <v/>
      </c>
      <c r="S194" s="516">
        <f>FS_Q!S53</f>
        <v/>
      </c>
      <c r="T194" s="516">
        <f>FS_Q!T53</f>
        <v/>
      </c>
      <c r="U194" s="516">
        <f>FS_Q!U53</f>
        <v/>
      </c>
      <c r="V194" s="516">
        <f>FS_Q!V53</f>
        <v/>
      </c>
      <c r="W194" s="516">
        <f>FS_Q!W53</f>
        <v/>
      </c>
      <c r="X194" s="516">
        <f>FS_Q!X53</f>
        <v/>
      </c>
      <c r="Y194" s="516">
        <f>FS_Q!Y53</f>
        <v/>
      </c>
      <c r="Z194" s="516">
        <f>FS_Q!Z53</f>
        <v/>
      </c>
      <c r="AA194" s="516">
        <f>FS_Q!AA53</f>
        <v/>
      </c>
      <c r="AB194" s="516">
        <f>FS_Q!AB53</f>
        <v/>
      </c>
      <c r="AC194" s="516">
        <f>FS_Q!AC53</f>
        <v/>
      </c>
      <c r="AD194" s="516">
        <f>FS_Q!AD53</f>
        <v/>
      </c>
      <c r="AE194" s="516">
        <f>FS_Q!AE53</f>
        <v/>
      </c>
      <c r="AF194" s="516">
        <f>FS_Q!AF53</f>
        <v/>
      </c>
      <c r="AG194" s="516">
        <f>FS_Q!AG53</f>
        <v/>
      </c>
      <c r="AH194" s="516">
        <f>FS_Q!AH53</f>
        <v/>
      </c>
      <c r="AI194" s="516">
        <f>FS_Q!AI53</f>
        <v/>
      </c>
      <c r="AJ194" s="516">
        <f>FS_Q!AJ53</f>
        <v/>
      </c>
      <c r="AK194" s="516">
        <f>FS_Q!AK53</f>
        <v/>
      </c>
      <c r="AL194" s="516">
        <f>FS_Q!AL53</f>
        <v/>
      </c>
      <c r="AM194" s="516">
        <f>FS_Q!AM53</f>
        <v/>
      </c>
      <c r="AN194" s="516">
        <f>FS_Q!AN53</f>
        <v/>
      </c>
      <c r="AO194" s="516">
        <f>FS_Q!AO53</f>
        <v/>
      </c>
      <c r="AP194" s="516">
        <f>FS_Q!AP53</f>
        <v/>
      </c>
      <c r="AQ194" s="516">
        <f>FS_Q!AQ53</f>
        <v/>
      </c>
      <c r="AR194" s="516">
        <f>FS_Q!AR53</f>
        <v/>
      </c>
      <c r="AS194" s="516">
        <f>FS_Q!AS53</f>
        <v/>
      </c>
      <c r="AT194" s="516">
        <f>FS_Q!AT53</f>
        <v/>
      </c>
      <c r="AU194" s="516">
        <f>FS_Q!AU53</f>
        <v/>
      </c>
      <c r="AV194" s="516">
        <f>FS_Q!AV53</f>
        <v/>
      </c>
      <c r="AW194" s="516">
        <f>FS_Q!AW53</f>
        <v/>
      </c>
      <c r="AX194" s="516">
        <f>FS_Q!AX53</f>
        <v/>
      </c>
      <c r="AY194" s="516">
        <f>FS_Q!AY53</f>
        <v/>
      </c>
      <c r="AZ194" s="516">
        <f>FS_Q!AZ53</f>
        <v/>
      </c>
      <c r="BA194" s="516">
        <f>FS_Q!BA53</f>
        <v/>
      </c>
      <c r="BB194" s="516">
        <f>FS_Q!BB53</f>
        <v/>
      </c>
      <c r="BC194" s="516">
        <f>FS_Q!BC53</f>
        <v/>
      </c>
      <c r="BD194" s="516">
        <f>FS_Q!BD53</f>
        <v/>
      </c>
      <c r="BE194" s="516">
        <f>FS_Q!BE53</f>
        <v/>
      </c>
      <c r="BF194" s="516">
        <f>FS_Q!BF53</f>
        <v/>
      </c>
      <c r="BG194" s="516">
        <f>FS_Q!BG53</f>
        <v/>
      </c>
      <c r="BH194" s="516">
        <f>FS_Q!BH53</f>
        <v/>
      </c>
      <c r="BI194" s="516">
        <f>FS_Q!BI53</f>
        <v/>
      </c>
      <c r="BJ194" s="516">
        <f>FS_Q!BJ53</f>
        <v/>
      </c>
      <c r="BK194" s="516">
        <f>FS_Q!BK53</f>
        <v/>
      </c>
      <c r="BL194" s="516">
        <f>FS_Q!BL53</f>
        <v/>
      </c>
      <c r="BM194" s="516">
        <f>FS_Q!BM53</f>
        <v/>
      </c>
      <c r="BN194" s="516">
        <f>FS_Q!BN53</f>
        <v/>
      </c>
      <c r="BO194" s="516">
        <f>FS_Q!BO53</f>
        <v/>
      </c>
      <c r="BP194" s="516">
        <f>FS_Q!BP53</f>
        <v/>
      </c>
      <c r="BQ194" s="516">
        <f>FS_Q!BQ53</f>
        <v/>
      </c>
      <c r="BR194" s="516">
        <f>FS_Q!BR53</f>
        <v/>
      </c>
      <c r="BS194" s="517">
        <f>BR194</f>
        <v/>
      </c>
      <c r="BT194" s="517">
        <f>BS194</f>
        <v/>
      </c>
      <c r="BU194" s="517">
        <f>BT194</f>
        <v/>
      </c>
      <c r="BV194" s="517">
        <f>BU194</f>
        <v/>
      </c>
      <c r="BW194" s="517">
        <f>BV194</f>
        <v/>
      </c>
      <c r="BX194" s="517">
        <f>BW194</f>
        <v/>
      </c>
      <c r="BY194" s="517">
        <f>BX194</f>
        <v/>
      </c>
      <c r="BZ194" s="517">
        <f>BY194</f>
        <v/>
      </c>
      <c r="CA194" s="517">
        <f>BZ194</f>
        <v/>
      </c>
      <c r="CB194" s="517">
        <f>CA194</f>
        <v/>
      </c>
      <c r="CC194" s="517">
        <f>CB194</f>
        <v/>
      </c>
      <c r="CD194" s="517">
        <f>CC194</f>
        <v/>
      </c>
      <c r="CE194" s="517">
        <f>CD194</f>
        <v/>
      </c>
      <c r="CF194" s="517">
        <f>CE194</f>
        <v/>
      </c>
      <c r="CG194" s="517">
        <f>CF194</f>
        <v/>
      </c>
      <c r="CH194" s="517">
        <f>CG194</f>
        <v/>
      </c>
      <c r="CI194" s="517">
        <f>CH194</f>
        <v/>
      </c>
      <c r="CJ194" s="517">
        <f>CI194</f>
        <v/>
      </c>
      <c r="CK194" s="517">
        <f>CJ194</f>
        <v/>
      </c>
    </row>
    <row r="195">
      <c r="A195" s="524">
        <f>FS_Q!A55</f>
        <v/>
      </c>
      <c r="B195" s="79" t="n"/>
      <c r="C195" s="79" t="n"/>
      <c r="D195" s="79" t="n"/>
      <c r="E195" s="140" t="n"/>
      <c r="F195" s="140" t="n"/>
      <c r="G195" s="140" t="n"/>
      <c r="H195" s="140" t="n"/>
      <c r="I195" s="140" t="n"/>
      <c r="J195" s="140" t="n"/>
      <c r="K195" s="140" t="n"/>
      <c r="L195" s="140" t="n"/>
      <c r="M195" s="140" t="n"/>
      <c r="N195" s="516">
        <f>FS_Q!N55</f>
        <v/>
      </c>
      <c r="O195" s="516">
        <f>FS_Q!O55</f>
        <v/>
      </c>
      <c r="P195" s="516">
        <f>FS_Q!P55</f>
        <v/>
      </c>
      <c r="Q195" s="516">
        <f>FS_Q!Q55</f>
        <v/>
      </c>
      <c r="R195" s="516">
        <f>FS_Q!R55</f>
        <v/>
      </c>
      <c r="S195" s="516">
        <f>FS_Q!S55</f>
        <v/>
      </c>
      <c r="T195" s="516">
        <f>FS_Q!T55</f>
        <v/>
      </c>
      <c r="U195" s="516">
        <f>FS_Q!U55</f>
        <v/>
      </c>
      <c r="V195" s="516">
        <f>FS_Q!V55</f>
        <v/>
      </c>
      <c r="W195" s="516">
        <f>FS_Q!W55</f>
        <v/>
      </c>
      <c r="X195" s="516">
        <f>FS_Q!X55</f>
        <v/>
      </c>
      <c r="Y195" s="516">
        <f>FS_Q!Y55</f>
        <v/>
      </c>
      <c r="Z195" s="516">
        <f>FS_Q!Z55</f>
        <v/>
      </c>
      <c r="AA195" s="516">
        <f>FS_Q!AA55</f>
        <v/>
      </c>
      <c r="AB195" s="516">
        <f>FS_Q!AB55</f>
        <v/>
      </c>
      <c r="AC195" s="516">
        <f>FS_Q!AC55</f>
        <v/>
      </c>
      <c r="AD195" s="516">
        <f>FS_Q!AD55</f>
        <v/>
      </c>
      <c r="AE195" s="516">
        <f>FS_Q!AE55</f>
        <v/>
      </c>
      <c r="AF195" s="516">
        <f>FS_Q!AF55</f>
        <v/>
      </c>
      <c r="AG195" s="516">
        <f>FS_Q!AG55</f>
        <v/>
      </c>
      <c r="AH195" s="516">
        <f>FS_Q!AH55</f>
        <v/>
      </c>
      <c r="AI195" s="516">
        <f>FS_Q!AI55</f>
        <v/>
      </c>
      <c r="AJ195" s="516">
        <f>FS_Q!AJ55</f>
        <v/>
      </c>
      <c r="AK195" s="516">
        <f>FS_Q!AK55</f>
        <v/>
      </c>
      <c r="AL195" s="516">
        <f>FS_Q!AL55</f>
        <v/>
      </c>
      <c r="AM195" s="516">
        <f>FS_Q!AM55</f>
        <v/>
      </c>
      <c r="AN195" s="516">
        <f>FS_Q!AN55</f>
        <v/>
      </c>
      <c r="AO195" s="516">
        <f>FS_Q!AO55</f>
        <v/>
      </c>
      <c r="AP195" s="516">
        <f>FS_Q!AP55</f>
        <v/>
      </c>
      <c r="AQ195" s="516">
        <f>FS_Q!AQ55</f>
        <v/>
      </c>
      <c r="AR195" s="516">
        <f>FS_Q!AR55</f>
        <v/>
      </c>
      <c r="AS195" s="516">
        <f>FS_Q!AS55</f>
        <v/>
      </c>
      <c r="AT195" s="516">
        <f>FS_Q!AT55</f>
        <v/>
      </c>
      <c r="AU195" s="516">
        <f>FS_Q!AU55</f>
        <v/>
      </c>
      <c r="AV195" s="516">
        <f>FS_Q!AV55</f>
        <v/>
      </c>
      <c r="AW195" s="516">
        <f>FS_Q!AW55</f>
        <v/>
      </c>
      <c r="AX195" s="516">
        <f>FS_Q!AX55</f>
        <v/>
      </c>
      <c r="AY195" s="516">
        <f>FS_Q!AY55</f>
        <v/>
      </c>
      <c r="AZ195" s="516">
        <f>FS_Q!AZ55</f>
        <v/>
      </c>
      <c r="BA195" s="516">
        <f>FS_Q!BA55</f>
        <v/>
      </c>
      <c r="BB195" s="516">
        <f>FS_Q!BB55</f>
        <v/>
      </c>
      <c r="BC195" s="516">
        <f>FS_Q!BC55</f>
        <v/>
      </c>
      <c r="BD195" s="516">
        <f>FS_Q!BD55</f>
        <v/>
      </c>
      <c r="BE195" s="516">
        <f>FS_Q!BE55</f>
        <v/>
      </c>
      <c r="BF195" s="516">
        <f>FS_Q!BF55</f>
        <v/>
      </c>
      <c r="BG195" s="516">
        <f>FS_Q!BG55</f>
        <v/>
      </c>
      <c r="BH195" s="516">
        <f>FS_Q!BH55</f>
        <v/>
      </c>
      <c r="BI195" s="516">
        <f>FS_Q!BI55</f>
        <v/>
      </c>
      <c r="BJ195" s="516">
        <f>FS_Q!BJ55</f>
        <v/>
      </c>
      <c r="BK195" s="516">
        <f>FS_Q!BK55</f>
        <v/>
      </c>
      <c r="BL195" s="516">
        <f>FS_Q!BL55</f>
        <v/>
      </c>
      <c r="BM195" s="516">
        <f>FS_Q!BM55</f>
        <v/>
      </c>
      <c r="BN195" s="516">
        <f>FS_Q!BN55</f>
        <v/>
      </c>
      <c r="BO195" s="516">
        <f>FS_Q!BO55</f>
        <v/>
      </c>
      <c r="BP195" s="516">
        <f>FS_Q!BP55</f>
        <v/>
      </c>
      <c r="BQ195" s="516">
        <f>FS_Q!BQ55</f>
        <v/>
      </c>
      <c r="BR195" s="516">
        <f>FS_Q!BR55</f>
        <v/>
      </c>
      <c r="BS195" s="517">
        <f>BS196*BS$152*BS$247</f>
        <v/>
      </c>
      <c r="BT195" s="517">
        <f>BT196*BT$152*BT$247</f>
        <v/>
      </c>
      <c r="BU195" s="517">
        <f>BU196*BU$152*BU$247</f>
        <v/>
      </c>
      <c r="BV195" s="517">
        <f>BV196*BV$152*BV$247</f>
        <v/>
      </c>
      <c r="BW195" s="517">
        <f>BW196*BW$152*BW$247</f>
        <v/>
      </c>
      <c r="BX195" s="517">
        <f>BX196*BX$152*BX$247</f>
        <v/>
      </c>
      <c r="BY195" s="517">
        <f>BY196*BY$152*BY$247</f>
        <v/>
      </c>
      <c r="BZ195" s="517">
        <f>BZ196*BZ$152*BZ$247</f>
        <v/>
      </c>
      <c r="CA195" s="517">
        <f>CA196*CA$152*CA$247</f>
        <v/>
      </c>
      <c r="CB195" s="517">
        <f>CB196*CB$152*CB$247</f>
        <v/>
      </c>
      <c r="CC195" s="517">
        <f>CC196*CC$152*CC$247</f>
        <v/>
      </c>
      <c r="CD195" s="517">
        <f>CD196*CD$152*CD$247</f>
        <v/>
      </c>
      <c r="CE195" s="517">
        <f>CE196*CE$152*CE$247</f>
        <v/>
      </c>
      <c r="CF195" s="517">
        <f>CF196*CF$152*CF$247</f>
        <v/>
      </c>
      <c r="CG195" s="517">
        <f>CG196*CG$152*CG$247</f>
        <v/>
      </c>
      <c r="CH195" s="517">
        <f>CH196*CH$152*CH$247</f>
        <v/>
      </c>
      <c r="CI195" s="517">
        <f>CI196*CI$152*CI$247</f>
        <v/>
      </c>
      <c r="CJ195" s="517">
        <f>CJ196*CJ$152*CJ$247</f>
        <v/>
      </c>
      <c r="CK195" s="517">
        <f>CK196*CK$152*CK$247</f>
        <v/>
      </c>
    </row>
    <row r="196">
      <c r="A196" s="525">
        <f>A136</f>
        <v/>
      </c>
      <c r="B196" s="883" t="n"/>
      <c r="C196" s="883" t="n"/>
      <c r="D196" s="883" t="n"/>
      <c r="E196" s="883" t="n"/>
      <c r="F196" s="883" t="n"/>
      <c r="G196" s="883" t="n"/>
      <c r="H196" s="883" t="n"/>
      <c r="I196" s="883" t="n"/>
      <c r="J196" s="883" t="n"/>
      <c r="K196" s="883" t="n"/>
      <c r="L196" s="883" t="n"/>
      <c r="M196" s="883" t="n"/>
      <c r="N196" s="908">
        <f>N195/(N$152*N$247)</f>
        <v/>
      </c>
      <c r="O196" s="908">
        <f>O195/(O$152*O$247)</f>
        <v/>
      </c>
      <c r="P196" s="908">
        <f>P195/(P$152*P$247)</f>
        <v/>
      </c>
      <c r="Q196" s="908">
        <f>Q195/(Q$152*Q$247)</f>
        <v/>
      </c>
      <c r="R196" s="908">
        <f>R195/(R$152*R$247)</f>
        <v/>
      </c>
      <c r="S196" s="908">
        <f>S195/(S$152*S$247)</f>
        <v/>
      </c>
      <c r="T196" s="908">
        <f>T195/(T$152*T$247)</f>
        <v/>
      </c>
      <c r="U196" s="908">
        <f>U195/(U$152*U$247)</f>
        <v/>
      </c>
      <c r="V196" s="908">
        <f>V195/(V$152*V$247)</f>
        <v/>
      </c>
      <c r="W196" s="908">
        <f>W195/(W$152*W$247)</f>
        <v/>
      </c>
      <c r="X196" s="908">
        <f>X195/(X$152*X$247)</f>
        <v/>
      </c>
      <c r="Y196" s="908">
        <f>Y195/(Y$152*Y$247)</f>
        <v/>
      </c>
      <c r="Z196" s="908">
        <f>Z195/(Z$152*Z$247)</f>
        <v/>
      </c>
      <c r="AA196" s="908">
        <f>AA195/(AA$152*AA$247)</f>
        <v/>
      </c>
      <c r="AB196" s="908">
        <f>AB195/(AB$152*AB$247)</f>
        <v/>
      </c>
      <c r="AC196" s="908">
        <f>AC195/(AC$152*AC$247)</f>
        <v/>
      </c>
      <c r="AD196" s="908">
        <f>AD195/(AD$152*AD$247)</f>
        <v/>
      </c>
      <c r="AE196" s="908">
        <f>AE195/(AE$152*AE$247)</f>
        <v/>
      </c>
      <c r="AF196" s="908">
        <f>AF195/(AF$152*AF$247)</f>
        <v/>
      </c>
      <c r="AG196" s="908">
        <f>AG195/(AG$152*AG$247)</f>
        <v/>
      </c>
      <c r="AH196" s="908">
        <f>AH195/(AH$152*AH$247)</f>
        <v/>
      </c>
      <c r="AI196" s="908">
        <f>AI195/(AI$152*AI$247)</f>
        <v/>
      </c>
      <c r="AJ196" s="908">
        <f>AJ195/(AJ$152*AJ$247)</f>
        <v/>
      </c>
      <c r="AK196" s="908">
        <f>AK195/(AK$152*AK$247)</f>
        <v/>
      </c>
      <c r="AL196" s="908">
        <f>AL195/(AL$152*AL$247)</f>
        <v/>
      </c>
      <c r="AM196" s="908">
        <f>AM195/(AM$152*AM$247)</f>
        <v/>
      </c>
      <c r="AN196" s="908">
        <f>AN195/(AN$152*AN$247)</f>
        <v/>
      </c>
      <c r="AO196" s="908">
        <f>AO195/(AO$152*AO$247)</f>
        <v/>
      </c>
      <c r="AP196" s="908">
        <f>AP195/(AP$152*AP$247)</f>
        <v/>
      </c>
      <c r="AQ196" s="908">
        <f>AQ195/(AQ$152*AQ$247)</f>
        <v/>
      </c>
      <c r="AR196" s="908">
        <f>AR195/(AR$152*AR$247)</f>
        <v/>
      </c>
      <c r="AS196" s="908">
        <f>AS195/(AS$152*AS$247)</f>
        <v/>
      </c>
      <c r="AT196" s="908">
        <f>AT195/(AT$152*AT$247)</f>
        <v/>
      </c>
      <c r="AU196" s="908">
        <f>AU195/(AU$152*AU$247)</f>
        <v/>
      </c>
      <c r="AV196" s="908">
        <f>AV195/(AV$152*AV$247)</f>
        <v/>
      </c>
      <c r="AW196" s="908">
        <f>AW195/(AW$152*AW$247)</f>
        <v/>
      </c>
      <c r="AX196" s="908">
        <f>AX195/(AX$152*AX$247)</f>
        <v/>
      </c>
      <c r="AY196" s="908">
        <f>AY195/(AY$152*AY$247)</f>
        <v/>
      </c>
      <c r="AZ196" s="908">
        <f>AZ195/(AZ$152*AZ$247)</f>
        <v/>
      </c>
      <c r="BA196" s="908">
        <f>BA195/(BA$152*BA$247)</f>
        <v/>
      </c>
      <c r="BB196" s="908">
        <f>BB195/(BB$152*BB$247)</f>
        <v/>
      </c>
      <c r="BC196" s="908">
        <f>BC195/(BC$152*BC$247)</f>
        <v/>
      </c>
      <c r="BD196" s="908">
        <f>BD195/(BD$152*BD$247)</f>
        <v/>
      </c>
      <c r="BE196" s="908">
        <f>BE195/(BE$152*BE$247)</f>
        <v/>
      </c>
      <c r="BF196" s="908">
        <f>BF195/(BF$152*BF$247)</f>
        <v/>
      </c>
      <c r="BG196" s="908">
        <f>BG195/(BG$152*BG$247)</f>
        <v/>
      </c>
      <c r="BH196" s="908">
        <f>BH195/(BH$152*BH$247)</f>
        <v/>
      </c>
      <c r="BI196" s="908">
        <f>BI195/(BI$152*BI$247)</f>
        <v/>
      </c>
      <c r="BJ196" s="908">
        <f>BJ195/(BJ$152*BJ$247)</f>
        <v/>
      </c>
      <c r="BK196" s="908">
        <f>BK195/(BK$152*BK$247)</f>
        <v/>
      </c>
      <c r="BL196" s="908">
        <f>BL195/(BL$152*BL$247)</f>
        <v/>
      </c>
      <c r="BM196" s="908">
        <f>BM195/(BM$152*BM$247)</f>
        <v/>
      </c>
      <c r="BN196" s="908">
        <f>BN195/(BN$152*BN$247)</f>
        <v/>
      </c>
      <c r="BO196" s="908">
        <f>BO195/(BO$152*BO$247)</f>
        <v/>
      </c>
      <c r="BP196" s="908">
        <f>BP195/(BP$152*BP$247)</f>
        <v/>
      </c>
      <c r="BQ196" s="908">
        <f>BQ195/(BQ$152*BQ$247)</f>
        <v/>
      </c>
      <c r="BR196" s="908">
        <f>BR195/(BR$152*BR$247)</f>
        <v/>
      </c>
      <c r="BS196" s="909">
        <f>BR196</f>
        <v/>
      </c>
      <c r="BT196" s="909">
        <f>BS196</f>
        <v/>
      </c>
      <c r="BU196" s="909">
        <f>BT196</f>
        <v/>
      </c>
      <c r="BV196" s="909">
        <f>BU196</f>
        <v/>
      </c>
      <c r="BW196" s="909">
        <f>BV196</f>
        <v/>
      </c>
      <c r="BX196" s="909">
        <f>BW196</f>
        <v/>
      </c>
      <c r="BY196" s="909">
        <f>BX196</f>
        <v/>
      </c>
      <c r="BZ196" s="909">
        <f>BY196</f>
        <v/>
      </c>
      <c r="CA196" s="909">
        <f>BZ196</f>
        <v/>
      </c>
      <c r="CB196" s="909">
        <f>CA196</f>
        <v/>
      </c>
      <c r="CC196" s="909">
        <f>CB196</f>
        <v/>
      </c>
      <c r="CD196" s="909">
        <f>CC196</f>
        <v/>
      </c>
      <c r="CE196" s="909">
        <f>CD196</f>
        <v/>
      </c>
      <c r="CF196" s="909">
        <f>CE196</f>
        <v/>
      </c>
      <c r="CG196" s="909">
        <f>CF196</f>
        <v/>
      </c>
      <c r="CH196" s="909">
        <f>CG196</f>
        <v/>
      </c>
      <c r="CI196" s="909">
        <f>CH196</f>
        <v/>
      </c>
      <c r="CJ196" s="909">
        <f>CI196</f>
        <v/>
      </c>
      <c r="CK196" s="909">
        <f>CJ196</f>
        <v/>
      </c>
    </row>
    <row r="197" ht="14" customHeight="1" thickBot="1">
      <c r="A197" s="531" t="n"/>
    </row>
    <row r="198">
      <c r="A198" s="412" t="n"/>
    </row>
    <row r="199">
      <c r="A199" s="411">
        <f>FS_Q!A64</f>
        <v/>
      </c>
      <c r="B199" s="140" t="n"/>
      <c r="C199" s="140" t="n"/>
      <c r="D199" s="140" t="n"/>
      <c r="E199" s="140" t="n"/>
      <c r="F199" s="140" t="n"/>
      <c r="G199" s="426" t="n"/>
      <c r="H199" s="426" t="n"/>
      <c r="I199" s="426" t="n"/>
      <c r="J199" s="426" t="n"/>
      <c r="K199" s="426" t="n"/>
      <c r="L199" s="426" t="n"/>
      <c r="M199" s="426" t="n"/>
      <c r="N199" s="516">
        <f>FS_Q!N64</f>
        <v/>
      </c>
      <c r="O199" s="516">
        <f>FS_Q!O64</f>
        <v/>
      </c>
      <c r="P199" s="516">
        <f>FS_Q!P64</f>
        <v/>
      </c>
      <c r="Q199" s="516">
        <f>FS_Q!Q64</f>
        <v/>
      </c>
      <c r="R199" s="516">
        <f>FS_Q!R64</f>
        <v/>
      </c>
      <c r="S199" s="516">
        <f>FS_Q!S64</f>
        <v/>
      </c>
      <c r="T199" s="516">
        <f>FS_Q!T64</f>
        <v/>
      </c>
      <c r="U199" s="516">
        <f>FS_Q!U64</f>
        <v/>
      </c>
      <c r="V199" s="516">
        <f>FS_Q!V64</f>
        <v/>
      </c>
      <c r="W199" s="516">
        <f>FS_Q!W64</f>
        <v/>
      </c>
      <c r="X199" s="516">
        <f>FS_Q!X64</f>
        <v/>
      </c>
      <c r="Y199" s="516">
        <f>FS_Q!Y64</f>
        <v/>
      </c>
      <c r="Z199" s="516">
        <f>FS_Q!Z64</f>
        <v/>
      </c>
      <c r="AA199" s="516">
        <f>FS_Q!AA64</f>
        <v/>
      </c>
      <c r="AB199" s="516">
        <f>FS_Q!AB64</f>
        <v/>
      </c>
      <c r="AC199" s="516">
        <f>FS_Q!AC64</f>
        <v/>
      </c>
      <c r="AD199" s="516">
        <f>FS_Q!AD64</f>
        <v/>
      </c>
      <c r="AE199" s="516">
        <f>FS_Q!AE64</f>
        <v/>
      </c>
      <c r="AF199" s="516">
        <f>FS_Q!AF64</f>
        <v/>
      </c>
      <c r="AG199" s="516">
        <f>FS_Q!AG64</f>
        <v/>
      </c>
      <c r="AH199" s="516">
        <f>FS_Q!AH64</f>
        <v/>
      </c>
      <c r="AI199" s="516">
        <f>FS_Q!AI64</f>
        <v/>
      </c>
      <c r="AJ199" s="516">
        <f>FS_Q!AJ64</f>
        <v/>
      </c>
      <c r="AK199" s="516">
        <f>FS_Q!AK64</f>
        <v/>
      </c>
      <c r="AL199" s="516">
        <f>FS_Q!AL64</f>
        <v/>
      </c>
      <c r="AM199" s="516">
        <f>FS_Q!AM64</f>
        <v/>
      </c>
      <c r="AN199" s="516">
        <f>FS_Q!AN64</f>
        <v/>
      </c>
      <c r="AO199" s="516">
        <f>FS_Q!AO64</f>
        <v/>
      </c>
      <c r="AP199" s="516">
        <f>FS_Q!AP64</f>
        <v/>
      </c>
      <c r="AQ199" s="516">
        <f>FS_Q!AQ64</f>
        <v/>
      </c>
      <c r="AR199" s="516">
        <f>FS_Q!AR64</f>
        <v/>
      </c>
      <c r="AS199" s="516">
        <f>FS_Q!AS64</f>
        <v/>
      </c>
      <c r="AT199" s="516">
        <f>FS_Q!AT64</f>
        <v/>
      </c>
      <c r="AU199" s="516">
        <f>FS_Q!AU64</f>
        <v/>
      </c>
      <c r="AV199" s="516">
        <f>FS_Q!AV64</f>
        <v/>
      </c>
      <c r="AW199" s="516">
        <f>FS_Q!AW64</f>
        <v/>
      </c>
      <c r="AX199" s="516">
        <f>FS_Q!AX64</f>
        <v/>
      </c>
      <c r="AY199" s="516">
        <f>FS_Q!AY64</f>
        <v/>
      </c>
      <c r="AZ199" s="516">
        <f>FS_Q!AZ64</f>
        <v/>
      </c>
      <c r="BA199" s="516">
        <f>FS_Q!BA64</f>
        <v/>
      </c>
      <c r="BB199" s="516">
        <f>FS_Q!BB64</f>
        <v/>
      </c>
      <c r="BC199" s="516">
        <f>FS_Q!BC64</f>
        <v/>
      </c>
      <c r="BD199" s="516">
        <f>FS_Q!BD64</f>
        <v/>
      </c>
      <c r="BE199" s="516">
        <f>FS_Q!BE64</f>
        <v/>
      </c>
      <c r="BF199" s="516">
        <f>FS_Q!BF64</f>
        <v/>
      </c>
      <c r="BG199" s="516">
        <f>FS_Q!BG64</f>
        <v/>
      </c>
      <c r="BH199" s="516">
        <f>FS_Q!BH64</f>
        <v/>
      </c>
      <c r="BI199" s="516">
        <f>FS_Q!BI64</f>
        <v/>
      </c>
      <c r="BJ199" s="516">
        <f>FS_Q!BJ64</f>
        <v/>
      </c>
      <c r="BK199" s="516">
        <f>FS_Q!BK64</f>
        <v/>
      </c>
      <c r="BL199" s="516">
        <f>FS_Q!BL64</f>
        <v/>
      </c>
      <c r="BM199" s="516">
        <f>FS_Q!BM64</f>
        <v/>
      </c>
      <c r="BN199" s="516">
        <f>FS_Q!BN64</f>
        <v/>
      </c>
      <c r="BO199" s="516">
        <f>FS_Q!BO64</f>
        <v/>
      </c>
      <c r="BP199" s="516">
        <f>FS_Q!BP64</f>
        <v/>
      </c>
      <c r="BQ199" s="516">
        <f>FS_Q!BQ64</f>
        <v/>
      </c>
      <c r="BR199" s="516">
        <f>FS_Q!BR64</f>
        <v/>
      </c>
      <c r="BS199" s="517">
        <f>BS200*BS$152*BS$247</f>
        <v/>
      </c>
      <c r="BT199" s="517">
        <f>BT200*BT$152*BT$247</f>
        <v/>
      </c>
      <c r="BU199" s="517">
        <f>BU200*BU$152*BU$247</f>
        <v/>
      </c>
      <c r="BV199" s="517">
        <f>BV200*BV$152*BV$247</f>
        <v/>
      </c>
      <c r="BW199" s="517">
        <f>BW200*BW$152*BW$247</f>
        <v/>
      </c>
      <c r="BX199" s="517">
        <f>BX200*BX$152*BX$247</f>
        <v/>
      </c>
      <c r="BY199" s="517">
        <f>BY200*BY$152*BY$247</f>
        <v/>
      </c>
      <c r="BZ199" s="517">
        <f>BZ200*BZ$152*BZ$247</f>
        <v/>
      </c>
      <c r="CA199" s="517">
        <f>CA200*CA$152*CA$247</f>
        <v/>
      </c>
      <c r="CB199" s="517">
        <f>CB200*CB$152*CB$247</f>
        <v/>
      </c>
      <c r="CC199" s="517">
        <f>CC200*CC$152*CC$247</f>
        <v/>
      </c>
      <c r="CD199" s="517">
        <f>CD200*CD$152*CD$247</f>
        <v/>
      </c>
      <c r="CE199" s="517">
        <f>CE200*CE$152*CE$247</f>
        <v/>
      </c>
      <c r="CF199" s="517">
        <f>CF200*CF$152*CF$247</f>
        <v/>
      </c>
      <c r="CG199" s="517">
        <f>CG200*CG$152*CG$247</f>
        <v/>
      </c>
      <c r="CH199" s="517">
        <f>CH200*CH$152*CH$247</f>
        <v/>
      </c>
      <c r="CI199" s="517">
        <f>CI200*CI$152*CI$247</f>
        <v/>
      </c>
      <c r="CJ199" s="517">
        <f>CJ200*CJ$152*CJ$247</f>
        <v/>
      </c>
      <c r="CK199" s="517">
        <f>CK200*CK$152*CK$247</f>
        <v/>
      </c>
    </row>
    <row r="200">
      <c r="A200" s="525">
        <f>A196</f>
        <v/>
      </c>
      <c r="B200" s="140" t="n"/>
      <c r="C200" s="140" t="n"/>
      <c r="D200" s="140" t="n"/>
      <c r="E200" s="140" t="n"/>
      <c r="F200" s="140" t="n"/>
      <c r="G200" s="140" t="n"/>
      <c r="H200" s="140" t="n"/>
      <c r="I200" s="140" t="n"/>
      <c r="J200" s="140" t="n"/>
      <c r="K200" s="140" t="n"/>
      <c r="L200" s="140" t="n"/>
      <c r="M200" s="140" t="n"/>
      <c r="N200" s="908">
        <f>N199/(N$152*N$247)</f>
        <v/>
      </c>
      <c r="O200" s="908">
        <f>O199/(O$152*O$247)</f>
        <v/>
      </c>
      <c r="P200" s="908">
        <f>P199/(P$152*P$247)</f>
        <v/>
      </c>
      <c r="Q200" s="908">
        <f>Q199/(Q$152*Q$247)</f>
        <v/>
      </c>
      <c r="R200" s="908">
        <f>R199/(R$152*R$247)</f>
        <v/>
      </c>
      <c r="S200" s="908">
        <f>S199/(S$152*S$247)</f>
        <v/>
      </c>
      <c r="T200" s="908">
        <f>T199/(T$152*T$247)</f>
        <v/>
      </c>
      <c r="U200" s="908">
        <f>U199/(U$152*U$247)</f>
        <v/>
      </c>
      <c r="V200" s="908">
        <f>V199/(V$152*V$247)</f>
        <v/>
      </c>
      <c r="W200" s="908">
        <f>W199/(W$152*W$247)</f>
        <v/>
      </c>
      <c r="X200" s="908">
        <f>X199/(X$152*X$247)</f>
        <v/>
      </c>
      <c r="Y200" s="908">
        <f>Y199/(Y$152*Y$247)</f>
        <v/>
      </c>
      <c r="Z200" s="908">
        <f>Z199/(Z$152*Z$247)</f>
        <v/>
      </c>
      <c r="AA200" s="908">
        <f>AA199/(AA$152*AA$247)</f>
        <v/>
      </c>
      <c r="AB200" s="908">
        <f>AB199/(AB$152*AB$247)</f>
        <v/>
      </c>
      <c r="AC200" s="908">
        <f>AC199/(AC$152*AC$247)</f>
        <v/>
      </c>
      <c r="AD200" s="908">
        <f>AD199/(AD$152*AD$247)</f>
        <v/>
      </c>
      <c r="AE200" s="908">
        <f>AE199/(AE$152*AE$247)</f>
        <v/>
      </c>
      <c r="AF200" s="908">
        <f>AF199/(AF$152*AF$247)</f>
        <v/>
      </c>
      <c r="AG200" s="908">
        <f>AG199/(AG$152*AG$247)</f>
        <v/>
      </c>
      <c r="AH200" s="908">
        <f>AH199/(AH$152*AH$247)</f>
        <v/>
      </c>
      <c r="AI200" s="908">
        <f>AI199/(AI$152*AI$247)</f>
        <v/>
      </c>
      <c r="AJ200" s="908">
        <f>AJ199/(AJ$152*AJ$247)</f>
        <v/>
      </c>
      <c r="AK200" s="908">
        <f>AK199/(AK$152*AK$247)</f>
        <v/>
      </c>
      <c r="AL200" s="908">
        <f>AL199/(AL$152*AL$247)</f>
        <v/>
      </c>
      <c r="AM200" s="908">
        <f>AM199/(AM$152*AM$247)</f>
        <v/>
      </c>
      <c r="AN200" s="908">
        <f>AN199/(AN$152*AN$247)</f>
        <v/>
      </c>
      <c r="AO200" s="908">
        <f>AO199/(AO$152*AO$247)</f>
        <v/>
      </c>
      <c r="AP200" s="908">
        <f>AP199/(AP$152*AP$247)</f>
        <v/>
      </c>
      <c r="AQ200" s="908">
        <f>AQ199/(AQ$152*AQ$247)</f>
        <v/>
      </c>
      <c r="AR200" s="908">
        <f>AR199/(AR$152*AR$247)</f>
        <v/>
      </c>
      <c r="AS200" s="908">
        <f>AS199/(AS$152*AS$247)</f>
        <v/>
      </c>
      <c r="AT200" s="908">
        <f>AT199/(AT$152*AT$247)</f>
        <v/>
      </c>
      <c r="AU200" s="908">
        <f>AU199/(AU$152*AU$247)</f>
        <v/>
      </c>
      <c r="AV200" s="908">
        <f>AV199/(AV$152*AV$247)</f>
        <v/>
      </c>
      <c r="AW200" s="908">
        <f>AW199/(AW$152*AW$247)</f>
        <v/>
      </c>
      <c r="AX200" s="908">
        <f>AX199/(AX$152*AX$247)</f>
        <v/>
      </c>
      <c r="AY200" s="908">
        <f>AY199/(AY$152*AY$247)</f>
        <v/>
      </c>
      <c r="AZ200" s="908">
        <f>AZ199/(AZ$152*AZ$247)</f>
        <v/>
      </c>
      <c r="BA200" s="908">
        <f>BA199/(BA$152*BA$247)</f>
        <v/>
      </c>
      <c r="BB200" s="908">
        <f>BB199/(BB$152*BB$247)</f>
        <v/>
      </c>
      <c r="BC200" s="908">
        <f>BC199/(BC$152*BC$247)</f>
        <v/>
      </c>
      <c r="BD200" s="908">
        <f>BD199/(BD$152*BD$247)</f>
        <v/>
      </c>
      <c r="BE200" s="908">
        <f>BE199/(BE$152*BE$247)</f>
        <v/>
      </c>
      <c r="BF200" s="908">
        <f>BF199/(BF$152*BF$247)</f>
        <v/>
      </c>
      <c r="BG200" s="908">
        <f>BG199/(BG$152*BG$247)</f>
        <v/>
      </c>
      <c r="BH200" s="908">
        <f>BH199/(BH$152*BH$247)</f>
        <v/>
      </c>
      <c r="BI200" s="908">
        <f>BI199/(BI$152*BI$247)</f>
        <v/>
      </c>
      <c r="BJ200" s="908">
        <f>BJ199/(BJ$152*BJ$247)</f>
        <v/>
      </c>
      <c r="BK200" s="908">
        <f>BK199/(BK$152*BK$247)</f>
        <v/>
      </c>
      <c r="BL200" s="908">
        <f>BL199/(BL$152*BL$247)</f>
        <v/>
      </c>
      <c r="BM200" s="908">
        <f>BM199/(BM$152*BM$247)</f>
        <v/>
      </c>
      <c r="BN200" s="908">
        <f>BN199/(BN$152*BN$247)</f>
        <v/>
      </c>
      <c r="BO200" s="908">
        <f>BO199/(BO$152*BO$247)</f>
        <v/>
      </c>
      <c r="BP200" s="908">
        <f>BP199/(BP$152*BP$247)</f>
        <v/>
      </c>
      <c r="BQ200" s="908">
        <f>BQ199/(BQ$152*BQ$247)</f>
        <v/>
      </c>
      <c r="BR200" s="908">
        <f>BR199/(BR$152*BR$247)</f>
        <v/>
      </c>
      <c r="BS200" s="909">
        <f>AVERAGE(BO200,BK200,BG200)</f>
        <v/>
      </c>
      <c r="BT200" s="909">
        <f>AVERAGE(BP200,BL200,BH200)</f>
        <v/>
      </c>
      <c r="BU200" s="909">
        <f>AVERAGE(BQ200,BM200,BI200)</f>
        <v/>
      </c>
      <c r="BV200" s="909">
        <f>AVERAGE(BR200,BN200,BJ200)</f>
        <v/>
      </c>
      <c r="BW200" s="909">
        <f>AVERAGE(BS200,BO200,BK200)</f>
        <v/>
      </c>
      <c r="BX200" s="909">
        <f>AVERAGE(BT200,BP200,BL200)</f>
        <v/>
      </c>
      <c r="BY200" s="909">
        <f>AVERAGE(BU200,BQ200,BM200)</f>
        <v/>
      </c>
      <c r="BZ200" s="909">
        <f>AVERAGE(BV200,BR200,BN200)</f>
        <v/>
      </c>
      <c r="CA200" s="909">
        <f>AVERAGE(BW200,BS200,BO200)</f>
        <v/>
      </c>
      <c r="CB200" s="909">
        <f>AVERAGE(BX200,BT200,BP200)</f>
        <v/>
      </c>
      <c r="CC200" s="909">
        <f>AVERAGE(BY200,BU200,BQ200)</f>
        <v/>
      </c>
      <c r="CD200" s="909">
        <f>AVERAGE(BZ200,BV200,BR200)</f>
        <v/>
      </c>
      <c r="CE200" s="909">
        <f>AVERAGE(CA200,BW200,BS200)</f>
        <v/>
      </c>
      <c r="CF200" s="909">
        <f>AVERAGE(CB200,BX200,BT200)</f>
        <v/>
      </c>
      <c r="CG200" s="909">
        <f>AVERAGE(CC200,BY200,BU200)</f>
        <v/>
      </c>
      <c r="CH200" s="909">
        <f>AVERAGE(CD200,BZ200,BV200)</f>
        <v/>
      </c>
      <c r="CI200" s="909">
        <f>AVERAGE(CE200,CA200,BW200)</f>
        <v/>
      </c>
      <c r="CJ200" s="909">
        <f>AVERAGE(CF200,CB200,BX200)</f>
        <v/>
      </c>
      <c r="CK200" s="909">
        <f>AVERAGE(CG200,CC200,BY200)</f>
        <v/>
      </c>
    </row>
    <row r="201">
      <c r="B201" s="31" t="n"/>
      <c r="C201" s="31" t="n"/>
      <c r="D201" s="31" t="n"/>
      <c r="E201" s="31" t="n"/>
      <c r="F201" s="31" t="n"/>
      <c r="G201" s="31" t="n"/>
      <c r="H201" s="31" t="n"/>
      <c r="I201" s="31" t="n"/>
      <c r="J201" s="31" t="n"/>
      <c r="K201" s="31" t="n"/>
      <c r="L201" s="31" t="n"/>
      <c r="M201" s="31" t="n"/>
    </row>
    <row r="202">
      <c r="A202" s="411" t="inlineStr">
        <is>
          <t>Borrowings</t>
        </is>
      </c>
      <c r="B202" s="31" t="n"/>
      <c r="C202" s="31" t="n"/>
      <c r="D202" s="31" t="n"/>
      <c r="E202" s="31" t="n"/>
      <c r="F202" s="31" t="n"/>
    </row>
    <row r="203">
      <c r="A203" s="105" t="inlineStr">
        <is>
          <t>Current</t>
        </is>
      </c>
      <c r="B203" s="140" t="n"/>
      <c r="C203" s="140" t="n"/>
      <c r="D203" s="140" t="n"/>
      <c r="E203" s="140" t="n"/>
      <c r="F203" s="140" t="n"/>
      <c r="G203" s="140" t="n"/>
      <c r="H203" s="140" t="n"/>
      <c r="I203" s="140" t="n"/>
      <c r="J203" s="140" t="n"/>
      <c r="K203" s="140" t="n"/>
      <c r="L203" s="140" t="n"/>
      <c r="M203" s="140" t="n"/>
      <c r="N203" s="516">
        <f>FS_Q!N58</f>
        <v/>
      </c>
      <c r="O203" s="516">
        <f>FS_Q!O58</f>
        <v/>
      </c>
      <c r="P203" s="516">
        <f>FS_Q!P58</f>
        <v/>
      </c>
      <c r="Q203" s="516">
        <f>FS_Q!Q58</f>
        <v/>
      </c>
      <c r="R203" s="516">
        <f>FS_Q!R58</f>
        <v/>
      </c>
      <c r="S203" s="516">
        <f>FS_Q!S58</f>
        <v/>
      </c>
      <c r="T203" s="516">
        <f>FS_Q!T58</f>
        <v/>
      </c>
      <c r="U203" s="516">
        <f>FS_Q!U58</f>
        <v/>
      </c>
      <c r="V203" s="516">
        <f>FS_Q!V58</f>
        <v/>
      </c>
      <c r="W203" s="516">
        <f>FS_Q!W58</f>
        <v/>
      </c>
      <c r="X203" s="516">
        <f>FS_Q!X58</f>
        <v/>
      </c>
      <c r="Y203" s="516">
        <f>FS_Q!Y58</f>
        <v/>
      </c>
      <c r="Z203" s="516">
        <f>FS_Q!Z58</f>
        <v/>
      </c>
      <c r="AA203" s="516">
        <f>FS_Q!AA58</f>
        <v/>
      </c>
      <c r="AB203" s="516">
        <f>FS_Q!AB58</f>
        <v/>
      </c>
      <c r="AC203" s="516">
        <f>FS_Q!AC58</f>
        <v/>
      </c>
      <c r="AD203" s="516">
        <f>FS_Q!AD58</f>
        <v/>
      </c>
      <c r="AE203" s="516">
        <f>FS_Q!AE58</f>
        <v/>
      </c>
      <c r="AF203" s="516">
        <f>FS_Q!AF58</f>
        <v/>
      </c>
      <c r="AG203" s="516">
        <f>FS_Q!AG58</f>
        <v/>
      </c>
      <c r="AH203" s="516">
        <f>FS_Q!AH58</f>
        <v/>
      </c>
      <c r="AI203" s="516">
        <f>FS_Q!AI58</f>
        <v/>
      </c>
      <c r="AJ203" s="516">
        <f>FS_Q!AJ58</f>
        <v/>
      </c>
      <c r="AK203" s="516">
        <f>FS_Q!AK58</f>
        <v/>
      </c>
      <c r="AL203" s="516">
        <f>FS_Q!AL58</f>
        <v/>
      </c>
      <c r="AM203" s="516">
        <f>FS_Q!AM58</f>
        <v/>
      </c>
      <c r="AN203" s="516">
        <f>FS_Q!AN58</f>
        <v/>
      </c>
      <c r="AO203" s="516">
        <f>FS_Q!AO58</f>
        <v/>
      </c>
      <c r="AP203" s="516">
        <f>FS_Q!AP58</f>
        <v/>
      </c>
      <c r="AQ203" s="516">
        <f>FS_Q!AQ58</f>
        <v/>
      </c>
      <c r="AR203" s="516">
        <f>FS_Q!AR58</f>
        <v/>
      </c>
      <c r="AS203" s="516">
        <f>FS_Q!AS58</f>
        <v/>
      </c>
      <c r="AT203" s="516">
        <f>FS_Q!AT58</f>
        <v/>
      </c>
      <c r="AU203" s="516">
        <f>FS_Q!AU58</f>
        <v/>
      </c>
      <c r="AV203" s="516">
        <f>FS_Q!AV58</f>
        <v/>
      </c>
      <c r="AW203" s="516">
        <f>FS_Q!AW58</f>
        <v/>
      </c>
      <c r="AX203" s="516">
        <f>FS_Q!AX58</f>
        <v/>
      </c>
      <c r="AY203" s="516">
        <f>FS_Q!AY58</f>
        <v/>
      </c>
      <c r="AZ203" s="516">
        <f>FS_Q!AZ58</f>
        <v/>
      </c>
      <c r="BA203" s="516">
        <f>FS_Q!BA58</f>
        <v/>
      </c>
      <c r="BB203" s="516">
        <f>FS_Q!BB58</f>
        <v/>
      </c>
      <c r="BC203" s="516">
        <f>FS_Q!BC58</f>
        <v/>
      </c>
      <c r="BD203" s="516">
        <f>FS_Q!BD58</f>
        <v/>
      </c>
      <c r="BE203" s="516">
        <f>FS_Q!BE58</f>
        <v/>
      </c>
      <c r="BF203" s="516">
        <f>FS_Q!BF58</f>
        <v/>
      </c>
      <c r="BG203" s="516">
        <f>FS_Q!BG58</f>
        <v/>
      </c>
      <c r="BH203" s="516">
        <f>FS_Q!BH58</f>
        <v/>
      </c>
      <c r="BI203" s="516">
        <f>FS_Q!BI58</f>
        <v/>
      </c>
      <c r="BJ203" s="516">
        <f>FS_Q!BJ58</f>
        <v/>
      </c>
      <c r="BK203" s="516">
        <f>FS_Q!BK58</f>
        <v/>
      </c>
      <c r="BL203" s="516">
        <f>FS_Q!BL58</f>
        <v/>
      </c>
      <c r="BM203" s="516">
        <f>FS_Q!BM58</f>
        <v/>
      </c>
      <c r="BN203" s="516">
        <f>FS_Q!BN58</f>
        <v/>
      </c>
      <c r="BO203" s="516">
        <f>FS_Q!BO58</f>
        <v/>
      </c>
      <c r="BP203" s="516">
        <f>FS_Q!BP58</f>
        <v/>
      </c>
      <c r="BQ203" s="516">
        <f>FS_Q!BQ58</f>
        <v/>
      </c>
      <c r="BR203" s="516">
        <f>FS_Q!BR58</f>
        <v/>
      </c>
      <c r="BS203" s="517">
        <f>BR203*1.03</f>
        <v/>
      </c>
      <c r="BT203" s="517">
        <f>BS203*1.03</f>
        <v/>
      </c>
      <c r="BU203" s="517">
        <f>BT203*1.03</f>
        <v/>
      </c>
      <c r="BV203" s="517">
        <f>BU203*1.03</f>
        <v/>
      </c>
      <c r="BW203" s="517">
        <f>BV203*1.03</f>
        <v/>
      </c>
      <c r="BX203" s="517">
        <f>BW203*1.03</f>
        <v/>
      </c>
      <c r="BY203" s="517">
        <f>BX203*1.03</f>
        <v/>
      </c>
      <c r="BZ203" s="517">
        <f>BY203*1.03</f>
        <v/>
      </c>
      <c r="CA203" s="517">
        <f>BZ203*1.03</f>
        <v/>
      </c>
      <c r="CB203" s="517">
        <f>CA203*1.03</f>
        <v/>
      </c>
      <c r="CC203" s="517">
        <f>CB203*1.03</f>
        <v/>
      </c>
      <c r="CD203" s="517">
        <f>CC203*1.03</f>
        <v/>
      </c>
      <c r="CE203" s="517">
        <f>CD203*1.03</f>
        <v/>
      </c>
      <c r="CF203" s="517">
        <f>CE203*1.03</f>
        <v/>
      </c>
      <c r="CG203" s="517">
        <f>CF203*1.03</f>
        <v/>
      </c>
      <c r="CH203" s="517">
        <f>CG203*1.03</f>
        <v/>
      </c>
      <c r="CI203" s="517">
        <f>CH203*1.03</f>
        <v/>
      </c>
      <c r="CJ203" s="517">
        <f>CI203*1.03</f>
        <v/>
      </c>
      <c r="CK203" s="517">
        <f>CJ203*1.03</f>
        <v/>
      </c>
      <c r="DA203" s="517">
        <f>SUMIF($N$1:$CG$1,DA$1,$N203:$CG203)</f>
        <v/>
      </c>
      <c r="DB203" s="517">
        <f>SUMIF($N$1:$CG$1,DB$1,$N203:$CG203)</f>
        <v/>
      </c>
      <c r="DC203" s="517">
        <f>SUMIF($N$1:$CG$1,DC$1,$N203:$CG203)</f>
        <v/>
      </c>
      <c r="DD203" s="517">
        <f>SUMIF($N$1:$CG$1,DD$1,$N203:$CG203)</f>
        <v/>
      </c>
      <c r="DE203" s="517">
        <f>SUMIF($N$1:$CG$1,DE$1,$N203:$CG203)</f>
        <v/>
      </c>
      <c r="DF203" s="517">
        <f>SUMIF($N$1:$CG$1,DF$1,$N203:$CG203)</f>
        <v/>
      </c>
      <c r="DG203" s="517">
        <f>SUMIF($N$1:$CG$1,DG$1,$N203:$CG203)</f>
        <v/>
      </c>
      <c r="DH203" s="517">
        <f>SUMIF($N$1:$CG$1,DH$1,$N203:$CG203)</f>
        <v/>
      </c>
      <c r="DI203" s="517">
        <f>SUMIF($N$1:$CG$1,DI$1,$N203:$CG203)</f>
        <v/>
      </c>
      <c r="DJ203" s="517">
        <f>SUMIF($N$1:$CG$1,DJ$1,$N203:$CG203)</f>
        <v/>
      </c>
      <c r="DK203" s="517">
        <f>SUMIF($N$1:$CG$1,DK$1,$N203:$CG203)</f>
        <v/>
      </c>
      <c r="DL203" s="517">
        <f>SUMIF($N$1:$CG$1,DL$1,$N203:$CG203)</f>
        <v/>
      </c>
      <c r="DM203" s="517">
        <f>SUMIF($N$1:$CG$1,DM$1,$N203:$CG203)</f>
        <v/>
      </c>
      <c r="DN203" s="517">
        <f>SUMIF($N$1:$CG$1,DN$1,$N203:$CG203)</f>
        <v/>
      </c>
      <c r="DO203" s="517">
        <f>SUMIF($N$1:$CG$1,DO$1,$N203:$CG203)</f>
        <v/>
      </c>
      <c r="DP203" s="517">
        <f>SUMIF($N$1:$CG$1,DP$1,$N203:$CG203)</f>
        <v/>
      </c>
      <c r="DQ203" s="517">
        <f>SUMIF($N$1:$CG$1,DQ$1,$N203:$CG203)</f>
        <v/>
      </c>
      <c r="DR203" s="517">
        <f>SUMIF($N$1:$CG$1,DR$1,$N203:$CG203)</f>
        <v/>
      </c>
      <c r="DS203" s="517">
        <f>SUMIF($N$1:$CK$1,DS$1,$N203:$CK203)</f>
        <v/>
      </c>
    </row>
    <row r="204">
      <c r="A204" s="105" t="inlineStr">
        <is>
          <t>Non-Current</t>
        </is>
      </c>
      <c r="B204" s="140" t="n"/>
      <c r="C204" s="140" t="n"/>
      <c r="D204" s="140" t="n"/>
      <c r="E204" s="140" t="n"/>
      <c r="F204" s="140" t="n"/>
      <c r="G204" s="140" t="n"/>
      <c r="H204" s="140" t="n"/>
      <c r="I204" s="140" t="n"/>
      <c r="J204" s="140" t="n"/>
      <c r="K204" s="140" t="n"/>
      <c r="L204" s="140" t="n"/>
      <c r="M204" s="140" t="n"/>
      <c r="N204" s="516">
        <f>FS_Q!N65</f>
        <v/>
      </c>
      <c r="O204" s="516">
        <f>FS_Q!O65</f>
        <v/>
      </c>
      <c r="P204" s="516">
        <f>FS_Q!P65</f>
        <v/>
      </c>
      <c r="Q204" s="516">
        <f>FS_Q!Q65</f>
        <v/>
      </c>
      <c r="R204" s="516">
        <f>FS_Q!R65</f>
        <v/>
      </c>
      <c r="S204" s="516">
        <f>FS_Q!S65</f>
        <v/>
      </c>
      <c r="T204" s="516">
        <f>FS_Q!T65</f>
        <v/>
      </c>
      <c r="U204" s="516">
        <f>FS_Q!U65</f>
        <v/>
      </c>
      <c r="V204" s="516">
        <f>FS_Q!V65</f>
        <v/>
      </c>
      <c r="W204" s="516">
        <f>FS_Q!W65</f>
        <v/>
      </c>
      <c r="X204" s="516">
        <f>FS_Q!X65</f>
        <v/>
      </c>
      <c r="Y204" s="516">
        <f>FS_Q!Y65</f>
        <v/>
      </c>
      <c r="Z204" s="516">
        <f>FS_Q!Z65</f>
        <v/>
      </c>
      <c r="AA204" s="516">
        <f>FS_Q!AA65</f>
        <v/>
      </c>
      <c r="AB204" s="516">
        <f>FS_Q!AB65</f>
        <v/>
      </c>
      <c r="AC204" s="516">
        <f>FS_Q!AC65</f>
        <v/>
      </c>
      <c r="AD204" s="516">
        <f>FS_Q!AD65</f>
        <v/>
      </c>
      <c r="AE204" s="516">
        <f>FS_Q!AE65</f>
        <v/>
      </c>
      <c r="AF204" s="516">
        <f>FS_Q!AF65</f>
        <v/>
      </c>
      <c r="AG204" s="516">
        <f>FS_Q!AG65</f>
        <v/>
      </c>
      <c r="AH204" s="516">
        <f>FS_Q!AH65</f>
        <v/>
      </c>
      <c r="AI204" s="516">
        <f>FS_Q!AI65</f>
        <v/>
      </c>
      <c r="AJ204" s="516">
        <f>FS_Q!AJ65</f>
        <v/>
      </c>
      <c r="AK204" s="516">
        <f>FS_Q!AK65</f>
        <v/>
      </c>
      <c r="AL204" s="516">
        <f>FS_Q!AL65</f>
        <v/>
      </c>
      <c r="AM204" s="516">
        <f>FS_Q!AM65</f>
        <v/>
      </c>
      <c r="AN204" s="516">
        <f>FS_Q!AN65</f>
        <v/>
      </c>
      <c r="AO204" s="516">
        <f>FS_Q!AO65</f>
        <v/>
      </c>
      <c r="AP204" s="516">
        <f>FS_Q!AP65</f>
        <v/>
      </c>
      <c r="AQ204" s="516">
        <f>FS_Q!AQ65</f>
        <v/>
      </c>
      <c r="AR204" s="516">
        <f>FS_Q!AR65</f>
        <v/>
      </c>
      <c r="AS204" s="516">
        <f>FS_Q!AS65</f>
        <v/>
      </c>
      <c r="AT204" s="516">
        <f>FS_Q!AT65</f>
        <v/>
      </c>
      <c r="AU204" s="516">
        <f>FS_Q!AU65</f>
        <v/>
      </c>
      <c r="AV204" s="516">
        <f>FS_Q!AV65</f>
        <v/>
      </c>
      <c r="AW204" s="516">
        <f>FS_Q!AW65</f>
        <v/>
      </c>
      <c r="AX204" s="516">
        <f>FS_Q!AX65</f>
        <v/>
      </c>
      <c r="AY204" s="516">
        <f>FS_Q!AY65</f>
        <v/>
      </c>
      <c r="AZ204" s="516">
        <f>FS_Q!AZ65</f>
        <v/>
      </c>
      <c r="BA204" s="516">
        <f>FS_Q!BA65</f>
        <v/>
      </c>
      <c r="BB204" s="516">
        <f>FS_Q!BB65</f>
        <v/>
      </c>
      <c r="BC204" s="516">
        <f>FS_Q!BC65</f>
        <v/>
      </c>
      <c r="BD204" s="516">
        <f>FS_Q!BD65</f>
        <v/>
      </c>
      <c r="BE204" s="516">
        <f>FS_Q!BE65</f>
        <v/>
      </c>
      <c r="BF204" s="516">
        <f>FS_Q!BF65</f>
        <v/>
      </c>
      <c r="BG204" s="516">
        <f>FS_Q!BG65</f>
        <v/>
      </c>
      <c r="BH204" s="516">
        <f>FS_Q!BH65</f>
        <v/>
      </c>
      <c r="BI204" s="516">
        <f>FS_Q!BI65</f>
        <v/>
      </c>
      <c r="BJ204" s="516">
        <f>FS_Q!BJ65</f>
        <v/>
      </c>
      <c r="BK204" s="516">
        <f>FS_Q!BK65</f>
        <v/>
      </c>
      <c r="BL204" s="516">
        <f>FS_Q!BL65</f>
        <v/>
      </c>
      <c r="BM204" s="516">
        <f>FS_Q!BM65</f>
        <v/>
      </c>
      <c r="BN204" s="516">
        <f>FS_Q!BN65</f>
        <v/>
      </c>
      <c r="BO204" s="516">
        <f>FS_Q!BO65</f>
        <v/>
      </c>
      <c r="BP204" s="516">
        <f>FS_Q!BP65</f>
        <v/>
      </c>
      <c r="BQ204" s="516">
        <f>FS_Q!BQ65</f>
        <v/>
      </c>
      <c r="BR204" s="516">
        <f>FS_Q!BR65</f>
        <v/>
      </c>
      <c r="BS204" s="517">
        <f>BS203/BS208-BS203</f>
        <v/>
      </c>
      <c r="BT204" s="517">
        <f>BT203/BT208-BT203</f>
        <v/>
      </c>
      <c r="BU204" s="517">
        <f>BU203/BU208-BU203</f>
        <v/>
      </c>
      <c r="BV204" s="517">
        <f>BV203/BV208-BV203</f>
        <v/>
      </c>
      <c r="BW204" s="517">
        <f>BW203/BW208-BW203</f>
        <v/>
      </c>
      <c r="BX204" s="517">
        <f>BX203/BX208-BX203</f>
        <v/>
      </c>
      <c r="BY204" s="517">
        <f>BY203/BY208-BY203</f>
        <v/>
      </c>
      <c r="BZ204" s="517">
        <f>BZ203/BZ208-BZ203</f>
        <v/>
      </c>
      <c r="CA204" s="517">
        <f>CA203/CA208-CA203</f>
        <v/>
      </c>
      <c r="CB204" s="517">
        <f>CB203/CB208-CB203</f>
        <v/>
      </c>
      <c r="CC204" s="517">
        <f>CC203/CC208-CC203</f>
        <v/>
      </c>
      <c r="CD204" s="517">
        <f>CD203/CD208-CD203</f>
        <v/>
      </c>
      <c r="CE204" s="517">
        <f>CE203/CE208-CE203</f>
        <v/>
      </c>
      <c r="CF204" s="517">
        <f>CF203/CF208-CF203</f>
        <v/>
      </c>
      <c r="CG204" s="517">
        <f>CG203/CG208-CG203</f>
        <v/>
      </c>
      <c r="CH204" s="517">
        <f>CH203/CH208-CH203</f>
        <v/>
      </c>
      <c r="CI204" s="517">
        <f>CI203/CI208-CI203</f>
        <v/>
      </c>
      <c r="CJ204" s="517">
        <f>CJ203/CJ208-CJ203</f>
        <v/>
      </c>
      <c r="CK204" s="517">
        <f>CK203/CK208-CK203</f>
        <v/>
      </c>
      <c r="DA204" s="517">
        <f>SUMIF($N$1:$CG$1,DA$1,$N204:$CG204)</f>
        <v/>
      </c>
      <c r="DB204" s="517">
        <f>SUMIF($N$1:$CG$1,DB$1,$N204:$CG204)</f>
        <v/>
      </c>
      <c r="DC204" s="517">
        <f>SUMIF($N$1:$CG$1,DC$1,$N204:$CG204)</f>
        <v/>
      </c>
      <c r="DD204" s="517">
        <f>SUMIF($N$1:$CG$1,DD$1,$N204:$CG204)</f>
        <v/>
      </c>
      <c r="DE204" s="517">
        <f>SUMIF($N$1:$CG$1,DE$1,$N204:$CG204)</f>
        <v/>
      </c>
      <c r="DF204" s="517">
        <f>SUMIF($N$1:$CG$1,DF$1,$N204:$CG204)</f>
        <v/>
      </c>
      <c r="DG204" s="517">
        <f>SUMIF($N$1:$CG$1,DG$1,$N204:$CG204)</f>
        <v/>
      </c>
      <c r="DH204" s="517">
        <f>SUMIF($N$1:$CG$1,DH$1,$N204:$CG204)</f>
        <v/>
      </c>
      <c r="DI204" s="517">
        <f>SUMIF($N$1:$CG$1,DI$1,$N204:$CG204)</f>
        <v/>
      </c>
      <c r="DJ204" s="517">
        <f>SUMIF($N$1:$CG$1,DJ$1,$N204:$CG204)</f>
        <v/>
      </c>
      <c r="DK204" s="517">
        <f>SUMIF($N$1:$CG$1,DK$1,$N204:$CG204)</f>
        <v/>
      </c>
      <c r="DL204" s="517">
        <f>SUMIF($N$1:$CG$1,DL$1,$N204:$CG204)</f>
        <v/>
      </c>
      <c r="DM204" s="517">
        <f>SUMIF($N$1:$CG$1,DM$1,$N204:$CG204)</f>
        <v/>
      </c>
      <c r="DN204" s="517">
        <f>SUMIF($N$1:$CG$1,DN$1,$N204:$CG204)</f>
        <v/>
      </c>
      <c r="DO204" s="517">
        <f>SUMIF($N$1:$CG$1,DO$1,$N204:$CG204)</f>
        <v/>
      </c>
      <c r="DP204" s="517">
        <f>SUMIF($N$1:$CG$1,DP$1,$N204:$CG204)</f>
        <v/>
      </c>
      <c r="DQ204" s="517">
        <f>SUMIF($N$1:$CG$1,DQ$1,$N204:$CG204)</f>
        <v/>
      </c>
      <c r="DR204" s="517">
        <f>SUMIF($N$1:$CG$1,DR$1,$N204:$CG204)</f>
        <v/>
      </c>
      <c r="DS204" s="517">
        <f>SUMIF($N$1:$CK$1,DS$1,$N204:$CK204)</f>
        <v/>
      </c>
    </row>
    <row r="205" customFormat="1" s="22">
      <c r="A205" s="40" t="inlineStr">
        <is>
          <t>Total</t>
        </is>
      </c>
      <c r="B205" s="72" t="n"/>
      <c r="C205" s="72" t="n"/>
      <c r="D205" s="72" t="n"/>
      <c r="E205" s="72" t="n"/>
      <c r="F205" s="72" t="n"/>
      <c r="G205" s="72" t="n"/>
      <c r="H205" s="72" t="n"/>
      <c r="I205" s="72" t="n"/>
      <c r="J205" s="72" t="n"/>
      <c r="K205" s="72" t="n"/>
      <c r="L205" s="72" t="n"/>
      <c r="M205" s="72" t="n"/>
      <c r="N205" s="517">
        <f>SUM(N203:N204)</f>
        <v/>
      </c>
      <c r="O205" s="517">
        <f>SUM(O203:O204)</f>
        <v/>
      </c>
      <c r="P205" s="517">
        <f>SUM(P203:P204)</f>
        <v/>
      </c>
      <c r="Q205" s="517">
        <f>SUM(Q203:Q204)</f>
        <v/>
      </c>
      <c r="R205" s="517">
        <f>SUM(R203:R204)</f>
        <v/>
      </c>
      <c r="S205" s="517">
        <f>SUM(S203:S204)</f>
        <v/>
      </c>
      <c r="T205" s="517">
        <f>SUM(T203:T204)</f>
        <v/>
      </c>
      <c r="U205" s="517">
        <f>SUM(U203:U204)</f>
        <v/>
      </c>
      <c r="V205" s="517">
        <f>SUM(V203:V204)</f>
        <v/>
      </c>
      <c r="W205" s="517">
        <f>SUM(W203:W204)</f>
        <v/>
      </c>
      <c r="X205" s="517">
        <f>SUM(X203:X204)</f>
        <v/>
      </c>
      <c r="Y205" s="517">
        <f>SUM(Y203:Y204)</f>
        <v/>
      </c>
      <c r="Z205" s="517">
        <f>SUM(Z203:Z204)</f>
        <v/>
      </c>
      <c r="AA205" s="517">
        <f>SUM(AA203:AA204)</f>
        <v/>
      </c>
      <c r="AB205" s="517">
        <f>SUM(AB203:AB204)</f>
        <v/>
      </c>
      <c r="AC205" s="517">
        <f>SUM(AC203:AC204)</f>
        <v/>
      </c>
      <c r="AD205" s="517">
        <f>SUM(AD203:AD204)</f>
        <v/>
      </c>
      <c r="AE205" s="517">
        <f>SUM(AE203:AE204)</f>
        <v/>
      </c>
      <c r="AF205" s="517">
        <f>SUM(AF203:AF204)</f>
        <v/>
      </c>
      <c r="AG205" s="517">
        <f>SUM(AG203:AG204)</f>
        <v/>
      </c>
      <c r="AH205" s="517">
        <f>SUM(AH203:AH204)</f>
        <v/>
      </c>
      <c r="AI205" s="517">
        <f>SUM(AI203:AI204)</f>
        <v/>
      </c>
      <c r="AJ205" s="517">
        <f>SUM(AJ203:AJ204)</f>
        <v/>
      </c>
      <c r="AK205" s="517">
        <f>SUM(AK203:AK204)</f>
        <v/>
      </c>
      <c r="AL205" s="517">
        <f>SUM(AL203:AL204)</f>
        <v/>
      </c>
      <c r="AM205" s="517">
        <f>SUM(AM203:AM204)</f>
        <v/>
      </c>
      <c r="AN205" s="517">
        <f>SUM(AN203:AN204)</f>
        <v/>
      </c>
      <c r="AO205" s="517">
        <f>SUM(AO203:AO204)</f>
        <v/>
      </c>
      <c r="AP205" s="517">
        <f>SUM(AP203:AP204)</f>
        <v/>
      </c>
      <c r="AQ205" s="517">
        <f>SUM(AQ203:AQ204)</f>
        <v/>
      </c>
      <c r="AR205" s="517">
        <f>SUM(AR203:AR204)</f>
        <v/>
      </c>
      <c r="AS205" s="517">
        <f>SUM(AS203:AS204)</f>
        <v/>
      </c>
      <c r="AT205" s="517">
        <f>SUM(AT203:AT204)</f>
        <v/>
      </c>
      <c r="AU205" s="517">
        <f>SUM(AU203:AU204)</f>
        <v/>
      </c>
      <c r="AV205" s="517">
        <f>SUM(AV203:AV204)</f>
        <v/>
      </c>
      <c r="AW205" s="517">
        <f>SUM(AW203:AW204)</f>
        <v/>
      </c>
      <c r="AX205" s="517">
        <f>SUM(AX203:AX204)</f>
        <v/>
      </c>
      <c r="AY205" s="517">
        <f>SUM(AY203:AY204)</f>
        <v/>
      </c>
      <c r="AZ205" s="517">
        <f>SUM(AZ203:AZ204)</f>
        <v/>
      </c>
      <c r="BA205" s="517">
        <f>SUM(BA203:BA204)</f>
        <v/>
      </c>
      <c r="BB205" s="517">
        <f>SUM(BB203:BB204)</f>
        <v/>
      </c>
      <c r="BC205" s="517">
        <f>SUM(BC203:BC204)</f>
        <v/>
      </c>
      <c r="BD205" s="517">
        <f>SUM(BD203:BD204)</f>
        <v/>
      </c>
      <c r="BE205" s="517">
        <f>SUM(BE203:BE204)</f>
        <v/>
      </c>
      <c r="BF205" s="517">
        <f>SUM(BF203:BF204)</f>
        <v/>
      </c>
      <c r="BG205" s="517">
        <f>SUM(BG203:BG204)</f>
        <v/>
      </c>
      <c r="BH205" s="517">
        <f>SUM(BH203:BH204)</f>
        <v/>
      </c>
      <c r="BI205" s="517">
        <f>SUM(BI203:BI204)</f>
        <v/>
      </c>
      <c r="BJ205" s="517">
        <f>SUM(BJ203:BJ204)</f>
        <v/>
      </c>
      <c r="BK205" s="517">
        <f>SUM(BK203:BK204)</f>
        <v/>
      </c>
      <c r="BL205" s="517">
        <f>SUM(BL203:BL204)</f>
        <v/>
      </c>
      <c r="BM205" s="517">
        <f>SUM(BM203:BM204)</f>
        <v/>
      </c>
      <c r="BN205" s="517">
        <f>SUM(BN203:BN204)</f>
        <v/>
      </c>
      <c r="BO205" s="517">
        <f>SUM(BO203:BO204)</f>
        <v/>
      </c>
      <c r="BP205" s="517">
        <f>SUM(BP203:BP204)</f>
        <v/>
      </c>
      <c r="BQ205" s="517">
        <f>SUM(BQ203:BQ204)</f>
        <v/>
      </c>
      <c r="BR205" s="517">
        <f>SUM(BR203:BR204)</f>
        <v/>
      </c>
      <c r="BS205" s="673">
        <f>BS203+BS204</f>
        <v/>
      </c>
      <c r="BT205" s="673">
        <f>BT203+BT204</f>
        <v/>
      </c>
      <c r="BU205" s="673">
        <f>BU203+BU204</f>
        <v/>
      </c>
      <c r="BV205" s="673">
        <f>BV203+BV204</f>
        <v/>
      </c>
      <c r="BW205" s="673">
        <f>BW203+BW204</f>
        <v/>
      </c>
      <c r="BX205" s="673">
        <f>BX203+BX204</f>
        <v/>
      </c>
      <c r="BY205" s="673">
        <f>BY203+BY204</f>
        <v/>
      </c>
      <c r="BZ205" s="673">
        <f>BZ203+BZ204</f>
        <v/>
      </c>
      <c r="CA205" s="673">
        <f>CA203+CA204</f>
        <v/>
      </c>
      <c r="CB205" s="673">
        <f>CB203+CB204</f>
        <v/>
      </c>
      <c r="CC205" s="673">
        <f>CC203+CC204</f>
        <v/>
      </c>
      <c r="CD205" s="673">
        <f>CD203+CD204</f>
        <v/>
      </c>
      <c r="CE205" s="673">
        <f>CE203+CE204</f>
        <v/>
      </c>
      <c r="CF205" s="673">
        <f>CF203+CF204</f>
        <v/>
      </c>
      <c r="CG205" s="673">
        <f>CG203+CG204</f>
        <v/>
      </c>
      <c r="CH205" s="673">
        <f>CH203+CH204</f>
        <v/>
      </c>
      <c r="CI205" s="673">
        <f>CI203+CI204</f>
        <v/>
      </c>
      <c r="CJ205" s="673">
        <f>CJ203+CJ204</f>
        <v/>
      </c>
      <c r="CK205" s="673">
        <f>CK203+CK204</f>
        <v/>
      </c>
      <c r="DA205" s="517">
        <f>SUMIF($N$1:$CG$1,DA$1,$N205:$CG205)</f>
        <v/>
      </c>
      <c r="DB205" s="517">
        <f>SUMIF($N$1:$CG$1,DB$1,$N205:$CG205)</f>
        <v/>
      </c>
      <c r="DC205" s="517">
        <f>SUMIF($N$1:$CG$1,DC$1,$N205:$CG205)</f>
        <v/>
      </c>
      <c r="DD205" s="517">
        <f>SUMIF($N$1:$CG$1,DD$1,$N205:$CG205)</f>
        <v/>
      </c>
      <c r="DE205" s="517">
        <f>SUMIF($N$1:$CG$1,DE$1,$N205:$CG205)</f>
        <v/>
      </c>
      <c r="DF205" s="517">
        <f>SUMIF($N$1:$CG$1,DF$1,$N205:$CG205)</f>
        <v/>
      </c>
      <c r="DG205" s="517">
        <f>SUMIF($N$1:$CG$1,DG$1,$N205:$CG205)</f>
        <v/>
      </c>
      <c r="DH205" s="517">
        <f>SUMIF($N$1:$CG$1,DH$1,$N205:$CG205)</f>
        <v/>
      </c>
      <c r="DI205" s="517">
        <f>SUMIF($N$1:$CG$1,DI$1,$N205:$CG205)</f>
        <v/>
      </c>
      <c r="DJ205" s="517">
        <f>SUMIF($N$1:$CG$1,DJ$1,$N205:$CG205)</f>
        <v/>
      </c>
      <c r="DK205" s="517">
        <f>SUMIF($N$1:$CG$1,DK$1,$N205:$CG205)</f>
        <v/>
      </c>
      <c r="DL205" s="517">
        <f>SUMIF($N$1:$CG$1,DL$1,$N205:$CG205)</f>
        <v/>
      </c>
      <c r="DM205" s="517">
        <f>SUMIF($N$1:$CG$1,DM$1,$N205:$CG205)</f>
        <v/>
      </c>
      <c r="DN205" s="517">
        <f>SUMIF($N$1:$CG$1,DN$1,$N205:$CG205)</f>
        <v/>
      </c>
      <c r="DO205" s="517">
        <f>SUMIF($N$1:$CG$1,DO$1,$N205:$CG205)</f>
        <v/>
      </c>
      <c r="DP205" s="517">
        <f>SUMIF($N$1:$CG$1,DP$1,$N205:$CG205)</f>
        <v/>
      </c>
      <c r="DQ205" s="517">
        <f>SUMIF($N$1:$CG$1,DQ$1,$N205:$CG205)</f>
        <v/>
      </c>
      <c r="DR205" s="517">
        <f>SUMIF($N$1:$CG$1,DR$1,$N205:$CG205)</f>
        <v/>
      </c>
      <c r="DS205" s="517">
        <f>SUMIF($N$1:$CK$1,DS$1,$N205:$CK205)</f>
        <v/>
      </c>
    </row>
    <row r="206">
      <c r="A206" s="40" t="n"/>
      <c r="B206" s="31" t="n"/>
      <c r="C206" s="31" t="n"/>
      <c r="D206" s="31" t="n"/>
      <c r="E206" s="31" t="n"/>
      <c r="F206" s="31" t="n"/>
      <c r="G206" s="31" t="n"/>
      <c r="H206" s="31" t="n"/>
      <c r="I206" s="31" t="n"/>
      <c r="J206" s="31" t="n"/>
      <c r="K206" s="31" t="n"/>
      <c r="L206" s="31" t="n"/>
      <c r="M206" s="31" t="n"/>
    </row>
    <row r="207">
      <c r="A207" s="456" t="inlineStr">
        <is>
          <t>Split between current and non-current</t>
        </is>
      </c>
      <c r="B207" s="31" t="n"/>
      <c r="C207" s="31" t="n"/>
      <c r="D207" s="31" t="n"/>
      <c r="E207" s="31" t="n"/>
      <c r="F207" s="31" t="n"/>
      <c r="G207" s="31" t="n"/>
      <c r="H207" s="31" t="n"/>
      <c r="I207" s="31" t="n"/>
      <c r="J207" s="31" t="n"/>
      <c r="K207" s="31" t="n"/>
      <c r="L207" s="31" t="n"/>
      <c r="M207" s="31" t="n"/>
    </row>
    <row r="208">
      <c r="A208" s="105" t="inlineStr">
        <is>
          <t>Current borrowings as % of total borrowings</t>
        </is>
      </c>
      <c r="B208" s="31" t="n"/>
      <c r="C208" s="31" t="n"/>
      <c r="D208" s="31" t="n"/>
      <c r="E208" s="31" t="n"/>
      <c r="F208" s="31" t="n"/>
      <c r="G208" s="31" t="n"/>
      <c r="H208" s="31" t="n"/>
      <c r="I208" s="31" t="n"/>
      <c r="J208" s="31" t="n"/>
      <c r="K208" s="31" t="n"/>
      <c r="L208" s="31" t="n"/>
      <c r="M208" s="31" t="n"/>
      <c r="N208" s="110">
        <f>N203/N205</f>
        <v/>
      </c>
      <c r="O208" s="110">
        <f>O203/O205</f>
        <v/>
      </c>
      <c r="P208" s="110">
        <f>P203/P205</f>
        <v/>
      </c>
      <c r="Q208" s="110">
        <f>Q203/Q205</f>
        <v/>
      </c>
      <c r="R208" s="110">
        <f>R203/R205</f>
        <v/>
      </c>
      <c r="S208" s="110">
        <f>S203/S205</f>
        <v/>
      </c>
      <c r="T208" s="110">
        <f>T203/T205</f>
        <v/>
      </c>
      <c r="U208" s="110">
        <f>U203/U205</f>
        <v/>
      </c>
      <c r="V208" s="110">
        <f>V203/V205</f>
        <v/>
      </c>
      <c r="W208" s="110">
        <f>W203/W205</f>
        <v/>
      </c>
      <c r="X208" s="110">
        <f>X203/X205</f>
        <v/>
      </c>
      <c r="Y208" s="110">
        <f>Y203/Y205</f>
        <v/>
      </c>
      <c r="Z208" s="110">
        <f>Z203/Z205</f>
        <v/>
      </c>
      <c r="AA208" s="110">
        <f>AA203/AA205</f>
        <v/>
      </c>
      <c r="AB208" s="110">
        <f>AB203/AB205</f>
        <v/>
      </c>
      <c r="AC208" s="110">
        <f>AC203/AC205</f>
        <v/>
      </c>
      <c r="AD208" s="110">
        <f>AD203/AD205</f>
        <v/>
      </c>
      <c r="AE208" s="110">
        <f>AE203/AE205</f>
        <v/>
      </c>
      <c r="AF208" s="110">
        <f>AF203/AF205</f>
        <v/>
      </c>
      <c r="AG208" s="110">
        <f>AG203/AG205</f>
        <v/>
      </c>
      <c r="AH208" s="110">
        <f>AH203/AH205</f>
        <v/>
      </c>
      <c r="AI208" s="110">
        <f>AI203/AI205</f>
        <v/>
      </c>
      <c r="AJ208" s="110">
        <f>AJ203/AJ205</f>
        <v/>
      </c>
      <c r="AK208" s="110">
        <f>AK203/AK205</f>
        <v/>
      </c>
      <c r="AL208" s="110">
        <f>AL203/AL205</f>
        <v/>
      </c>
      <c r="AM208" s="110">
        <f>AM203/AM205</f>
        <v/>
      </c>
      <c r="AN208" s="110">
        <f>AN203/AN205</f>
        <v/>
      </c>
      <c r="AO208" s="110">
        <f>AO203/AO205</f>
        <v/>
      </c>
      <c r="AP208" s="110">
        <f>AP203/AP205</f>
        <v/>
      </c>
      <c r="AQ208" s="110">
        <f>AQ203/AQ205</f>
        <v/>
      </c>
      <c r="AR208" s="110">
        <f>AR203/AR205</f>
        <v/>
      </c>
      <c r="AS208" s="110">
        <f>AS203/AS205</f>
        <v/>
      </c>
      <c r="AT208" s="110">
        <f>AT203/AT205</f>
        <v/>
      </c>
      <c r="AU208" s="110">
        <f>AU203/AU205</f>
        <v/>
      </c>
      <c r="AV208" s="110">
        <f>AV203/AV205</f>
        <v/>
      </c>
      <c r="AW208" s="110">
        <f>AW203/AW205</f>
        <v/>
      </c>
      <c r="AX208" s="110">
        <f>AX203/AX205</f>
        <v/>
      </c>
      <c r="AY208" s="110">
        <f>AY203/AY205</f>
        <v/>
      </c>
      <c r="AZ208" s="110">
        <f>AZ203/AZ205</f>
        <v/>
      </c>
      <c r="BA208" s="110">
        <f>BA203/BA205</f>
        <v/>
      </c>
      <c r="BB208" s="110">
        <f>BB203/BB205</f>
        <v/>
      </c>
      <c r="BC208" s="110">
        <f>BC203/BC205</f>
        <v/>
      </c>
      <c r="BD208" s="110">
        <f>BD203/BD205</f>
        <v/>
      </c>
      <c r="BE208" s="110">
        <f>BE203/BE205</f>
        <v/>
      </c>
      <c r="BF208" s="110">
        <f>BF203/BF205</f>
        <v/>
      </c>
      <c r="BG208" s="110">
        <f>BG203/BG205</f>
        <v/>
      </c>
      <c r="BH208" s="110">
        <f>BH203/BH205</f>
        <v/>
      </c>
      <c r="BI208" s="110">
        <f>BI203/BI205</f>
        <v/>
      </c>
      <c r="BJ208" s="110">
        <f>BJ203/BJ205</f>
        <v/>
      </c>
      <c r="BK208" s="110">
        <f>BK203/BK205</f>
        <v/>
      </c>
      <c r="BL208" s="110">
        <f>BL203/BL205</f>
        <v/>
      </c>
      <c r="BM208" s="110">
        <f>BM203/BM205</f>
        <v/>
      </c>
      <c r="BN208" s="110">
        <f>BN203/BN205</f>
        <v/>
      </c>
      <c r="BO208" s="469" t="n">
        <v>1</v>
      </c>
      <c r="BP208" s="469" t="n">
        <v>1</v>
      </c>
      <c r="BQ208" s="909">
        <f>BP208</f>
        <v/>
      </c>
      <c r="BR208" s="909">
        <f>BQ208</f>
        <v/>
      </c>
      <c r="BS208" s="909">
        <f>BR208</f>
        <v/>
      </c>
      <c r="BT208" s="909">
        <f>BS208</f>
        <v/>
      </c>
      <c r="BU208" s="909">
        <f>BT208</f>
        <v/>
      </c>
      <c r="BV208" s="909">
        <f>BU208</f>
        <v/>
      </c>
      <c r="BW208" s="909">
        <f>BV208</f>
        <v/>
      </c>
      <c r="BX208" s="909">
        <f>BW208</f>
        <v/>
      </c>
      <c r="BY208" s="909">
        <f>BX208</f>
        <v/>
      </c>
      <c r="BZ208" s="909">
        <f>BY208</f>
        <v/>
      </c>
      <c r="CA208" s="909">
        <f>BZ208</f>
        <v/>
      </c>
      <c r="CB208" s="909">
        <f>CA208</f>
        <v/>
      </c>
      <c r="CC208" s="909">
        <f>CB208</f>
        <v/>
      </c>
      <c r="CD208" s="909">
        <f>CC208</f>
        <v/>
      </c>
      <c r="CE208" s="909">
        <f>CD208</f>
        <v/>
      </c>
      <c r="CF208" s="909">
        <f>CE208</f>
        <v/>
      </c>
      <c r="CG208" s="909">
        <f>CF208</f>
        <v/>
      </c>
      <c r="CH208" s="909">
        <f>CG208</f>
        <v/>
      </c>
      <c r="CI208" s="909">
        <f>CH208</f>
        <v/>
      </c>
      <c r="CJ208" s="909">
        <f>CI208</f>
        <v/>
      </c>
      <c r="CK208" s="909">
        <f>CJ208</f>
        <v/>
      </c>
    </row>
    <row r="209">
      <c r="A209" s="105" t="n"/>
      <c r="B209" s="883" t="n"/>
      <c r="C209" s="883" t="n"/>
      <c r="D209" s="883" t="n"/>
      <c r="E209" s="883" t="n"/>
      <c r="F209" s="883" t="n"/>
      <c r="G209" s="883" t="n"/>
      <c r="H209" s="883" t="n"/>
      <c r="I209" s="883" t="n"/>
      <c r="J209" s="883" t="n"/>
      <c r="K209" s="883" t="n"/>
      <c r="L209" s="883" t="n"/>
      <c r="M209" s="883" t="n"/>
      <c r="N209" s="908" t="n"/>
      <c r="O209" s="908" t="n"/>
      <c r="P209" s="908" t="n"/>
      <c r="Q209" s="908" t="n"/>
      <c r="R209" s="908" t="n"/>
      <c r="S209" s="908" t="n"/>
      <c r="T209" s="908" t="n"/>
      <c r="U209" s="908" t="n"/>
      <c r="V209" s="908" t="n"/>
      <c r="W209" s="908" t="n"/>
      <c r="X209" s="908" t="n"/>
      <c r="Y209" s="908" t="n"/>
      <c r="Z209" s="908" t="n"/>
      <c r="AA209" s="908" t="n"/>
      <c r="AB209" s="908" t="n"/>
      <c r="AC209" s="908" t="n"/>
      <c r="AD209" s="908" t="n"/>
      <c r="AE209" s="908" t="n"/>
      <c r="AF209" s="908" t="n"/>
      <c r="AG209" s="908" t="n"/>
      <c r="AH209" s="908" t="n"/>
      <c r="AI209" s="908" t="n"/>
      <c r="AJ209" s="908" t="n"/>
      <c r="AK209" s="908" t="n"/>
      <c r="AL209" s="908" t="n"/>
      <c r="AM209" s="908" t="n"/>
      <c r="AN209" s="908" t="n"/>
      <c r="AO209" s="908" t="n"/>
      <c r="AP209" s="908" t="n"/>
      <c r="AQ209" s="908" t="n"/>
      <c r="AR209" s="908" t="n"/>
      <c r="AS209" s="908" t="n"/>
      <c r="AT209" s="908" t="n"/>
      <c r="AU209" s="908" t="n"/>
      <c r="AV209" s="908" t="n"/>
      <c r="AW209" s="908" t="n"/>
      <c r="AX209" s="908" t="n"/>
      <c r="AY209" s="908" t="n"/>
      <c r="AZ209" s="908" t="n"/>
      <c r="BA209" s="908" t="n"/>
      <c r="BB209" s="908" t="n"/>
      <c r="BC209" s="908" t="n"/>
      <c r="BD209" s="908" t="n"/>
      <c r="BE209" s="908" t="n"/>
      <c r="BF209" s="908" t="n"/>
      <c r="BG209" s="908" t="n"/>
      <c r="BH209" s="908" t="n"/>
      <c r="BI209" s="908" t="n"/>
      <c r="BJ209" s="908" t="n"/>
      <c r="BK209" s="909" t="n"/>
      <c r="BL209" s="909" t="n"/>
      <c r="BM209" s="909" t="n"/>
      <c r="BN209" s="909" t="n"/>
      <c r="BO209" s="909" t="n"/>
      <c r="BP209" s="909" t="n"/>
      <c r="BQ209" s="909" t="n"/>
      <c r="BR209" s="909" t="n"/>
      <c r="BS209" s="909" t="n"/>
      <c r="BT209" s="909" t="n"/>
      <c r="BU209" s="909" t="n"/>
      <c r="BV209" s="909" t="n"/>
      <c r="BW209" s="909" t="n"/>
      <c r="BX209" s="909" t="n"/>
      <c r="BY209" s="909" t="n"/>
      <c r="BZ209" s="909" t="n"/>
      <c r="CA209" s="909" t="n"/>
      <c r="CB209" s="909" t="n"/>
      <c r="CC209" s="909" t="n"/>
      <c r="CD209" s="909" t="n"/>
      <c r="CE209" s="909" t="n"/>
      <c r="CF209" s="909" t="n"/>
      <c r="CG209" s="909" t="n"/>
      <c r="CH209" s="909" t="n"/>
      <c r="CI209" s="909" t="n"/>
      <c r="CJ209" s="909" t="n"/>
      <c r="CK209" s="909" t="n"/>
    </row>
    <row r="210">
      <c r="A210" s="105" t="n"/>
      <c r="B210" s="883" t="n"/>
      <c r="C210" s="883" t="n"/>
      <c r="D210" s="883" t="n"/>
      <c r="E210" s="883" t="n"/>
      <c r="F210" s="883" t="n"/>
      <c r="G210" s="883" t="n"/>
      <c r="H210" s="883" t="n"/>
      <c r="I210" s="883" t="n"/>
      <c r="J210" s="883" t="n"/>
      <c r="K210" s="883" t="n"/>
      <c r="L210" s="883" t="n"/>
      <c r="M210" s="883" t="n"/>
      <c r="N210" s="908" t="n"/>
      <c r="O210" s="908" t="n"/>
      <c r="P210" s="908" t="n"/>
      <c r="Q210" s="908" t="n"/>
      <c r="R210" s="908" t="n"/>
      <c r="S210" s="908" t="n"/>
      <c r="T210" s="908" t="n"/>
      <c r="U210" s="908" t="n"/>
      <c r="V210" s="908" t="n"/>
      <c r="W210" s="908" t="n"/>
      <c r="X210" s="908" t="n"/>
      <c r="Y210" s="908" t="n"/>
      <c r="Z210" s="908" t="n"/>
      <c r="AA210" s="908" t="n"/>
      <c r="AB210" s="908" t="n"/>
      <c r="AC210" s="908" t="n"/>
      <c r="AD210" s="908" t="n"/>
      <c r="AE210" s="908" t="n"/>
      <c r="AF210" s="908" t="n"/>
      <c r="AG210" s="908" t="n"/>
      <c r="AH210" s="908" t="n"/>
      <c r="AI210" s="908" t="n"/>
      <c r="AJ210" s="908" t="n"/>
      <c r="AK210" s="908" t="n"/>
      <c r="AL210" s="908" t="n"/>
      <c r="AM210" s="908" t="n"/>
      <c r="AN210" s="908" t="n"/>
      <c r="AO210" s="908" t="n"/>
      <c r="AP210" s="908" t="n"/>
      <c r="AQ210" s="908" t="n"/>
      <c r="AR210" s="908" t="n"/>
      <c r="AS210" s="908" t="n"/>
      <c r="AT210" s="908" t="n"/>
      <c r="AU210" s="908" t="n"/>
      <c r="AV210" s="908" t="n"/>
      <c r="AW210" s="908" t="n"/>
      <c r="AX210" s="908" t="n"/>
      <c r="AY210" s="908" t="n"/>
      <c r="AZ210" s="908" t="n"/>
      <c r="BA210" s="908" t="n"/>
      <c r="BB210" s="908" t="n"/>
      <c r="BC210" s="908" t="n"/>
      <c r="BD210" s="908" t="n"/>
      <c r="BE210" s="908" t="n"/>
      <c r="BF210" s="908" t="n"/>
      <c r="BG210" s="908" t="n"/>
      <c r="BH210" s="908" t="n"/>
      <c r="BI210" s="908" t="n"/>
      <c r="BJ210" s="908" t="n"/>
      <c r="BK210" s="909" t="n"/>
      <c r="BL210" s="909" t="n"/>
      <c r="BM210" s="909" t="n"/>
      <c r="BN210" s="909" t="n"/>
      <c r="BO210" s="909" t="n"/>
      <c r="BP210" s="909" t="n"/>
      <c r="BQ210" s="909" t="n"/>
      <c r="BR210" s="909" t="n"/>
      <c r="BS210" s="909" t="n"/>
      <c r="BT210" s="909" t="n"/>
      <c r="BU210" s="909" t="n"/>
      <c r="BV210" s="909" t="n"/>
      <c r="BW210" s="909" t="n"/>
      <c r="BX210" s="909" t="n"/>
      <c r="BY210" s="909" t="n"/>
      <c r="BZ210" s="909" t="n"/>
      <c r="CA210" s="909" t="n"/>
      <c r="CB210" s="909" t="n"/>
      <c r="CC210" s="909" t="n"/>
      <c r="CD210" s="909" t="n"/>
      <c r="CE210" s="909" t="n"/>
      <c r="CF210" s="909" t="n"/>
      <c r="CG210" s="909" t="n"/>
      <c r="CH210" s="909" t="n"/>
      <c r="CI210" s="909" t="n"/>
      <c r="CJ210" s="909" t="n"/>
      <c r="CK210" s="909" t="n"/>
    </row>
    <row r="211">
      <c r="A211" s="22" t="n"/>
      <c r="B211" s="930" t="n"/>
      <c r="C211" s="930" t="n"/>
      <c r="D211" s="930" t="n"/>
      <c r="E211" s="930" t="n"/>
      <c r="F211" s="930" t="n"/>
      <c r="G211" s="931" t="n"/>
      <c r="H211" s="931" t="n"/>
      <c r="I211" s="931" t="n"/>
      <c r="J211" s="931" t="n"/>
      <c r="K211" s="931" t="n"/>
      <c r="L211" s="931" t="n"/>
      <c r="M211" s="931" t="n"/>
      <c r="N211" s="908" t="n"/>
      <c r="O211" s="908" t="n"/>
      <c r="P211" s="908" t="n"/>
      <c r="Q211" s="908" t="n"/>
      <c r="R211" s="908" t="n"/>
      <c r="S211" s="908" t="n"/>
      <c r="T211" s="908" t="n"/>
      <c r="U211" s="908" t="n"/>
      <c r="V211" s="908" t="n"/>
      <c r="W211" s="908" t="n"/>
      <c r="X211" s="908" t="n"/>
      <c r="Y211" s="908" t="n"/>
      <c r="Z211" s="908" t="n"/>
      <c r="AA211" s="908" t="n"/>
      <c r="AB211" s="908" t="n"/>
      <c r="AC211" s="908" t="n"/>
      <c r="AD211" s="908" t="n"/>
      <c r="AE211" s="908" t="n"/>
      <c r="AF211" s="908" t="n"/>
      <c r="AG211" s="908" t="n"/>
      <c r="AH211" s="908" t="n"/>
      <c r="AI211" s="908" t="n"/>
      <c r="AJ211" s="908" t="n"/>
      <c r="AK211" s="908" t="n"/>
      <c r="AL211" s="908" t="n"/>
      <c r="AM211" s="908" t="n"/>
      <c r="AN211" s="908" t="n"/>
      <c r="AO211" s="908" t="n"/>
      <c r="AP211" s="908" t="n"/>
      <c r="AQ211" s="908" t="n"/>
      <c r="AR211" s="908" t="n"/>
      <c r="AS211" s="908" t="n"/>
      <c r="AT211" s="908" t="n"/>
      <c r="AU211" s="908" t="n"/>
      <c r="AV211" s="908" t="n"/>
      <c r="AW211" s="908" t="n"/>
      <c r="AX211" s="908" t="n"/>
      <c r="AY211" s="908" t="n"/>
      <c r="AZ211" s="908" t="n"/>
      <c r="BA211" s="908" t="n"/>
      <c r="BB211" s="908" t="n"/>
      <c r="BC211" s="908" t="n"/>
      <c r="BD211" s="908" t="n"/>
      <c r="BE211" s="908" t="n"/>
      <c r="BF211" s="908" t="n"/>
      <c r="BG211" s="908" t="n"/>
      <c r="BH211" s="908" t="n"/>
      <c r="BI211" s="908" t="n"/>
      <c r="BJ211" s="908" t="n"/>
      <c r="BK211" s="909" t="n"/>
      <c r="BL211" s="909" t="n"/>
      <c r="BM211" s="909" t="n"/>
      <c r="BN211" s="909" t="n"/>
      <c r="BO211" s="909" t="n"/>
      <c r="BP211" s="909" t="n"/>
      <c r="BQ211" s="909" t="n"/>
      <c r="BR211" s="909" t="n"/>
      <c r="BS211" s="909" t="n"/>
      <c r="BT211" s="909" t="n"/>
      <c r="BU211" s="909" t="n"/>
      <c r="BV211" s="909" t="n"/>
      <c r="BW211" s="909" t="n"/>
      <c r="BX211" s="909" t="n"/>
      <c r="BY211" s="909" t="n"/>
      <c r="BZ211" s="909" t="n"/>
      <c r="CA211" s="909" t="n"/>
      <c r="CB211" s="909" t="n"/>
      <c r="CC211" s="909" t="n"/>
      <c r="CD211" s="909" t="n"/>
      <c r="CE211" s="909" t="n"/>
      <c r="CF211" s="909" t="n"/>
      <c r="CG211" s="909" t="n"/>
      <c r="CH211" s="909" t="n"/>
      <c r="CI211" s="909" t="n"/>
      <c r="CJ211" s="909" t="n"/>
      <c r="CK211" s="909" t="n"/>
    </row>
    <row r="212">
      <c r="B212" s="31" t="n"/>
      <c r="C212" s="31" t="n"/>
      <c r="D212" s="31" t="n"/>
      <c r="E212" s="31" t="n"/>
      <c r="F212" s="31" t="n"/>
      <c r="G212" s="31" t="n"/>
    </row>
    <row r="213">
      <c r="A213" s="425" t="inlineStr">
        <is>
          <t>Capital Structure (in '000 USD)</t>
        </is>
      </c>
      <c r="B213" s="79" t="n"/>
      <c r="C213" s="79" t="n"/>
      <c r="D213" s="79" t="n"/>
      <c r="E213" s="79" t="n"/>
      <c r="F213" s="79" t="n"/>
    </row>
    <row r="214"/>
    <row r="215">
      <c r="A215" s="22" t="inlineStr">
        <is>
          <t>Par value of common equity</t>
        </is>
      </c>
      <c r="N215" s="516">
        <f>FS_Q!N68</f>
        <v/>
      </c>
      <c r="O215" s="516">
        <f>FS_Q!O68</f>
        <v/>
      </c>
      <c r="P215" s="516">
        <f>FS_Q!P68</f>
        <v/>
      </c>
      <c r="Q215" s="516">
        <f>FS_Q!Q68</f>
        <v/>
      </c>
      <c r="R215" s="516">
        <f>FS_Q!R68</f>
        <v/>
      </c>
      <c r="S215" s="516">
        <f>FS_Q!S68</f>
        <v/>
      </c>
      <c r="T215" s="516">
        <f>FS_Q!T68</f>
        <v/>
      </c>
      <c r="U215" s="516">
        <f>FS_Q!U68</f>
        <v/>
      </c>
      <c r="V215" s="516">
        <f>FS_Q!V68</f>
        <v/>
      </c>
      <c r="W215" s="516">
        <f>FS_Q!W68</f>
        <v/>
      </c>
      <c r="X215" s="516">
        <f>FS_Q!X68</f>
        <v/>
      </c>
      <c r="Y215" s="516">
        <f>FS_Q!Y68</f>
        <v/>
      </c>
      <c r="Z215" s="516">
        <f>FS_Q!Z68</f>
        <v/>
      </c>
      <c r="AA215" s="516">
        <f>FS_Q!AA68</f>
        <v/>
      </c>
      <c r="AB215" s="516">
        <f>FS_Q!AB68</f>
        <v/>
      </c>
      <c r="AC215" s="516">
        <f>FS_Q!AC68</f>
        <v/>
      </c>
      <c r="AD215" s="516">
        <f>FS_Q!AD68</f>
        <v/>
      </c>
      <c r="AE215" s="516">
        <f>FS_Q!AE68</f>
        <v/>
      </c>
      <c r="AF215" s="516">
        <f>FS_Q!AF68</f>
        <v/>
      </c>
      <c r="AG215" s="516">
        <f>FS_Q!AG68</f>
        <v/>
      </c>
      <c r="AH215" s="516">
        <f>FS_Q!AH68</f>
        <v/>
      </c>
      <c r="AI215" s="516">
        <f>FS_Q!AI68</f>
        <v/>
      </c>
      <c r="AJ215" s="516">
        <f>FS_Q!AJ68</f>
        <v/>
      </c>
      <c r="AK215" s="516">
        <f>FS_Q!AK68</f>
        <v/>
      </c>
      <c r="AL215" s="516">
        <f>FS_Q!AL68</f>
        <v/>
      </c>
      <c r="AM215" s="516">
        <f>FS_Q!AM68</f>
        <v/>
      </c>
      <c r="AN215" s="516">
        <f>FS_Q!AN68</f>
        <v/>
      </c>
      <c r="AO215" s="516">
        <f>FS_Q!AO68</f>
        <v/>
      </c>
      <c r="AP215" s="516">
        <f>FS_Q!AP68</f>
        <v/>
      </c>
      <c r="AQ215" s="516">
        <f>FS_Q!AQ68</f>
        <v/>
      </c>
      <c r="AR215" s="516">
        <f>FS_Q!AR68</f>
        <v/>
      </c>
      <c r="AS215" s="516">
        <f>FS_Q!AS68</f>
        <v/>
      </c>
      <c r="AT215" s="516">
        <f>FS_Q!AT68</f>
        <v/>
      </c>
      <c r="AU215" s="516">
        <f>FS_Q!AU68</f>
        <v/>
      </c>
      <c r="AV215" s="516">
        <f>FS_Q!AV68</f>
        <v/>
      </c>
      <c r="AW215" s="516">
        <f>FS_Q!AW68</f>
        <v/>
      </c>
      <c r="AX215" s="516">
        <f>FS_Q!AX68</f>
        <v/>
      </c>
      <c r="AY215" s="516">
        <f>FS_Q!AY68</f>
        <v/>
      </c>
      <c r="AZ215" s="516">
        <f>FS_Q!AZ68</f>
        <v/>
      </c>
      <c r="BA215" s="516">
        <f>FS_Q!BA68</f>
        <v/>
      </c>
      <c r="BB215" s="516">
        <f>FS_Q!BB68</f>
        <v/>
      </c>
      <c r="BC215" s="516">
        <f>FS_Q!BC68</f>
        <v/>
      </c>
      <c r="BD215" s="516">
        <f>FS_Q!BD68</f>
        <v/>
      </c>
      <c r="BE215" s="516">
        <f>FS_Q!BE68</f>
        <v/>
      </c>
      <c r="BF215" s="516">
        <f>FS_Q!BF68</f>
        <v/>
      </c>
      <c r="BG215" s="516">
        <f>FS_Q!BG68</f>
        <v/>
      </c>
      <c r="BH215" s="516">
        <f>FS_Q!BH68</f>
        <v/>
      </c>
      <c r="BI215" s="516">
        <f>FS_Q!BI68</f>
        <v/>
      </c>
      <c r="BJ215" s="516">
        <f>FS_Q!BJ68</f>
        <v/>
      </c>
      <c r="BK215" s="516">
        <f>FS_Q!BK68</f>
        <v/>
      </c>
      <c r="BL215" s="516">
        <f>FS_Q!BL68</f>
        <v/>
      </c>
      <c r="BM215" s="516">
        <f>FS_Q!BM68</f>
        <v/>
      </c>
      <c r="BN215" s="516">
        <f>FS_Q!BN68</f>
        <v/>
      </c>
      <c r="BO215" s="516">
        <f>FS_Q!BO68</f>
        <v/>
      </c>
      <c r="BP215" s="516">
        <f>FS_Q!BP68</f>
        <v/>
      </c>
      <c r="BQ215" s="516">
        <f>FS_Q!BQ68</f>
        <v/>
      </c>
      <c r="BR215" s="516">
        <f>FS_Q!BR68</f>
        <v/>
      </c>
      <c r="BS215" s="541">
        <f>BR215</f>
        <v/>
      </c>
      <c r="BT215" s="541">
        <f>BS215</f>
        <v/>
      </c>
      <c r="BU215" s="541">
        <f>BT215</f>
        <v/>
      </c>
      <c r="BV215" s="541">
        <f>BU215</f>
        <v/>
      </c>
      <c r="BW215" s="541">
        <f>BV215</f>
        <v/>
      </c>
      <c r="BX215" s="541">
        <f>BW215</f>
        <v/>
      </c>
      <c r="BY215" s="541">
        <f>BX215</f>
        <v/>
      </c>
      <c r="BZ215" s="541">
        <f>BY215</f>
        <v/>
      </c>
      <c r="CA215" s="541">
        <f>BZ215</f>
        <v/>
      </c>
      <c r="CB215" s="541">
        <f>CA215</f>
        <v/>
      </c>
      <c r="CC215" s="541">
        <f>CB215</f>
        <v/>
      </c>
      <c r="CD215" s="541">
        <f>CC215</f>
        <v/>
      </c>
      <c r="CE215" s="541">
        <f>CD215</f>
        <v/>
      </c>
      <c r="CF215" s="541">
        <f>CE215</f>
        <v/>
      </c>
      <c r="CG215" s="541">
        <f>CF215</f>
        <v/>
      </c>
      <c r="CH215" s="541">
        <f>CG215</f>
        <v/>
      </c>
      <c r="CI215" s="541">
        <f>CH215</f>
        <v/>
      </c>
      <c r="CJ215" s="541">
        <f>CI215</f>
        <v/>
      </c>
      <c r="CK215" s="541">
        <f>CJ215</f>
        <v/>
      </c>
    </row>
    <row r="216">
      <c r="A216" s="22">
        <f>FS_Q!A69</f>
        <v/>
      </c>
      <c r="B216" s="22">
        <f>FS_Q!B69</f>
        <v/>
      </c>
      <c r="C216" s="22">
        <f>FS_Q!C69</f>
        <v/>
      </c>
      <c r="D216" s="22">
        <f>FS_Q!D69</f>
        <v/>
      </c>
      <c r="E216" s="22">
        <f>FS_Q!E69</f>
        <v/>
      </c>
      <c r="F216" s="22">
        <f>FS_Q!F69</f>
        <v/>
      </c>
      <c r="G216" s="22">
        <f>FS_Q!G69</f>
        <v/>
      </c>
      <c r="H216" s="22">
        <f>FS_Q!H69</f>
        <v/>
      </c>
      <c r="I216" s="22">
        <f>FS_Q!I69</f>
        <v/>
      </c>
      <c r="J216" s="22">
        <f>FS_Q!J69</f>
        <v/>
      </c>
      <c r="K216" s="22">
        <f>FS_Q!K69</f>
        <v/>
      </c>
      <c r="L216" s="22">
        <f>FS_Q!L69</f>
        <v/>
      </c>
      <c r="M216" s="22">
        <f>FS_Q!M69</f>
        <v/>
      </c>
      <c r="N216" s="516">
        <f>FS_Q!N69</f>
        <v/>
      </c>
      <c r="O216" s="516">
        <f>FS_Q!O69</f>
        <v/>
      </c>
      <c r="P216" s="516">
        <f>FS_Q!P69</f>
        <v/>
      </c>
      <c r="Q216" s="516">
        <f>FS_Q!Q69</f>
        <v/>
      </c>
      <c r="R216" s="516">
        <f>FS_Q!R69</f>
        <v/>
      </c>
      <c r="S216" s="516">
        <f>FS_Q!S69</f>
        <v/>
      </c>
      <c r="T216" s="516">
        <f>FS_Q!T69</f>
        <v/>
      </c>
      <c r="U216" s="516">
        <f>FS_Q!U69</f>
        <v/>
      </c>
      <c r="V216" s="516">
        <f>FS_Q!V69</f>
        <v/>
      </c>
      <c r="W216" s="516">
        <f>FS_Q!W69</f>
        <v/>
      </c>
      <c r="X216" s="516">
        <f>FS_Q!X69</f>
        <v/>
      </c>
      <c r="Y216" s="516">
        <f>FS_Q!Y69</f>
        <v/>
      </c>
      <c r="Z216" s="516">
        <f>FS_Q!Z69</f>
        <v/>
      </c>
      <c r="AA216" s="516">
        <f>FS_Q!AA69</f>
        <v/>
      </c>
      <c r="AB216" s="516">
        <f>FS_Q!AB69</f>
        <v/>
      </c>
      <c r="AC216" s="516">
        <f>FS_Q!AC69</f>
        <v/>
      </c>
      <c r="AD216" s="516">
        <f>FS_Q!AD69</f>
        <v/>
      </c>
      <c r="AE216" s="516">
        <f>FS_Q!AE69</f>
        <v/>
      </c>
      <c r="AF216" s="516">
        <f>FS_Q!AF69</f>
        <v/>
      </c>
      <c r="AG216" s="516">
        <f>FS_Q!AG69</f>
        <v/>
      </c>
      <c r="AH216" s="516">
        <f>FS_Q!AH69</f>
        <v/>
      </c>
      <c r="AI216" s="516">
        <f>FS_Q!AI69</f>
        <v/>
      </c>
      <c r="AJ216" s="516">
        <f>FS_Q!AJ69</f>
        <v/>
      </c>
      <c r="AK216" s="516">
        <f>FS_Q!AK69</f>
        <v/>
      </c>
      <c r="AL216" s="516">
        <f>FS_Q!AL69</f>
        <v/>
      </c>
      <c r="AM216" s="516">
        <f>FS_Q!AM69</f>
        <v/>
      </c>
      <c r="AN216" s="516">
        <f>FS_Q!AN69</f>
        <v/>
      </c>
      <c r="AO216" s="516">
        <f>FS_Q!AO69</f>
        <v/>
      </c>
      <c r="AP216" s="516">
        <f>FS_Q!AP69</f>
        <v/>
      </c>
      <c r="AQ216" s="516">
        <f>FS_Q!AQ69</f>
        <v/>
      </c>
      <c r="AR216" s="516">
        <f>FS_Q!AR69</f>
        <v/>
      </c>
      <c r="AS216" s="516">
        <f>FS_Q!AS69</f>
        <v/>
      </c>
      <c r="AT216" s="516">
        <f>FS_Q!AT69</f>
        <v/>
      </c>
      <c r="AU216" s="516">
        <f>FS_Q!AU69</f>
        <v/>
      </c>
      <c r="AV216" s="516">
        <f>FS_Q!AV69</f>
        <v/>
      </c>
      <c r="AW216" s="516">
        <f>FS_Q!AW69</f>
        <v/>
      </c>
      <c r="AX216" s="516">
        <f>FS_Q!AX69</f>
        <v/>
      </c>
      <c r="AY216" s="516">
        <f>FS_Q!AY69</f>
        <v/>
      </c>
      <c r="AZ216" s="516">
        <f>FS_Q!AZ69</f>
        <v/>
      </c>
      <c r="BA216" s="516">
        <f>FS_Q!BA69</f>
        <v/>
      </c>
      <c r="BB216" s="516">
        <f>FS_Q!BB69</f>
        <v/>
      </c>
      <c r="BC216" s="516">
        <f>FS_Q!BC69</f>
        <v/>
      </c>
      <c r="BD216" s="516">
        <f>FS_Q!BD69</f>
        <v/>
      </c>
      <c r="BE216" s="516">
        <f>FS_Q!BE69</f>
        <v/>
      </c>
      <c r="BF216" s="516">
        <f>FS_Q!BF69</f>
        <v/>
      </c>
      <c r="BG216" s="516">
        <f>FS_Q!BG69</f>
        <v/>
      </c>
      <c r="BH216" s="516">
        <f>FS_Q!BH69</f>
        <v/>
      </c>
      <c r="BI216" s="516">
        <f>FS_Q!BI69</f>
        <v/>
      </c>
      <c r="BJ216" s="516">
        <f>FS_Q!BJ69</f>
        <v/>
      </c>
      <c r="BK216" s="516">
        <f>FS_Q!BK69</f>
        <v/>
      </c>
      <c r="BL216" s="516">
        <f>FS_Q!BL69</f>
        <v/>
      </c>
      <c r="BM216" s="516">
        <f>FS_Q!BM69</f>
        <v/>
      </c>
      <c r="BN216" s="516">
        <f>FS_Q!BN69</f>
        <v/>
      </c>
      <c r="BO216" s="516">
        <f>FS_Q!BO69</f>
        <v/>
      </c>
      <c r="BP216" s="516">
        <f>FS_Q!BP69</f>
        <v/>
      </c>
      <c r="BQ216" s="516">
        <f>FS_Q!BQ69</f>
        <v/>
      </c>
      <c r="BR216" s="516">
        <f>FS_Q!BR69</f>
        <v/>
      </c>
      <c r="BS216" s="541">
        <f>BR216</f>
        <v/>
      </c>
      <c r="BT216" s="541">
        <f>BS216</f>
        <v/>
      </c>
      <c r="BU216" s="541">
        <f>BT216</f>
        <v/>
      </c>
      <c r="BV216" s="541">
        <f>BU216</f>
        <v/>
      </c>
      <c r="BW216" s="541">
        <f>BV216</f>
        <v/>
      </c>
      <c r="BX216" s="541">
        <f>BW216</f>
        <v/>
      </c>
      <c r="BY216" s="541">
        <f>BX216</f>
        <v/>
      </c>
      <c r="BZ216" s="541">
        <f>BY216</f>
        <v/>
      </c>
      <c r="CA216" s="541">
        <f>BZ216</f>
        <v/>
      </c>
      <c r="CB216" s="541">
        <f>CA216</f>
        <v/>
      </c>
      <c r="CC216" s="541">
        <f>CB216</f>
        <v/>
      </c>
      <c r="CD216" s="541">
        <f>CC216</f>
        <v/>
      </c>
      <c r="CE216" s="541">
        <f>CD216</f>
        <v/>
      </c>
      <c r="CF216" s="541">
        <f>CE216</f>
        <v/>
      </c>
      <c r="CG216" s="541">
        <f>CF216</f>
        <v/>
      </c>
      <c r="CH216" s="541">
        <f>CG216</f>
        <v/>
      </c>
      <c r="CI216" s="541">
        <f>CH216</f>
        <v/>
      </c>
      <c r="CJ216" s="541">
        <f>CI216</f>
        <v/>
      </c>
      <c r="CK216" s="541">
        <f>CJ216</f>
        <v/>
      </c>
    </row>
    <row r="217">
      <c r="A217" s="22" t="inlineStr">
        <is>
          <t>Additional paid-in capital</t>
        </is>
      </c>
      <c r="N217" s="516">
        <f>FS_Q!N70</f>
        <v/>
      </c>
      <c r="O217" s="516">
        <f>FS_Q!O70</f>
        <v/>
      </c>
      <c r="P217" s="516">
        <f>FS_Q!P70</f>
        <v/>
      </c>
      <c r="Q217" s="516">
        <f>FS_Q!Q70</f>
        <v/>
      </c>
      <c r="R217" s="516">
        <f>FS_Q!R70</f>
        <v/>
      </c>
      <c r="S217" s="516">
        <f>FS_Q!S70</f>
        <v/>
      </c>
      <c r="T217" s="516">
        <f>FS_Q!T70</f>
        <v/>
      </c>
      <c r="U217" s="516">
        <f>FS_Q!U70</f>
        <v/>
      </c>
      <c r="V217" s="516">
        <f>FS_Q!V70</f>
        <v/>
      </c>
      <c r="W217" s="516">
        <f>FS_Q!W70</f>
        <v/>
      </c>
      <c r="X217" s="516">
        <f>FS_Q!X70</f>
        <v/>
      </c>
      <c r="Y217" s="516">
        <f>FS_Q!Y70</f>
        <v/>
      </c>
      <c r="Z217" s="516">
        <f>FS_Q!Z70</f>
        <v/>
      </c>
      <c r="AA217" s="516">
        <f>FS_Q!AA70</f>
        <v/>
      </c>
      <c r="AB217" s="516">
        <f>FS_Q!AB70</f>
        <v/>
      </c>
      <c r="AC217" s="516">
        <f>FS_Q!AC70</f>
        <v/>
      </c>
      <c r="AD217" s="516">
        <f>FS_Q!AD70</f>
        <v/>
      </c>
      <c r="AE217" s="516">
        <f>FS_Q!AE70</f>
        <v/>
      </c>
      <c r="AF217" s="516">
        <f>FS_Q!AF70</f>
        <v/>
      </c>
      <c r="AG217" s="516">
        <f>FS_Q!AG70</f>
        <v/>
      </c>
      <c r="AH217" s="516">
        <f>FS_Q!AH70</f>
        <v/>
      </c>
      <c r="AI217" s="516">
        <f>FS_Q!AI70</f>
        <v/>
      </c>
      <c r="AJ217" s="516">
        <f>FS_Q!AJ70</f>
        <v/>
      </c>
      <c r="AK217" s="516">
        <f>FS_Q!AK70</f>
        <v/>
      </c>
      <c r="AL217" s="516">
        <f>FS_Q!AL70</f>
        <v/>
      </c>
      <c r="AM217" s="516">
        <f>FS_Q!AM70</f>
        <v/>
      </c>
      <c r="AN217" s="516">
        <f>FS_Q!AN70</f>
        <v/>
      </c>
      <c r="AO217" s="516">
        <f>FS_Q!AO70</f>
        <v/>
      </c>
      <c r="AP217" s="516">
        <f>FS_Q!AP70</f>
        <v/>
      </c>
      <c r="AQ217" s="516">
        <f>FS_Q!AQ70</f>
        <v/>
      </c>
      <c r="AR217" s="516">
        <f>FS_Q!AR70</f>
        <v/>
      </c>
      <c r="AS217" s="516">
        <f>FS_Q!AS70</f>
        <v/>
      </c>
      <c r="AT217" s="516">
        <f>FS_Q!AT70</f>
        <v/>
      </c>
      <c r="AU217" s="516">
        <f>FS_Q!AU70</f>
        <v/>
      </c>
      <c r="AV217" s="516">
        <f>FS_Q!AV70</f>
        <v/>
      </c>
      <c r="AW217" s="516">
        <f>FS_Q!AW70</f>
        <v/>
      </c>
      <c r="AX217" s="516">
        <f>FS_Q!AX70</f>
        <v/>
      </c>
      <c r="AY217" s="516">
        <f>FS_Q!AY70</f>
        <v/>
      </c>
      <c r="AZ217" s="516">
        <f>FS_Q!AZ70</f>
        <v/>
      </c>
      <c r="BA217" s="516">
        <f>FS_Q!BA70</f>
        <v/>
      </c>
      <c r="BB217" s="516">
        <f>FS_Q!BB70</f>
        <v/>
      </c>
      <c r="BC217" s="516">
        <f>FS_Q!BC70</f>
        <v/>
      </c>
      <c r="BD217" s="516">
        <f>FS_Q!BD70</f>
        <v/>
      </c>
      <c r="BE217" s="516">
        <f>FS_Q!BE70</f>
        <v/>
      </c>
      <c r="BF217" s="516">
        <f>FS_Q!BF70</f>
        <v/>
      </c>
      <c r="BG217" s="516">
        <f>FS_Q!BG70</f>
        <v/>
      </c>
      <c r="BH217" s="516">
        <f>FS_Q!BH70</f>
        <v/>
      </c>
      <c r="BI217" s="516">
        <f>FS_Q!BI70</f>
        <v/>
      </c>
      <c r="BJ217" s="516">
        <f>FS_Q!BJ70</f>
        <v/>
      </c>
      <c r="BK217" s="516">
        <f>FS_Q!BK70</f>
        <v/>
      </c>
      <c r="BL217" s="516">
        <f>FS_Q!BL70</f>
        <v/>
      </c>
      <c r="BM217" s="516">
        <f>FS_Q!BM70</f>
        <v/>
      </c>
      <c r="BN217" s="516">
        <f>FS_Q!BN70</f>
        <v/>
      </c>
      <c r="BO217" s="516">
        <f>FS_Q!BO70</f>
        <v/>
      </c>
      <c r="BP217" s="516">
        <f>FS_Q!BP70</f>
        <v/>
      </c>
      <c r="BQ217" s="516">
        <f>FS_Q!BQ70</f>
        <v/>
      </c>
      <c r="BR217" s="516">
        <f>FS_Q!BR70</f>
        <v/>
      </c>
      <c r="BS217" s="541">
        <f>BR217</f>
        <v/>
      </c>
      <c r="BT217" s="541">
        <f>BS217</f>
        <v/>
      </c>
      <c r="BU217" s="541">
        <f>BT217</f>
        <v/>
      </c>
      <c r="BV217" s="541">
        <f>BU217</f>
        <v/>
      </c>
      <c r="BW217" s="541">
        <f>BV217</f>
        <v/>
      </c>
      <c r="BX217" s="541">
        <f>BW217</f>
        <v/>
      </c>
      <c r="BY217" s="541">
        <f>BX217</f>
        <v/>
      </c>
      <c r="BZ217" s="541">
        <f>BY217</f>
        <v/>
      </c>
      <c r="CA217" s="541">
        <f>BZ217</f>
        <v/>
      </c>
      <c r="CB217" s="541">
        <f>CA217</f>
        <v/>
      </c>
      <c r="CC217" s="541">
        <f>CB217</f>
        <v/>
      </c>
      <c r="CD217" s="541">
        <f>CC217</f>
        <v/>
      </c>
      <c r="CE217" s="541">
        <f>CD217</f>
        <v/>
      </c>
      <c r="CF217" s="541">
        <f>CE217</f>
        <v/>
      </c>
      <c r="CG217" s="541">
        <f>CF217</f>
        <v/>
      </c>
      <c r="CH217" s="541">
        <f>CG217</f>
        <v/>
      </c>
      <c r="CI217" s="541">
        <f>CH217</f>
        <v/>
      </c>
      <c r="CJ217" s="541">
        <f>CI217</f>
        <v/>
      </c>
      <c r="CK217" s="541">
        <f>CJ217</f>
        <v/>
      </c>
    </row>
    <row r="218">
      <c r="A218" s="22" t="n"/>
      <c r="N218" s="516" t="n"/>
    </row>
    <row r="219">
      <c r="A219" s="22">
        <f>FS_Q!A71</f>
        <v/>
      </c>
      <c r="N219" s="516" t="n"/>
    </row>
    <row r="220">
      <c r="A220" s="410" t="inlineStr">
        <is>
          <t>Beginning balance</t>
        </is>
      </c>
      <c r="B220" s="108" t="n"/>
      <c r="C220" s="108" t="n"/>
      <c r="D220" s="108" t="n"/>
      <c r="E220" s="108" t="n"/>
      <c r="F220" s="108" t="n"/>
      <c r="G220" s="108" t="n"/>
      <c r="H220" s="108" t="n"/>
      <c r="I220" s="84" t="n"/>
      <c r="J220" s="84" t="n"/>
      <c r="K220" s="84" t="n"/>
      <c r="L220" s="84" t="n"/>
      <c r="M220" s="84" t="n"/>
      <c r="O220" s="517">
        <f>N224</f>
        <v/>
      </c>
      <c r="P220" s="517">
        <f>O224</f>
        <v/>
      </c>
      <c r="Q220" s="517">
        <f>P224</f>
        <v/>
      </c>
      <c r="R220" s="517">
        <f>Q224</f>
        <v/>
      </c>
      <c r="S220" s="517">
        <f>R224</f>
        <v/>
      </c>
      <c r="T220" s="517">
        <f>S224</f>
        <v/>
      </c>
      <c r="U220" s="517">
        <f>T224</f>
        <v/>
      </c>
      <c r="V220" s="517">
        <f>U224</f>
        <v/>
      </c>
      <c r="W220" s="517">
        <f>V224</f>
        <v/>
      </c>
      <c r="X220" s="517">
        <f>W224</f>
        <v/>
      </c>
      <c r="Y220" s="517">
        <f>X224</f>
        <v/>
      </c>
      <c r="Z220" s="517">
        <f>Y224</f>
        <v/>
      </c>
      <c r="AA220" s="517">
        <f>Z224</f>
        <v/>
      </c>
      <c r="AB220" s="517">
        <f>AA224</f>
        <v/>
      </c>
      <c r="AC220" s="517">
        <f>AB224</f>
        <v/>
      </c>
      <c r="AD220" s="517">
        <f>AC224</f>
        <v/>
      </c>
      <c r="AE220" s="517">
        <f>AD224</f>
        <v/>
      </c>
      <c r="AF220" s="517">
        <f>AE224</f>
        <v/>
      </c>
      <c r="AG220" s="517">
        <f>AF224</f>
        <v/>
      </c>
      <c r="AH220" s="517">
        <f>AG224</f>
        <v/>
      </c>
      <c r="AI220" s="517">
        <f>AH224</f>
        <v/>
      </c>
      <c r="AJ220" s="517">
        <f>AI224</f>
        <v/>
      </c>
      <c r="AK220" s="517">
        <f>AJ224</f>
        <v/>
      </c>
      <c r="AL220" s="517">
        <f>AK224</f>
        <v/>
      </c>
      <c r="AM220" s="517">
        <f>AL224</f>
        <v/>
      </c>
      <c r="AN220" s="517">
        <f>AM224</f>
        <v/>
      </c>
      <c r="AO220" s="517">
        <f>AN224</f>
        <v/>
      </c>
      <c r="AP220" s="517">
        <f>AO224</f>
        <v/>
      </c>
      <c r="AQ220" s="517">
        <f>AP224</f>
        <v/>
      </c>
      <c r="AR220" s="517">
        <f>AQ224</f>
        <v/>
      </c>
      <c r="AS220" s="517">
        <f>AR224</f>
        <v/>
      </c>
      <c r="AT220" s="517">
        <f>AS224</f>
        <v/>
      </c>
      <c r="AU220" s="517">
        <f>AT224</f>
        <v/>
      </c>
      <c r="AV220" s="517">
        <f>AU224</f>
        <v/>
      </c>
      <c r="AW220" s="517">
        <f>AV224</f>
        <v/>
      </c>
      <c r="AX220" s="517">
        <f>AW224</f>
        <v/>
      </c>
      <c r="AY220" s="517">
        <f>AX224</f>
        <v/>
      </c>
      <c r="AZ220" s="517">
        <f>AY224</f>
        <v/>
      </c>
      <c r="BA220" s="517">
        <f>AZ224</f>
        <v/>
      </c>
      <c r="BB220" s="517">
        <f>BA224</f>
        <v/>
      </c>
      <c r="BC220" s="517">
        <f>BB224</f>
        <v/>
      </c>
      <c r="BD220" s="517">
        <f>BC224</f>
        <v/>
      </c>
      <c r="BE220" s="517">
        <f>BD224</f>
        <v/>
      </c>
      <c r="BF220" s="517">
        <f>BE224</f>
        <v/>
      </c>
      <c r="BG220" s="517">
        <f>BF224</f>
        <v/>
      </c>
      <c r="BH220" s="517">
        <f>BG224</f>
        <v/>
      </c>
      <c r="BI220" s="517">
        <f>BH224</f>
        <v/>
      </c>
      <c r="BJ220" s="517">
        <f>BI224</f>
        <v/>
      </c>
      <c r="BK220" s="517">
        <f>BJ224</f>
        <v/>
      </c>
      <c r="BL220" s="517">
        <f>BK224</f>
        <v/>
      </c>
      <c r="BM220" s="517">
        <f>BL224</f>
        <v/>
      </c>
      <c r="BN220" s="517">
        <f>BM224</f>
        <v/>
      </c>
      <c r="BO220" s="517">
        <f>BN224</f>
        <v/>
      </c>
      <c r="BP220" s="517">
        <f>BO224</f>
        <v/>
      </c>
      <c r="BQ220" s="517">
        <f>BP224</f>
        <v/>
      </c>
      <c r="BR220" s="517">
        <f>BQ224</f>
        <v/>
      </c>
      <c r="BS220" s="517">
        <f>BR224</f>
        <v/>
      </c>
      <c r="BT220" s="517">
        <f>BS224</f>
        <v/>
      </c>
      <c r="BU220" s="517">
        <f>BT224</f>
        <v/>
      </c>
      <c r="BV220" s="517">
        <f>BU224</f>
        <v/>
      </c>
      <c r="BW220" s="517">
        <f>BV224</f>
        <v/>
      </c>
      <c r="BX220" s="517">
        <f>BW224</f>
        <v/>
      </c>
      <c r="BY220" s="517">
        <f>BX224</f>
        <v/>
      </c>
      <c r="BZ220" s="517">
        <f>BY224</f>
        <v/>
      </c>
      <c r="CA220" s="517">
        <f>BZ224</f>
        <v/>
      </c>
      <c r="CB220" s="517">
        <f>CA224</f>
        <v/>
      </c>
      <c r="CC220" s="517">
        <f>CB224</f>
        <v/>
      </c>
      <c r="CD220" s="517">
        <f>CC224</f>
        <v/>
      </c>
      <c r="CE220" s="517">
        <f>CD224</f>
        <v/>
      </c>
      <c r="CF220" s="517">
        <f>CE224</f>
        <v/>
      </c>
      <c r="CG220" s="517">
        <f>CF224</f>
        <v/>
      </c>
      <c r="CH220" s="517">
        <f>CG224</f>
        <v/>
      </c>
      <c r="CI220" s="517">
        <f>CH224</f>
        <v/>
      </c>
      <c r="CJ220" s="517">
        <f>CI224</f>
        <v/>
      </c>
      <c r="CK220" s="517">
        <f>CJ224</f>
        <v/>
      </c>
    </row>
    <row r="221">
      <c r="A221" s="33" t="inlineStr">
        <is>
          <t>Net income</t>
        </is>
      </c>
      <c r="F221" s="108" t="n"/>
      <c r="G221" s="108" t="n"/>
      <c r="H221" s="108" t="n"/>
      <c r="I221" s="84" t="n"/>
      <c r="J221" s="84" t="n"/>
      <c r="K221" s="84" t="n"/>
      <c r="L221" s="84" t="n"/>
      <c r="M221" s="84" t="n"/>
      <c r="N221" s="516" t="n"/>
      <c r="O221" s="516">
        <f>FS_Q!O25</f>
        <v/>
      </c>
      <c r="P221" s="516">
        <f>FS_Q!P25</f>
        <v/>
      </c>
      <c r="Q221" s="516">
        <f>FS_Q!Q25</f>
        <v/>
      </c>
      <c r="R221" s="516">
        <f>FS_Q!R25</f>
        <v/>
      </c>
      <c r="S221" s="516">
        <f>FS_Q!S25</f>
        <v/>
      </c>
      <c r="T221" s="516">
        <f>FS_Q!T25</f>
        <v/>
      </c>
      <c r="U221" s="516">
        <f>FS_Q!U25</f>
        <v/>
      </c>
      <c r="V221" s="516">
        <f>FS_Q!V25</f>
        <v/>
      </c>
      <c r="W221" s="516">
        <f>FS_Q!W25</f>
        <v/>
      </c>
      <c r="X221" s="516">
        <f>FS_Q!X25</f>
        <v/>
      </c>
      <c r="Y221" s="516">
        <f>FS_Q!Y25</f>
        <v/>
      </c>
      <c r="Z221" s="516">
        <f>FS_Q!Z25</f>
        <v/>
      </c>
      <c r="AA221" s="516">
        <f>FS_Q!AA25</f>
        <v/>
      </c>
      <c r="AB221" s="516">
        <f>FS_Q!AB25</f>
        <v/>
      </c>
      <c r="AC221" s="516">
        <f>FS_Q!AC25</f>
        <v/>
      </c>
      <c r="AD221" s="516">
        <f>FS_Q!AD25</f>
        <v/>
      </c>
      <c r="AE221" s="516">
        <f>FS_Q!AE25</f>
        <v/>
      </c>
      <c r="AF221" s="516">
        <f>FS_Q!AF25</f>
        <v/>
      </c>
      <c r="AG221" s="516">
        <f>FS_Q!AG25</f>
        <v/>
      </c>
      <c r="AH221" s="516">
        <f>FS_Q!AH25</f>
        <v/>
      </c>
      <c r="AI221" s="516">
        <f>FS_Q!AI25</f>
        <v/>
      </c>
      <c r="AJ221" s="516">
        <f>FS_Q!AJ25</f>
        <v/>
      </c>
      <c r="AK221" s="516">
        <f>FS_Q!AK25</f>
        <v/>
      </c>
      <c r="AL221" s="516">
        <f>FS_Q!AL25</f>
        <v/>
      </c>
      <c r="AM221" s="516">
        <f>FS_Q!AM25</f>
        <v/>
      </c>
      <c r="AN221" s="516">
        <f>FS_Q!AN25</f>
        <v/>
      </c>
      <c r="AO221" s="516">
        <f>FS_Q!AO25</f>
        <v/>
      </c>
      <c r="AP221" s="516">
        <f>FS_Q!AP25</f>
        <v/>
      </c>
      <c r="AQ221" s="516">
        <f>FS_Q!AQ25</f>
        <v/>
      </c>
      <c r="AR221" s="516">
        <f>FS_Q!AR25</f>
        <v/>
      </c>
      <c r="AS221" s="516">
        <f>FS_Q!AS25</f>
        <v/>
      </c>
      <c r="AT221" s="516">
        <f>FS_Q!AT25</f>
        <v/>
      </c>
      <c r="AU221" s="516">
        <f>FS_Q!AU25</f>
        <v/>
      </c>
      <c r="AV221" s="516">
        <f>FS_Q!AV25</f>
        <v/>
      </c>
      <c r="AW221" s="516">
        <f>FS_Q!AW25</f>
        <v/>
      </c>
      <c r="AX221" s="516">
        <f>FS_Q!AX25</f>
        <v/>
      </c>
      <c r="AY221" s="516">
        <f>FS_Q!AY25</f>
        <v/>
      </c>
      <c r="AZ221" s="516">
        <f>FS_Q!AZ25</f>
        <v/>
      </c>
      <c r="BA221" s="516">
        <f>FS_Q!BA25</f>
        <v/>
      </c>
      <c r="BB221" s="516">
        <f>FS_Q!BB25</f>
        <v/>
      </c>
      <c r="BC221" s="516">
        <f>FS_Q!BC25</f>
        <v/>
      </c>
      <c r="BD221" s="516">
        <f>FS_Q!BD25</f>
        <v/>
      </c>
      <c r="BE221" s="516">
        <f>FS_Q!BE25</f>
        <v/>
      </c>
      <c r="BF221" s="516">
        <f>FS_Q!BF25</f>
        <v/>
      </c>
      <c r="BG221" s="516">
        <f>FS_Q!BG25</f>
        <v/>
      </c>
      <c r="BH221" s="516">
        <f>FS_Q!BH25</f>
        <v/>
      </c>
      <c r="BI221" s="516">
        <f>FS_Q!BI25</f>
        <v/>
      </c>
      <c r="BJ221" s="516">
        <f>FS_Q!BJ25</f>
        <v/>
      </c>
      <c r="BK221" s="516">
        <f>FS_Q!BK25</f>
        <v/>
      </c>
      <c r="BL221" s="516">
        <f>FS_Q!BL25</f>
        <v/>
      </c>
      <c r="BM221" s="516">
        <f>FS_Q!BM25</f>
        <v/>
      </c>
      <c r="BN221" s="516">
        <f>FS_Q!BN25</f>
        <v/>
      </c>
      <c r="BO221" s="516">
        <f>FS_Q!BO25</f>
        <v/>
      </c>
      <c r="BP221" s="516">
        <f>FS_Q!BP25</f>
        <v/>
      </c>
      <c r="BQ221" s="516">
        <f>FS_Q!BQ25</f>
        <v/>
      </c>
      <c r="BR221" s="516">
        <f>FS_Q!BR25</f>
        <v/>
      </c>
      <c r="BS221" s="517">
        <f>BS108</f>
        <v/>
      </c>
      <c r="BT221" s="517">
        <f>BT108</f>
        <v/>
      </c>
      <c r="BU221" s="517">
        <f>BU108</f>
        <v/>
      </c>
      <c r="BV221" s="517">
        <f>BV108</f>
        <v/>
      </c>
      <c r="BW221" s="517">
        <f>BW108</f>
        <v/>
      </c>
      <c r="BX221" s="517">
        <f>BX108</f>
        <v/>
      </c>
      <c r="BY221" s="517">
        <f>BY108</f>
        <v/>
      </c>
      <c r="BZ221" s="517">
        <f>BZ108</f>
        <v/>
      </c>
      <c r="CA221" s="517">
        <f>CA108</f>
        <v/>
      </c>
      <c r="CB221" s="517">
        <f>CB108</f>
        <v/>
      </c>
      <c r="CC221" s="517">
        <f>CC108</f>
        <v/>
      </c>
      <c r="CD221" s="517">
        <f>CD108</f>
        <v/>
      </c>
      <c r="CE221" s="517">
        <f>CE108</f>
        <v/>
      </c>
      <c r="CF221" s="517">
        <f>CF108</f>
        <v/>
      </c>
      <c r="CG221" s="517">
        <f>CG108</f>
        <v/>
      </c>
      <c r="CH221" s="517">
        <f>CH108</f>
        <v/>
      </c>
      <c r="CI221" s="517">
        <f>CI108</f>
        <v/>
      </c>
      <c r="CJ221" s="517">
        <f>CJ108</f>
        <v/>
      </c>
      <c r="CK221" s="517">
        <f>CK108</f>
        <v/>
      </c>
    </row>
    <row r="222">
      <c r="A222" s="33" t="inlineStr">
        <is>
          <t>Dividends</t>
        </is>
      </c>
      <c r="F222" s="108" t="n"/>
      <c r="G222" s="108" t="n"/>
      <c r="H222" s="108" t="n"/>
      <c r="I222" s="84" t="n"/>
      <c r="J222" s="84" t="n"/>
      <c r="K222" s="84" t="n"/>
      <c r="L222" s="84" t="n"/>
      <c r="M222" s="84" t="n"/>
      <c r="N222" s="517">
        <f>IF(ISBLANK(N233),"",N233)</f>
        <v/>
      </c>
      <c r="O222" s="517">
        <f>IF(ISBLANK(O233),0,O233)</f>
        <v/>
      </c>
      <c r="P222" s="517">
        <f>IF(ISBLANK(P233),0,P233)</f>
        <v/>
      </c>
      <c r="Q222" s="517">
        <f>IF(ISBLANK(Q233),0,Q233)</f>
        <v/>
      </c>
      <c r="R222" s="517">
        <f>IF(ISBLANK(R233),0,R233)</f>
        <v/>
      </c>
      <c r="S222" s="517">
        <f>IF(ISBLANK(S233),0,S233)</f>
        <v/>
      </c>
      <c r="T222" s="517">
        <f>IF(ISBLANK(T233),0,T233)</f>
        <v/>
      </c>
      <c r="U222" s="517">
        <f>IF(ISBLANK(U233),0,U233)</f>
        <v/>
      </c>
      <c r="V222" s="517">
        <f>IF(ISBLANK(V233),0,V233)</f>
        <v/>
      </c>
      <c r="W222" s="517">
        <f>IF(ISBLANK(W233),0,W233)</f>
        <v/>
      </c>
      <c r="X222" s="517">
        <f>IF(ISBLANK(X233),0,X233)</f>
        <v/>
      </c>
      <c r="Y222" s="517">
        <f>IF(ISBLANK(Y233),0,Y233)</f>
        <v/>
      </c>
      <c r="Z222" s="517">
        <f>IF(ISBLANK(Z233),0,Z233)</f>
        <v/>
      </c>
      <c r="AA222" s="517">
        <f>IF(ISBLANK(AA233),0,AA233)</f>
        <v/>
      </c>
      <c r="AB222" s="517">
        <f>IF(ISBLANK(AB233),0,AB233)</f>
        <v/>
      </c>
      <c r="AC222" s="517">
        <f>IF(ISBLANK(AC233),0,AC233)</f>
        <v/>
      </c>
      <c r="AD222" s="517">
        <f>IF(ISBLANK(AD233),0,AD233)</f>
        <v/>
      </c>
      <c r="AE222" s="517">
        <f>IF(ISBLANK(AE233),0,AE233)</f>
        <v/>
      </c>
      <c r="AF222" s="517">
        <f>IF(ISBLANK(AF233),0,AF233)</f>
        <v/>
      </c>
      <c r="AG222" s="517">
        <f>IF(ISBLANK(AG233),0,AG233)</f>
        <v/>
      </c>
      <c r="AH222" s="517">
        <f>IF(ISBLANK(AH233),0,AH233)</f>
        <v/>
      </c>
      <c r="AI222" s="517">
        <f>IF(ISBLANK(AI233),0,AI233)</f>
        <v/>
      </c>
      <c r="AJ222" s="517">
        <f>IF(ISBLANK(AJ233),0,AJ233)</f>
        <v/>
      </c>
      <c r="AK222" s="517">
        <f>IF(ISBLANK(AK233),0,AK233)</f>
        <v/>
      </c>
      <c r="AL222" s="517">
        <f>IF(ISBLANK(AL233),0,AL233)</f>
        <v/>
      </c>
      <c r="AM222" s="517">
        <f>IF(ISBLANK(AM233),0,AM233)</f>
        <v/>
      </c>
      <c r="AN222" s="517">
        <f>IF(ISBLANK(AN233),0,AN233)</f>
        <v/>
      </c>
      <c r="AO222" s="517">
        <f>IF(ISBLANK(AO233),0,AO233)</f>
        <v/>
      </c>
      <c r="AP222" s="517">
        <f>IF(ISBLANK(AP233),0,AP233)</f>
        <v/>
      </c>
      <c r="AQ222" s="517">
        <f>IF(ISBLANK(AQ233),0,AQ233)</f>
        <v/>
      </c>
      <c r="AR222" s="517">
        <f>IF(ISBLANK(AR233),0,AR233)</f>
        <v/>
      </c>
      <c r="AS222" s="517">
        <f>IF(ISBLANK(AS233),0,AS233)</f>
        <v/>
      </c>
      <c r="AT222" s="517">
        <f>IF(ISBLANK(AT233),0,AT233)</f>
        <v/>
      </c>
      <c r="AU222" s="517">
        <f>IF(ISBLANK(AU233),0,AU233)</f>
        <v/>
      </c>
      <c r="AV222" s="517">
        <f>IF(ISBLANK(AV233),0,AV233)</f>
        <v/>
      </c>
      <c r="AW222" s="517">
        <f>IF(ISBLANK(AW233),0,AW233)</f>
        <v/>
      </c>
      <c r="AX222" s="517">
        <f>IF(ISBLANK(AX233),0,AX233)</f>
        <v/>
      </c>
      <c r="AY222" s="517">
        <f>IF(ISBLANK(AY233),0,AY233)</f>
        <v/>
      </c>
      <c r="AZ222" s="517">
        <f>IF(ISBLANK(AZ233),0,AZ233)</f>
        <v/>
      </c>
      <c r="BA222" s="517">
        <f>IF(ISBLANK(BA233),0,BA233)</f>
        <v/>
      </c>
      <c r="BB222" s="517">
        <f>IF(ISBLANK(BB233),0,BB233)</f>
        <v/>
      </c>
      <c r="BC222" s="517">
        <f>IF(ISBLANK(BC233),0,BC233)</f>
        <v/>
      </c>
      <c r="BD222" s="517">
        <f>IF(ISBLANK(BD233),0,BD233)</f>
        <v/>
      </c>
      <c r="BE222" s="517">
        <f>IF(ISBLANK(BE233),0,BE233)</f>
        <v/>
      </c>
      <c r="BF222" s="517">
        <f>IF(ISBLANK(BF233),0,BF233)</f>
        <v/>
      </c>
      <c r="BG222" s="517">
        <f>IF(ISBLANK(BG233),0,BG233)</f>
        <v/>
      </c>
      <c r="BH222" s="517">
        <f>IF(ISBLANK(BH233),0,BH233)</f>
        <v/>
      </c>
      <c r="BI222" s="517">
        <f>IF(ISBLANK(BI233),0,BI233)</f>
        <v/>
      </c>
      <c r="BJ222" s="517">
        <f>IF(ISBLANK(BJ233),0,BJ233)</f>
        <v/>
      </c>
      <c r="BK222" s="517">
        <f>IF(ISBLANK(BK233),0,BK233)</f>
        <v/>
      </c>
      <c r="BL222" s="517">
        <f>IF(ISBLANK(BL233),0,BL233)</f>
        <v/>
      </c>
      <c r="BM222" s="517">
        <f>IF(ISBLANK(BM233),0,BM233)</f>
        <v/>
      </c>
      <c r="BN222" s="517">
        <f>IF(ISBLANK(BN233),0,BN233)</f>
        <v/>
      </c>
      <c r="BO222" s="517">
        <f>IF(ISBLANK(BO233),0,BO233)</f>
        <v/>
      </c>
      <c r="BP222" s="517">
        <f>IF(ISBLANK(BP233),0,BP233)</f>
        <v/>
      </c>
      <c r="BQ222" s="517">
        <f>IF(ISBLANK(BQ233),0,BQ233)</f>
        <v/>
      </c>
      <c r="BR222" s="517">
        <f>IF(ISBLANK(BR233),0,BR233)</f>
        <v/>
      </c>
      <c r="BS222" s="517">
        <f>BS233</f>
        <v/>
      </c>
      <c r="BT222" s="517">
        <f>BT233</f>
        <v/>
      </c>
      <c r="BU222" s="517">
        <f>BU233</f>
        <v/>
      </c>
      <c r="BV222" s="517">
        <f>BV233</f>
        <v/>
      </c>
      <c r="BW222" s="517">
        <f>BW233</f>
        <v/>
      </c>
      <c r="BX222" s="517">
        <f>BX233</f>
        <v/>
      </c>
      <c r="BY222" s="517">
        <f>BY233</f>
        <v/>
      </c>
      <c r="BZ222" s="517">
        <f>BZ233</f>
        <v/>
      </c>
      <c r="CA222" s="517">
        <f>CA233</f>
        <v/>
      </c>
      <c r="CB222" s="517">
        <f>CB233</f>
        <v/>
      </c>
      <c r="CC222" s="517">
        <f>CC233</f>
        <v/>
      </c>
      <c r="CD222" s="517">
        <f>CD233</f>
        <v/>
      </c>
      <c r="CE222" s="517">
        <f>CE233</f>
        <v/>
      </c>
      <c r="CF222" s="517">
        <f>CF233</f>
        <v/>
      </c>
      <c r="CG222" s="517">
        <f>CG233</f>
        <v/>
      </c>
      <c r="CH222" s="517">
        <f>CH233</f>
        <v/>
      </c>
      <c r="CI222" s="517">
        <f>CI233</f>
        <v/>
      </c>
      <c r="CJ222" s="517">
        <f>CJ233</f>
        <v/>
      </c>
      <c r="CK222" s="517">
        <f>CK233</f>
        <v/>
      </c>
    </row>
    <row r="223">
      <c r="A223" s="33" t="inlineStr">
        <is>
          <t>Adjustment for historical</t>
        </is>
      </c>
      <c r="F223" s="108" t="n"/>
      <c r="G223" s="108" t="n"/>
      <c r="H223" s="108" t="n"/>
      <c r="I223" s="84" t="n"/>
      <c r="J223" s="84" t="n"/>
      <c r="K223" s="84" t="n"/>
      <c r="L223" s="84" t="n"/>
      <c r="M223" s="84" t="n"/>
      <c r="N223" s="517" t="n"/>
      <c r="O223" s="517">
        <f>O224-SUM(O220:O221)+O222</f>
        <v/>
      </c>
      <c r="P223" s="517">
        <f>P224-SUM(P220:P221)+P222</f>
        <v/>
      </c>
      <c r="Q223" s="517">
        <f>Q224-SUM(Q220:Q221)+Q222</f>
        <v/>
      </c>
      <c r="R223" s="517">
        <f>R224-SUM(R220:R221)+R222</f>
        <v/>
      </c>
      <c r="S223" s="517">
        <f>S224-SUM(S220:S221)+S222</f>
        <v/>
      </c>
      <c r="T223" s="517">
        <f>T224-SUM(T220:T221)+T222</f>
        <v/>
      </c>
      <c r="U223" s="517">
        <f>U224-SUM(U220:U221)+U222</f>
        <v/>
      </c>
      <c r="V223" s="517">
        <f>V224-SUM(V220:V221)+V222</f>
        <v/>
      </c>
      <c r="W223" s="517">
        <f>W224-SUM(W220:W221)+W222</f>
        <v/>
      </c>
      <c r="X223" s="517">
        <f>X224-SUM(X220:X221)+X222</f>
        <v/>
      </c>
      <c r="Y223" s="517">
        <f>Y224-SUM(Y220:Y221)+Y222</f>
        <v/>
      </c>
      <c r="Z223" s="517">
        <f>Z224-SUM(Z220:Z221)+Z222</f>
        <v/>
      </c>
      <c r="AA223" s="517">
        <f>AA224-SUM(AA220:AA221)+AA222</f>
        <v/>
      </c>
      <c r="AB223" s="517">
        <f>AB224-SUM(AB220:AB221)+AB222</f>
        <v/>
      </c>
      <c r="AC223" s="517">
        <f>AC224-SUM(AC220:AC221)+AC222</f>
        <v/>
      </c>
      <c r="AD223" s="517">
        <f>AD224-SUM(AD220:AD221)+AD222</f>
        <v/>
      </c>
      <c r="AE223" s="517">
        <f>AE224-SUM(AE220:AE221)+AE222</f>
        <v/>
      </c>
      <c r="AF223" s="517">
        <f>AF224-SUM(AF220:AF221)+AF222</f>
        <v/>
      </c>
      <c r="AG223" s="517">
        <f>AG224-SUM(AG220:AG221)+AG222</f>
        <v/>
      </c>
      <c r="AH223" s="517">
        <f>AH224-SUM(AH220:AH221)+AH222</f>
        <v/>
      </c>
      <c r="AI223" s="517">
        <f>AI224-SUM(AI220:AI221)+AI222</f>
        <v/>
      </c>
      <c r="AJ223" s="517">
        <f>AJ224-SUM(AJ220:AJ221)+AJ222</f>
        <v/>
      </c>
      <c r="AK223" s="517">
        <f>AK224-SUM(AK220:AK221)+AK222</f>
        <v/>
      </c>
      <c r="AL223" s="517">
        <f>AL224-SUM(AL220:AL221)+AL222</f>
        <v/>
      </c>
      <c r="AM223" s="517">
        <f>AM224-SUM(AM220:AM221)+AM222</f>
        <v/>
      </c>
      <c r="AN223" s="517">
        <f>AN224-SUM(AN220:AN221)+AN222</f>
        <v/>
      </c>
      <c r="AO223" s="517">
        <f>AO224-SUM(AO220:AO221)+AO222</f>
        <v/>
      </c>
      <c r="AP223" s="517">
        <f>AP224-SUM(AP220:AP221)+AP222</f>
        <v/>
      </c>
      <c r="AQ223" s="517">
        <f>AQ224-SUM(AQ220:AQ221)+AQ222</f>
        <v/>
      </c>
      <c r="AR223" s="517">
        <f>AR224-SUM(AR220:AR221)+AR222</f>
        <v/>
      </c>
      <c r="AS223" s="517">
        <f>AS224-SUM(AS220:AS221)+AS222</f>
        <v/>
      </c>
      <c r="AT223" s="517">
        <f>AT224-SUM(AT220:AT221)+AT222</f>
        <v/>
      </c>
      <c r="AU223" s="517">
        <f>AU224-SUM(AU220:AU221)+AU222</f>
        <v/>
      </c>
      <c r="AV223" s="517">
        <f>AV224-SUM(AV220:AV221)+AV222</f>
        <v/>
      </c>
      <c r="AW223" s="517">
        <f>AW224-SUM(AW220:AW221)+AW222</f>
        <v/>
      </c>
      <c r="AX223" s="517">
        <f>AX224-SUM(AX220:AX221)+AX222</f>
        <v/>
      </c>
      <c r="AY223" s="517">
        <f>AY224-SUM(AY220:AY221)+AY222</f>
        <v/>
      </c>
      <c r="AZ223" s="517">
        <f>AZ224-SUM(AZ220:AZ221)+AZ222</f>
        <v/>
      </c>
      <c r="BA223" s="517">
        <f>BA224-SUM(BA220:BA221)+BA222</f>
        <v/>
      </c>
      <c r="BB223" s="517">
        <f>BB224-SUM(BB220:BB221)+BB222</f>
        <v/>
      </c>
      <c r="BC223" s="517">
        <f>BC224-SUM(BC220:BC221)+BC222</f>
        <v/>
      </c>
      <c r="BD223" s="517">
        <f>BD224-SUM(BD220:BD221)+BD222</f>
        <v/>
      </c>
      <c r="BE223" s="517">
        <f>BE224-SUM(BE220:BE221)+BE222</f>
        <v/>
      </c>
      <c r="BF223" s="517">
        <f>BF224-SUM(BF220:BF221)+BF222</f>
        <v/>
      </c>
      <c r="BG223" s="517">
        <f>BG224-SUM(BG220:BG221)+BG222</f>
        <v/>
      </c>
      <c r="BH223" s="517">
        <f>BH224-SUM(BH220:BH221)+BH222</f>
        <v/>
      </c>
      <c r="BI223" s="517">
        <f>BI224-SUM(BI220:BI221)+BI222</f>
        <v/>
      </c>
      <c r="BJ223" s="517">
        <f>BJ224-SUM(BJ220:BJ221)+BJ222</f>
        <v/>
      </c>
      <c r="BK223" s="517">
        <f>BK224-SUM(BK220:BK221)+BK222</f>
        <v/>
      </c>
      <c r="BL223" s="517">
        <f>BL224-SUM(BL220:BL221)+BL222</f>
        <v/>
      </c>
      <c r="BM223" s="517">
        <f>BM224-SUM(BM220:BM221)+BM222</f>
        <v/>
      </c>
      <c r="BN223" s="517">
        <f>BN224-SUM(BN220:BN221)+BN222</f>
        <v/>
      </c>
      <c r="BO223" s="517">
        <f>BO224-SUM(BO220:BO221)+BO222</f>
        <v/>
      </c>
      <c r="BP223" s="517">
        <f>BP224-SUM(BP220:BP221)+BP222</f>
        <v/>
      </c>
      <c r="BQ223" s="517">
        <f>BQ224-SUM(BQ220:BQ221)+BQ222</f>
        <v/>
      </c>
      <c r="BR223" s="517">
        <f>BR224-SUM(BR220:BR221)+BR222</f>
        <v/>
      </c>
    </row>
    <row r="224">
      <c r="A224" s="410" t="inlineStr">
        <is>
          <t>Ending balance</t>
        </is>
      </c>
      <c r="B224" s="84" t="n"/>
      <c r="C224" s="84" t="n"/>
      <c r="D224" s="84" t="n"/>
      <c r="E224" s="84" t="n"/>
      <c r="F224" s="84" t="n"/>
      <c r="G224" s="84" t="n"/>
      <c r="H224" s="84" t="n"/>
      <c r="I224" s="84" t="n"/>
      <c r="J224" s="84" t="n"/>
      <c r="K224" s="84" t="n"/>
      <c r="L224" s="84" t="n"/>
      <c r="M224" s="84" t="n"/>
      <c r="N224" s="516">
        <f>FS_Q!N71</f>
        <v/>
      </c>
      <c r="O224" s="516">
        <f>FS_Q!O71</f>
        <v/>
      </c>
      <c r="P224" s="516">
        <f>FS_Q!P71</f>
        <v/>
      </c>
      <c r="Q224" s="516">
        <f>FS_Q!Q71</f>
        <v/>
      </c>
      <c r="R224" s="516">
        <f>FS_Q!R71</f>
        <v/>
      </c>
      <c r="S224" s="516">
        <f>FS_Q!S71</f>
        <v/>
      </c>
      <c r="T224" s="516">
        <f>FS_Q!T71</f>
        <v/>
      </c>
      <c r="U224" s="516">
        <f>FS_Q!U71</f>
        <v/>
      </c>
      <c r="V224" s="516">
        <f>FS_Q!V71</f>
        <v/>
      </c>
      <c r="W224" s="516">
        <f>FS_Q!W71</f>
        <v/>
      </c>
      <c r="X224" s="516">
        <f>FS_Q!X71</f>
        <v/>
      </c>
      <c r="Y224" s="516">
        <f>FS_Q!Y71</f>
        <v/>
      </c>
      <c r="Z224" s="516">
        <f>FS_Q!Z71</f>
        <v/>
      </c>
      <c r="AA224" s="516">
        <f>FS_Q!AA71</f>
        <v/>
      </c>
      <c r="AB224" s="516">
        <f>FS_Q!AB71</f>
        <v/>
      </c>
      <c r="AC224" s="516">
        <f>FS_Q!AC71</f>
        <v/>
      </c>
      <c r="AD224" s="516">
        <f>FS_Q!AD71</f>
        <v/>
      </c>
      <c r="AE224" s="516">
        <f>FS_Q!AE71</f>
        <v/>
      </c>
      <c r="AF224" s="516">
        <f>FS_Q!AF71</f>
        <v/>
      </c>
      <c r="AG224" s="516">
        <f>FS_Q!AG71</f>
        <v/>
      </c>
      <c r="AH224" s="516">
        <f>FS_Q!AH71</f>
        <v/>
      </c>
      <c r="AI224" s="516">
        <f>FS_Q!AI71</f>
        <v/>
      </c>
      <c r="AJ224" s="516">
        <f>FS_Q!AJ71</f>
        <v/>
      </c>
      <c r="AK224" s="516">
        <f>FS_Q!AK71</f>
        <v/>
      </c>
      <c r="AL224" s="516">
        <f>FS_Q!AL71</f>
        <v/>
      </c>
      <c r="AM224" s="516">
        <f>FS_Q!AM71</f>
        <v/>
      </c>
      <c r="AN224" s="516">
        <f>FS_Q!AN71</f>
        <v/>
      </c>
      <c r="AO224" s="516">
        <f>FS_Q!AO71</f>
        <v/>
      </c>
      <c r="AP224" s="516">
        <f>FS_Q!AP71</f>
        <v/>
      </c>
      <c r="AQ224" s="516">
        <f>FS_Q!AQ71</f>
        <v/>
      </c>
      <c r="AR224" s="516">
        <f>FS_Q!AR71</f>
        <v/>
      </c>
      <c r="AS224" s="516">
        <f>FS_Q!AS71</f>
        <v/>
      </c>
      <c r="AT224" s="516">
        <f>FS_Q!AT71</f>
        <v/>
      </c>
      <c r="AU224" s="516">
        <f>FS_Q!AU71</f>
        <v/>
      </c>
      <c r="AV224" s="516">
        <f>FS_Q!AV71</f>
        <v/>
      </c>
      <c r="AW224" s="516">
        <f>FS_Q!AW71</f>
        <v/>
      </c>
      <c r="AX224" s="516">
        <f>FS_Q!AX71</f>
        <v/>
      </c>
      <c r="AY224" s="516">
        <f>FS_Q!AY71</f>
        <v/>
      </c>
      <c r="AZ224" s="516">
        <f>FS_Q!AZ71</f>
        <v/>
      </c>
      <c r="BA224" s="516">
        <f>FS_Q!BA71</f>
        <v/>
      </c>
      <c r="BB224" s="516">
        <f>FS_Q!BB71</f>
        <v/>
      </c>
      <c r="BC224" s="516">
        <f>FS_Q!BC71</f>
        <v/>
      </c>
      <c r="BD224" s="516">
        <f>FS_Q!BD71</f>
        <v/>
      </c>
      <c r="BE224" s="516">
        <f>FS_Q!BE71</f>
        <v/>
      </c>
      <c r="BF224" s="516">
        <f>FS_Q!BF71</f>
        <v/>
      </c>
      <c r="BG224" s="516">
        <f>FS_Q!BG71</f>
        <v/>
      </c>
      <c r="BH224" s="516">
        <f>FS_Q!BH71</f>
        <v/>
      </c>
      <c r="BI224" s="516">
        <f>FS_Q!BI71</f>
        <v/>
      </c>
      <c r="BJ224" s="516">
        <f>FS_Q!BJ71</f>
        <v/>
      </c>
      <c r="BK224" s="516">
        <f>FS_Q!BK71</f>
        <v/>
      </c>
      <c r="BL224" s="516">
        <f>FS_Q!BL71</f>
        <v/>
      </c>
      <c r="BM224" s="516">
        <f>FS_Q!BM71</f>
        <v/>
      </c>
      <c r="BN224" s="516">
        <f>FS_Q!BN71</f>
        <v/>
      </c>
      <c r="BO224" s="516">
        <f>FS_Q!BO71</f>
        <v/>
      </c>
      <c r="BP224" s="516">
        <f>FS_Q!BP71</f>
        <v/>
      </c>
      <c r="BQ224" s="516">
        <f>FS_Q!BQ71</f>
        <v/>
      </c>
      <c r="BR224" s="516">
        <f>FS_Q!BR71</f>
        <v/>
      </c>
      <c r="BS224" s="517">
        <f>BS220+BS221-BS222</f>
        <v/>
      </c>
      <c r="BT224" s="517">
        <f>BT220+BT221-BT222</f>
        <v/>
      </c>
      <c r="BU224" s="517">
        <f>BU220+BU221-BU222</f>
        <v/>
      </c>
      <c r="BV224" s="517">
        <f>BV220+BV221-BV222</f>
        <v/>
      </c>
      <c r="BW224" s="517">
        <f>BW220+BW221-BW222</f>
        <v/>
      </c>
      <c r="BX224" s="517">
        <f>BX220+BX221-BX222</f>
        <v/>
      </c>
      <c r="BY224" s="517">
        <f>BY220+BY221-BY222</f>
        <v/>
      </c>
      <c r="BZ224" s="517">
        <f>BZ220+BZ221-BZ222</f>
        <v/>
      </c>
      <c r="CA224" s="517">
        <f>CA220+CA221-CA222</f>
        <v/>
      </c>
      <c r="CB224" s="517">
        <f>CB220+CB221-CB222</f>
        <v/>
      </c>
      <c r="CC224" s="517">
        <f>CC220+CC221-CC222</f>
        <v/>
      </c>
      <c r="CD224" s="517">
        <f>CD220+CD221-CD222</f>
        <v/>
      </c>
      <c r="CE224" s="517">
        <f>CE220+CE221-CE222</f>
        <v/>
      </c>
      <c r="CF224" s="517">
        <f>CF220+CF221-CF222</f>
        <v/>
      </c>
      <c r="CG224" s="517">
        <f>CG220+CG221-CG222</f>
        <v/>
      </c>
      <c r="CH224" s="517">
        <f>CH220+CH221-CH222</f>
        <v/>
      </c>
      <c r="CI224" s="517">
        <f>CI220+CI221-CI222</f>
        <v/>
      </c>
      <c r="CJ224" s="517">
        <f>CJ220+CJ221-CJ222</f>
        <v/>
      </c>
      <c r="CK224" s="517">
        <f>CK220+CK221-CK222</f>
        <v/>
      </c>
    </row>
    <row r="225">
      <c r="B225" s="84" t="n"/>
      <c r="C225" s="84" t="n"/>
      <c r="D225" s="84" t="n"/>
      <c r="E225" s="84" t="n"/>
      <c r="F225" s="84" t="n"/>
      <c r="G225" s="84" t="n"/>
      <c r="H225" s="84" t="n"/>
      <c r="I225" s="84" t="n"/>
      <c r="J225" s="84" t="n"/>
      <c r="K225" s="84" t="n"/>
      <c r="L225" s="84" t="n"/>
      <c r="M225" s="84" t="n"/>
    </row>
    <row r="226">
      <c r="A226" s="22">
        <f>FS_Q!A72</f>
        <v/>
      </c>
      <c r="B226" s="84" t="n"/>
      <c r="C226" s="84" t="n"/>
      <c r="D226" s="84" t="n"/>
      <c r="E226" s="84" t="n"/>
      <c r="F226" s="84" t="n"/>
      <c r="G226" s="84" t="n"/>
      <c r="H226" s="84" t="n"/>
      <c r="I226" s="84" t="n"/>
      <c r="J226" s="84" t="n"/>
      <c r="K226" s="84" t="n"/>
      <c r="L226" s="84" t="n"/>
      <c r="M226" s="84" t="n"/>
      <c r="N226" s="516">
        <f>FS_Q!N72</f>
        <v/>
      </c>
      <c r="O226" s="516">
        <f>FS_Q!O72</f>
        <v/>
      </c>
      <c r="P226" s="516">
        <f>FS_Q!P72</f>
        <v/>
      </c>
      <c r="Q226" s="516">
        <f>FS_Q!Q72</f>
        <v/>
      </c>
      <c r="R226" s="516">
        <f>FS_Q!R72</f>
        <v/>
      </c>
      <c r="S226" s="516">
        <f>FS_Q!S72</f>
        <v/>
      </c>
      <c r="T226" s="516">
        <f>FS_Q!T72</f>
        <v/>
      </c>
      <c r="U226" s="516">
        <f>FS_Q!U72</f>
        <v/>
      </c>
      <c r="V226" s="516">
        <f>FS_Q!V72</f>
        <v/>
      </c>
      <c r="W226" s="516">
        <f>FS_Q!W72</f>
        <v/>
      </c>
      <c r="X226" s="516">
        <f>FS_Q!X72</f>
        <v/>
      </c>
      <c r="Y226" s="516">
        <f>FS_Q!Y72</f>
        <v/>
      </c>
      <c r="Z226" s="516">
        <f>FS_Q!Z72</f>
        <v/>
      </c>
      <c r="AA226" s="516">
        <f>FS_Q!AA72</f>
        <v/>
      </c>
      <c r="AB226" s="516">
        <f>FS_Q!AB72</f>
        <v/>
      </c>
      <c r="AC226" s="516">
        <f>FS_Q!AC72</f>
        <v/>
      </c>
      <c r="AD226" s="516">
        <f>FS_Q!AD72</f>
        <v/>
      </c>
      <c r="AE226" s="516">
        <f>FS_Q!AE72</f>
        <v/>
      </c>
      <c r="AF226" s="516">
        <f>FS_Q!AF72</f>
        <v/>
      </c>
      <c r="AG226" s="516">
        <f>FS_Q!AG72</f>
        <v/>
      </c>
      <c r="AH226" s="516">
        <f>FS_Q!AH72</f>
        <v/>
      </c>
      <c r="AI226" s="516">
        <f>FS_Q!AI72</f>
        <v/>
      </c>
      <c r="AJ226" s="516">
        <f>FS_Q!AJ72</f>
        <v/>
      </c>
      <c r="AK226" s="516">
        <f>FS_Q!AK72</f>
        <v/>
      </c>
      <c r="AL226" s="516">
        <f>FS_Q!AL72</f>
        <v/>
      </c>
      <c r="AM226" s="516">
        <f>FS_Q!AM72</f>
        <v/>
      </c>
      <c r="AN226" s="516">
        <f>FS_Q!AN72</f>
        <v/>
      </c>
      <c r="AO226" s="516">
        <f>FS_Q!AO72</f>
        <v/>
      </c>
      <c r="AP226" s="516">
        <f>FS_Q!AP72</f>
        <v/>
      </c>
      <c r="AQ226" s="516">
        <f>FS_Q!AQ72</f>
        <v/>
      </c>
      <c r="AR226" s="516">
        <f>FS_Q!AR72</f>
        <v/>
      </c>
      <c r="AS226" s="516">
        <f>FS_Q!AS72</f>
        <v/>
      </c>
      <c r="AT226" s="516">
        <f>FS_Q!AT72</f>
        <v/>
      </c>
      <c r="AU226" s="516">
        <f>FS_Q!AU72</f>
        <v/>
      </c>
      <c r="AV226" s="516">
        <f>FS_Q!AV72</f>
        <v/>
      </c>
      <c r="AW226" s="516">
        <f>FS_Q!AW72</f>
        <v/>
      </c>
      <c r="AX226" s="516">
        <f>FS_Q!AX72</f>
        <v/>
      </c>
      <c r="AY226" s="516">
        <f>FS_Q!AY72</f>
        <v/>
      </c>
      <c r="AZ226" s="516">
        <f>FS_Q!AZ72</f>
        <v/>
      </c>
      <c r="BA226" s="516">
        <f>FS_Q!BA72</f>
        <v/>
      </c>
      <c r="BB226" s="516">
        <f>FS_Q!BB72</f>
        <v/>
      </c>
      <c r="BC226" s="516">
        <f>FS_Q!BC72</f>
        <v/>
      </c>
      <c r="BD226" s="516">
        <f>FS_Q!BD72</f>
        <v/>
      </c>
      <c r="BE226" s="516">
        <f>FS_Q!BE72</f>
        <v/>
      </c>
      <c r="BF226" s="516">
        <f>FS_Q!BF72</f>
        <v/>
      </c>
      <c r="BG226" s="516">
        <f>FS_Q!BG72</f>
        <v/>
      </c>
      <c r="BH226" s="516">
        <f>FS_Q!BH72</f>
        <v/>
      </c>
      <c r="BI226" s="516">
        <f>FS_Q!BI72</f>
        <v/>
      </c>
      <c r="BJ226" s="516">
        <f>FS_Q!BJ72</f>
        <v/>
      </c>
      <c r="BK226" s="516">
        <f>FS_Q!BK72</f>
        <v/>
      </c>
      <c r="BL226" s="516">
        <f>FS_Q!BL72</f>
        <v/>
      </c>
      <c r="BM226" s="516">
        <f>FS_Q!BM72</f>
        <v/>
      </c>
      <c r="BN226" s="516">
        <f>FS_Q!BN72</f>
        <v/>
      </c>
      <c r="BO226" s="516">
        <f>FS_Q!BO72</f>
        <v/>
      </c>
      <c r="BP226" s="516">
        <f>FS_Q!BP72</f>
        <v/>
      </c>
      <c r="BQ226" s="516">
        <f>FS_Q!BQ72</f>
        <v/>
      </c>
      <c r="BR226" s="516">
        <f>FS_Q!BR72</f>
        <v/>
      </c>
      <c r="BS226" s="541">
        <f>BR226</f>
        <v/>
      </c>
      <c r="BT226" s="541">
        <f>BS226</f>
        <v/>
      </c>
      <c r="BU226" s="541">
        <f>BT226</f>
        <v/>
      </c>
      <c r="BV226" s="541">
        <f>BU226</f>
        <v/>
      </c>
      <c r="BW226" s="541">
        <f>BV226</f>
        <v/>
      </c>
      <c r="BX226" s="541">
        <f>BW226</f>
        <v/>
      </c>
      <c r="BY226" s="541">
        <f>BX226</f>
        <v/>
      </c>
      <c r="BZ226" s="541">
        <f>BY226</f>
        <v/>
      </c>
      <c r="CA226" s="541">
        <f>BZ226</f>
        <v/>
      </c>
      <c r="CB226" s="541">
        <f>CA226</f>
        <v/>
      </c>
      <c r="CC226" s="541">
        <f>CB226</f>
        <v/>
      </c>
      <c r="CD226" s="541">
        <f>CC226</f>
        <v/>
      </c>
      <c r="CE226" s="541">
        <f>CD226</f>
        <v/>
      </c>
      <c r="CF226" s="541">
        <f>CE226</f>
        <v/>
      </c>
      <c r="CG226" s="541">
        <f>CF226</f>
        <v/>
      </c>
      <c r="CH226" s="541">
        <f>CG226</f>
        <v/>
      </c>
      <c r="CI226" s="541">
        <f>CH226</f>
        <v/>
      </c>
      <c r="CJ226" s="541">
        <f>CI226</f>
        <v/>
      </c>
      <c r="CK226" s="541">
        <f>CJ226</f>
        <v/>
      </c>
    </row>
    <row r="227">
      <c r="A227" s="456" t="n"/>
      <c r="B227" s="84" t="n"/>
      <c r="C227" s="84" t="n"/>
      <c r="D227" s="84" t="n"/>
      <c r="E227" s="84" t="n"/>
      <c r="F227" s="84" t="n"/>
      <c r="G227" s="84" t="n"/>
      <c r="H227" s="84" t="n"/>
      <c r="I227" s="84" t="n"/>
      <c r="J227" s="84" t="n"/>
      <c r="K227" s="84" t="n"/>
      <c r="L227" s="84" t="n"/>
      <c r="M227" s="84" t="n"/>
    </row>
    <row r="228">
      <c r="A228" s="22">
        <f>FS_Q!A74</f>
        <v/>
      </c>
      <c r="B228" s="84" t="n"/>
      <c r="C228" s="84" t="n"/>
      <c r="D228" s="84" t="n"/>
      <c r="E228" s="84" t="n"/>
      <c r="F228" s="84" t="n"/>
      <c r="G228" s="84" t="n"/>
      <c r="H228" s="84" t="n"/>
      <c r="I228" s="84" t="n"/>
      <c r="J228" s="84" t="n"/>
      <c r="K228" s="84" t="n"/>
      <c r="L228" s="84" t="n"/>
      <c r="M228" s="84" t="n"/>
      <c r="N228" s="516">
        <f>FS_Q!N74</f>
        <v/>
      </c>
      <c r="O228" s="516">
        <f>FS_Q!O74</f>
        <v/>
      </c>
      <c r="P228" s="516">
        <f>FS_Q!P74</f>
        <v/>
      </c>
      <c r="Q228" s="516">
        <f>FS_Q!Q74</f>
        <v/>
      </c>
      <c r="R228" s="516">
        <f>FS_Q!R74</f>
        <v/>
      </c>
      <c r="S228" s="516">
        <f>FS_Q!S74</f>
        <v/>
      </c>
      <c r="T228" s="516">
        <f>FS_Q!T74</f>
        <v/>
      </c>
      <c r="U228" s="516">
        <f>FS_Q!U74</f>
        <v/>
      </c>
      <c r="V228" s="516">
        <f>FS_Q!V74</f>
        <v/>
      </c>
      <c r="W228" s="516">
        <f>FS_Q!W74</f>
        <v/>
      </c>
      <c r="X228" s="516">
        <f>FS_Q!X74</f>
        <v/>
      </c>
      <c r="Y228" s="516">
        <f>FS_Q!Y74</f>
        <v/>
      </c>
      <c r="Z228" s="516">
        <f>FS_Q!Z74</f>
        <v/>
      </c>
      <c r="AA228" s="516">
        <f>FS_Q!AA74</f>
        <v/>
      </c>
      <c r="AB228" s="516">
        <f>FS_Q!AB74</f>
        <v/>
      </c>
      <c r="AC228" s="516">
        <f>FS_Q!AC74</f>
        <v/>
      </c>
      <c r="AD228" s="516">
        <f>FS_Q!AD74</f>
        <v/>
      </c>
      <c r="AE228" s="516">
        <f>FS_Q!AE74</f>
        <v/>
      </c>
      <c r="AF228" s="516">
        <f>FS_Q!AF74</f>
        <v/>
      </c>
      <c r="AG228" s="516">
        <f>FS_Q!AG74</f>
        <v/>
      </c>
      <c r="AH228" s="516">
        <f>FS_Q!AH74</f>
        <v/>
      </c>
      <c r="AI228" s="516">
        <f>FS_Q!AI74</f>
        <v/>
      </c>
      <c r="AJ228" s="516">
        <f>FS_Q!AJ74</f>
        <v/>
      </c>
      <c r="AK228" s="516">
        <f>FS_Q!AK74</f>
        <v/>
      </c>
      <c r="AL228" s="516">
        <f>FS_Q!AL74</f>
        <v/>
      </c>
      <c r="AM228" s="516">
        <f>FS_Q!AM74</f>
        <v/>
      </c>
      <c r="AN228" s="516">
        <f>FS_Q!AN74</f>
        <v/>
      </c>
      <c r="AO228" s="516">
        <f>FS_Q!AO74</f>
        <v/>
      </c>
      <c r="AP228" s="516">
        <f>FS_Q!AP74</f>
        <v/>
      </c>
      <c r="AQ228" s="516">
        <f>FS_Q!AQ74</f>
        <v/>
      </c>
      <c r="AR228" s="516">
        <f>FS_Q!AR74</f>
        <v/>
      </c>
      <c r="AS228" s="516">
        <f>FS_Q!AS74</f>
        <v/>
      </c>
      <c r="AT228" s="516">
        <f>FS_Q!AT74</f>
        <v/>
      </c>
      <c r="AU228" s="516">
        <f>FS_Q!AU74</f>
        <v/>
      </c>
      <c r="AV228" s="516">
        <f>FS_Q!AV74</f>
        <v/>
      </c>
      <c r="AW228" s="516">
        <f>FS_Q!AW74</f>
        <v/>
      </c>
      <c r="AX228" s="516">
        <f>FS_Q!AX74</f>
        <v/>
      </c>
      <c r="AY228" s="516">
        <f>FS_Q!AY74</f>
        <v/>
      </c>
      <c r="AZ228" s="516">
        <f>FS_Q!AZ74</f>
        <v/>
      </c>
      <c r="BA228" s="516">
        <f>FS_Q!BA74</f>
        <v/>
      </c>
      <c r="BB228" s="516">
        <f>FS_Q!BB74</f>
        <v/>
      </c>
      <c r="BC228" s="516">
        <f>FS_Q!BC74</f>
        <v/>
      </c>
      <c r="BD228" s="516">
        <f>FS_Q!BD74</f>
        <v/>
      </c>
      <c r="BE228" s="516">
        <f>FS_Q!BE74</f>
        <v/>
      </c>
      <c r="BF228" s="516">
        <f>FS_Q!BF74</f>
        <v/>
      </c>
      <c r="BG228" s="516">
        <f>FS_Q!BG74</f>
        <v/>
      </c>
      <c r="BH228" s="516">
        <f>FS_Q!BH74</f>
        <v/>
      </c>
      <c r="BI228" s="516">
        <f>FS_Q!BI74</f>
        <v/>
      </c>
      <c r="BJ228" s="516">
        <f>FS_Q!BJ74</f>
        <v/>
      </c>
      <c r="BK228" s="516">
        <f>FS_Q!BK74</f>
        <v/>
      </c>
      <c r="BL228" s="516">
        <f>FS_Q!BL74</f>
        <v/>
      </c>
      <c r="BM228" s="516">
        <f>FS_Q!BM74</f>
        <v/>
      </c>
      <c r="BN228" s="516">
        <f>FS_Q!BN74</f>
        <v/>
      </c>
      <c r="BO228" s="516">
        <f>FS_Q!BO74</f>
        <v/>
      </c>
      <c r="BP228" s="516">
        <f>FS_Q!BP74</f>
        <v/>
      </c>
      <c r="BQ228" s="516">
        <f>FS_Q!BQ74</f>
        <v/>
      </c>
      <c r="BR228" s="516">
        <f>FS_Q!BR74</f>
        <v/>
      </c>
      <c r="BS228" s="541">
        <f>BR228</f>
        <v/>
      </c>
      <c r="BT228" s="541">
        <f>BS228</f>
        <v/>
      </c>
      <c r="BU228" s="541">
        <f>BT228</f>
        <v/>
      </c>
      <c r="BV228" s="541">
        <f>BU228</f>
        <v/>
      </c>
      <c r="BW228" s="541">
        <f>BV228</f>
        <v/>
      </c>
      <c r="BX228" s="541">
        <f>BW228</f>
        <v/>
      </c>
      <c r="BY228" s="541">
        <f>BX228</f>
        <v/>
      </c>
      <c r="BZ228" s="541">
        <f>BY228</f>
        <v/>
      </c>
      <c r="CA228" s="541">
        <f>BZ228</f>
        <v/>
      </c>
      <c r="CB228" s="541">
        <f>CA228</f>
        <v/>
      </c>
      <c r="CC228" s="541">
        <f>CB228</f>
        <v/>
      </c>
      <c r="CD228" s="541">
        <f>CC228</f>
        <v/>
      </c>
      <c r="CE228" s="541">
        <f>CD228</f>
        <v/>
      </c>
      <c r="CF228" s="541">
        <f>CE228</f>
        <v/>
      </c>
      <c r="CG228" s="541">
        <f>CF228</f>
        <v/>
      </c>
      <c r="CH228" s="541">
        <f>CG228</f>
        <v/>
      </c>
      <c r="CI228" s="541">
        <f>CH228</f>
        <v/>
      </c>
      <c r="CJ228" s="541">
        <f>CI228</f>
        <v/>
      </c>
      <c r="CK228" s="541">
        <f>CJ228</f>
        <v/>
      </c>
    </row>
    <row r="229">
      <c r="B229" s="50" t="n"/>
      <c r="C229" s="50" t="n"/>
      <c r="D229" s="50" t="n"/>
      <c r="E229" s="50" t="n"/>
      <c r="F229" s="50" t="n"/>
      <c r="G229" s="108" t="n"/>
      <c r="H229" s="108" t="n"/>
      <c r="I229" s="108" t="n"/>
      <c r="J229" s="108" t="n"/>
      <c r="K229" s="108" t="n"/>
      <c r="L229" s="108" t="n"/>
      <c r="M229" s="108" t="n"/>
    </row>
    <row r="230">
      <c r="A230" s="22" t="inlineStr">
        <is>
          <t>Dividend assumptions</t>
        </is>
      </c>
      <c r="G230" s="108" t="n"/>
      <c r="H230" s="108" t="n"/>
      <c r="I230" s="108" t="n"/>
      <c r="J230" s="108" t="n"/>
      <c r="K230" s="108" t="n"/>
      <c r="L230" s="108" t="n"/>
      <c r="M230" s="108" t="n"/>
    </row>
    <row r="231">
      <c r="A231" t="inlineStr">
        <is>
          <t>Dividends per share (USD)</t>
        </is>
      </c>
      <c r="B231" s="466" t="n"/>
      <c r="C231" s="466" t="n"/>
      <c r="D231" s="466" t="n"/>
      <c r="E231" s="466" t="n"/>
      <c r="F231" s="466" t="n"/>
      <c r="G231" s="466" t="n"/>
      <c r="H231" s="466" t="n"/>
      <c r="I231" s="466" t="n"/>
      <c r="J231" s="466" t="n"/>
      <c r="K231" s="466" t="n"/>
      <c r="L231" s="466" t="n"/>
      <c r="M231" s="466" t="n"/>
      <c r="Q231" s="517">
        <f>Q233/Q232</f>
        <v/>
      </c>
      <c r="U231" s="535">
        <f>U233/U232</f>
        <v/>
      </c>
      <c r="Y231" s="532" t="n">
        <v>0.65</v>
      </c>
      <c r="AC231" s="535">
        <f>AC233/AA232</f>
        <v/>
      </c>
      <c r="AG231">
        <f>AG233/AE232</f>
        <v/>
      </c>
      <c r="AK231">
        <f>AK233/AI232</f>
        <v/>
      </c>
      <c r="AO231">
        <f>AO233/AM232</f>
        <v/>
      </c>
      <c r="AS231">
        <f>AS233/AS232</f>
        <v/>
      </c>
      <c r="AW231">
        <f>AW233/AW232</f>
        <v/>
      </c>
      <c r="AX231">
        <f>AX233/AX232</f>
        <v/>
      </c>
      <c r="AY231">
        <f>AY233/AY232</f>
        <v/>
      </c>
      <c r="AZ231">
        <f>AZ233/AZ232</f>
        <v/>
      </c>
      <c r="BA231">
        <f>BA233/BA232</f>
        <v/>
      </c>
      <c r="BB231">
        <f>BB233/BB232</f>
        <v/>
      </c>
      <c r="BC231">
        <f>BC233/BC232</f>
        <v/>
      </c>
      <c r="BD231">
        <f>BD233/BD232</f>
        <v/>
      </c>
      <c r="BE231">
        <f>BE233/BE232</f>
        <v/>
      </c>
      <c r="BF231">
        <f>BF233/BF232</f>
        <v/>
      </c>
      <c r="BG231">
        <f>BG233/BG232</f>
        <v/>
      </c>
      <c r="BH231">
        <f>BH233/BH232</f>
        <v/>
      </c>
      <c r="BI231">
        <f>BI233/BI232</f>
        <v/>
      </c>
      <c r="BJ231">
        <f>BJ233/BJ232</f>
        <v/>
      </c>
      <c r="BK231">
        <f>BK233/BK232</f>
        <v/>
      </c>
      <c r="BL231">
        <f>BL233/BL232</f>
        <v/>
      </c>
      <c r="BM231">
        <f>BM233/BM232</f>
        <v/>
      </c>
      <c r="BN231">
        <f>BN233/BN232</f>
        <v/>
      </c>
      <c r="BO231">
        <f>BO233/BO232</f>
        <v/>
      </c>
      <c r="BP231">
        <f>BP233/BP232</f>
        <v/>
      </c>
      <c r="BQ231">
        <f>BQ233/BQ232</f>
        <v/>
      </c>
      <c r="BR231">
        <f>BR233/BR232</f>
        <v/>
      </c>
      <c r="BU231">
        <f>BU233/BU232</f>
        <v/>
      </c>
      <c r="BY231">
        <f>BY233/BY232</f>
        <v/>
      </c>
      <c r="CC231">
        <f>CC233/CC232</f>
        <v/>
      </c>
      <c r="CG231">
        <f>CG233/CG232</f>
        <v/>
      </c>
      <c r="CH231">
        <f>CH233/CH232</f>
        <v/>
      </c>
      <c r="CI231">
        <f>CI233/CI232</f>
        <v/>
      </c>
      <c r="CJ231">
        <f>CJ233/CJ232</f>
        <v/>
      </c>
      <c r="CK231">
        <f>CK233/CK232</f>
        <v/>
      </c>
    </row>
    <row r="232">
      <c r="A232" t="inlineStr">
        <is>
          <t>Weighted number of shares outstanding</t>
        </is>
      </c>
      <c r="B232" s="466" t="n"/>
      <c r="C232" s="466" t="n"/>
      <c r="D232" s="466" t="n"/>
      <c r="E232" s="466" t="n"/>
      <c r="F232" s="466" t="n"/>
      <c r="G232" s="466" t="n"/>
      <c r="H232" s="466" t="n"/>
      <c r="I232" s="466" t="n"/>
      <c r="J232" s="466" t="n"/>
      <c r="K232" s="466" t="n"/>
      <c r="L232" s="466" t="n"/>
      <c r="M232" s="466" t="n"/>
      <c r="N232" s="516">
        <f>FS_Q!N32</f>
        <v/>
      </c>
      <c r="O232" s="516">
        <f>FS_Q!O32</f>
        <v/>
      </c>
      <c r="P232" s="516">
        <f>FS_Q!P32</f>
        <v/>
      </c>
      <c r="Q232" s="516">
        <f>FS_Q!Q32</f>
        <v/>
      </c>
      <c r="R232" s="516">
        <f>FS_Q!R32</f>
        <v/>
      </c>
      <c r="S232" s="516">
        <f>FS_Q!S32</f>
        <v/>
      </c>
      <c r="T232" s="516">
        <f>FS_Q!T32</f>
        <v/>
      </c>
      <c r="U232" s="516">
        <f>FS_Q!U32</f>
        <v/>
      </c>
      <c r="V232" s="516">
        <f>FS_Q!V32</f>
        <v/>
      </c>
      <c r="W232" s="516">
        <f>FS_Q!W32</f>
        <v/>
      </c>
      <c r="X232" s="516">
        <f>FS_Q!X32</f>
        <v/>
      </c>
      <c r="Y232" s="516">
        <f>FS_Q!Y32</f>
        <v/>
      </c>
      <c r="Z232" s="516">
        <f>FS_Q!Z32</f>
        <v/>
      </c>
      <c r="AA232" s="516">
        <f>FS_Q!AA32</f>
        <v/>
      </c>
      <c r="AB232" s="516">
        <f>FS_Q!AB32</f>
        <v/>
      </c>
      <c r="AC232" s="516">
        <f>FS_Q!AC32</f>
        <v/>
      </c>
      <c r="AD232" s="516">
        <f>FS_Q!AD32</f>
        <v/>
      </c>
      <c r="AE232" s="516">
        <f>FS_Q!AE32</f>
        <v/>
      </c>
      <c r="AF232" s="516">
        <f>FS_Q!AF32</f>
        <v/>
      </c>
      <c r="AG232" s="516">
        <f>FS_Q!AG32</f>
        <v/>
      </c>
      <c r="AH232" s="516">
        <f>FS_Q!AH32</f>
        <v/>
      </c>
      <c r="AI232" s="516">
        <f>FS_Q!AI32</f>
        <v/>
      </c>
      <c r="AJ232" s="516">
        <f>FS_Q!AJ32</f>
        <v/>
      </c>
      <c r="AK232" s="516">
        <f>FS_Q!AK32</f>
        <v/>
      </c>
      <c r="AL232" s="516">
        <f>FS_Q!AL32</f>
        <v/>
      </c>
      <c r="AM232" s="516">
        <f>FS_Q!AM32</f>
        <v/>
      </c>
      <c r="AN232" s="516">
        <f>FS_Q!AN32</f>
        <v/>
      </c>
      <c r="AO232" s="516">
        <f>FS_Q!AO32</f>
        <v/>
      </c>
      <c r="AP232" s="516">
        <f>FS_Q!AP32</f>
        <v/>
      </c>
      <c r="AQ232" s="516">
        <f>FS_Q!AQ32</f>
        <v/>
      </c>
      <c r="AR232" s="516">
        <f>FS_Q!AR32</f>
        <v/>
      </c>
      <c r="AS232" s="516">
        <f>FS_Q!AS32</f>
        <v/>
      </c>
      <c r="AT232" s="516">
        <f>FS_Q!AT32</f>
        <v/>
      </c>
      <c r="AU232" s="516">
        <f>FS_Q!AU32</f>
        <v/>
      </c>
      <c r="AV232" s="516">
        <f>FS_Q!AV32</f>
        <v/>
      </c>
      <c r="AW232" s="516">
        <f>FS_Q!AW32</f>
        <v/>
      </c>
      <c r="AX232" s="516">
        <f>FS_Q!AX32</f>
        <v/>
      </c>
      <c r="AY232" s="516">
        <f>FS_Q!AY32</f>
        <v/>
      </c>
      <c r="AZ232" s="516">
        <f>FS_Q!AZ32</f>
        <v/>
      </c>
      <c r="BA232" s="516">
        <f>FS_Q!BA32</f>
        <v/>
      </c>
      <c r="BB232" s="516">
        <f>FS_Q!BB32</f>
        <v/>
      </c>
      <c r="BC232" s="516">
        <f>FS_Q!BC32</f>
        <v/>
      </c>
      <c r="BD232" s="516">
        <f>FS_Q!BD32</f>
        <v/>
      </c>
      <c r="BE232" s="516">
        <f>FS_Q!BE32</f>
        <v/>
      </c>
      <c r="BF232" s="516">
        <f>FS_Q!BF32</f>
        <v/>
      </c>
      <c r="BG232" s="516">
        <f>FS_Q!BG32</f>
        <v/>
      </c>
      <c r="BH232" s="516">
        <f>FS_Q!BH32</f>
        <v/>
      </c>
      <c r="BI232" s="516">
        <f>FS_Q!BI32</f>
        <v/>
      </c>
      <c r="BJ232" s="516">
        <f>FS_Q!BJ32</f>
        <v/>
      </c>
      <c r="BK232" s="516">
        <f>FS_Q!BK32</f>
        <v/>
      </c>
      <c r="BL232" s="516">
        <f>FS_Q!BL32</f>
        <v/>
      </c>
      <c r="BM232" s="516">
        <f>FS_Q!BM32</f>
        <v/>
      </c>
      <c r="BN232" s="516">
        <f>FS_Q!BN32</f>
        <v/>
      </c>
      <c r="BO232" s="516">
        <f>FS_Q!BO32</f>
        <v/>
      </c>
      <c r="BP232" s="516">
        <f>FS_Q!BP32</f>
        <v/>
      </c>
      <c r="BQ232" s="516">
        <f>FS_Q!BQ32</f>
        <v/>
      </c>
      <c r="BR232" s="516">
        <f>FS_Q!BR32</f>
        <v/>
      </c>
      <c r="BS232" s="541">
        <f>BR232</f>
        <v/>
      </c>
      <c r="BT232" s="541">
        <f>BS232</f>
        <v/>
      </c>
      <c r="BU232" s="540">
        <f>BT232</f>
        <v/>
      </c>
      <c r="BV232" s="541">
        <f>BU232</f>
        <v/>
      </c>
      <c r="BW232" s="541">
        <f>BV232</f>
        <v/>
      </c>
      <c r="BX232" s="541">
        <f>BW232</f>
        <v/>
      </c>
      <c r="BY232" s="540">
        <f>BX232</f>
        <v/>
      </c>
      <c r="BZ232" s="541">
        <f>BY232</f>
        <v/>
      </c>
      <c r="CA232" s="541">
        <f>BZ232</f>
        <v/>
      </c>
      <c r="CB232" s="541">
        <f>CA232</f>
        <v/>
      </c>
      <c r="CC232" s="540">
        <f>CB232</f>
        <v/>
      </c>
      <c r="CD232" s="541">
        <f>CC232</f>
        <v/>
      </c>
      <c r="CE232" s="541">
        <f>CD232</f>
        <v/>
      </c>
      <c r="CF232" s="541">
        <f>CE232</f>
        <v/>
      </c>
      <c r="CG232" s="540">
        <f>CF232</f>
        <v/>
      </c>
      <c r="CH232" s="540">
        <f>CG232</f>
        <v/>
      </c>
      <c r="CI232" s="540">
        <f>CH232</f>
        <v/>
      </c>
      <c r="CJ232" s="540">
        <f>CI232</f>
        <v/>
      </c>
      <c r="CK232" s="540">
        <f>CJ232</f>
        <v/>
      </c>
    </row>
    <row r="233">
      <c r="A233" s="932" t="inlineStr">
        <is>
          <t>Dividends</t>
        </is>
      </c>
      <c r="B233" s="108" t="n"/>
      <c r="C233" s="108" t="n"/>
      <c r="D233" s="108" t="n"/>
      <c r="E233" s="108" t="n"/>
      <c r="F233" s="108" t="n"/>
      <c r="G233" s="108" t="n"/>
      <c r="H233" s="108" t="n"/>
      <c r="I233" s="108" t="n"/>
      <c r="J233" s="108" t="n"/>
      <c r="K233" s="108" t="n"/>
      <c r="L233" s="108" t="n"/>
      <c r="M233" s="108" t="n"/>
      <c r="N233" s="532" t="n"/>
      <c r="O233" s="532" t="n"/>
      <c r="P233" s="532" t="n"/>
      <c r="Q233" s="532" t="n">
        <v>0</v>
      </c>
      <c r="R233" s="532" t="n"/>
      <c r="S233" s="532" t="n"/>
      <c r="T233" s="532" t="n"/>
      <c r="U233" s="532" t="n">
        <v>0</v>
      </c>
      <c r="V233" s="532" t="n"/>
      <c r="W233" s="532" t="n"/>
      <c r="Y233" s="533" t="n">
        <v>33400</v>
      </c>
      <c r="Z233" s="532" t="n"/>
      <c r="AB233" s="532" t="n"/>
      <c r="AC233" s="532" t="n">
        <v>0</v>
      </c>
      <c r="AD233" s="532" t="n"/>
      <c r="AE233" s="532" t="n"/>
      <c r="AF233" s="532" t="n"/>
      <c r="AG233" s="532" t="n">
        <v>0</v>
      </c>
      <c r="AH233" s="532" t="n"/>
      <c r="AI233" s="532" t="n"/>
      <c r="AJ233" s="532" t="n"/>
      <c r="AK233" s="532" t="n">
        <v>0</v>
      </c>
      <c r="AL233" s="532" t="n"/>
      <c r="AM233" s="532" t="n"/>
      <c r="AN233" s="532" t="n"/>
      <c r="AO233" s="532" t="n">
        <v>0</v>
      </c>
      <c r="AP233" s="532" t="n"/>
      <c r="AQ233" s="532" t="n"/>
      <c r="AR233" s="532" t="n"/>
      <c r="AS233" s="532" t="n">
        <v>0</v>
      </c>
      <c r="AW233">
        <f>SUM(AT235:AW235)*AW234</f>
        <v/>
      </c>
      <c r="AX233">
        <f>SUM(AU235:AX235)*AX234</f>
        <v/>
      </c>
      <c r="AY233">
        <f>SUM(AV235:AY235)*AY234</f>
        <v/>
      </c>
      <c r="AZ233">
        <f>SUM(AW235:AZ235)*AZ234</f>
        <v/>
      </c>
      <c r="BA233">
        <f>SUM(AX235:BA235)*BA234</f>
        <v/>
      </c>
      <c r="BB233">
        <f>SUM(AY235:BB235)*BB234</f>
        <v/>
      </c>
      <c r="BC233">
        <f>SUM(AZ235:BC235)*BC234</f>
        <v/>
      </c>
      <c r="BD233">
        <f>SUM(BA235:BD235)*BD234</f>
        <v/>
      </c>
      <c r="BE233">
        <f>SUM(BB235:BE235)*BE234</f>
        <v/>
      </c>
      <c r="BF233">
        <f>SUM(BC235:BF235)*BF234</f>
        <v/>
      </c>
      <c r="BG233">
        <f>SUM(BD235:BG235)*BG234</f>
        <v/>
      </c>
      <c r="BH233">
        <f>SUM(BE235:BH235)*BH234</f>
        <v/>
      </c>
      <c r="BI233">
        <f>SUM(BF235:BI235)*BI234</f>
        <v/>
      </c>
      <c r="BJ233">
        <f>SUM(BG235:BJ235)*BJ234</f>
        <v/>
      </c>
      <c r="BK233">
        <f>SUM(BH235:BK235)*BK234</f>
        <v/>
      </c>
      <c r="BL233">
        <f>SUM(BI235:BL235)*BL234</f>
        <v/>
      </c>
      <c r="BM233">
        <f>SUM(BJ235:BM235)*BM234</f>
        <v/>
      </c>
      <c r="BN233">
        <f>SUM(BK235:BN235)*BN234</f>
        <v/>
      </c>
      <c r="BO233">
        <f>SUM(BL235:BO235)*BO234</f>
        <v/>
      </c>
      <c r="BP233">
        <f>SUM(BM235:BP235)*BP234</f>
        <v/>
      </c>
      <c r="BQ233">
        <f>SUM(BN235:BQ235)*BQ234</f>
        <v/>
      </c>
      <c r="BR233">
        <f>SUM(BO235:BR235)*BR234</f>
        <v/>
      </c>
      <c r="BU233">
        <f>SUM(BR235:BU235)*BU234</f>
        <v/>
      </c>
      <c r="BY233">
        <f>SUM(BV235:BY235)*BY234</f>
        <v/>
      </c>
      <c r="CC233">
        <f>SUM(BZ235:CC235)*CC234</f>
        <v/>
      </c>
      <c r="CG233">
        <f>SUM(CD235:CG235)*CG234</f>
        <v/>
      </c>
      <c r="CH233">
        <f>SUM(CE235:CH235)*CH234</f>
        <v/>
      </c>
      <c r="CI233">
        <f>SUM(CF235:CI235)*CI234</f>
        <v/>
      </c>
      <c r="CJ233">
        <f>SUM(CG235:CJ235)*CJ234</f>
        <v/>
      </c>
      <c r="CK233">
        <f>SUM(CH235:CK235)*CK234</f>
        <v/>
      </c>
    </row>
    <row r="234">
      <c r="A234" s="467" t="inlineStr">
        <is>
          <t>Dividend payout ratio(annual base)</t>
        </is>
      </c>
      <c r="B234" s="890" t="n"/>
      <c r="C234" s="890" t="n"/>
      <c r="D234" s="890" t="n"/>
      <c r="E234" s="890" t="n"/>
      <c r="F234" s="890" t="n"/>
      <c r="G234" s="890" t="n"/>
      <c r="H234" s="468" t="n"/>
      <c r="I234" s="469" t="n"/>
      <c r="J234" s="468" t="n"/>
      <c r="K234" s="469" t="n"/>
      <c r="L234" s="468" t="n"/>
      <c r="M234" s="469" t="n"/>
      <c r="Q234" s="908">
        <f>Q233/SUM(N235:Q235)</f>
        <v/>
      </c>
      <c r="U234" s="908">
        <f>U233/SUM(R235:U235)</f>
        <v/>
      </c>
      <c r="Y234" s="908">
        <f>Y233/SUM(V235:Y235)</f>
        <v/>
      </c>
      <c r="AC234" s="908">
        <f>AC233/SUM(Z235:AC235)</f>
        <v/>
      </c>
      <c r="AG234" s="908">
        <f>AG233/SUM(AD235:AG235)</f>
        <v/>
      </c>
      <c r="AK234" s="908">
        <f>AK233/SUM(AH235:AK235)</f>
        <v/>
      </c>
      <c r="AO234" s="908">
        <f>AO233/SUM(AL235:AO235)</f>
        <v/>
      </c>
      <c r="AS234" s="908">
        <f>AS233/SUM(AP235:AS235)</f>
        <v/>
      </c>
      <c r="AW234" s="933" t="n">
        <v>0</v>
      </c>
      <c r="AX234" s="933" t="n">
        <v>0</v>
      </c>
      <c r="AY234" s="933" t="n">
        <v>0</v>
      </c>
      <c r="AZ234" s="933" t="n">
        <v>0</v>
      </c>
      <c r="BA234" s="933" t="n">
        <v>0</v>
      </c>
      <c r="BB234" s="933" t="n">
        <v>0</v>
      </c>
      <c r="BC234" s="933" t="n">
        <v>0</v>
      </c>
      <c r="BD234" s="933" t="n">
        <v>0</v>
      </c>
      <c r="BE234" s="933" t="n">
        <v>0</v>
      </c>
      <c r="BF234" s="933" t="n">
        <v>0</v>
      </c>
      <c r="BG234" s="933" t="n">
        <v>0</v>
      </c>
      <c r="BH234" s="933" t="n">
        <v>0</v>
      </c>
      <c r="BI234" s="933" t="n">
        <v>0</v>
      </c>
      <c r="BJ234" s="933" t="n">
        <v>0</v>
      </c>
      <c r="BK234" s="933" t="n">
        <v>0</v>
      </c>
      <c r="BL234" s="933" t="n">
        <v>0</v>
      </c>
      <c r="BM234" s="933" t="n">
        <v>0</v>
      </c>
      <c r="BN234" s="933" t="n">
        <v>0</v>
      </c>
      <c r="BO234" s="933" t="n">
        <v>0</v>
      </c>
      <c r="BP234" s="933" t="n">
        <v>0</v>
      </c>
      <c r="BQ234" s="933" t="n">
        <v>0</v>
      </c>
      <c r="BR234" s="933" t="n">
        <v>0</v>
      </c>
      <c r="BU234" s="933" t="n">
        <v>0</v>
      </c>
      <c r="BY234" s="933" t="n">
        <v>0</v>
      </c>
      <c r="CC234" s="933" t="n">
        <v>0</v>
      </c>
      <c r="CG234" s="933" t="n">
        <v>0</v>
      </c>
      <c r="CH234" s="933" t="n">
        <v>0</v>
      </c>
      <c r="CI234" s="933" t="n">
        <v>0</v>
      </c>
      <c r="CJ234" s="933" t="n">
        <v>0</v>
      </c>
      <c r="CK234" s="933" t="n">
        <v>0</v>
      </c>
    </row>
    <row r="235">
      <c r="A235" s="429" t="inlineStr">
        <is>
          <t>Net income</t>
        </is>
      </c>
      <c r="B235" s="140" t="n"/>
      <c r="C235" s="140" t="n"/>
      <c r="D235" s="140" t="n"/>
      <c r="E235" s="140" t="n"/>
      <c r="F235" s="140" t="n"/>
      <c r="G235" s="140" t="n"/>
      <c r="H235" s="140" t="n"/>
      <c r="I235" s="140" t="n"/>
      <c r="J235" s="140" t="n"/>
      <c r="K235" s="140" t="n"/>
      <c r="L235" s="140" t="n"/>
      <c r="M235" s="140" t="n"/>
      <c r="N235" s="516">
        <f>FS_Q!N25</f>
        <v/>
      </c>
      <c r="O235" s="516">
        <f>FS_Q!O25</f>
        <v/>
      </c>
      <c r="P235" s="516">
        <f>FS_Q!P25</f>
        <v/>
      </c>
      <c r="Q235" s="516">
        <f>FS_Q!Q25</f>
        <v/>
      </c>
      <c r="R235" s="516">
        <f>FS_Q!R25</f>
        <v/>
      </c>
      <c r="S235" s="516">
        <f>FS_Q!S25</f>
        <v/>
      </c>
      <c r="T235" s="516">
        <f>FS_Q!T25</f>
        <v/>
      </c>
      <c r="U235" s="516">
        <f>FS_Q!U25</f>
        <v/>
      </c>
      <c r="V235" s="516">
        <f>FS_Q!V25</f>
        <v/>
      </c>
      <c r="W235" s="516">
        <f>FS_Q!W25</f>
        <v/>
      </c>
      <c r="X235" s="516">
        <f>FS_Q!X25</f>
        <v/>
      </c>
      <c r="Y235" s="516">
        <f>FS_Q!Y25</f>
        <v/>
      </c>
      <c r="Z235" s="516">
        <f>FS_Q!Z25</f>
        <v/>
      </c>
      <c r="AA235" s="516">
        <f>FS_Q!AA25</f>
        <v/>
      </c>
      <c r="AB235" s="516">
        <f>FS_Q!AB25</f>
        <v/>
      </c>
      <c r="AC235" s="516">
        <f>FS_Q!AC25</f>
        <v/>
      </c>
      <c r="AD235" s="516">
        <f>FS_Q!AD25</f>
        <v/>
      </c>
      <c r="AE235" s="516">
        <f>FS_Q!AE25</f>
        <v/>
      </c>
      <c r="AF235" s="516">
        <f>FS_Q!AF25</f>
        <v/>
      </c>
      <c r="AG235" s="516">
        <f>FS_Q!AG25</f>
        <v/>
      </c>
      <c r="AH235" s="516">
        <f>FS_Q!AH25</f>
        <v/>
      </c>
      <c r="AI235" s="516">
        <f>FS_Q!AI25</f>
        <v/>
      </c>
      <c r="AJ235" s="516">
        <f>FS_Q!AJ25</f>
        <v/>
      </c>
      <c r="AK235" s="516">
        <f>FS_Q!AK25</f>
        <v/>
      </c>
      <c r="AL235" s="516">
        <f>FS_Q!AL25</f>
        <v/>
      </c>
      <c r="AM235" s="516">
        <f>FS_Q!AM25</f>
        <v/>
      </c>
      <c r="AN235" s="516">
        <f>FS_Q!AN25</f>
        <v/>
      </c>
      <c r="AO235" s="516">
        <f>FS_Q!AO25</f>
        <v/>
      </c>
      <c r="AP235" s="516">
        <f>FS_Q!AP25</f>
        <v/>
      </c>
      <c r="AQ235" s="516">
        <f>FS_Q!AQ25</f>
        <v/>
      </c>
      <c r="AR235" s="516">
        <f>FS_Q!AR25</f>
        <v/>
      </c>
      <c r="AS235" s="516">
        <f>FS_Q!AS25</f>
        <v/>
      </c>
      <c r="AT235" s="516">
        <f>FS_Q!AT25</f>
        <v/>
      </c>
      <c r="AU235" s="516">
        <f>FS_Q!AU25</f>
        <v/>
      </c>
      <c r="AV235" s="516">
        <f>FS_Q!AV25</f>
        <v/>
      </c>
      <c r="AW235" s="516">
        <f>FS_Q!AW25</f>
        <v/>
      </c>
      <c r="AX235" s="516">
        <f>FS_Q!AX25</f>
        <v/>
      </c>
      <c r="AY235" s="516">
        <f>FS_Q!AY25</f>
        <v/>
      </c>
      <c r="AZ235" s="516">
        <f>FS_Q!AZ25</f>
        <v/>
      </c>
      <c r="BA235" s="516">
        <f>FS_Q!BA25</f>
        <v/>
      </c>
      <c r="BB235" s="516">
        <f>FS_Q!BB25</f>
        <v/>
      </c>
      <c r="BC235" s="516">
        <f>FS_Q!BC25</f>
        <v/>
      </c>
      <c r="BD235" s="516">
        <f>FS_Q!BD25</f>
        <v/>
      </c>
      <c r="BE235" s="516">
        <f>FS_Q!BE25</f>
        <v/>
      </c>
      <c r="BF235" s="516">
        <f>FS_Q!BF25</f>
        <v/>
      </c>
      <c r="BG235" s="516">
        <f>FS_Q!BG25</f>
        <v/>
      </c>
      <c r="BH235" s="516">
        <f>FS_Q!BH25</f>
        <v/>
      </c>
      <c r="BI235" s="516">
        <f>FS_Q!BI25</f>
        <v/>
      </c>
      <c r="BJ235" s="516">
        <f>FS_Q!BJ25</f>
        <v/>
      </c>
      <c r="BK235" s="516">
        <f>FS_Q!BK25</f>
        <v/>
      </c>
      <c r="BL235" s="516">
        <f>FS_Q!BL25</f>
        <v/>
      </c>
      <c r="BM235" s="516">
        <f>FS_Q!BM25</f>
        <v/>
      </c>
      <c r="BN235" s="516">
        <f>FS_Q!BN25</f>
        <v/>
      </c>
      <c r="BO235" s="516">
        <f>FS_Q!BO25</f>
        <v/>
      </c>
      <c r="BP235" s="516">
        <f>FS_Q!BP25</f>
        <v/>
      </c>
      <c r="BQ235" s="516">
        <f>FS_Q!BQ25</f>
        <v/>
      </c>
      <c r="BR235" s="516">
        <f>FS_Q!BR25</f>
        <v/>
      </c>
      <c r="BS235" s="517">
        <f>BS108</f>
        <v/>
      </c>
      <c r="BT235" s="517">
        <f>BT108</f>
        <v/>
      </c>
      <c r="BU235" s="517">
        <f>BU108</f>
        <v/>
      </c>
      <c r="BV235" s="517">
        <f>BV108</f>
        <v/>
      </c>
      <c r="BW235" s="517">
        <f>BW108</f>
        <v/>
      </c>
      <c r="BX235" s="517">
        <f>BX108</f>
        <v/>
      </c>
      <c r="BY235" s="517">
        <f>BY108</f>
        <v/>
      </c>
      <c r="BZ235" s="517">
        <f>BZ108</f>
        <v/>
      </c>
      <c r="CA235" s="517">
        <f>CA108</f>
        <v/>
      </c>
      <c r="CB235" s="517">
        <f>CB108</f>
        <v/>
      </c>
      <c r="CC235" s="517">
        <f>CC108</f>
        <v/>
      </c>
      <c r="CD235" s="517">
        <f>CD108</f>
        <v/>
      </c>
      <c r="CE235" s="517">
        <f>CE108</f>
        <v/>
      </c>
      <c r="CF235" s="517">
        <f>CF108</f>
        <v/>
      </c>
      <c r="CG235" s="517">
        <f>CG108</f>
        <v/>
      </c>
      <c r="CH235" s="517">
        <f>CH108</f>
        <v/>
      </c>
      <c r="CI235" s="517">
        <f>CI108</f>
        <v/>
      </c>
      <c r="CJ235" s="517">
        <f>CJ108</f>
        <v/>
      </c>
      <c r="CK235" s="517">
        <f>CK108</f>
        <v/>
      </c>
    </row>
    <row r="236">
      <c r="A236" s="429" t="n"/>
    </row>
    <row r="237">
      <c r="A237">
        <f>A232&amp; "(diluted)"</f>
        <v/>
      </c>
      <c r="N237" s="516">
        <f>FS_Q!N33</f>
        <v/>
      </c>
      <c r="O237" s="516">
        <f>FS_Q!O33</f>
        <v/>
      </c>
      <c r="P237" s="516">
        <f>FS_Q!P33</f>
        <v/>
      </c>
      <c r="Q237" s="516">
        <f>FS_Q!Q33</f>
        <v/>
      </c>
      <c r="R237" s="516">
        <f>FS_Q!R33</f>
        <v/>
      </c>
      <c r="S237" s="516">
        <f>FS_Q!S33</f>
        <v/>
      </c>
      <c r="T237" s="516">
        <f>FS_Q!T33</f>
        <v/>
      </c>
      <c r="U237" s="516">
        <f>FS_Q!U33</f>
        <v/>
      </c>
      <c r="V237" s="516">
        <f>FS_Q!V33</f>
        <v/>
      </c>
      <c r="W237" s="516">
        <f>FS_Q!W33</f>
        <v/>
      </c>
      <c r="X237" s="516">
        <f>FS_Q!X33</f>
        <v/>
      </c>
      <c r="Y237" s="516">
        <f>FS_Q!Y33</f>
        <v/>
      </c>
      <c r="Z237" s="516">
        <f>FS_Q!Z33</f>
        <v/>
      </c>
      <c r="AA237" s="516">
        <f>FS_Q!AA33</f>
        <v/>
      </c>
      <c r="AB237" s="516">
        <f>FS_Q!AB33</f>
        <v/>
      </c>
      <c r="AC237" s="516">
        <f>FS_Q!AC33</f>
        <v/>
      </c>
      <c r="AD237" s="516">
        <f>FS_Q!AD33</f>
        <v/>
      </c>
      <c r="AE237" s="516">
        <f>FS_Q!AE33</f>
        <v/>
      </c>
      <c r="AF237" s="516">
        <f>FS_Q!AF33</f>
        <v/>
      </c>
      <c r="AG237" s="516">
        <f>FS_Q!AG33</f>
        <v/>
      </c>
      <c r="AH237" s="516">
        <f>FS_Q!AH33</f>
        <v/>
      </c>
      <c r="AI237" s="516">
        <f>FS_Q!AI33</f>
        <v/>
      </c>
      <c r="AJ237" s="516">
        <f>FS_Q!AJ33</f>
        <v/>
      </c>
      <c r="AK237" s="516">
        <f>FS_Q!AK33</f>
        <v/>
      </c>
      <c r="AL237" s="516">
        <f>FS_Q!AL33</f>
        <v/>
      </c>
      <c r="AM237" s="516">
        <f>FS_Q!AM33</f>
        <v/>
      </c>
      <c r="AN237" s="516">
        <f>FS_Q!AN33</f>
        <v/>
      </c>
      <c r="AO237" s="516">
        <f>FS_Q!AO33</f>
        <v/>
      </c>
      <c r="AP237" s="516">
        <f>FS_Q!AP33</f>
        <v/>
      </c>
      <c r="AQ237" s="516">
        <f>FS_Q!AQ33</f>
        <v/>
      </c>
      <c r="AR237" s="516">
        <f>FS_Q!AR33</f>
        <v/>
      </c>
      <c r="AS237" s="516">
        <f>FS_Q!AS33</f>
        <v/>
      </c>
      <c r="AT237" s="516">
        <f>FS_Q!AT33</f>
        <v/>
      </c>
      <c r="AU237" s="516">
        <f>FS_Q!AU33</f>
        <v/>
      </c>
      <c r="AV237" s="516">
        <f>FS_Q!AV33</f>
        <v/>
      </c>
      <c r="AW237" s="516">
        <f>FS_Q!AW33</f>
        <v/>
      </c>
      <c r="AX237" s="516">
        <f>FS_Q!AX33</f>
        <v/>
      </c>
      <c r="AY237" s="516">
        <f>FS_Q!AY33</f>
        <v/>
      </c>
      <c r="AZ237" s="516">
        <f>FS_Q!AZ33</f>
        <v/>
      </c>
      <c r="BA237" s="516">
        <f>FS_Q!BA33</f>
        <v/>
      </c>
      <c r="BB237" s="516">
        <f>FS_Q!BB33</f>
        <v/>
      </c>
      <c r="BC237" s="516">
        <f>FS_Q!BC33</f>
        <v/>
      </c>
      <c r="BD237" s="516">
        <f>FS_Q!BD33</f>
        <v/>
      </c>
      <c r="BE237" s="516">
        <f>FS_Q!BE33</f>
        <v/>
      </c>
      <c r="BF237" s="516">
        <f>FS_Q!BF33</f>
        <v/>
      </c>
      <c r="BG237" s="516">
        <f>FS_Q!BG33</f>
        <v/>
      </c>
      <c r="BH237" s="516">
        <f>FS_Q!BH33</f>
        <v/>
      </c>
      <c r="BI237" s="516">
        <f>FS_Q!BI33</f>
        <v/>
      </c>
      <c r="BJ237" s="516">
        <f>FS_Q!BJ33</f>
        <v/>
      </c>
      <c r="BK237" s="516">
        <f>FS_Q!BK33</f>
        <v/>
      </c>
      <c r="BL237" s="516">
        <f>FS_Q!BL33</f>
        <v/>
      </c>
      <c r="BM237" s="516">
        <f>FS_Q!BM33</f>
        <v/>
      </c>
      <c r="BN237" s="516">
        <f>FS_Q!BN33</f>
        <v/>
      </c>
      <c r="BO237" s="516">
        <f>FS_Q!BO33</f>
        <v/>
      </c>
      <c r="BP237" s="516">
        <f>FS_Q!BP33</f>
        <v/>
      </c>
      <c r="BQ237" s="516">
        <f>FS_Q!BQ33</f>
        <v/>
      </c>
      <c r="BR237" s="516">
        <f>FS_Q!BR33</f>
        <v/>
      </c>
      <c r="BS237" s="541">
        <f>BR237</f>
        <v/>
      </c>
      <c r="BT237" s="541">
        <f>BS237</f>
        <v/>
      </c>
      <c r="BU237" s="541">
        <f>BT237</f>
        <v/>
      </c>
      <c r="BV237" s="541">
        <f>BU237</f>
        <v/>
      </c>
      <c r="BW237" s="541">
        <f>BV237</f>
        <v/>
      </c>
      <c r="BX237" s="541">
        <f>BW237</f>
        <v/>
      </c>
      <c r="BY237" s="541">
        <f>BX237</f>
        <v/>
      </c>
      <c r="BZ237" s="541">
        <f>BY237</f>
        <v/>
      </c>
      <c r="CA237" s="541">
        <f>BZ237</f>
        <v/>
      </c>
      <c r="CB237" s="541">
        <f>CA237</f>
        <v/>
      </c>
      <c r="CC237" s="541">
        <f>CB237</f>
        <v/>
      </c>
      <c r="CD237" s="541">
        <f>CC237</f>
        <v/>
      </c>
      <c r="CE237" s="541">
        <f>CD237</f>
        <v/>
      </c>
      <c r="CF237" s="541">
        <f>CE237</f>
        <v/>
      </c>
      <c r="CG237" s="541">
        <f>CF237</f>
        <v/>
      </c>
      <c r="CH237" s="541">
        <f>CG237</f>
        <v/>
      </c>
      <c r="CI237" s="541">
        <f>CH237</f>
        <v/>
      </c>
      <c r="CJ237" s="541">
        <f>CI237</f>
        <v/>
      </c>
      <c r="CK237" s="541">
        <f>CJ237</f>
        <v/>
      </c>
    </row>
    <row r="238" outlineLevel="1"/>
    <row r="239" outlineLevel="1"/>
    <row r="240" outlineLevel="1">
      <c r="A240" s="411" t="inlineStr">
        <is>
          <t>Annualization - Quarter</t>
        </is>
      </c>
    </row>
    <row r="241" outlineLevel="1">
      <c r="A241" s="44" t="inlineStr">
        <is>
          <t>Period Start</t>
        </is>
      </c>
      <c r="B241" s="46">
        <f>DATE(B1-1,4,1)</f>
        <v/>
      </c>
      <c r="C241" s="46">
        <f>+B242+1</f>
        <v/>
      </c>
      <c r="D241" s="46">
        <f>+C242+1</f>
        <v/>
      </c>
      <c r="E241" s="46">
        <f>+D242+1</f>
        <v/>
      </c>
      <c r="F241" s="46">
        <f>+E242+1</f>
        <v/>
      </c>
      <c r="G241" s="46">
        <f>+F242+1</f>
        <v/>
      </c>
      <c r="H241" s="46">
        <f>+G242+1</f>
        <v/>
      </c>
      <c r="I241" s="46">
        <f>+H242+1</f>
        <v/>
      </c>
      <c r="J241" s="46">
        <f>+I242+1</f>
        <v/>
      </c>
      <c r="K241" s="46">
        <f>+J242+1</f>
        <v/>
      </c>
      <c r="L241" s="46">
        <f>+K242+1</f>
        <v/>
      </c>
      <c r="M241" s="46">
        <f>+L242+1</f>
        <v/>
      </c>
      <c r="N241" s="934">
        <f>DATE(N1,1,1)</f>
        <v/>
      </c>
      <c r="O241" s="935">
        <f>N242+1</f>
        <v/>
      </c>
      <c r="P241" s="935">
        <f>O242+1</f>
        <v/>
      </c>
      <c r="Q241" s="935">
        <f>P242+1</f>
        <v/>
      </c>
      <c r="R241" s="935">
        <f>Q242+1</f>
        <v/>
      </c>
      <c r="S241" s="935">
        <f>R242+1</f>
        <v/>
      </c>
      <c r="T241" s="935">
        <f>S242+1</f>
        <v/>
      </c>
      <c r="U241" s="935">
        <f>T242+1</f>
        <v/>
      </c>
      <c r="V241" s="935">
        <f>U242+1</f>
        <v/>
      </c>
      <c r="W241" s="935">
        <f>V242+1</f>
        <v/>
      </c>
      <c r="X241" s="935">
        <f>W242+1</f>
        <v/>
      </c>
      <c r="Y241" s="935">
        <f>X242+1</f>
        <v/>
      </c>
      <c r="Z241" s="935">
        <f>Y242+1</f>
        <v/>
      </c>
      <c r="AA241" s="935">
        <f>Z242+1</f>
        <v/>
      </c>
      <c r="AB241" s="935">
        <f>AA242+1</f>
        <v/>
      </c>
      <c r="AC241" s="935">
        <f>AB242+1</f>
        <v/>
      </c>
      <c r="AD241" s="935">
        <f>AC242+1</f>
        <v/>
      </c>
      <c r="AE241" s="935">
        <f>AD242+1</f>
        <v/>
      </c>
      <c r="AF241" s="935">
        <f>AE242+1</f>
        <v/>
      </c>
      <c r="AG241" s="935">
        <f>AF242+1</f>
        <v/>
      </c>
      <c r="AH241" s="935">
        <f>AG242+1</f>
        <v/>
      </c>
      <c r="AI241" s="935">
        <f>AH242+1</f>
        <v/>
      </c>
      <c r="AJ241" s="935">
        <f>AI242+1</f>
        <v/>
      </c>
      <c r="AK241" s="935">
        <f>AJ242+1</f>
        <v/>
      </c>
      <c r="AL241" s="935">
        <f>AK242+1</f>
        <v/>
      </c>
      <c r="AM241" s="935">
        <f>AL242+1</f>
        <v/>
      </c>
      <c r="AN241" s="935">
        <f>AM242+1</f>
        <v/>
      </c>
      <c r="AO241" s="935">
        <f>AN242+1</f>
        <v/>
      </c>
      <c r="AP241" s="935">
        <f>AO242+1</f>
        <v/>
      </c>
      <c r="AQ241" s="935">
        <f>AP242+1</f>
        <v/>
      </c>
      <c r="AR241" s="935">
        <f>AQ242+1</f>
        <v/>
      </c>
      <c r="AS241" s="935">
        <f>AR242+1</f>
        <v/>
      </c>
      <c r="AT241" s="935">
        <f>AS242+1</f>
        <v/>
      </c>
      <c r="AU241" s="935">
        <f>AT242+1</f>
        <v/>
      </c>
      <c r="AV241" s="935">
        <f>AU242+1</f>
        <v/>
      </c>
      <c r="AW241" s="935">
        <f>AV242+1</f>
        <v/>
      </c>
      <c r="AX241" s="935">
        <f>AW242+1</f>
        <v/>
      </c>
      <c r="AY241" s="935">
        <f>AX242+1</f>
        <v/>
      </c>
      <c r="AZ241" s="935">
        <f>AY242+1</f>
        <v/>
      </c>
      <c r="BA241" s="935">
        <f>AZ242+1</f>
        <v/>
      </c>
      <c r="BB241" s="935">
        <f>BA242+1</f>
        <v/>
      </c>
      <c r="BC241" s="935">
        <f>BB242+1</f>
        <v/>
      </c>
      <c r="BD241" s="935">
        <f>BC242+1</f>
        <v/>
      </c>
      <c r="BE241" s="935">
        <f>BD242+1</f>
        <v/>
      </c>
      <c r="BF241" s="935">
        <f>BE242+1</f>
        <v/>
      </c>
      <c r="BG241" s="935">
        <f>BF242+1</f>
        <v/>
      </c>
      <c r="BH241" s="935">
        <f>BG242+1</f>
        <v/>
      </c>
      <c r="BI241" s="935">
        <f>BH242+1</f>
        <v/>
      </c>
      <c r="BJ241" s="935">
        <f>BI242+1</f>
        <v/>
      </c>
      <c r="BK241" s="935">
        <f>BJ242+1</f>
        <v/>
      </c>
      <c r="BL241" s="935">
        <f>BK242+1</f>
        <v/>
      </c>
      <c r="BM241" s="935">
        <f>BL242+1</f>
        <v/>
      </c>
      <c r="BN241" s="935">
        <f>BM242+1</f>
        <v/>
      </c>
      <c r="BO241" s="935">
        <f>BN242+1</f>
        <v/>
      </c>
      <c r="BP241" s="935">
        <f>BO242+1</f>
        <v/>
      </c>
      <c r="BQ241" s="935">
        <f>BP242+1</f>
        <v/>
      </c>
      <c r="BR241" s="935">
        <f>BQ242+1</f>
        <v/>
      </c>
      <c r="BS241" s="935">
        <f>BR242+1</f>
        <v/>
      </c>
      <c r="BT241" s="935">
        <f>BS242+1</f>
        <v/>
      </c>
      <c r="BU241" s="935">
        <f>BT242+1</f>
        <v/>
      </c>
      <c r="BV241" s="935">
        <f>BU242+1</f>
        <v/>
      </c>
      <c r="BW241" s="935">
        <f>BV242+1</f>
        <v/>
      </c>
      <c r="BX241" s="935">
        <f>BW242+1</f>
        <v/>
      </c>
      <c r="BY241" s="935">
        <f>BX242+1</f>
        <v/>
      </c>
      <c r="BZ241" s="935">
        <f>BY242+1</f>
        <v/>
      </c>
      <c r="CA241" s="935">
        <f>BZ242+1</f>
        <v/>
      </c>
      <c r="CB241" s="935">
        <f>CA242+1</f>
        <v/>
      </c>
      <c r="CC241" s="935">
        <f>CB242+1</f>
        <v/>
      </c>
      <c r="CD241" s="935">
        <f>CC242+1</f>
        <v/>
      </c>
      <c r="CE241" s="935">
        <f>CD242+1</f>
        <v/>
      </c>
      <c r="CF241" s="935">
        <f>CE242+1</f>
        <v/>
      </c>
      <c r="CG241" s="935">
        <f>CF242+1</f>
        <v/>
      </c>
      <c r="CH241" s="935">
        <f>CG242+1</f>
        <v/>
      </c>
      <c r="CI241" s="935">
        <f>CH242+1</f>
        <v/>
      </c>
      <c r="CJ241" s="935">
        <f>CI242+1</f>
        <v/>
      </c>
      <c r="CK241" s="935">
        <f>CJ242+1</f>
        <v/>
      </c>
    </row>
    <row r="242" outlineLevel="1">
      <c r="A242" s="44" t="inlineStr">
        <is>
          <t>Period Ends</t>
        </is>
      </c>
      <c r="B242" s="46">
        <f>EDATE(B241,3)-1</f>
        <v/>
      </c>
      <c r="C242" s="46">
        <f>EDATE(C241,3)-1</f>
        <v/>
      </c>
      <c r="D242" s="46">
        <f>EDATE(D241,3)-1</f>
        <v/>
      </c>
      <c r="E242" s="46">
        <f>EDATE(E241,3)-1</f>
        <v/>
      </c>
      <c r="F242" s="46">
        <f>EDATE(F241,3)-1</f>
        <v/>
      </c>
      <c r="G242" s="46">
        <f>EDATE(G241,3)-1</f>
        <v/>
      </c>
      <c r="H242" s="46">
        <f>EDATE(H241,3)-1</f>
        <v/>
      </c>
      <c r="I242" s="46">
        <f>EDATE(I241,3)-1</f>
        <v/>
      </c>
      <c r="J242" s="46">
        <f>EDATE(J241,3)-1</f>
        <v/>
      </c>
      <c r="K242" s="46">
        <f>EDATE(K241,3)-1</f>
        <v/>
      </c>
      <c r="L242" s="46">
        <f>EDATE(L241,3)-1</f>
        <v/>
      </c>
      <c r="M242" s="46">
        <f>EDATE(M241,3)-1</f>
        <v/>
      </c>
      <c r="N242" s="935">
        <f>EOMONTH(N241,2)</f>
        <v/>
      </c>
      <c r="O242" s="935">
        <f>EOMONTH(O241,2)</f>
        <v/>
      </c>
      <c r="P242" s="935">
        <f>EOMONTH(P241,2)</f>
        <v/>
      </c>
      <c r="Q242" s="935">
        <f>EOMONTH(Q241,2)</f>
        <v/>
      </c>
      <c r="R242" s="935">
        <f>EOMONTH(R241,2)</f>
        <v/>
      </c>
      <c r="S242" s="935">
        <f>EOMONTH(S241,2)</f>
        <v/>
      </c>
      <c r="T242" s="935">
        <f>EOMONTH(T241,2)</f>
        <v/>
      </c>
      <c r="U242" s="935">
        <f>EOMONTH(U241,2)</f>
        <v/>
      </c>
      <c r="V242" s="935">
        <f>EOMONTH(V241,2)</f>
        <v/>
      </c>
      <c r="W242" s="935">
        <f>EOMONTH(W241,2)</f>
        <v/>
      </c>
      <c r="X242" s="935">
        <f>EOMONTH(X241,2)</f>
        <v/>
      </c>
      <c r="Y242" s="935">
        <f>EOMONTH(Y241,2)</f>
        <v/>
      </c>
      <c r="Z242" s="935">
        <f>EOMONTH(Z241,2)</f>
        <v/>
      </c>
      <c r="AA242" s="935">
        <f>EOMONTH(AA241,2)</f>
        <v/>
      </c>
      <c r="AB242" s="935">
        <f>EOMONTH(AB241,2)</f>
        <v/>
      </c>
      <c r="AC242" s="935">
        <f>EOMONTH(AC241,2)</f>
        <v/>
      </c>
      <c r="AD242" s="935">
        <f>EOMONTH(AD241,2)</f>
        <v/>
      </c>
      <c r="AE242" s="935">
        <f>EOMONTH(AE241,2)</f>
        <v/>
      </c>
      <c r="AF242" s="935">
        <f>EOMONTH(AF241,2)</f>
        <v/>
      </c>
      <c r="AG242" s="935">
        <f>EOMONTH(AG241,2)</f>
        <v/>
      </c>
      <c r="AH242" s="935">
        <f>EOMONTH(AH241,2)</f>
        <v/>
      </c>
      <c r="AI242" s="935">
        <f>EOMONTH(AI241,2)</f>
        <v/>
      </c>
      <c r="AJ242" s="935">
        <f>EOMONTH(AJ241,2)</f>
        <v/>
      </c>
      <c r="AK242" s="935">
        <f>EOMONTH(AK241,2)</f>
        <v/>
      </c>
      <c r="AL242" s="935">
        <f>EOMONTH(AL241,2)</f>
        <v/>
      </c>
      <c r="AM242" s="935">
        <f>EOMONTH(AM241,2)</f>
        <v/>
      </c>
      <c r="AN242" s="935">
        <f>EOMONTH(AN241,2)</f>
        <v/>
      </c>
      <c r="AO242" s="935">
        <f>EOMONTH(AO241,2)</f>
        <v/>
      </c>
      <c r="AP242" s="935">
        <f>EOMONTH(AP241,2)</f>
        <v/>
      </c>
      <c r="AQ242" s="935">
        <f>EOMONTH(AQ241,2)</f>
        <v/>
      </c>
      <c r="AR242" s="935">
        <f>EOMONTH(AR241,2)</f>
        <v/>
      </c>
      <c r="AS242" s="935">
        <f>EOMONTH(AS241,2)</f>
        <v/>
      </c>
      <c r="AT242" s="935">
        <f>EOMONTH(AT241,2)</f>
        <v/>
      </c>
      <c r="AU242" s="935">
        <f>EOMONTH(AU241,2)</f>
        <v/>
      </c>
      <c r="AV242" s="935">
        <f>EOMONTH(AV241,2)</f>
        <v/>
      </c>
      <c r="AW242" s="935">
        <f>EOMONTH(AW241,2)</f>
        <v/>
      </c>
      <c r="AX242" s="935">
        <f>EOMONTH(AX241,2)</f>
        <v/>
      </c>
      <c r="AY242" s="935">
        <f>EOMONTH(AY241,2)</f>
        <v/>
      </c>
      <c r="AZ242" s="935">
        <f>EOMONTH(AZ241,2)</f>
        <v/>
      </c>
      <c r="BA242" s="935">
        <f>EOMONTH(BA241,2)</f>
        <v/>
      </c>
      <c r="BB242" s="935">
        <f>EOMONTH(BB241,2)</f>
        <v/>
      </c>
      <c r="BC242" s="935">
        <f>EOMONTH(BC241,2)</f>
        <v/>
      </c>
      <c r="BD242" s="935">
        <f>EOMONTH(BD241,2)</f>
        <v/>
      </c>
      <c r="BE242" s="935">
        <f>EOMONTH(BE241,2)</f>
        <v/>
      </c>
      <c r="BF242" s="935">
        <f>EOMONTH(BF241,2)</f>
        <v/>
      </c>
      <c r="BG242" s="935">
        <f>EOMONTH(BG241,2)</f>
        <v/>
      </c>
      <c r="BH242" s="935">
        <f>EOMONTH(BH241,2)</f>
        <v/>
      </c>
      <c r="BI242" s="935">
        <f>EOMONTH(BI241,2)</f>
        <v/>
      </c>
      <c r="BJ242" s="935">
        <f>EOMONTH(BJ241,2)</f>
        <v/>
      </c>
      <c r="BK242" s="935">
        <f>EOMONTH(BK241,2)</f>
        <v/>
      </c>
      <c r="BL242" s="935">
        <f>EOMONTH(BL241,2)</f>
        <v/>
      </c>
      <c r="BM242" s="935">
        <f>EOMONTH(BM241,2)</f>
        <v/>
      </c>
      <c r="BN242" s="935">
        <f>EOMONTH(BN241,2)</f>
        <v/>
      </c>
      <c r="BO242" s="935">
        <f>EOMONTH(BO241,2)</f>
        <v/>
      </c>
      <c r="BP242" s="935">
        <f>EOMONTH(BP241,2)</f>
        <v/>
      </c>
      <c r="BQ242" s="935">
        <f>EOMONTH(BQ241,2)</f>
        <v/>
      </c>
      <c r="BR242" s="935">
        <f>EOMONTH(BR241,2)</f>
        <v/>
      </c>
      <c r="BS242" s="935">
        <f>EOMONTH(BS241,2)</f>
        <v/>
      </c>
      <c r="BT242" s="935">
        <f>EOMONTH(BT241,2)</f>
        <v/>
      </c>
      <c r="BU242" s="935">
        <f>EOMONTH(BU241,2)</f>
        <v/>
      </c>
      <c r="BV242" s="935">
        <f>EOMONTH(BV241,2)</f>
        <v/>
      </c>
      <c r="BW242" s="935">
        <f>EOMONTH(BW241,2)</f>
        <v/>
      </c>
      <c r="BX242" s="935">
        <f>EOMONTH(BX241,2)</f>
        <v/>
      </c>
      <c r="BY242" s="935">
        <f>EOMONTH(BY241,2)</f>
        <v/>
      </c>
      <c r="BZ242" s="935">
        <f>EOMONTH(BZ241,2)</f>
        <v/>
      </c>
      <c r="CA242" s="935">
        <f>EOMONTH(CA241,2)</f>
        <v/>
      </c>
      <c r="CB242" s="935">
        <f>EOMONTH(CB241,2)</f>
        <v/>
      </c>
      <c r="CC242" s="935">
        <f>EOMONTH(CC241,2)</f>
        <v/>
      </c>
      <c r="CD242" s="935">
        <f>EOMONTH(CD241,2)</f>
        <v/>
      </c>
      <c r="CE242" s="935">
        <f>EOMONTH(CE241,2)</f>
        <v/>
      </c>
      <c r="CF242" s="935">
        <f>EOMONTH(CF241,2)</f>
        <v/>
      </c>
      <c r="CG242" s="935">
        <f>EOMONTH(CG241,2)</f>
        <v/>
      </c>
      <c r="CH242" s="935">
        <f>EOMONTH(CH241,2)</f>
        <v/>
      </c>
      <c r="CI242" s="935">
        <f>EOMONTH(CI241,2)</f>
        <v/>
      </c>
      <c r="CJ242" s="935">
        <f>EOMONTH(CJ241,2)</f>
        <v/>
      </c>
      <c r="CK242" s="935">
        <f>EOMONTH(CK241,2)</f>
        <v/>
      </c>
    </row>
    <row r="243" outlineLevel="1">
      <c r="A243" s="44" t="inlineStr">
        <is>
          <t>Year Starts</t>
        </is>
      </c>
      <c r="B243" s="46">
        <f>DATE(B1-1,4,1)</f>
        <v/>
      </c>
      <c r="C243" s="46">
        <f>DATE(C1-1,3,21)</f>
        <v/>
      </c>
      <c r="D243" s="46">
        <f>DATE(D1-1,3,21)</f>
        <v/>
      </c>
      <c r="E243" s="46">
        <f>DATE(E1-1,3,21)</f>
        <v/>
      </c>
      <c r="F243" s="46">
        <f>DATE(F1-1,3,21)</f>
        <v/>
      </c>
      <c r="G243" s="46">
        <f>DATE(G1-1,3,21)</f>
        <v/>
      </c>
      <c r="H243" s="46">
        <f>DATE(H1-1,3,21)</f>
        <v/>
      </c>
      <c r="I243" s="46">
        <f>DATE(I1-1,3,21)</f>
        <v/>
      </c>
      <c r="J243" s="46">
        <f>DATE(J1-1,3,21)</f>
        <v/>
      </c>
      <c r="K243" s="46">
        <f>DATE(K1-1,3,21)</f>
        <v/>
      </c>
      <c r="L243" s="46">
        <f>DATE(L1-1,3,21)</f>
        <v/>
      </c>
      <c r="M243" s="46">
        <f>DATE(M1-1,3,21)</f>
        <v/>
      </c>
      <c r="N243" s="522">
        <f>DATE(N1,1,1)</f>
        <v/>
      </c>
      <c r="O243" s="522">
        <f>DATE(O1,1,1)</f>
        <v/>
      </c>
      <c r="P243" s="522">
        <f>DATE(P1,1,1)</f>
        <v/>
      </c>
      <c r="Q243" s="522">
        <f>DATE(Q1,1,1)</f>
        <v/>
      </c>
      <c r="R243" s="522">
        <f>DATE(R1,1,1)</f>
        <v/>
      </c>
      <c r="S243" s="522">
        <f>DATE(S1,1,1)</f>
        <v/>
      </c>
      <c r="T243" s="522">
        <f>DATE(T1,1,1)</f>
        <v/>
      </c>
      <c r="U243" s="522">
        <f>DATE(U1,1,1)</f>
        <v/>
      </c>
      <c r="V243" s="522">
        <f>DATE(V1,1,1)</f>
        <v/>
      </c>
      <c r="W243" s="522">
        <f>DATE(W1,1,1)</f>
        <v/>
      </c>
      <c r="X243" s="522">
        <f>DATE(X1,1,1)</f>
        <v/>
      </c>
      <c r="Y243" s="522">
        <f>DATE(Y1,1,1)</f>
        <v/>
      </c>
      <c r="Z243" s="522">
        <f>DATE(Z1,1,1)</f>
        <v/>
      </c>
      <c r="AA243" s="522">
        <f>DATE(AA1,1,1)</f>
        <v/>
      </c>
      <c r="AB243" s="522">
        <f>DATE(AB1,1,1)</f>
        <v/>
      </c>
      <c r="AC243" s="522">
        <f>DATE(AC1,1,1)</f>
        <v/>
      </c>
      <c r="AD243" s="522">
        <f>DATE(AD1,1,1)</f>
        <v/>
      </c>
      <c r="AE243" s="522">
        <f>DATE(AE1,1,1)</f>
        <v/>
      </c>
      <c r="AF243" s="522">
        <f>DATE(AF1,1,1)</f>
        <v/>
      </c>
      <c r="AG243" s="522">
        <f>DATE(AG1,1,1)</f>
        <v/>
      </c>
      <c r="AH243" s="522">
        <f>DATE(AH1,1,1)</f>
        <v/>
      </c>
      <c r="AI243" s="522">
        <f>DATE(AI1,1,1)</f>
        <v/>
      </c>
      <c r="AJ243" s="522">
        <f>DATE(AJ1,1,1)</f>
        <v/>
      </c>
      <c r="AK243" s="522">
        <f>DATE(AK1,1,1)</f>
        <v/>
      </c>
      <c r="AL243" s="522">
        <f>DATE(AL1,1,1)</f>
        <v/>
      </c>
      <c r="AM243" s="522">
        <f>DATE(AM1,1,1)</f>
        <v/>
      </c>
      <c r="AN243" s="522">
        <f>DATE(AN1,1,1)</f>
        <v/>
      </c>
      <c r="AO243" s="522">
        <f>DATE(AO1,1,1)</f>
        <v/>
      </c>
      <c r="AP243" s="522">
        <f>DATE(AP1,1,1)</f>
        <v/>
      </c>
      <c r="AQ243" s="522">
        <f>DATE(AQ1,1,1)</f>
        <v/>
      </c>
      <c r="AR243" s="522">
        <f>DATE(AR1,1,1)</f>
        <v/>
      </c>
      <c r="AS243" s="522">
        <f>DATE(AS1,1,1)</f>
        <v/>
      </c>
      <c r="AT243" s="522">
        <f>DATE(AT1,1,1)</f>
        <v/>
      </c>
      <c r="AU243" s="522">
        <f>DATE(AU1,1,1)</f>
        <v/>
      </c>
      <c r="AV243" s="522">
        <f>DATE(AV1,1,1)</f>
        <v/>
      </c>
      <c r="AW243" s="522">
        <f>DATE(AW1,1,1)</f>
        <v/>
      </c>
      <c r="AX243" s="522">
        <f>DATE(AX1,1,1)</f>
        <v/>
      </c>
      <c r="AY243" s="522">
        <f>DATE(AY1,1,1)</f>
        <v/>
      </c>
      <c r="AZ243" s="522">
        <f>DATE(AZ1,1,1)</f>
        <v/>
      </c>
      <c r="BA243" s="522">
        <f>DATE(BA1,1,1)</f>
        <v/>
      </c>
      <c r="BB243" s="522">
        <f>DATE(BB1,1,1)</f>
        <v/>
      </c>
      <c r="BC243" s="522">
        <f>DATE(BC1,1,1)</f>
        <v/>
      </c>
      <c r="BD243" s="522">
        <f>DATE(BD1,1,1)</f>
        <v/>
      </c>
      <c r="BE243" s="522">
        <f>DATE(BE1,1,1)</f>
        <v/>
      </c>
      <c r="BF243" s="522">
        <f>DATE(BF1,1,1)</f>
        <v/>
      </c>
      <c r="BG243" s="522">
        <f>DATE(BG1,1,1)</f>
        <v/>
      </c>
      <c r="BH243" s="522">
        <f>DATE(BH1,1,1)</f>
        <v/>
      </c>
      <c r="BI243" s="522">
        <f>DATE(BI1,1,1)</f>
        <v/>
      </c>
      <c r="BJ243" s="522">
        <f>DATE(BJ1,1,1)</f>
        <v/>
      </c>
      <c r="BK243" s="522">
        <f>DATE(BK1,1,1)</f>
        <v/>
      </c>
      <c r="BL243" s="522">
        <f>DATE(BL1,1,1)</f>
        <v/>
      </c>
      <c r="BM243" s="522">
        <f>DATE(BM1,1,1)</f>
        <v/>
      </c>
      <c r="BN243" s="522">
        <f>DATE(BN1,1,1)</f>
        <v/>
      </c>
      <c r="BO243" s="522">
        <f>DATE(BO1,1,1)</f>
        <v/>
      </c>
      <c r="BP243" s="522">
        <f>DATE(BP1,1,1)</f>
        <v/>
      </c>
      <c r="BQ243" s="522">
        <f>DATE(BQ1,1,1)</f>
        <v/>
      </c>
      <c r="BR243" s="522">
        <f>DATE(BR1,1,1)</f>
        <v/>
      </c>
      <c r="BS243" s="522">
        <f>DATE(BS1,1,1)</f>
        <v/>
      </c>
      <c r="BT243" s="522">
        <f>DATE(BT1,1,1)</f>
        <v/>
      </c>
      <c r="BU243" s="522">
        <f>DATE(BU1,1,1)</f>
        <v/>
      </c>
      <c r="BV243" s="522">
        <f>DATE(BV1,1,1)</f>
        <v/>
      </c>
      <c r="BW243" s="522">
        <f>DATE(BW1,1,1)</f>
        <v/>
      </c>
      <c r="BX243" s="522">
        <f>DATE(BX1,1,1)</f>
        <v/>
      </c>
      <c r="BY243" s="522">
        <f>DATE(BY1,1,1)</f>
        <v/>
      </c>
      <c r="BZ243" s="522">
        <f>DATE(BZ1,1,1)</f>
        <v/>
      </c>
      <c r="CA243" s="522">
        <f>DATE(CA1,1,1)</f>
        <v/>
      </c>
      <c r="CB243" s="522">
        <f>DATE(CB1,1,1)</f>
        <v/>
      </c>
      <c r="CC243" s="522">
        <f>DATE(CC1,1,1)</f>
        <v/>
      </c>
      <c r="CD243" s="522">
        <f>DATE(CD1,1,1)</f>
        <v/>
      </c>
      <c r="CE243" s="522">
        <f>DATE(CE1,1,1)</f>
        <v/>
      </c>
      <c r="CF243" s="522">
        <f>DATE(CF1,1,1)</f>
        <v/>
      </c>
      <c r="CG243" s="522">
        <f>DATE(CG1,1,1)</f>
        <v/>
      </c>
      <c r="CH243" s="522">
        <f>DATE(CH1,1,1)</f>
        <v/>
      </c>
      <c r="CI243" s="522">
        <f>DATE(CI1,1,1)</f>
        <v/>
      </c>
      <c r="CJ243" s="522">
        <f>DATE(CJ1,1,1)</f>
        <v/>
      </c>
      <c r="CK243" s="522">
        <f>DATE(CK1,1,1)</f>
        <v/>
      </c>
    </row>
    <row r="244" outlineLevel="1">
      <c r="A244" s="44" t="inlineStr">
        <is>
          <t>Year Ends</t>
        </is>
      </c>
      <c r="B244" s="46">
        <f>EDATE(B243,12)-1</f>
        <v/>
      </c>
      <c r="C244" s="46">
        <f>EDATE(C243,12)-1</f>
        <v/>
      </c>
      <c r="D244" s="46">
        <f>EDATE(D243,12)-1</f>
        <v/>
      </c>
      <c r="E244" s="46">
        <f>EDATE(E243,12)-1</f>
        <v/>
      </c>
      <c r="F244" s="46">
        <f>EDATE(F243,12)-1</f>
        <v/>
      </c>
      <c r="G244" s="46">
        <f>EDATE(G243,12)-1</f>
        <v/>
      </c>
      <c r="H244" s="46">
        <f>EDATE(H243,12)-1</f>
        <v/>
      </c>
      <c r="I244" s="46">
        <f>EDATE(I243,12)-1</f>
        <v/>
      </c>
      <c r="J244" s="46">
        <f>EDATE(J243,12)-1</f>
        <v/>
      </c>
      <c r="K244" s="46">
        <f>EDATE(K243,12)-1</f>
        <v/>
      </c>
      <c r="L244" s="46">
        <f>EDATE(L243,12)-1</f>
        <v/>
      </c>
      <c r="M244" s="46">
        <f>EDATE(M243,12)-1</f>
        <v/>
      </c>
      <c r="N244" s="522">
        <f>DATE(N1,12,31)</f>
        <v/>
      </c>
      <c r="O244" s="522">
        <f>DATE(O1,12,31)</f>
        <v/>
      </c>
      <c r="P244" s="522">
        <f>DATE(P1,12,31)</f>
        <v/>
      </c>
      <c r="Q244" s="522">
        <f>DATE(Q1,12,31)</f>
        <v/>
      </c>
      <c r="R244" s="522">
        <f>DATE(R1,12,31)</f>
        <v/>
      </c>
      <c r="S244" s="522">
        <f>DATE(S1,12,31)</f>
        <v/>
      </c>
      <c r="T244" s="522">
        <f>DATE(T1,12,31)</f>
        <v/>
      </c>
      <c r="U244" s="522">
        <f>DATE(U1,12,31)</f>
        <v/>
      </c>
      <c r="V244" s="522">
        <f>DATE(V1,12,31)</f>
        <v/>
      </c>
      <c r="W244" s="522">
        <f>DATE(W1,12,31)</f>
        <v/>
      </c>
      <c r="X244" s="522">
        <f>DATE(X1,12,31)</f>
        <v/>
      </c>
      <c r="Y244" s="522">
        <f>DATE(Y1,12,31)</f>
        <v/>
      </c>
      <c r="Z244" s="522">
        <f>DATE(Z1,12,31)</f>
        <v/>
      </c>
      <c r="AA244" s="522">
        <f>DATE(AA1,12,31)</f>
        <v/>
      </c>
      <c r="AB244" s="522">
        <f>DATE(AB1,12,31)</f>
        <v/>
      </c>
      <c r="AC244" s="522">
        <f>DATE(AC1,12,31)</f>
        <v/>
      </c>
      <c r="AD244" s="522">
        <f>DATE(AD1,12,31)</f>
        <v/>
      </c>
      <c r="AE244" s="522">
        <f>DATE(AE1,12,31)</f>
        <v/>
      </c>
      <c r="AF244" s="522">
        <f>DATE(AF1,12,31)</f>
        <v/>
      </c>
      <c r="AG244" s="522">
        <f>DATE(AG1,12,31)</f>
        <v/>
      </c>
      <c r="AH244" s="522">
        <f>DATE(AH1,12,31)</f>
        <v/>
      </c>
      <c r="AI244" s="522">
        <f>DATE(AI1,12,31)</f>
        <v/>
      </c>
      <c r="AJ244" s="522">
        <f>DATE(AJ1,12,31)</f>
        <v/>
      </c>
      <c r="AK244" s="522">
        <f>DATE(AK1,12,31)</f>
        <v/>
      </c>
      <c r="AL244" s="522">
        <f>DATE(AL1,12,31)</f>
        <v/>
      </c>
      <c r="AM244" s="522">
        <f>DATE(AM1,12,31)</f>
        <v/>
      </c>
      <c r="AN244" s="522">
        <f>DATE(AN1,12,31)</f>
        <v/>
      </c>
      <c r="AO244" s="522">
        <f>DATE(AO1,12,31)</f>
        <v/>
      </c>
      <c r="AP244" s="522">
        <f>DATE(AP1,12,31)</f>
        <v/>
      </c>
      <c r="AQ244" s="522">
        <f>DATE(AQ1,12,31)</f>
        <v/>
      </c>
      <c r="AR244" s="522">
        <f>DATE(AR1,12,31)</f>
        <v/>
      </c>
      <c r="AS244" s="522">
        <f>DATE(AS1,12,31)</f>
        <v/>
      </c>
      <c r="AT244" s="522">
        <f>DATE(AT1,12,31)</f>
        <v/>
      </c>
      <c r="AU244" s="522">
        <f>DATE(AU1,12,31)</f>
        <v/>
      </c>
      <c r="AV244" s="522">
        <f>DATE(AV1,12,31)</f>
        <v/>
      </c>
      <c r="AW244" s="522">
        <f>DATE(AW1,12,31)</f>
        <v/>
      </c>
      <c r="AX244" s="522">
        <f>DATE(AX1,12,31)</f>
        <v/>
      </c>
      <c r="AY244" s="522">
        <f>DATE(AY1,12,31)</f>
        <v/>
      </c>
      <c r="AZ244" s="522">
        <f>DATE(AZ1,12,31)</f>
        <v/>
      </c>
      <c r="BA244" s="522">
        <f>DATE(BA1,12,31)</f>
        <v/>
      </c>
      <c r="BB244" s="522">
        <f>DATE(BB1,12,31)</f>
        <v/>
      </c>
      <c r="BC244" s="522">
        <f>DATE(BC1,12,31)</f>
        <v/>
      </c>
      <c r="BD244" s="522">
        <f>DATE(BD1,12,31)</f>
        <v/>
      </c>
      <c r="BE244" s="522">
        <f>DATE(BE1,12,31)</f>
        <v/>
      </c>
      <c r="BF244" s="522">
        <f>DATE(BF1,12,31)</f>
        <v/>
      </c>
      <c r="BG244" s="522">
        <f>DATE(BG1,12,31)</f>
        <v/>
      </c>
      <c r="BH244" s="522">
        <f>DATE(BH1,12,31)</f>
        <v/>
      </c>
      <c r="BI244" s="522">
        <f>DATE(BI1,12,31)</f>
        <v/>
      </c>
      <c r="BJ244" s="522">
        <f>DATE(BJ1,12,31)</f>
        <v/>
      </c>
      <c r="BK244" s="522">
        <f>DATE(BK1,12,31)</f>
        <v/>
      </c>
      <c r="BL244" s="522">
        <f>DATE(BL1,12,31)</f>
        <v/>
      </c>
      <c r="BM244" s="522">
        <f>DATE(BM1,12,31)</f>
        <v/>
      </c>
      <c r="BN244" s="522">
        <f>DATE(BN1,12,31)</f>
        <v/>
      </c>
      <c r="BO244" s="522">
        <f>DATE(BO1,12,31)</f>
        <v/>
      </c>
      <c r="BP244" s="522">
        <f>DATE(BP1,12,31)</f>
        <v/>
      </c>
      <c r="BQ244" s="522">
        <f>DATE(BQ1,12,31)</f>
        <v/>
      </c>
      <c r="BR244" s="522">
        <f>DATE(BR1,12,31)</f>
        <v/>
      </c>
      <c r="BS244" s="522">
        <f>DATE(BS1,12,31)</f>
        <v/>
      </c>
      <c r="BT244" s="522">
        <f>DATE(BT1,12,31)</f>
        <v/>
      </c>
      <c r="BU244" s="522">
        <f>DATE(BU1,12,31)</f>
        <v/>
      </c>
      <c r="BV244" s="522">
        <f>DATE(BV1,12,31)</f>
        <v/>
      </c>
      <c r="BW244" s="522">
        <f>DATE(BW1,12,31)</f>
        <v/>
      </c>
      <c r="BX244" s="522">
        <f>DATE(BX1,12,31)</f>
        <v/>
      </c>
      <c r="BY244" s="522">
        <f>DATE(BY1,12,31)</f>
        <v/>
      </c>
      <c r="BZ244" s="522">
        <f>DATE(BZ1,12,31)</f>
        <v/>
      </c>
      <c r="CA244" s="522">
        <f>DATE(CA1,12,31)</f>
        <v/>
      </c>
      <c r="CB244" s="522">
        <f>DATE(CB1,12,31)</f>
        <v/>
      </c>
      <c r="CC244" s="522">
        <f>DATE(CC1,12,31)</f>
        <v/>
      </c>
      <c r="CD244" s="522">
        <f>DATE(CD1,12,31)</f>
        <v/>
      </c>
      <c r="CE244" s="522">
        <f>DATE(CE1,12,31)</f>
        <v/>
      </c>
      <c r="CF244" s="522">
        <f>DATE(CF1,12,31)</f>
        <v/>
      </c>
      <c r="CG244" s="522">
        <f>DATE(CG1,12,31)</f>
        <v/>
      </c>
      <c r="CH244" s="522">
        <f>DATE(CH1,12,31)</f>
        <v/>
      </c>
      <c r="CI244" s="522">
        <f>DATE(CI1,12,31)</f>
        <v/>
      </c>
      <c r="CJ244" s="522">
        <f>DATE(CJ1,12,31)</f>
        <v/>
      </c>
      <c r="CK244" s="522">
        <f>DATE(CK1,12,31)</f>
        <v/>
      </c>
    </row>
    <row r="245" outlineLevel="1">
      <c r="A245" s="44" t="inlineStr">
        <is>
          <t>Period Days</t>
        </is>
      </c>
      <c r="B245" s="82">
        <f>B242-B241+1</f>
        <v/>
      </c>
      <c r="C245" s="82">
        <f>C242-C241+1</f>
        <v/>
      </c>
      <c r="D245" s="82">
        <f>D242-D241+1</f>
        <v/>
      </c>
      <c r="E245" s="82">
        <f>E242-E241+1</f>
        <v/>
      </c>
      <c r="F245" s="82">
        <f>F242-F241+1</f>
        <v/>
      </c>
      <c r="G245" s="82">
        <f>G242-G241+1</f>
        <v/>
      </c>
      <c r="H245" s="82">
        <f>H242-H241+1</f>
        <v/>
      </c>
      <c r="I245" s="82">
        <f>I242-I241+1</f>
        <v/>
      </c>
      <c r="J245" s="82">
        <f>J242-J241+1</f>
        <v/>
      </c>
      <c r="K245" s="82">
        <f>K242-K241+1</f>
        <v/>
      </c>
      <c r="L245" s="82">
        <f>L242-L241+1</f>
        <v/>
      </c>
      <c r="M245" s="82">
        <f>M242-M241+1</f>
        <v/>
      </c>
      <c r="N245" s="82">
        <f>N242-N241+1</f>
        <v/>
      </c>
      <c r="O245" s="82">
        <f>O242-O241+1</f>
        <v/>
      </c>
      <c r="P245" s="82">
        <f>P242-P241+1</f>
        <v/>
      </c>
      <c r="Q245" s="82">
        <f>Q242-Q241+1</f>
        <v/>
      </c>
      <c r="R245" s="82">
        <f>R242-R241+1</f>
        <v/>
      </c>
      <c r="S245" s="82">
        <f>S242-S241+1</f>
        <v/>
      </c>
      <c r="T245" s="82">
        <f>T242-T241+1</f>
        <v/>
      </c>
      <c r="U245" s="82">
        <f>U242-U241+1</f>
        <v/>
      </c>
      <c r="V245" s="82">
        <f>V242-V241+1</f>
        <v/>
      </c>
      <c r="W245" s="82">
        <f>W242-W241+1</f>
        <v/>
      </c>
      <c r="X245" s="82">
        <f>X242-X241+1</f>
        <v/>
      </c>
      <c r="Y245" s="82">
        <f>Y242-Y241+1</f>
        <v/>
      </c>
      <c r="Z245" s="82">
        <f>Z242-Z241+1</f>
        <v/>
      </c>
      <c r="AA245" s="82">
        <f>AA242-AA241+1</f>
        <v/>
      </c>
      <c r="AB245" s="82">
        <f>AB242-AB241+1</f>
        <v/>
      </c>
      <c r="AC245" s="82">
        <f>AC242-AC241+1</f>
        <v/>
      </c>
      <c r="AD245" s="82">
        <f>AD242-AD241+1</f>
        <v/>
      </c>
      <c r="AE245" s="82">
        <f>AE242-AE241+1</f>
        <v/>
      </c>
      <c r="AF245" s="82">
        <f>AF242-AF241+1</f>
        <v/>
      </c>
      <c r="AG245" s="82">
        <f>AG242-AG241+1</f>
        <v/>
      </c>
      <c r="AH245" s="82">
        <f>AH242-AH241+1</f>
        <v/>
      </c>
      <c r="AI245" s="82">
        <f>AI242-AI241+1</f>
        <v/>
      </c>
      <c r="AJ245" s="82">
        <f>AJ242-AJ241+1</f>
        <v/>
      </c>
      <c r="AK245" s="82">
        <f>AK242-AK241+1</f>
        <v/>
      </c>
      <c r="AL245" s="82">
        <f>AL242-AL241+1</f>
        <v/>
      </c>
      <c r="AM245" s="82">
        <f>AM242-AM241+1</f>
        <v/>
      </c>
      <c r="AN245" s="82">
        <f>AN242-AN241+1</f>
        <v/>
      </c>
      <c r="AO245" s="82">
        <f>AO242-AO241+1</f>
        <v/>
      </c>
      <c r="AP245" s="82">
        <f>AP242-AP241+1</f>
        <v/>
      </c>
      <c r="AQ245" s="82">
        <f>AQ242-AQ241+1</f>
        <v/>
      </c>
      <c r="AR245" s="82">
        <f>AR242-AR241+1</f>
        <v/>
      </c>
      <c r="AS245" s="82">
        <f>AS242-AS241+1</f>
        <v/>
      </c>
      <c r="AT245" s="82">
        <f>AT242-AT241+1</f>
        <v/>
      </c>
      <c r="AU245" s="82">
        <f>AU242-AU241+1</f>
        <v/>
      </c>
      <c r="AV245" s="82">
        <f>AV242-AV241+1</f>
        <v/>
      </c>
      <c r="AW245" s="82">
        <f>AW242-AW241+1</f>
        <v/>
      </c>
      <c r="AX245" s="82">
        <f>AX242-AX241+1</f>
        <v/>
      </c>
      <c r="AY245" s="82">
        <f>AY242-AY241+1</f>
        <v/>
      </c>
      <c r="AZ245" s="82">
        <f>AZ242-AZ241+1</f>
        <v/>
      </c>
      <c r="BA245" s="82">
        <f>BA242-BA241+1</f>
        <v/>
      </c>
      <c r="BB245" s="82">
        <f>BB242-BB241+1</f>
        <v/>
      </c>
      <c r="BC245" s="82">
        <f>BC242-BC241+1</f>
        <v/>
      </c>
      <c r="BD245" s="82">
        <f>BD242-BD241+1</f>
        <v/>
      </c>
      <c r="BE245" s="82">
        <f>BE242-BE241+1</f>
        <v/>
      </c>
      <c r="BF245" s="82">
        <f>BF242-BF241+1</f>
        <v/>
      </c>
      <c r="BG245" s="82">
        <f>BG242-BG241+1</f>
        <v/>
      </c>
      <c r="BH245" s="82">
        <f>BH242-BH241+1</f>
        <v/>
      </c>
      <c r="BI245" s="82">
        <f>BI242-BI241+1</f>
        <v/>
      </c>
      <c r="BJ245" s="82">
        <f>BJ242-BJ241+1</f>
        <v/>
      </c>
      <c r="BK245" s="82">
        <f>BK242-BK241+1</f>
        <v/>
      </c>
      <c r="BL245" s="82">
        <f>BL242-BL241+1</f>
        <v/>
      </c>
      <c r="BM245" s="82">
        <f>BM242-BM241+1</f>
        <v/>
      </c>
      <c r="BN245" s="82">
        <f>BN242-BN241+1</f>
        <v/>
      </c>
      <c r="BO245" s="82">
        <f>BO242-BO241+1</f>
        <v/>
      </c>
      <c r="BP245" s="82">
        <f>BP242-BP241+1</f>
        <v/>
      </c>
      <c r="BQ245" s="82">
        <f>BQ242-BQ241+1</f>
        <v/>
      </c>
      <c r="BR245" s="82">
        <f>BR242-BR241+1</f>
        <v/>
      </c>
      <c r="BS245" s="82">
        <f>BS242-BS241+1</f>
        <v/>
      </c>
      <c r="BT245" s="82">
        <f>BT242-BT241+1</f>
        <v/>
      </c>
      <c r="BU245" s="82">
        <f>BU242-BU241+1</f>
        <v/>
      </c>
      <c r="BV245" s="82">
        <f>BV242-BV241+1</f>
        <v/>
      </c>
      <c r="BW245" s="82">
        <f>BW242-BW241+1</f>
        <v/>
      </c>
      <c r="BX245" s="82">
        <f>BX242-BX241+1</f>
        <v/>
      </c>
      <c r="BY245" s="82">
        <f>BY242-BY241+1</f>
        <v/>
      </c>
      <c r="BZ245" s="82">
        <f>BZ242-BZ241+1</f>
        <v/>
      </c>
      <c r="CA245" s="82">
        <f>CA242-CA241+1</f>
        <v/>
      </c>
      <c r="CB245" s="82">
        <f>CB242-CB241+1</f>
        <v/>
      </c>
      <c r="CC245" s="82">
        <f>CC242-CC241+1</f>
        <v/>
      </c>
      <c r="CD245" s="82">
        <f>CD242-CD241+1</f>
        <v/>
      </c>
      <c r="CE245" s="82">
        <f>CE242-CE241+1</f>
        <v/>
      </c>
      <c r="CF245" s="82">
        <f>CF242-CF241+1</f>
        <v/>
      </c>
      <c r="CG245" s="82">
        <f>CG242-CG241+1</f>
        <v/>
      </c>
      <c r="CH245" s="82">
        <f>CH242-CH241+1</f>
        <v/>
      </c>
      <c r="CI245" s="82">
        <f>CI242-CI241+1</f>
        <v/>
      </c>
      <c r="CJ245" s="82">
        <f>CJ242-CJ241+1</f>
        <v/>
      </c>
      <c r="CK245" s="82">
        <f>CK242-CK241+1</f>
        <v/>
      </c>
    </row>
    <row r="246" outlineLevel="1">
      <c r="A246" s="44" t="inlineStr">
        <is>
          <t>Year Days</t>
        </is>
      </c>
      <c r="B246" s="82">
        <f>B244-B243+1</f>
        <v/>
      </c>
      <c r="C246" s="82">
        <f>C244-C243+1</f>
        <v/>
      </c>
      <c r="D246" s="82">
        <f>D244-D243+1</f>
        <v/>
      </c>
      <c r="E246" s="82">
        <f>E244-E243+1</f>
        <v/>
      </c>
      <c r="F246" s="82">
        <f>F244-F243+1</f>
        <v/>
      </c>
      <c r="G246" s="82">
        <f>G244-G243+1</f>
        <v/>
      </c>
      <c r="H246" s="82">
        <f>H244-H243+1</f>
        <v/>
      </c>
      <c r="I246" s="82">
        <f>I244-I243+1</f>
        <v/>
      </c>
      <c r="J246" s="82">
        <f>J244-J243+1</f>
        <v/>
      </c>
      <c r="K246" s="82">
        <f>K244-K243+1</f>
        <v/>
      </c>
      <c r="L246" s="82">
        <f>L244-L243+1</f>
        <v/>
      </c>
      <c r="M246" s="82">
        <f>M244-M243+1</f>
        <v/>
      </c>
      <c r="N246" s="82">
        <f>N244-N243+1</f>
        <v/>
      </c>
      <c r="O246" s="82">
        <f>O244-O243+1</f>
        <v/>
      </c>
      <c r="P246" s="82">
        <f>P244-P243+1</f>
        <v/>
      </c>
      <c r="Q246" s="82">
        <f>Q244-Q243+1</f>
        <v/>
      </c>
      <c r="R246" s="82">
        <f>R244-R243+1</f>
        <v/>
      </c>
      <c r="S246" s="82">
        <f>S244-S243+1</f>
        <v/>
      </c>
      <c r="T246" s="82">
        <f>T244-T243+1</f>
        <v/>
      </c>
      <c r="U246" s="82">
        <f>U244-U243+1</f>
        <v/>
      </c>
      <c r="V246" s="82">
        <f>V244-V243+1</f>
        <v/>
      </c>
      <c r="W246" s="82">
        <f>W244-W243+1</f>
        <v/>
      </c>
      <c r="X246" s="82">
        <f>X244-X243+1</f>
        <v/>
      </c>
      <c r="Y246" s="82">
        <f>Y244-Y243+1</f>
        <v/>
      </c>
      <c r="Z246" s="82">
        <f>Z244-Z243+1</f>
        <v/>
      </c>
      <c r="AA246" s="82">
        <f>AA244-AA243+1</f>
        <v/>
      </c>
      <c r="AB246" s="82">
        <f>AB244-AB243+1</f>
        <v/>
      </c>
      <c r="AC246" s="82">
        <f>AC244-AC243+1</f>
        <v/>
      </c>
      <c r="AD246" s="82">
        <f>AD244-AD243+1</f>
        <v/>
      </c>
      <c r="AE246" s="82">
        <f>AE244-AE243+1</f>
        <v/>
      </c>
      <c r="AF246" s="82">
        <f>AF244-AF243+1</f>
        <v/>
      </c>
      <c r="AG246" s="82">
        <f>AG244-AG243+1</f>
        <v/>
      </c>
      <c r="AH246" s="82">
        <f>AH244-AH243+1</f>
        <v/>
      </c>
      <c r="AI246" s="82">
        <f>AI244-AI243+1</f>
        <v/>
      </c>
      <c r="AJ246" s="82">
        <f>AJ244-AJ243+1</f>
        <v/>
      </c>
      <c r="AK246" s="82">
        <f>AK244-AK243+1</f>
        <v/>
      </c>
      <c r="AL246" s="82">
        <f>AL244-AL243+1</f>
        <v/>
      </c>
      <c r="AM246" s="82">
        <f>AM244-AM243+1</f>
        <v/>
      </c>
      <c r="AN246" s="82">
        <f>AN244-AN243+1</f>
        <v/>
      </c>
      <c r="AO246" s="82">
        <f>AO244-AO243+1</f>
        <v/>
      </c>
      <c r="AP246" s="82">
        <f>AP244-AP243+1</f>
        <v/>
      </c>
      <c r="AQ246" s="82">
        <f>AQ244-AQ243+1</f>
        <v/>
      </c>
      <c r="AR246" s="82">
        <f>AR244-AR243+1</f>
        <v/>
      </c>
      <c r="AS246" s="82">
        <f>AS244-AS243+1</f>
        <v/>
      </c>
      <c r="AT246" s="82">
        <f>AT244-AT243+1</f>
        <v/>
      </c>
      <c r="AU246" s="82">
        <f>AU244-AU243+1</f>
        <v/>
      </c>
      <c r="AV246" s="82">
        <f>AV244-AV243+1</f>
        <v/>
      </c>
      <c r="AW246" s="82">
        <f>AW244-AW243+1</f>
        <v/>
      </c>
      <c r="AX246" s="82">
        <f>AX244-AX243+1</f>
        <v/>
      </c>
      <c r="AY246" s="82">
        <f>AY244-AY243+1</f>
        <v/>
      </c>
      <c r="AZ246" s="82">
        <f>AZ244-AZ243+1</f>
        <v/>
      </c>
      <c r="BA246" s="82">
        <f>BA244-BA243+1</f>
        <v/>
      </c>
      <c r="BB246" s="82">
        <f>BB244-BB243+1</f>
        <v/>
      </c>
      <c r="BC246" s="82">
        <f>BC244-BC243+1</f>
        <v/>
      </c>
      <c r="BD246" s="82">
        <f>BD244-BD243+1</f>
        <v/>
      </c>
      <c r="BE246" s="82">
        <f>BE244-BE243+1</f>
        <v/>
      </c>
      <c r="BF246" s="82">
        <f>BF244-BF243+1</f>
        <v/>
      </c>
      <c r="BG246" s="82">
        <f>BG244-BG243+1</f>
        <v/>
      </c>
      <c r="BH246" s="82">
        <f>BH244-BH243+1</f>
        <v/>
      </c>
      <c r="BI246" s="82">
        <f>BI244-BI243+1</f>
        <v/>
      </c>
      <c r="BJ246" s="82">
        <f>BJ244-BJ243+1</f>
        <v/>
      </c>
      <c r="BK246" s="82">
        <f>BK244-BK243+1</f>
        <v/>
      </c>
      <c r="BL246" s="82">
        <f>BL244-BL243+1</f>
        <v/>
      </c>
      <c r="BM246" s="82">
        <f>BM244-BM243+1</f>
        <v/>
      </c>
      <c r="BN246" s="82">
        <f>BN244-BN243+1</f>
        <v/>
      </c>
      <c r="BO246" s="82">
        <f>BO244-BO243+1</f>
        <v/>
      </c>
      <c r="BP246" s="82">
        <f>BP244-BP243+1</f>
        <v/>
      </c>
      <c r="BQ246" s="82">
        <f>BQ244-BQ243+1</f>
        <v/>
      </c>
      <c r="BR246" s="82">
        <f>BR244-BR243+1</f>
        <v/>
      </c>
      <c r="BS246" s="82">
        <f>BS244-BS243+1</f>
        <v/>
      </c>
      <c r="BT246" s="82">
        <f>BT244-BT243+1</f>
        <v/>
      </c>
      <c r="BU246" s="82">
        <f>BU244-BU243+1</f>
        <v/>
      </c>
      <c r="BV246" s="82">
        <f>BV244-BV243+1</f>
        <v/>
      </c>
      <c r="BW246" s="82">
        <f>BW244-BW243+1</f>
        <v/>
      </c>
      <c r="BX246" s="82">
        <f>BX244-BX243+1</f>
        <v/>
      </c>
      <c r="BY246" s="82">
        <f>BY244-BY243+1</f>
        <v/>
      </c>
      <c r="BZ246" s="82">
        <f>BZ244-BZ243+1</f>
        <v/>
      </c>
      <c r="CA246" s="82">
        <f>CA244-CA243+1</f>
        <v/>
      </c>
      <c r="CB246" s="82">
        <f>CB244-CB243+1</f>
        <v/>
      </c>
      <c r="CC246" s="82">
        <f>CC244-CC243+1</f>
        <v/>
      </c>
      <c r="CD246" s="82">
        <f>CD244-CD243+1</f>
        <v/>
      </c>
      <c r="CE246" s="82">
        <f>CE244-CE243+1</f>
        <v/>
      </c>
      <c r="CF246" s="82">
        <f>CF244-CF243+1</f>
        <v/>
      </c>
      <c r="CG246" s="82">
        <f>CG244-CG243+1</f>
        <v/>
      </c>
      <c r="CH246" s="82">
        <f>CH244-CH243+1</f>
        <v/>
      </c>
      <c r="CI246" s="82">
        <f>CI244-CI243+1</f>
        <v/>
      </c>
      <c r="CJ246" s="82">
        <f>CJ244-CJ243+1</f>
        <v/>
      </c>
      <c r="CK246" s="82">
        <f>CK244-CK243+1</f>
        <v/>
      </c>
    </row>
    <row r="247" outlineLevel="1">
      <c r="A247" s="44" t="inlineStr">
        <is>
          <t>Annualization Factor</t>
        </is>
      </c>
      <c r="B247" s="47">
        <f>+B246/B245</f>
        <v/>
      </c>
      <c r="C247" s="47">
        <f>+C246/C245</f>
        <v/>
      </c>
      <c r="D247" s="47">
        <f>+D246/D245</f>
        <v/>
      </c>
      <c r="E247" s="47">
        <f>+E246/E245</f>
        <v/>
      </c>
      <c r="F247" s="47">
        <f>+F246/F245</f>
        <v/>
      </c>
      <c r="G247" s="47">
        <f>+G246/G245</f>
        <v/>
      </c>
      <c r="H247" s="47">
        <f>+H246/H245</f>
        <v/>
      </c>
      <c r="I247" s="47">
        <f>+I246/I245</f>
        <v/>
      </c>
      <c r="J247" s="47">
        <f>+J246/J245</f>
        <v/>
      </c>
      <c r="K247" s="47">
        <f>+K246/K245</f>
        <v/>
      </c>
      <c r="L247" s="47">
        <f>+L246/L245</f>
        <v/>
      </c>
      <c r="M247" s="47">
        <f>+M246/M245</f>
        <v/>
      </c>
      <c r="N247" s="47">
        <f>N246/N245</f>
        <v/>
      </c>
      <c r="O247" s="47">
        <f>O246/O245</f>
        <v/>
      </c>
      <c r="P247" s="47">
        <f>P246/P245</f>
        <v/>
      </c>
      <c r="Q247" s="47">
        <f>Q246/Q245</f>
        <v/>
      </c>
      <c r="R247" s="47">
        <f>R246/R245</f>
        <v/>
      </c>
      <c r="S247" s="47">
        <f>S246/S245</f>
        <v/>
      </c>
      <c r="T247" s="47">
        <f>T246/T245</f>
        <v/>
      </c>
      <c r="U247" s="47">
        <f>U246/U245</f>
        <v/>
      </c>
      <c r="V247" s="47">
        <f>V246/V245</f>
        <v/>
      </c>
      <c r="W247" s="47">
        <f>W246/W245</f>
        <v/>
      </c>
      <c r="X247" s="47">
        <f>X246/X245</f>
        <v/>
      </c>
      <c r="Y247" s="47">
        <f>Y246/Y245</f>
        <v/>
      </c>
      <c r="Z247" s="47">
        <f>Z246/Z245</f>
        <v/>
      </c>
      <c r="AA247" s="47">
        <f>AA246/AA245</f>
        <v/>
      </c>
      <c r="AB247" s="47">
        <f>AB246/AB245</f>
        <v/>
      </c>
      <c r="AC247" s="47">
        <f>AC246/AC245</f>
        <v/>
      </c>
      <c r="AD247" s="47">
        <f>AD246/AD245</f>
        <v/>
      </c>
      <c r="AE247" s="47">
        <f>AE246/AE245</f>
        <v/>
      </c>
      <c r="AF247" s="47">
        <f>AF246/AF245</f>
        <v/>
      </c>
      <c r="AG247" s="47">
        <f>AG246/AG245</f>
        <v/>
      </c>
      <c r="AH247" s="47">
        <f>AH246/AH245</f>
        <v/>
      </c>
      <c r="AI247" s="47">
        <f>AI246/AI245</f>
        <v/>
      </c>
      <c r="AJ247" s="47">
        <f>AJ246/AJ245</f>
        <v/>
      </c>
      <c r="AK247" s="47">
        <f>AK246/AK245</f>
        <v/>
      </c>
      <c r="AL247" s="47">
        <f>AL246/AL245</f>
        <v/>
      </c>
      <c r="AM247" s="47">
        <f>AM246/AM245</f>
        <v/>
      </c>
      <c r="AN247" s="47">
        <f>AN246/AN245</f>
        <v/>
      </c>
      <c r="AO247" s="47">
        <f>AO246/AO245</f>
        <v/>
      </c>
      <c r="AP247" s="47">
        <f>AP246/AP245</f>
        <v/>
      </c>
      <c r="AQ247" s="47">
        <f>AQ246/AQ245</f>
        <v/>
      </c>
      <c r="AR247" s="47">
        <f>AR246/AR245</f>
        <v/>
      </c>
      <c r="AS247" s="47">
        <f>AS246/AS245</f>
        <v/>
      </c>
      <c r="AT247" s="47">
        <f>AT246/AT245</f>
        <v/>
      </c>
      <c r="AU247" s="47">
        <f>AU246/AU245</f>
        <v/>
      </c>
      <c r="AV247" s="47">
        <f>AV246/AV245</f>
        <v/>
      </c>
      <c r="AW247" s="47">
        <f>AW246/AW245</f>
        <v/>
      </c>
      <c r="AX247" s="47">
        <f>AX246/AX245</f>
        <v/>
      </c>
      <c r="AY247" s="47">
        <f>AY246/AY245</f>
        <v/>
      </c>
      <c r="AZ247" s="47">
        <f>AZ246/AZ245</f>
        <v/>
      </c>
      <c r="BA247" s="47">
        <f>BA246/BA245</f>
        <v/>
      </c>
      <c r="BB247" s="47">
        <f>BB246/BB245</f>
        <v/>
      </c>
      <c r="BC247" s="47">
        <f>BC246/BC245</f>
        <v/>
      </c>
      <c r="BD247" s="47">
        <f>BD246/BD245</f>
        <v/>
      </c>
      <c r="BE247" s="47">
        <f>BE246/BE245</f>
        <v/>
      </c>
      <c r="BF247" s="47">
        <f>BF246/BF245</f>
        <v/>
      </c>
      <c r="BG247" s="47">
        <f>BG246/BG245</f>
        <v/>
      </c>
      <c r="BH247" s="47">
        <f>BH246/BH245</f>
        <v/>
      </c>
      <c r="BI247" s="47">
        <f>BI246/BI245</f>
        <v/>
      </c>
      <c r="BJ247" s="47">
        <f>BJ246/BJ245</f>
        <v/>
      </c>
      <c r="BK247" s="47">
        <f>BK246/BK245</f>
        <v/>
      </c>
      <c r="BL247" s="47">
        <f>BL246/BL245</f>
        <v/>
      </c>
      <c r="BM247" s="47">
        <f>BM246/BM245</f>
        <v/>
      </c>
      <c r="BN247" s="47">
        <f>BN246/BN245</f>
        <v/>
      </c>
      <c r="BO247" s="47">
        <f>BO246/BO245</f>
        <v/>
      </c>
      <c r="BP247" s="47">
        <f>BP246/BP245</f>
        <v/>
      </c>
      <c r="BQ247" s="47">
        <f>BQ246/BQ245</f>
        <v/>
      </c>
      <c r="BR247" s="47">
        <f>BR246/BR245</f>
        <v/>
      </c>
      <c r="BS247" s="47">
        <f>BS246/BS245</f>
        <v/>
      </c>
      <c r="BT247" s="47">
        <f>BT246/BT245</f>
        <v/>
      </c>
      <c r="BU247" s="47">
        <f>BU246/BU245</f>
        <v/>
      </c>
      <c r="BV247" s="47">
        <f>BV246/BV245</f>
        <v/>
      </c>
      <c r="BW247" s="47">
        <f>BW246/BW245</f>
        <v/>
      </c>
      <c r="BX247" s="47">
        <f>BX246/BX245</f>
        <v/>
      </c>
      <c r="BY247" s="47">
        <f>BY246/BY245</f>
        <v/>
      </c>
      <c r="BZ247" s="47">
        <f>BZ246/BZ245</f>
        <v/>
      </c>
      <c r="CA247" s="47">
        <f>CA246/CA245</f>
        <v/>
      </c>
      <c r="CB247" s="47">
        <f>CB246/CB245</f>
        <v/>
      </c>
      <c r="CC247" s="47">
        <f>CC246/CC245</f>
        <v/>
      </c>
      <c r="CD247" s="47">
        <f>CD246/CD245</f>
        <v/>
      </c>
      <c r="CE247" s="47">
        <f>CE246/CE245</f>
        <v/>
      </c>
      <c r="CF247" s="47">
        <f>CF246/CF245</f>
        <v/>
      </c>
      <c r="CG247" s="47">
        <f>CG246/CG245</f>
        <v/>
      </c>
      <c r="CH247" s="47">
        <f>CH246/CH245</f>
        <v/>
      </c>
      <c r="CI247" s="47">
        <f>CI246/CI245</f>
        <v/>
      </c>
      <c r="CJ247" s="47">
        <f>CJ246/CJ245</f>
        <v/>
      </c>
      <c r="CK247" s="47">
        <f>CK246/CK245</f>
        <v/>
      </c>
    </row>
    <row r="248" outlineLevel="1">
      <c r="A248" s="44" t="inlineStr">
        <is>
          <t>Balance Sheet Annualization Factor</t>
        </is>
      </c>
    </row>
    <row r="249" outlineLevel="1">
      <c r="A249" s="427" t="n"/>
    </row>
    <row r="250" outlineLevel="1">
      <c r="A250" s="44" t="n"/>
      <c r="B250" s="892" t="n"/>
      <c r="C250" s="892" t="n"/>
      <c r="D250" s="892" t="n"/>
      <c r="E250" s="892" t="n"/>
      <c r="F250" s="892" t="n"/>
      <c r="G250" s="892" t="n"/>
      <c r="H250" s="936" t="n"/>
      <c r="I250" s="936" t="n"/>
      <c r="J250" s="936" t="n"/>
      <c r="K250" s="936" t="n"/>
      <c r="L250" s="936" t="n"/>
      <c r="M250" s="936" t="n"/>
      <c r="N250" s="936" t="n"/>
      <c r="O250" s="936" t="n"/>
      <c r="P250" s="936" t="n"/>
      <c r="Q250" s="936" t="n"/>
      <c r="R250" s="936" t="n"/>
      <c r="S250" s="936" t="n"/>
      <c r="T250" s="936" t="n"/>
      <c r="U250" s="936" t="n"/>
      <c r="V250" s="936" t="n"/>
      <c r="W250" s="936" t="n"/>
      <c r="X250" s="936" t="n"/>
      <c r="Y250" s="936" t="n"/>
      <c r="Z250" s="936" t="n"/>
      <c r="AA250" s="936" t="n"/>
      <c r="AB250" s="936" t="n"/>
      <c r="AC250" s="936" t="n"/>
      <c r="AD250" s="936" t="n"/>
      <c r="AE250" s="936" t="n"/>
      <c r="AF250" s="936" t="n"/>
      <c r="AG250" s="936" t="n"/>
      <c r="AH250" s="936" t="n"/>
      <c r="AI250" s="936" t="n"/>
      <c r="AJ250" s="936" t="n"/>
      <c r="AK250" s="936" t="n"/>
      <c r="AL250" s="936" t="n"/>
      <c r="AM250" s="936" t="n"/>
      <c r="AN250" s="936" t="n"/>
      <c r="AO250" s="936" t="n"/>
      <c r="AP250" s="936" t="n"/>
      <c r="AQ250" s="936" t="n"/>
      <c r="AR250" s="936" t="n"/>
      <c r="AS250" s="936" t="n"/>
      <c r="AT250" s="936" t="n"/>
      <c r="AU250" s="936" t="n"/>
      <c r="AV250" s="936" t="n"/>
      <c r="AW250" s="936" t="n"/>
      <c r="AX250" s="936" t="n"/>
      <c r="AY250" s="936" t="n"/>
      <c r="AZ250" s="936" t="n"/>
      <c r="BA250" s="936" t="n"/>
      <c r="BB250" s="936" t="n"/>
      <c r="BC250" s="936" t="n"/>
      <c r="BD250" s="936" t="n"/>
      <c r="BE250" s="936" t="n"/>
      <c r="BF250" s="936" t="n"/>
      <c r="BG250" s="936" t="n"/>
      <c r="BH250" s="936" t="n"/>
      <c r="BI250" s="936" t="n"/>
      <c r="BJ250" s="936" t="n"/>
      <c r="BK250" s="936" t="n"/>
      <c r="BL250" s="936" t="n"/>
      <c r="BM250" s="936" t="n"/>
      <c r="BN250" s="936" t="n"/>
      <c r="BO250" s="936" t="n"/>
      <c r="BP250" s="936" t="n"/>
      <c r="BQ250" s="936" t="n"/>
      <c r="BR250" s="936" t="n"/>
      <c r="BS250" s="936" t="n"/>
      <c r="BT250" s="936" t="n"/>
      <c r="BU250" s="936" t="n"/>
      <c r="BV250" s="936" t="n"/>
      <c r="BW250" s="936" t="n"/>
      <c r="BX250" s="936" t="n"/>
      <c r="BY250" s="936" t="n"/>
      <c r="BZ250" s="44" t="n"/>
      <c r="CA250" s="44" t="n"/>
    </row>
    <row r="251" customFormat="1" s="283">
      <c r="A251" s="534" t="inlineStr">
        <is>
          <t>check</t>
        </is>
      </c>
      <c r="Y251" s="468" t="n"/>
    </row>
    <row r="252"/>
    <row r="253"/>
    <row r="254"/>
    <row r="255"/>
    <row r="256"/>
    <row r="257"/>
    <row r="258"/>
    <row r="259"/>
    <row r="260"/>
    <row r="261"/>
    <row r="262"/>
    <row r="263"/>
    <row r="264"/>
    <row r="265"/>
    <row r="266"/>
    <row r="267"/>
    <row r="268"/>
    <row r="269"/>
    <row r="270"/>
    <row r="271"/>
    <row r="272"/>
  </sheetData>
  <pageMargins left="0.7" right="0.7" top="0.75" bottom="0.75" header="0.3" footer="0.3"/>
  <pageSetup orientation="portrait" paperSize="9" horizontalDpi="300" verticalDpi="300"/>
  <legacyDrawing xmlns:r="http://schemas.openxmlformats.org/officeDocument/2006/relationships" r:id="anysvml"/>
</worksheet>
</file>

<file path=xl/worksheets/sheet9.xml><?xml version="1.0" encoding="utf-8"?>
<worksheet xmlns="http://schemas.openxmlformats.org/spreadsheetml/2006/main">
  <sheetPr>
    <outlinePr summaryBelow="1" summaryRight="1"/>
    <pageSetUpPr/>
  </sheetPr>
  <dimension ref="A1:DR283"/>
  <sheetViews>
    <sheetView tabSelected="1" zoomScale="115" zoomScaleNormal="115" workbookViewId="0">
      <pane xSplit="13" ySplit="7" topLeftCell="BI13" activePane="bottomRight" state="frozen"/>
      <selection pane="topRight" activeCell="N1" sqref="N1"/>
      <selection pane="bottomLeft" activeCell="A8" sqref="A8"/>
      <selection pane="bottomRight" activeCell="A35" sqref="A35"/>
    </sheetView>
  </sheetViews>
  <sheetFormatPr baseColWidth="10" defaultColWidth="8.83203125" defaultRowHeight="13"/>
  <cols>
    <col width="78.33203125" bestFit="1" customWidth="1" min="1" max="1"/>
    <col hidden="1" width="9.33203125" customWidth="1" min="2" max="13"/>
    <col width="12.6640625" customWidth="1" min="14" max="55"/>
    <col width="10.33203125" bestFit="1" customWidth="1" min="56" max="56"/>
    <col width="10.6640625" bestFit="1" customWidth="1" min="57" max="57"/>
    <col width="10.33203125" bestFit="1" customWidth="1" min="58" max="58"/>
    <col width="10.6640625" customWidth="1" min="59" max="59"/>
    <col width="10.6640625" bestFit="1" customWidth="1" min="60" max="60"/>
    <col width="10.5" customWidth="1" min="61" max="61"/>
    <col width="10.6640625" customWidth="1" min="62" max="62"/>
    <col width="10.5" customWidth="1" min="63" max="64"/>
    <col width="11.33203125" customWidth="1" min="65" max="67"/>
    <col width="12.83203125" customWidth="1" min="68" max="68"/>
    <col width="11" customWidth="1" min="69" max="69"/>
    <col width="11.33203125" customWidth="1" min="70" max="70"/>
    <col width="8.83203125" customWidth="1" style="660" min="71" max="71"/>
    <col width="9.33203125" customWidth="1" min="86" max="89"/>
    <col width="9.33203125" customWidth="1" min="90" max="103"/>
    <col width="12.6640625" customWidth="1" min="105" max="122"/>
  </cols>
  <sheetData>
    <row r="1">
      <c r="A1" s="22" t="inlineStr">
        <is>
          <t>IPG Photonics Corp.</t>
        </is>
      </c>
      <c r="B1" s="23" t="n">
        <v>2007</v>
      </c>
      <c r="C1" s="23" t="n">
        <v>2007</v>
      </c>
      <c r="D1" s="23" t="n">
        <v>2007</v>
      </c>
      <c r="E1" s="23" t="n">
        <v>2007</v>
      </c>
      <c r="F1" s="23">
        <f>B1+1</f>
        <v/>
      </c>
      <c r="G1" s="23">
        <f>C1+1</f>
        <v/>
      </c>
      <c r="H1" s="23">
        <f>D1+1</f>
        <v/>
      </c>
      <c r="I1" s="23">
        <f>E1+1</f>
        <v/>
      </c>
      <c r="J1" s="23">
        <f>F1+1</f>
        <v/>
      </c>
      <c r="K1" s="23">
        <f>G1+1</f>
        <v/>
      </c>
      <c r="L1" s="23">
        <f>H1+1</f>
        <v/>
      </c>
      <c r="M1" s="23">
        <f>I1+1</f>
        <v/>
      </c>
      <c r="N1" s="23">
        <f>J1+1</f>
        <v/>
      </c>
      <c r="O1" s="23">
        <f>K1+1</f>
        <v/>
      </c>
      <c r="P1" s="23">
        <f>L1+1</f>
        <v/>
      </c>
      <c r="Q1" s="23">
        <f>M1+1</f>
        <v/>
      </c>
      <c r="R1" s="23">
        <f>N1+1</f>
        <v/>
      </c>
      <c r="S1" s="23">
        <f>O1+1</f>
        <v/>
      </c>
      <c r="T1" s="23">
        <f>P1+1</f>
        <v/>
      </c>
      <c r="U1" s="23">
        <f>Q1+1</f>
        <v/>
      </c>
      <c r="V1" s="23">
        <f>R1+1</f>
        <v/>
      </c>
      <c r="W1" s="23">
        <f>S1+1</f>
        <v/>
      </c>
      <c r="X1" s="23">
        <f>T1+1</f>
        <v/>
      </c>
      <c r="Y1" s="23">
        <f>U1+1</f>
        <v/>
      </c>
      <c r="Z1" s="23">
        <f>V1+1</f>
        <v/>
      </c>
      <c r="AA1" s="23">
        <f>W1+1</f>
        <v/>
      </c>
      <c r="AB1" s="23">
        <f>X1+1</f>
        <v/>
      </c>
      <c r="AC1" s="23">
        <f>Y1+1</f>
        <v/>
      </c>
      <c r="AD1" s="23">
        <f>Z1+1</f>
        <v/>
      </c>
      <c r="AE1" s="23">
        <f>AA1+1</f>
        <v/>
      </c>
      <c r="AF1" s="23">
        <f>AB1+1</f>
        <v/>
      </c>
      <c r="AG1" s="23">
        <f>AC1+1</f>
        <v/>
      </c>
      <c r="AH1" s="23">
        <f>AD1+1</f>
        <v/>
      </c>
      <c r="AI1" s="23">
        <f>AE1+1</f>
        <v/>
      </c>
      <c r="AJ1" s="23">
        <f>AF1+1</f>
        <v/>
      </c>
      <c r="AK1" s="23">
        <f>AG1+1</f>
        <v/>
      </c>
      <c r="AL1" s="23">
        <f>AH1+1</f>
        <v/>
      </c>
      <c r="AM1" s="23">
        <f>AI1+1</f>
        <v/>
      </c>
      <c r="AN1" s="23">
        <f>AJ1+1</f>
        <v/>
      </c>
      <c r="AO1" s="23">
        <f>AK1+1</f>
        <v/>
      </c>
      <c r="AP1" s="23">
        <f>AL1+1</f>
        <v/>
      </c>
      <c r="AQ1" s="23">
        <f>AM1+1</f>
        <v/>
      </c>
      <c r="AR1" s="23">
        <f>AN1+1</f>
        <v/>
      </c>
      <c r="AS1" s="23">
        <f>AO1+1</f>
        <v/>
      </c>
      <c r="AT1" s="23">
        <f>AP1+1</f>
        <v/>
      </c>
      <c r="AU1" s="23">
        <f>AQ1+1</f>
        <v/>
      </c>
      <c r="AV1" s="23">
        <f>AR1+1</f>
        <v/>
      </c>
      <c r="AW1" s="23">
        <f>AS1+1</f>
        <v/>
      </c>
      <c r="AX1" s="23">
        <f>AT1+1</f>
        <v/>
      </c>
      <c r="AY1" s="23">
        <f>AU1+1</f>
        <v/>
      </c>
      <c r="AZ1" s="23">
        <f>AV1+1</f>
        <v/>
      </c>
      <c r="BA1" s="23">
        <f>AW1+1</f>
        <v/>
      </c>
      <c r="BB1" s="23">
        <f>AX1+1</f>
        <v/>
      </c>
      <c r="BC1" s="23">
        <f>AY1+1</f>
        <v/>
      </c>
      <c r="BD1" s="23">
        <f>AZ1+1</f>
        <v/>
      </c>
      <c r="BE1" s="23">
        <f>BA1+1</f>
        <v/>
      </c>
      <c r="BF1" s="23">
        <f>BB1+1</f>
        <v/>
      </c>
      <c r="BG1" s="23">
        <f>BC1+1</f>
        <v/>
      </c>
      <c r="BH1" s="23">
        <f>BD1+1</f>
        <v/>
      </c>
      <c r="BI1" s="23">
        <f>BE1+1</f>
        <v/>
      </c>
      <c r="BJ1" s="23">
        <f>BF1+1</f>
        <v/>
      </c>
      <c r="BK1" s="23">
        <f>BG1+1</f>
        <v/>
      </c>
      <c r="BL1" s="23">
        <f>BH1+1</f>
        <v/>
      </c>
      <c r="BM1" s="23">
        <f>BI1+1</f>
        <v/>
      </c>
      <c r="BN1" s="23">
        <f>BJ1+1</f>
        <v/>
      </c>
      <c r="BO1" s="23">
        <f>BK1+1</f>
        <v/>
      </c>
      <c r="BP1" s="23">
        <f>BL1+1</f>
        <v/>
      </c>
      <c r="BQ1" s="23">
        <f>BM1+1</f>
        <v/>
      </c>
      <c r="BR1" s="23">
        <f>BN1+1</f>
        <v/>
      </c>
      <c r="BS1" s="840">
        <f>BO1+1</f>
        <v/>
      </c>
      <c r="BT1" s="23">
        <f>BP1+1</f>
        <v/>
      </c>
      <c r="BU1" s="23">
        <f>BQ1+1</f>
        <v/>
      </c>
      <c r="BV1" s="23">
        <f>BR1+1</f>
        <v/>
      </c>
      <c r="BW1" s="23">
        <f>BS1+1</f>
        <v/>
      </c>
      <c r="BX1" s="23">
        <f>BT1+1</f>
        <v/>
      </c>
      <c r="BY1" s="23">
        <f>BU1+1</f>
        <v/>
      </c>
      <c r="BZ1" s="23">
        <f>BV1+1</f>
        <v/>
      </c>
      <c r="CA1" s="23">
        <f>BW1+1</f>
        <v/>
      </c>
      <c r="CB1" s="23">
        <f>BX1+1</f>
        <v/>
      </c>
      <c r="CC1" s="23">
        <f>BY1+1</f>
        <v/>
      </c>
      <c r="CD1" s="23">
        <f>BZ1+1</f>
        <v/>
      </c>
      <c r="CE1" s="23">
        <f>CA1+1</f>
        <v/>
      </c>
      <c r="CF1" s="23">
        <f>CB1+1</f>
        <v/>
      </c>
      <c r="CG1" s="23">
        <f>CC1+1</f>
        <v/>
      </c>
      <c r="CH1" s="23">
        <f>CD1+1</f>
        <v/>
      </c>
      <c r="CI1" s="23">
        <f>CE1+1</f>
        <v/>
      </c>
      <c r="CJ1" s="23">
        <f>CF1+1</f>
        <v/>
      </c>
      <c r="CK1" s="23">
        <f>CG1+1</f>
        <v/>
      </c>
      <c r="DA1" s="23" t="n"/>
      <c r="DB1" s="23" t="n"/>
      <c r="DC1" s="23" t="n"/>
      <c r="DD1" s="23" t="n"/>
      <c r="DE1" s="23" t="n"/>
      <c r="DF1" s="23" t="n"/>
      <c r="DG1" s="23" t="n"/>
      <c r="DH1" s="23" t="n"/>
      <c r="DI1" s="23" t="n"/>
      <c r="DJ1" s="23" t="n"/>
      <c r="DK1" s="23" t="n"/>
      <c r="DL1" s="23" t="n"/>
      <c r="DM1" s="23" t="n"/>
      <c r="DN1" s="23" t="n"/>
      <c r="DO1" s="23" t="n"/>
      <c r="DP1" s="23" t="n"/>
      <c r="DQ1" s="23" t="n"/>
      <c r="DR1" s="23" t="n"/>
    </row>
    <row r="2">
      <c r="A2" t="inlineStr">
        <is>
          <t>Reported</t>
        </is>
      </c>
      <c r="B2" s="24" t="n">
        <v>1</v>
      </c>
      <c r="C2" s="24" t="n">
        <v>2</v>
      </c>
      <c r="D2" s="24" t="n">
        <v>3</v>
      </c>
      <c r="E2" s="24" t="n">
        <v>4</v>
      </c>
      <c r="F2" s="24">
        <f>B2</f>
        <v/>
      </c>
      <c r="G2" s="24">
        <f>C2</f>
        <v/>
      </c>
      <c r="H2" s="24">
        <f>D2</f>
        <v/>
      </c>
      <c r="I2" s="24">
        <f>E2</f>
        <v/>
      </c>
      <c r="J2" s="24">
        <f>F2</f>
        <v/>
      </c>
      <c r="K2" s="24">
        <f>G2</f>
        <v/>
      </c>
      <c r="L2" s="24">
        <f>H2</f>
        <v/>
      </c>
      <c r="M2" s="24">
        <f>I2</f>
        <v/>
      </c>
      <c r="N2" s="24">
        <f>J2</f>
        <v/>
      </c>
      <c r="O2" s="24">
        <f>K2</f>
        <v/>
      </c>
      <c r="P2" s="24">
        <f>L2</f>
        <v/>
      </c>
      <c r="Q2" s="24">
        <f>M2</f>
        <v/>
      </c>
      <c r="R2" s="24">
        <f>N2</f>
        <v/>
      </c>
      <c r="S2" s="24">
        <f>O2</f>
        <v/>
      </c>
      <c r="T2" s="24">
        <f>P2</f>
        <v/>
      </c>
      <c r="U2" s="24">
        <f>Q2</f>
        <v/>
      </c>
      <c r="V2" s="24">
        <f>R2</f>
        <v/>
      </c>
      <c r="W2" s="24">
        <f>S2</f>
        <v/>
      </c>
      <c r="X2" s="24">
        <f>T2</f>
        <v/>
      </c>
      <c r="Y2" s="24">
        <f>U2</f>
        <v/>
      </c>
      <c r="Z2" s="24">
        <f>V2</f>
        <v/>
      </c>
      <c r="AA2" s="24">
        <f>W2</f>
        <v/>
      </c>
      <c r="AB2" s="24">
        <f>X2</f>
        <v/>
      </c>
      <c r="AC2" s="24">
        <f>Y2</f>
        <v/>
      </c>
      <c r="AD2" s="24">
        <f>Z2</f>
        <v/>
      </c>
      <c r="AE2" s="24">
        <f>AA2</f>
        <v/>
      </c>
      <c r="AF2" s="24">
        <f>AB2</f>
        <v/>
      </c>
      <c r="AG2" s="24">
        <f>AC2</f>
        <v/>
      </c>
      <c r="AH2" s="24">
        <f>AD2</f>
        <v/>
      </c>
      <c r="AI2" s="24">
        <f>AE2</f>
        <v/>
      </c>
      <c r="AJ2" s="24">
        <f>AF2</f>
        <v/>
      </c>
      <c r="AK2" s="24">
        <f>AG2</f>
        <v/>
      </c>
      <c r="AL2" s="24">
        <f>AH2</f>
        <v/>
      </c>
      <c r="AM2" s="24">
        <f>AI2</f>
        <v/>
      </c>
      <c r="AN2" s="24">
        <f>AJ2</f>
        <v/>
      </c>
      <c r="AO2" s="24">
        <f>AK2</f>
        <v/>
      </c>
      <c r="AP2" s="24">
        <f>AL2</f>
        <v/>
      </c>
      <c r="AQ2" s="24">
        <f>AM2</f>
        <v/>
      </c>
      <c r="AR2" s="24">
        <f>AN2</f>
        <v/>
      </c>
      <c r="AS2" s="24">
        <f>AO2</f>
        <v/>
      </c>
      <c r="AT2" s="24">
        <f>AP2</f>
        <v/>
      </c>
      <c r="AU2" s="24">
        <f>AQ2</f>
        <v/>
      </c>
      <c r="AV2" s="24">
        <f>AR2</f>
        <v/>
      </c>
      <c r="AW2" s="24">
        <f>AS2</f>
        <v/>
      </c>
      <c r="AX2" s="24">
        <f>AT2</f>
        <v/>
      </c>
      <c r="AY2" s="24">
        <f>AU2</f>
        <v/>
      </c>
      <c r="AZ2" s="24">
        <f>AV2</f>
        <v/>
      </c>
      <c r="BA2" s="24">
        <f>AW2</f>
        <v/>
      </c>
      <c r="BB2" s="24">
        <f>AX2</f>
        <v/>
      </c>
      <c r="BC2" s="24">
        <f>AY2</f>
        <v/>
      </c>
      <c r="BD2" s="24">
        <f>AZ2</f>
        <v/>
      </c>
      <c r="BE2" s="24">
        <f>BA2</f>
        <v/>
      </c>
      <c r="BF2" s="24">
        <f>BB2</f>
        <v/>
      </c>
      <c r="BG2" s="24">
        <f>BC2</f>
        <v/>
      </c>
      <c r="BH2" s="24">
        <f>BD2</f>
        <v/>
      </c>
      <c r="BI2" s="24">
        <f>BE2</f>
        <v/>
      </c>
      <c r="BJ2" s="24">
        <f>BF2</f>
        <v/>
      </c>
      <c r="BK2" s="24">
        <f>BG2</f>
        <v/>
      </c>
      <c r="BL2" s="24">
        <f>BH2</f>
        <v/>
      </c>
      <c r="BM2" s="24">
        <f>BI2</f>
        <v/>
      </c>
      <c r="BN2" s="24">
        <f>BJ2</f>
        <v/>
      </c>
      <c r="BO2" s="24">
        <f>BK2</f>
        <v/>
      </c>
      <c r="BP2" s="24">
        <f>BL2</f>
        <v/>
      </c>
      <c r="BQ2" s="24">
        <f>BM2</f>
        <v/>
      </c>
      <c r="BR2" s="24">
        <f>BN2</f>
        <v/>
      </c>
      <c r="BS2" s="841">
        <f>BO2</f>
        <v/>
      </c>
      <c r="BT2" s="24">
        <f>BP2</f>
        <v/>
      </c>
      <c r="BU2" s="24">
        <f>BQ2</f>
        <v/>
      </c>
      <c r="BV2" s="24">
        <f>BR2</f>
        <v/>
      </c>
      <c r="BW2" s="24">
        <f>BS2</f>
        <v/>
      </c>
      <c r="BX2" s="24">
        <f>BT2</f>
        <v/>
      </c>
      <c r="BY2" s="24">
        <f>BU2</f>
        <v/>
      </c>
      <c r="BZ2" s="24">
        <f>BV2</f>
        <v/>
      </c>
      <c r="CA2" s="24">
        <f>BW2</f>
        <v/>
      </c>
      <c r="CB2" s="24">
        <f>BX2</f>
        <v/>
      </c>
      <c r="CC2" s="24">
        <f>BY2</f>
        <v/>
      </c>
      <c r="CD2" s="24">
        <f>BZ2</f>
        <v/>
      </c>
      <c r="CE2" s="24">
        <f>CA2</f>
        <v/>
      </c>
      <c r="CF2" s="24">
        <f>CB2</f>
        <v/>
      </c>
      <c r="CG2" s="24">
        <f>CC2</f>
        <v/>
      </c>
      <c r="CH2" s="24">
        <f>CD2</f>
        <v/>
      </c>
      <c r="CI2" s="24">
        <f>CE2</f>
        <v/>
      </c>
      <c r="CJ2" s="24">
        <f>CF2</f>
        <v/>
      </c>
      <c r="CK2" s="24">
        <f>CG2</f>
        <v/>
      </c>
    </row>
    <row r="3">
      <c r="A3" t="inlineStr">
        <is>
          <t>Quarterly</t>
        </is>
      </c>
      <c r="AI3" s="20" t="n"/>
      <c r="AJ3" s="20" t="n"/>
      <c r="AK3" s="20" t="n"/>
      <c r="AL3" s="20" t="n"/>
      <c r="AM3" s="20" t="n"/>
      <c r="AN3" s="20" t="n"/>
      <c r="AO3" s="20" t="n"/>
      <c r="AP3" s="20" t="n"/>
      <c r="AQ3" s="20" t="n"/>
      <c r="AR3" s="20" t="n"/>
      <c r="AS3" s="20" t="n"/>
      <c r="AT3" s="20" t="n"/>
      <c r="AU3" s="20" t="n"/>
      <c r="AV3" s="20" t="n"/>
      <c r="AW3" s="20" t="n"/>
      <c r="AX3" s="20" t="n"/>
      <c r="AY3" s="20" t="n"/>
      <c r="AZ3" s="20" t="n"/>
      <c r="BA3" s="20" t="n"/>
      <c r="BB3" s="20" t="n"/>
      <c r="BC3" s="20" t="n"/>
      <c r="BD3" s="20" t="n"/>
      <c r="BE3" s="20" t="n"/>
      <c r="BF3" s="20" t="n"/>
      <c r="BG3" s="20" t="n"/>
      <c r="BH3" s="20" t="n"/>
      <c r="BI3" s="20" t="n"/>
      <c r="BJ3" s="20" t="n"/>
      <c r="BK3" s="20" t="n"/>
      <c r="BL3" s="20" t="n"/>
      <c r="BM3" s="20" t="n"/>
      <c r="BN3" s="20" t="n"/>
      <c r="BO3" s="20" t="n"/>
      <c r="BP3" s="20" t="n"/>
      <c r="BQ3" s="20" t="n"/>
      <c r="BR3" s="20" t="n"/>
      <c r="BT3" s="20" t="n"/>
      <c r="BU3" s="20" t="n"/>
      <c r="BV3" s="20" t="n"/>
      <c r="BW3" s="20" t="n"/>
      <c r="BX3" s="20" t="n"/>
      <c r="BY3" s="20" t="n"/>
      <c r="BZ3" s="20" t="n"/>
      <c r="CA3" s="20" t="n"/>
      <c r="CB3" s="20" t="n"/>
      <c r="CC3" s="20" t="n"/>
      <c r="CD3" s="20" t="n"/>
      <c r="CE3" s="20" t="n"/>
      <c r="CF3" s="20" t="n"/>
      <c r="CG3" s="20" t="n"/>
      <c r="CH3" s="20" t="n"/>
      <c r="CI3" s="20" t="n"/>
      <c r="CJ3" s="20" t="n"/>
      <c r="CK3" s="20" t="n"/>
    </row>
    <row r="4">
      <c r="AI4" s="20" t="n"/>
      <c r="AJ4" s="20" t="n"/>
      <c r="AK4" s="20" t="n"/>
      <c r="AL4" s="20" t="n"/>
      <c r="AM4" s="20" t="n"/>
      <c r="AN4" s="20" t="n"/>
      <c r="AO4" s="20" t="n"/>
      <c r="AP4" s="20" t="n"/>
      <c r="AQ4" s="20" t="n"/>
      <c r="AR4" s="20" t="n"/>
      <c r="AS4" s="20" t="n"/>
      <c r="AT4" s="20" t="n"/>
      <c r="AU4" s="20" t="n"/>
      <c r="AV4" s="20" t="n"/>
      <c r="AW4" s="20" t="n"/>
      <c r="AX4" s="20" t="n"/>
      <c r="AY4" s="20" t="n"/>
      <c r="AZ4" s="20" t="n"/>
      <c r="BA4" s="20" t="n"/>
      <c r="BB4" s="20" t="n"/>
      <c r="BC4" s="20" t="n"/>
      <c r="BD4" s="20" t="n"/>
      <c r="BE4" s="20" t="n"/>
      <c r="BF4" s="20" t="n"/>
      <c r="BG4" s="20" t="n"/>
      <c r="BH4" s="20" t="n"/>
      <c r="BI4" s="20" t="n"/>
      <c r="BJ4" s="20" t="n"/>
      <c r="BK4" s="20" t="n"/>
      <c r="BL4" s="20" t="n"/>
      <c r="BM4" s="20" t="n"/>
      <c r="BN4" s="20" t="n"/>
      <c r="BO4" s="20" t="n"/>
      <c r="BP4" s="20" t="n"/>
      <c r="BQ4" s="20" t="n"/>
      <c r="BR4" s="20" t="n"/>
      <c r="BT4" s="20" t="n"/>
      <c r="BU4" s="20" t="n"/>
      <c r="BV4" s="20" t="n"/>
      <c r="BW4" s="20" t="n"/>
      <c r="BX4" s="20" t="n"/>
      <c r="BY4" s="20" t="n"/>
      <c r="BZ4" s="20" t="n"/>
      <c r="CA4" s="20" t="n"/>
      <c r="CB4" s="20" t="n"/>
      <c r="CC4" s="20" t="n"/>
      <c r="CD4" s="20" t="n"/>
      <c r="CE4" s="20" t="n"/>
      <c r="CF4" s="20" t="n"/>
      <c r="CG4" s="20" t="n"/>
      <c r="CH4" s="20" t="n"/>
      <c r="CI4" s="20" t="n"/>
      <c r="CJ4" s="20" t="n"/>
      <c r="CK4" s="20" t="n"/>
    </row>
    <row r="5">
      <c r="A5" s="25" t="n"/>
      <c r="B5" s="26">
        <f>B2&amp;"Q"&amp;RIGHT(B1,2)</f>
        <v/>
      </c>
      <c r="C5" s="26">
        <f>C2&amp;"Q"&amp;RIGHT(C1,2)</f>
        <v/>
      </c>
      <c r="D5" s="26">
        <f>D2&amp;"Q"&amp;RIGHT(D1,2)</f>
        <v/>
      </c>
      <c r="E5" s="26">
        <f>E2&amp;"Q"&amp;RIGHT(E1,2)</f>
        <v/>
      </c>
      <c r="F5" s="26">
        <f>F2&amp;"Q"&amp;RIGHT(F1,2)</f>
        <v/>
      </c>
      <c r="G5" s="26">
        <f>G2&amp;"Q"&amp;RIGHT(G1,2)</f>
        <v/>
      </c>
      <c r="H5" s="26">
        <f>H2&amp;"Q"&amp;RIGHT(H1,2)</f>
        <v/>
      </c>
      <c r="I5" s="26">
        <f>I2&amp;"Q"&amp;RIGHT(I1,2)</f>
        <v/>
      </c>
      <c r="J5" s="26">
        <f>J2&amp;"Q"&amp;RIGHT(J1,2)</f>
        <v/>
      </c>
      <c r="K5" s="26">
        <f>K2&amp;"Q"&amp;RIGHT(K1,2)</f>
        <v/>
      </c>
      <c r="L5" s="26">
        <f>L2&amp;"Q"&amp;RIGHT(L1,2)</f>
        <v/>
      </c>
      <c r="M5" s="26">
        <f>M2&amp;"Q"&amp;RIGHT(M1,2)</f>
        <v/>
      </c>
      <c r="N5" s="26">
        <f>N2&amp;"Q"&amp;RIGHT(N1,2)</f>
        <v/>
      </c>
      <c r="O5" s="26">
        <f>O2&amp;"Q"&amp;RIGHT(O1,2)</f>
        <v/>
      </c>
      <c r="P5" s="26">
        <f>P2&amp;"Q"&amp;RIGHT(P1,2)</f>
        <v/>
      </c>
      <c r="Q5" s="26">
        <f>Q2&amp;"Q"&amp;RIGHT(Q1,2)</f>
        <v/>
      </c>
      <c r="R5" s="26">
        <f>R2&amp;"Q"&amp;RIGHT(R1,2)</f>
        <v/>
      </c>
      <c r="S5" s="26">
        <f>S2&amp;"Q"&amp;RIGHT(S1,2)</f>
        <v/>
      </c>
      <c r="T5" s="26">
        <f>T2&amp;"Q"&amp;RIGHT(T1,2)</f>
        <v/>
      </c>
      <c r="U5" s="26">
        <f>U2&amp;"Q"&amp;RIGHT(U1,2)</f>
        <v/>
      </c>
      <c r="V5" s="26">
        <f>V2&amp;"Q"&amp;RIGHT(V1,2)</f>
        <v/>
      </c>
      <c r="W5" s="26">
        <f>W2&amp;"Q"&amp;RIGHT(W1,2)</f>
        <v/>
      </c>
      <c r="X5" s="26">
        <f>X2&amp;"Q"&amp;RIGHT(X1,2)</f>
        <v/>
      </c>
      <c r="Y5" s="26">
        <f>Y2&amp;"Q"&amp;RIGHT(Y1,2)</f>
        <v/>
      </c>
      <c r="Z5" s="26">
        <f>Z2&amp;"Q"&amp;RIGHT(Z1,2)</f>
        <v/>
      </c>
      <c r="AA5" s="26">
        <f>AA2&amp;"Q"&amp;RIGHT(AA1,2)</f>
        <v/>
      </c>
      <c r="AB5" s="26">
        <f>AB2&amp;"Q"&amp;RIGHT(AB1,2)</f>
        <v/>
      </c>
      <c r="AC5" s="26">
        <f>AC2&amp;"Q"&amp;RIGHT(AC1,2)</f>
        <v/>
      </c>
      <c r="AD5" s="26">
        <f>AD2&amp;"Q"&amp;RIGHT(AD1,2)</f>
        <v/>
      </c>
      <c r="AE5" s="26">
        <f>AE2&amp;"Q"&amp;RIGHT(AE1,2)</f>
        <v/>
      </c>
      <c r="AF5" s="26">
        <f>AF2&amp;"Q"&amp;RIGHT(AF1,2)</f>
        <v/>
      </c>
      <c r="AG5" s="26">
        <f>AG2&amp;"Q"&amp;RIGHT(AG1,2)</f>
        <v/>
      </c>
      <c r="AH5" s="26">
        <f>AH2&amp;"Q"&amp;RIGHT(AH1,2)</f>
        <v/>
      </c>
      <c r="AI5" s="26">
        <f>AI2&amp;"Q"&amp;RIGHT(AI1,2)</f>
        <v/>
      </c>
      <c r="AJ5" s="26">
        <f>AJ2&amp;"Q"&amp;RIGHT(AJ1,2)</f>
        <v/>
      </c>
      <c r="AK5" s="26">
        <f>AK2&amp;"Q"&amp;RIGHT(AK1,2)</f>
        <v/>
      </c>
      <c r="AL5" s="26">
        <f>AL2&amp;"Q"&amp;RIGHT(AL1,2)</f>
        <v/>
      </c>
      <c r="AM5" s="26">
        <f>AM2&amp;"Q"&amp;RIGHT(AM1,2)</f>
        <v/>
      </c>
      <c r="AN5" s="26">
        <f>AN2&amp;"Q"&amp;RIGHT(AN1,2)</f>
        <v/>
      </c>
      <c r="AO5" s="26">
        <f>AO2&amp;"Q"&amp;RIGHT(AO1,2)</f>
        <v/>
      </c>
      <c r="AP5" s="26">
        <f>AP2&amp;"Q"&amp;RIGHT(AP1,2)</f>
        <v/>
      </c>
      <c r="AQ5" s="26">
        <f>AQ2&amp;"Q"&amp;RIGHT(AQ1,2)</f>
        <v/>
      </c>
      <c r="AR5" s="26">
        <f>AR2&amp;"Q"&amp;RIGHT(AR1,2)</f>
        <v/>
      </c>
      <c r="AS5" s="26">
        <f>AS2&amp;"Q"&amp;RIGHT(AS1,2)</f>
        <v/>
      </c>
      <c r="AT5" s="26">
        <f>AT2&amp;"Q"&amp;RIGHT(AT1,2)</f>
        <v/>
      </c>
      <c r="AU5" s="26">
        <f>AU2&amp;"Q"&amp;RIGHT(AU1,2)</f>
        <v/>
      </c>
      <c r="AV5" s="26">
        <f>AV2&amp;"Q"&amp;RIGHT(AV1,2)</f>
        <v/>
      </c>
      <c r="AW5" s="26">
        <f>AW2&amp;"Q"&amp;RIGHT(AW1,2)</f>
        <v/>
      </c>
      <c r="AX5" s="26">
        <f>AX2&amp;"Q"&amp;RIGHT(AX1,2)</f>
        <v/>
      </c>
      <c r="AY5" s="26">
        <f>AY2&amp;"Q"&amp;RIGHT(AY1,2)</f>
        <v/>
      </c>
      <c r="AZ5" s="26">
        <f>AZ2&amp;"Q"&amp;RIGHT(AZ1,2)</f>
        <v/>
      </c>
      <c r="BA5" s="26">
        <f>BA2&amp;"Q"&amp;RIGHT(BA1,2)</f>
        <v/>
      </c>
      <c r="BB5" s="26">
        <f>BB2&amp;"Q"&amp;RIGHT(BB1,2)</f>
        <v/>
      </c>
      <c r="BC5" s="26">
        <f>BC2&amp;"Q"&amp;RIGHT(BC1,2)</f>
        <v/>
      </c>
      <c r="BD5" s="26">
        <f>BD2&amp;"Q"&amp;RIGHT(BD1,2)</f>
        <v/>
      </c>
      <c r="BE5" s="26">
        <f>BE2&amp;"Q"&amp;RIGHT(BE1,2)</f>
        <v/>
      </c>
      <c r="BF5" s="26">
        <f>BF2&amp;"Q"&amp;RIGHT(BF1,2)</f>
        <v/>
      </c>
      <c r="BG5" s="26">
        <f>BG2&amp;"Q"&amp;RIGHT(BG1,2)</f>
        <v/>
      </c>
      <c r="BH5" s="26">
        <f>BH2&amp;"Q"&amp;RIGHT(BH1,2)</f>
        <v/>
      </c>
      <c r="BI5" s="26">
        <f>BI2&amp;"Q"&amp;RIGHT(BI1,2)</f>
        <v/>
      </c>
      <c r="BJ5" s="26">
        <f>BJ2&amp;"Q"&amp;RIGHT(BJ1,2)</f>
        <v/>
      </c>
      <c r="BK5" s="26">
        <f>BK2&amp;"Q"&amp;RIGHT(BK1,2)</f>
        <v/>
      </c>
      <c r="BL5" s="26">
        <f>BL2&amp;"Q"&amp;RIGHT(BL1,2)</f>
        <v/>
      </c>
      <c r="BM5" s="26">
        <f>BM2&amp;"Q"&amp;RIGHT(BM1,2)</f>
        <v/>
      </c>
      <c r="BN5" s="26">
        <f>BN2&amp;"Q"&amp;RIGHT(BN1,2)</f>
        <v/>
      </c>
      <c r="BO5" s="26">
        <f>BO2&amp;"Q"&amp;RIGHT(BO1,2)</f>
        <v/>
      </c>
      <c r="BP5" s="26">
        <f>BP2&amp;"Q"&amp;RIGHT(BP1,2)</f>
        <v/>
      </c>
      <c r="BQ5" s="26">
        <f>BQ2&amp;"Q"&amp;RIGHT(BQ1,2)</f>
        <v/>
      </c>
      <c r="BR5" s="26">
        <f>BR2&amp;"Q"&amp;RIGHT(BR1,2)</f>
        <v/>
      </c>
      <c r="BS5" s="842">
        <f>BS2&amp;"Q"&amp;RIGHT(BS1,2)</f>
        <v/>
      </c>
      <c r="BT5" s="26">
        <f>BT2&amp;"Q"&amp;RIGHT(BT1,2)</f>
        <v/>
      </c>
      <c r="BU5" s="26">
        <f>BU2&amp;"Q"&amp;RIGHT(BU1,2)</f>
        <v/>
      </c>
      <c r="BV5" s="26">
        <f>BV2&amp;"Q"&amp;RIGHT(BV1,2)</f>
        <v/>
      </c>
      <c r="BW5" s="26">
        <f>BW2&amp;"Q"&amp;RIGHT(BW1,2)</f>
        <v/>
      </c>
      <c r="BX5" s="26">
        <f>BX2&amp;"Q"&amp;RIGHT(BX1,2)</f>
        <v/>
      </c>
      <c r="BY5" s="26">
        <f>BY2&amp;"Q"&amp;RIGHT(BY1,2)</f>
        <v/>
      </c>
      <c r="BZ5" s="26">
        <f>BZ2&amp;"Q"&amp;RIGHT(BZ1,2)</f>
        <v/>
      </c>
      <c r="CA5" s="26">
        <f>CA2&amp;"Q"&amp;RIGHT(CA1,2)</f>
        <v/>
      </c>
      <c r="CB5" s="26">
        <f>CB2&amp;"Q"&amp;RIGHT(CB1,2)</f>
        <v/>
      </c>
      <c r="CC5" s="26">
        <f>CC2&amp;"Q"&amp;RIGHT(CC1,2)</f>
        <v/>
      </c>
      <c r="CD5" s="26">
        <f>CD2&amp;"Q"&amp;RIGHT(CD1,2)</f>
        <v/>
      </c>
      <c r="CE5" s="26">
        <f>CE2&amp;"Q"&amp;RIGHT(CE1,2)</f>
        <v/>
      </c>
      <c r="CF5" s="26">
        <f>CF2&amp;"Q"&amp;RIGHT(CF1,2)</f>
        <v/>
      </c>
      <c r="CG5" s="26">
        <f>CG2&amp;"Q"&amp;RIGHT(CG1,2)</f>
        <v/>
      </c>
      <c r="CH5" s="26">
        <f>CH2&amp;"Q"&amp;RIGHT(CH1,2)</f>
        <v/>
      </c>
      <c r="CI5" s="26">
        <f>CI2&amp;"Q"&amp;RIGHT(CI1,2)</f>
        <v/>
      </c>
      <c r="CJ5" s="26">
        <f>CJ2&amp;"Q"&amp;RIGHT(CJ1,2)</f>
        <v/>
      </c>
      <c r="CK5" s="26">
        <f>CK2&amp;"Q"&amp;RIGHT(CK1,2)</f>
        <v/>
      </c>
      <c r="DA5" s="22" t="n"/>
      <c r="DB5" s="22" t="n"/>
      <c r="DC5" s="22" t="n"/>
      <c r="DD5" s="22" t="n"/>
      <c r="DE5" s="22" t="n"/>
      <c r="DF5" s="22" t="n"/>
      <c r="DG5" s="22" t="n"/>
      <c r="DH5" s="22" t="n"/>
      <c r="DI5" s="22" t="n"/>
      <c r="DJ5" s="22" t="n"/>
      <c r="DK5" s="22" t="n"/>
      <c r="DL5" s="22" t="n"/>
      <c r="DM5" s="22" t="n"/>
      <c r="DN5" s="22" t="n"/>
      <c r="DO5" s="22" t="n"/>
      <c r="DP5" s="22" t="n"/>
      <c r="DQ5" s="22" t="n"/>
      <c r="DR5" s="22" t="n"/>
    </row>
    <row r="6">
      <c r="A6" s="25" t="n"/>
      <c r="B6" s="49" t="n"/>
      <c r="C6" s="49" t="n"/>
      <c r="D6" s="49" t="n"/>
      <c r="E6" s="49" t="n"/>
      <c r="F6" s="49" t="n"/>
      <c r="G6" s="49" t="n"/>
      <c r="H6" s="49" t="n"/>
      <c r="I6" s="49" t="n"/>
      <c r="J6" s="49" t="n"/>
      <c r="K6" s="49" t="n"/>
      <c r="L6" s="49" t="n"/>
      <c r="M6" s="49" t="n"/>
      <c r="N6" s="49" t="n"/>
      <c r="O6" s="49" t="n"/>
      <c r="P6" s="49" t="n"/>
      <c r="Q6" s="49" t="n"/>
      <c r="R6" s="49" t="n"/>
      <c r="S6" s="49" t="n"/>
      <c r="AI6" s="20" t="n"/>
      <c r="AJ6" s="20" t="n"/>
      <c r="AK6" s="20" t="n"/>
      <c r="AL6" s="20" t="n"/>
      <c r="AM6" s="20" t="n"/>
      <c r="AN6" s="20" t="n"/>
      <c r="AO6" s="20" t="n"/>
      <c r="AP6" s="20" t="n"/>
      <c r="AQ6" s="20" t="n"/>
      <c r="AR6" s="20" t="n"/>
      <c r="AS6" s="20" t="n"/>
      <c r="AT6" s="20" t="n"/>
      <c r="AU6" s="20" t="n"/>
      <c r="AV6" s="20" t="n"/>
      <c r="AW6" s="20" t="n"/>
      <c r="AX6" s="20" t="n"/>
      <c r="AY6" s="20" t="n"/>
      <c r="AZ6" s="20" t="n"/>
      <c r="BA6" s="20" t="n"/>
      <c r="BB6" s="20" t="n"/>
      <c r="BC6" s="20" t="n"/>
      <c r="BD6" s="20" t="n"/>
      <c r="BE6" s="20" t="n"/>
      <c r="BF6" s="20" t="n"/>
      <c r="BG6" s="20" t="n"/>
      <c r="BH6" s="20" t="n"/>
      <c r="BI6" s="20" t="n"/>
      <c r="BJ6" s="20" t="n"/>
      <c r="BK6" s="20" t="n"/>
      <c r="BL6" s="20" t="n"/>
      <c r="BM6" s="20" t="n"/>
      <c r="BN6" s="20" t="n"/>
      <c r="BO6" s="20" t="n"/>
      <c r="BP6" s="20" t="n"/>
      <c r="BQ6" s="20" t="n"/>
      <c r="BR6" s="20" t="n"/>
      <c r="BT6" s="20" t="n"/>
      <c r="BU6" s="20" t="n"/>
      <c r="BV6" s="20" t="n"/>
      <c r="BW6" s="20" t="n"/>
      <c r="BX6" s="20" t="n"/>
      <c r="BY6" s="20" t="n"/>
      <c r="BZ6" s="20" t="n"/>
      <c r="CA6" s="20" t="n"/>
      <c r="CB6" s="20" t="n"/>
      <c r="CC6" s="20" t="n"/>
      <c r="CD6" s="20" t="n"/>
      <c r="CE6" s="20" t="n"/>
      <c r="CF6" s="20" t="n"/>
      <c r="CG6" s="20" t="n"/>
      <c r="CH6" s="20" t="n"/>
      <c r="CI6" s="20" t="n"/>
      <c r="CJ6" s="20" t="n"/>
      <c r="CK6" s="20" t="n"/>
    </row>
    <row r="7" ht="16" customHeight="1">
      <c r="A7" s="27" t="inlineStr">
        <is>
          <t xml:space="preserve">FINANCIAL STATEMENTS </t>
        </is>
      </c>
      <c r="B7" s="28" t="n"/>
      <c r="C7" s="28" t="n"/>
      <c r="D7" s="28" t="n"/>
      <c r="E7" s="28" t="n"/>
      <c r="F7" s="28" t="n"/>
      <c r="G7" s="28" t="n"/>
      <c r="H7" s="28" t="n"/>
      <c r="I7" s="28" t="n"/>
      <c r="J7" s="28" t="n"/>
      <c r="K7" s="28" t="n"/>
      <c r="L7" s="28" t="n"/>
      <c r="M7" s="28" t="n"/>
      <c r="N7" s="28" t="n"/>
      <c r="O7" s="28" t="n"/>
      <c r="P7" s="28" t="n"/>
      <c r="Q7" s="28" t="n"/>
      <c r="R7" s="28" t="n"/>
      <c r="S7" s="28" t="n"/>
      <c r="T7" s="39" t="n"/>
      <c r="U7" s="39" t="n"/>
      <c r="V7" s="39" t="n"/>
      <c r="W7" s="39" t="n"/>
      <c r="X7" s="39" t="n"/>
      <c r="Y7" s="39" t="n"/>
      <c r="Z7" s="39" t="n"/>
      <c r="AA7" s="39" t="n"/>
      <c r="AB7" s="39" t="n"/>
      <c r="AC7" s="39" t="n"/>
      <c r="AD7" s="39" t="n"/>
      <c r="AE7" s="39" t="n"/>
      <c r="AF7" s="39" t="n"/>
      <c r="AG7" s="39" t="n"/>
      <c r="AH7" s="39" t="n"/>
      <c r="AI7" s="39" t="n"/>
      <c r="AJ7" s="39" t="n"/>
      <c r="AK7" s="39" t="n"/>
      <c r="AL7" s="39" t="n"/>
      <c r="AM7" s="39" t="n"/>
      <c r="AN7" s="39" t="n"/>
      <c r="AO7" s="39" t="n"/>
      <c r="AP7" s="39" t="n"/>
      <c r="AQ7" s="39" t="n"/>
      <c r="AR7" s="39" t="n"/>
      <c r="AS7" s="39" t="n"/>
      <c r="AT7" s="39" t="n"/>
      <c r="AU7" s="39" t="n"/>
      <c r="AV7" s="39" t="n"/>
      <c r="AW7" s="39" t="n"/>
      <c r="AX7" s="39" t="n"/>
      <c r="AY7" s="39" t="n"/>
      <c r="AZ7" s="39" t="n"/>
      <c r="BA7" s="39" t="n"/>
      <c r="BB7" s="39" t="n"/>
      <c r="BC7" s="39" t="n"/>
      <c r="BD7" s="39" t="n"/>
      <c r="BE7" s="39" t="n"/>
      <c r="BF7" s="39" t="n"/>
      <c r="BG7" s="39" t="n"/>
      <c r="BH7" s="39" t="n"/>
      <c r="BI7" s="39" t="n"/>
      <c r="BJ7" s="39" t="n"/>
      <c r="BK7" s="39" t="n"/>
      <c r="BL7" s="39" t="n"/>
      <c r="BM7" s="39" t="n"/>
      <c r="BN7" s="39" t="n"/>
      <c r="BO7" s="39" t="n"/>
      <c r="BP7" s="39" t="n"/>
      <c r="BQ7" s="39" t="n"/>
      <c r="BR7" s="39" t="n"/>
      <c r="BT7" s="39" t="n"/>
      <c r="BU7" s="39" t="n"/>
      <c r="BV7" s="39" t="n"/>
      <c r="BW7" s="39" t="n"/>
      <c r="BX7" s="39" t="n"/>
      <c r="BY7" s="39" t="n"/>
      <c r="BZ7" s="39" t="n"/>
      <c r="CA7" s="39" t="n"/>
      <c r="CB7" s="39" t="n"/>
      <c r="CC7" s="39" t="n"/>
      <c r="CD7" s="39" t="n"/>
      <c r="CE7" s="39" t="n"/>
      <c r="CF7" s="39" t="n"/>
      <c r="CG7" s="39" t="n"/>
      <c r="CH7" s="39" t="n"/>
      <c r="CI7" s="39" t="n"/>
      <c r="CJ7" s="39" t="n"/>
      <c r="CK7" s="39" t="n"/>
    </row>
    <row r="8">
      <c r="AI8" s="20" t="n"/>
      <c r="AJ8" s="20" t="n"/>
      <c r="AK8" s="20" t="n"/>
      <c r="AL8" s="20" t="n"/>
      <c r="AM8" s="20" t="n"/>
      <c r="AN8" s="20" t="n"/>
      <c r="AO8" s="20" t="n"/>
      <c r="AP8" s="20" t="n"/>
      <c r="AQ8" s="20" t="n"/>
      <c r="AR8" s="20" t="n"/>
      <c r="AS8" s="20" t="n"/>
      <c r="AT8" s="20" t="n"/>
      <c r="AU8" s="20" t="n"/>
      <c r="AV8" s="20" t="n"/>
      <c r="AW8" s="20" t="n"/>
      <c r="AX8" s="20" t="n"/>
      <c r="AY8" s="20" t="n"/>
      <c r="AZ8" s="20" t="n"/>
      <c r="BA8" s="20" t="n"/>
      <c r="BB8" s="20" t="n"/>
      <c r="BC8" s="20" t="n"/>
      <c r="BD8" s="20" t="n"/>
      <c r="BE8" s="20" t="n"/>
      <c r="BF8" s="20" t="n"/>
      <c r="BG8" s="20" t="n"/>
      <c r="BH8" s="20" t="n"/>
      <c r="BI8" s="20" t="n"/>
      <c r="BJ8" s="20" t="n"/>
      <c r="BK8" s="20" t="n"/>
      <c r="BL8" s="20" t="n"/>
      <c r="BM8" s="20" t="n"/>
      <c r="BN8" s="20" t="n"/>
      <c r="BO8" s="20" t="n"/>
      <c r="BP8" s="20" t="n"/>
      <c r="BQ8" s="20" t="n"/>
      <c r="BR8" s="20" t="n"/>
      <c r="BT8" s="20" t="n"/>
      <c r="BU8" s="20" t="n"/>
      <c r="BV8" s="20" t="n"/>
      <c r="BW8" s="20" t="n"/>
      <c r="BX8" s="20" t="n"/>
      <c r="BY8" s="20" t="n"/>
      <c r="BZ8" s="20" t="n"/>
      <c r="CA8" s="20" t="n"/>
      <c r="CB8" s="20" t="n"/>
      <c r="CC8" s="20" t="n"/>
      <c r="CD8" s="20" t="n"/>
      <c r="CE8" s="20" t="n"/>
      <c r="CF8" s="20" t="n"/>
      <c r="CG8" s="20" t="n"/>
      <c r="CH8" s="20" t="n"/>
      <c r="CI8" s="20" t="n"/>
      <c r="CJ8" s="20" t="n"/>
      <c r="CK8" s="20" t="n"/>
    </row>
    <row r="9">
      <c r="A9" s="81" t="inlineStr">
        <is>
          <t>Segment Information (in '000 USD) - YTD</t>
        </is>
      </c>
      <c r="B9" s="50" t="n"/>
      <c r="C9" s="50" t="n"/>
      <c r="D9" s="50" t="n"/>
      <c r="E9" s="50" t="n"/>
      <c r="F9" s="50" t="n"/>
      <c r="G9" s="50" t="n"/>
      <c r="H9" s="50" t="n"/>
      <c r="I9" s="50" t="n"/>
      <c r="J9" s="50" t="n"/>
      <c r="K9" s="50" t="n"/>
      <c r="L9" s="50" t="n"/>
      <c r="M9" s="50" t="n"/>
      <c r="N9" s="50" t="n"/>
      <c r="O9" s="50" t="n"/>
      <c r="P9" s="50" t="n"/>
      <c r="Q9" s="50" t="n"/>
      <c r="R9" s="50" t="n"/>
      <c r="S9" s="50" t="n"/>
      <c r="T9" s="20" t="n"/>
      <c r="U9" s="20" t="n"/>
      <c r="V9" s="20" t="n"/>
      <c r="W9" s="20" t="n"/>
      <c r="X9" s="20" t="n"/>
      <c r="Y9" s="20" t="n"/>
      <c r="Z9" s="20" t="n"/>
      <c r="AA9" s="20" t="n"/>
      <c r="AB9" s="20" t="n"/>
      <c r="AC9" s="20" t="n"/>
      <c r="AD9" s="20" t="n"/>
      <c r="AE9" s="20" t="n"/>
      <c r="AF9" s="20" t="n"/>
      <c r="AG9" s="20" t="n"/>
      <c r="AH9" s="20" t="n"/>
      <c r="AI9" s="20" t="n"/>
      <c r="AJ9" s="20" t="n"/>
      <c r="AK9" s="20" t="n"/>
      <c r="AL9" s="20" t="n"/>
      <c r="AM9" s="20" t="n"/>
      <c r="AN9" s="20" t="n"/>
      <c r="AO9" s="20" t="n"/>
      <c r="AP9" s="20" t="n"/>
      <c r="AQ9" s="20" t="n"/>
      <c r="AR9" s="20" t="n"/>
      <c r="AS9" s="20" t="n"/>
    </row>
    <row r="10">
      <c r="B10" s="50" t="n"/>
      <c r="C10" s="50" t="n"/>
      <c r="D10" s="50" t="n"/>
      <c r="E10" s="50" t="n"/>
      <c r="F10" s="50" t="n"/>
      <c r="G10" s="50" t="n"/>
      <c r="H10" s="50" t="n"/>
      <c r="I10" s="50" t="n"/>
      <c r="J10" s="50" t="n"/>
      <c r="K10" s="50" t="n"/>
      <c r="L10" s="50" t="n"/>
      <c r="M10" s="50" t="n"/>
      <c r="N10" s="50" t="n"/>
      <c r="O10" s="50" t="n"/>
      <c r="P10" s="50" t="n"/>
      <c r="Q10" s="50" t="n"/>
      <c r="R10" s="50" t="n"/>
      <c r="S10" s="50" t="n"/>
      <c r="T10" s="20" t="n"/>
      <c r="U10" s="20" t="n"/>
      <c r="V10" s="20" t="n"/>
      <c r="W10" s="20" t="n"/>
      <c r="X10" s="20" t="n"/>
      <c r="Y10" s="20" t="n"/>
      <c r="Z10" s="20" t="n"/>
      <c r="AA10" s="20" t="n"/>
      <c r="AB10" s="20" t="n"/>
      <c r="AC10" s="20" t="n"/>
      <c r="AD10" s="20" t="n"/>
      <c r="AE10" s="20" t="n"/>
      <c r="AF10" s="20" t="n"/>
      <c r="AG10" s="20" t="n"/>
      <c r="AH10" s="20" t="n"/>
      <c r="AI10" s="20" t="n"/>
      <c r="AJ10" s="20" t="n"/>
      <c r="AK10" s="20" t="n"/>
      <c r="AL10" s="20" t="n"/>
      <c r="AM10" s="20" t="n"/>
      <c r="AN10" s="20" t="n"/>
      <c r="AO10" s="20" t="n"/>
      <c r="AP10" s="20" t="n"/>
      <c r="AQ10" s="20" t="n"/>
      <c r="AR10" s="20" t="n"/>
      <c r="AS10" s="20" t="n"/>
    </row>
    <row r="11">
      <c r="A11" s="22" t="inlineStr">
        <is>
          <t>Region breakdown</t>
        </is>
      </c>
      <c r="B11" s="50" t="n"/>
      <c r="C11" s="50" t="n"/>
      <c r="D11" s="50" t="n"/>
      <c r="E11" s="50" t="n"/>
      <c r="F11" s="50" t="n"/>
      <c r="G11" s="50" t="n"/>
      <c r="H11" s="50" t="n"/>
      <c r="I11" s="50" t="n"/>
      <c r="J11" s="50" t="n"/>
      <c r="K11" s="50" t="n"/>
      <c r="L11" s="50" t="n"/>
      <c r="M11" s="50" t="n"/>
      <c r="N11" s="50" t="n"/>
      <c r="O11" s="50" t="n"/>
      <c r="P11" s="50" t="n"/>
      <c r="Q11" s="50" t="n"/>
      <c r="R11" s="50" t="n"/>
      <c r="S11" s="50" t="n"/>
      <c r="T11" s="20" t="n"/>
      <c r="U11" s="20" t="n"/>
      <c r="V11" s="20" t="n"/>
      <c r="W11" s="20" t="n"/>
      <c r="X11" s="20" t="n"/>
      <c r="Y11" s="20" t="n"/>
      <c r="Z11" s="20" t="n"/>
      <c r="AA11" s="20" t="n"/>
      <c r="AC11" s="20" t="n"/>
      <c r="AD11" s="20" t="n"/>
      <c r="AE11" s="20" t="n"/>
      <c r="AF11" s="20" t="n"/>
      <c r="AG11" s="145" t="n"/>
      <c r="AH11" s="20" t="n"/>
      <c r="AI11" s="20" t="n"/>
      <c r="AJ11" s="20" t="n"/>
      <c r="AK11" s="20" t="n"/>
      <c r="AL11" s="20" t="n"/>
      <c r="AM11" s="20" t="n"/>
      <c r="AN11" s="20" t="n"/>
      <c r="AO11" s="20" t="n"/>
      <c r="AP11" s="20" t="n"/>
      <c r="AQ11" s="20" t="n"/>
      <c r="AR11" s="20" t="n"/>
      <c r="AS11" s="20" t="n"/>
    </row>
    <row r="12">
      <c r="A12" s="74" t="inlineStr">
        <is>
          <t>United States and other North America</t>
        </is>
      </c>
      <c r="B12" s="50" t="n"/>
      <c r="C12" s="50" t="n"/>
      <c r="D12" s="50" t="n"/>
      <c r="E12" s="50" t="n"/>
      <c r="F12" s="50" t="n"/>
      <c r="G12" s="50" t="n"/>
      <c r="H12" s="50" t="n"/>
      <c r="I12" s="50" t="n"/>
      <c r="J12" s="50" t="n"/>
      <c r="K12" s="50" t="n"/>
      <c r="L12" s="50" t="n"/>
      <c r="M12" s="50" t="n"/>
      <c r="N12" s="145" t="n"/>
      <c r="O12" s="145" t="n"/>
      <c r="P12" s="145" t="n"/>
      <c r="Q12" s="145" t="n">
        <v>61706</v>
      </c>
      <c r="R12" s="145" t="n"/>
      <c r="S12" s="145" t="n"/>
      <c r="T12" s="145" t="n"/>
      <c r="U12" s="145" t="n">
        <v>86181</v>
      </c>
      <c r="V12" s="145" t="n"/>
      <c r="W12" s="145" t="n"/>
      <c r="X12" s="145" t="n"/>
      <c r="Y12" s="145" t="n">
        <v>108316</v>
      </c>
      <c r="Z12" s="145" t="n">
        <v>24231</v>
      </c>
      <c r="AA12" s="145" t="n">
        <v>52878</v>
      </c>
      <c r="AB12" s="145" t="n">
        <v>84275</v>
      </c>
      <c r="AC12" s="145" t="n">
        <v>116935</v>
      </c>
      <c r="AD12" s="145" t="n">
        <v>22848</v>
      </c>
      <c r="AE12" s="145" t="n">
        <v>47613</v>
      </c>
      <c r="AF12" s="145" t="n">
        <v>72724</v>
      </c>
      <c r="AG12" s="145" t="n">
        <v>113233</v>
      </c>
      <c r="AH12" s="145" t="n">
        <v>28638</v>
      </c>
      <c r="AI12" s="145" t="n">
        <v>55331</v>
      </c>
      <c r="AJ12" s="145" t="n">
        <v>91586</v>
      </c>
      <c r="AK12" s="145" t="n">
        <v>131525</v>
      </c>
      <c r="AL12" s="145" t="n">
        <v>31727</v>
      </c>
      <c r="AM12" s="145" t="n">
        <v>64068</v>
      </c>
      <c r="AN12" s="145" t="n">
        <v>100806</v>
      </c>
      <c r="AO12" s="145" t="n">
        <v>141184</v>
      </c>
      <c r="AP12" s="145" t="n">
        <v>37905</v>
      </c>
      <c r="AQ12" s="145" t="n">
        <v>76869</v>
      </c>
      <c r="AR12" s="145" t="n">
        <v>118432</v>
      </c>
      <c r="AS12" s="145" t="n">
        <v>165363</v>
      </c>
      <c r="AT12" s="145" t="n">
        <v>39177</v>
      </c>
      <c r="AU12" s="145" t="n">
        <v>86943</v>
      </c>
      <c r="AV12" s="145" t="n">
        <v>140705</v>
      </c>
      <c r="AW12" s="145" t="n">
        <v>202742</v>
      </c>
      <c r="AX12" s="145" t="n">
        <v>64807</v>
      </c>
      <c r="AY12" s="145" t="n">
        <v>128947</v>
      </c>
      <c r="AZ12" s="145" t="n">
        <v>199947</v>
      </c>
      <c r="BA12" s="145" t="n">
        <v>280886</v>
      </c>
      <c r="BB12" s="145" t="n">
        <v>67339</v>
      </c>
      <c r="BC12" s="145" t="n">
        <v>121240</v>
      </c>
      <c r="BD12" s="145" t="n">
        <v>173972</v>
      </c>
      <c r="BE12" s="145" t="n">
        <v>246189</v>
      </c>
      <c r="BF12" s="145" t="n">
        <v>73384</v>
      </c>
      <c r="BG12" s="145" t="n">
        <v>139518</v>
      </c>
      <c r="BH12" s="145" t="n">
        <v>221123</v>
      </c>
      <c r="BI12" s="145" t="n">
        <v>314984</v>
      </c>
      <c r="BJ12" s="145" t="n">
        <v>77225</v>
      </c>
      <c r="BK12" s="145" t="n">
        <v>165376</v>
      </c>
      <c r="BL12" s="145" t="n">
        <v>247495</v>
      </c>
      <c r="BM12" s="145" t="n">
        <v>338713</v>
      </c>
      <c r="BN12" s="145" t="n">
        <v>76080</v>
      </c>
      <c r="BO12" s="145" t="n">
        <v>154300</v>
      </c>
      <c r="BP12" s="145" t="n">
        <v>225649</v>
      </c>
      <c r="BQ12" s="145" t="n">
        <v>313986</v>
      </c>
      <c r="BR12" s="145" t="n">
        <v>63964</v>
      </c>
      <c r="BS12" t="n">
        <v>76905</v>
      </c>
      <c r="BT12" t="inlineStr">
        <is>
          <t>IPGP-Financial-Data-Workbook-2024-Q2.xlsx|Key Metrics|6|93</t>
        </is>
      </c>
      <c r="DA12" s="406" t="n"/>
      <c r="DB12" s="406" t="n"/>
      <c r="DC12" s="406" t="n"/>
      <c r="DD12" s="406" t="n"/>
      <c r="DE12" s="406" t="n"/>
      <c r="DF12" s="406" t="n"/>
      <c r="DG12" s="406" t="n"/>
      <c r="DH12" s="406" t="n"/>
      <c r="DI12" s="406" t="n"/>
      <c r="DJ12" s="406" t="n"/>
      <c r="DK12" s="406" t="n"/>
      <c r="DL12" s="406" t="n"/>
      <c r="DM12" s="406" t="n"/>
      <c r="DN12" s="406" t="n"/>
      <c r="DO12" s="406" t="n"/>
      <c r="DP12" s="406" t="n"/>
      <c r="DQ12" s="406" t="n"/>
      <c r="DR12" s="406" t="n"/>
    </row>
    <row r="13">
      <c r="A13" s="74" t="inlineStr">
        <is>
          <t>Germany</t>
        </is>
      </c>
      <c r="B13" s="50" t="n"/>
      <c r="C13" s="50" t="n"/>
      <c r="D13" s="50" t="n"/>
      <c r="E13" s="50" t="n"/>
      <c r="F13" s="50" t="n"/>
      <c r="G13" s="50" t="n"/>
      <c r="H13" s="50" t="n"/>
      <c r="I13" s="50" t="n"/>
      <c r="J13" s="50" t="n"/>
      <c r="K13" s="50" t="n"/>
      <c r="L13" s="50" t="n"/>
      <c r="M13" s="50" t="n"/>
      <c r="N13" s="145" t="n"/>
      <c r="O13" s="145" t="n"/>
      <c r="P13" s="145" t="n"/>
      <c r="Q13" s="145" t="n">
        <v>46282</v>
      </c>
      <c r="R13" s="145" t="n"/>
      <c r="S13" s="145" t="n"/>
      <c r="T13" s="145" t="n"/>
      <c r="U13" s="145" t="n">
        <v>76279</v>
      </c>
      <c r="V13" s="145" t="n"/>
      <c r="W13" s="145" t="n"/>
      <c r="X13" s="145" t="n"/>
      <c r="Y13" s="145" t="n">
        <v>89848</v>
      </c>
      <c r="Z13" s="145" t="n">
        <v>14618</v>
      </c>
      <c r="AA13" s="145" t="n">
        <v>30849</v>
      </c>
      <c r="AB13" s="145" t="n">
        <v>48775</v>
      </c>
      <c r="AC13" s="145" t="n">
        <v>65147</v>
      </c>
      <c r="AD13" s="145" t="n">
        <v>14765</v>
      </c>
      <c r="AE13" s="145" t="n">
        <v>36187</v>
      </c>
      <c r="AF13" s="145" t="n">
        <v>56750</v>
      </c>
      <c r="AG13" s="145" t="n">
        <v>77404</v>
      </c>
      <c r="AH13" s="145" t="n">
        <v>22727</v>
      </c>
      <c r="AI13" s="145" t="n">
        <v>42053</v>
      </c>
      <c r="AJ13" s="145" t="n">
        <v>67786</v>
      </c>
      <c r="AK13" s="145" t="n">
        <v>93802</v>
      </c>
      <c r="AL13" s="145" t="n">
        <v>22875</v>
      </c>
      <c r="AM13" s="145" t="n">
        <v>46531</v>
      </c>
      <c r="AN13" s="145" t="n">
        <v>68661</v>
      </c>
      <c r="AO13" s="145" t="n">
        <v>90893</v>
      </c>
      <c r="AP13" s="145" t="n">
        <v>23362</v>
      </c>
      <c r="AQ13" s="145" t="n">
        <v>49321</v>
      </c>
      <c r="AR13" s="145" t="n">
        <v>83984</v>
      </c>
      <c r="AS13" s="145" t="n">
        <v>114608</v>
      </c>
      <c r="AT13" s="145" t="n">
        <v>33236</v>
      </c>
      <c r="AU13" s="145" t="n">
        <v>65225</v>
      </c>
      <c r="AV13" s="145" t="n">
        <v>86939</v>
      </c>
      <c r="AW13" s="145" t="n">
        <v>111259</v>
      </c>
      <c r="AX13" s="145" t="n">
        <v>18619</v>
      </c>
      <c r="AY13" s="145" t="n">
        <v>42283</v>
      </c>
      <c r="AZ13" s="145" t="n">
        <v>59487</v>
      </c>
      <c r="BA13" s="145" t="n">
        <v>81365</v>
      </c>
      <c r="BB13" s="145" t="n">
        <v>17411</v>
      </c>
      <c r="BC13" s="145" t="n">
        <v>35045</v>
      </c>
      <c r="BD13" s="145" t="n">
        <v>51208</v>
      </c>
      <c r="BE13" s="145" t="n">
        <v>65646</v>
      </c>
      <c r="BF13" s="145" t="n">
        <v>26260</v>
      </c>
      <c r="BG13" s="145" t="n">
        <v>48008</v>
      </c>
      <c r="BH13" s="145" t="n">
        <v>74840</v>
      </c>
      <c r="BI13" s="145" t="n">
        <v>101738</v>
      </c>
      <c r="BJ13" s="145" t="n">
        <v>27417</v>
      </c>
      <c r="BK13" s="145" t="n">
        <v>50209</v>
      </c>
      <c r="BL13" s="145" t="n">
        <v>70831</v>
      </c>
      <c r="BM13" s="145" t="n">
        <v>85491</v>
      </c>
      <c r="BN13" s="145" t="n">
        <v>19833</v>
      </c>
      <c r="BO13" s="145" t="n">
        <v>48795</v>
      </c>
      <c r="BP13" s="145" t="n">
        <v>72218</v>
      </c>
      <c r="BQ13" s="145" t="n">
        <v>88026</v>
      </c>
      <c r="BR13" s="145" t="n">
        <v>20019</v>
      </c>
      <c r="BS13" t="n">
        <v>20809</v>
      </c>
      <c r="BT13" t="inlineStr">
        <is>
          <t>IPGP-Financial-Data-Workbook-2024-Q2.xlsx|Key Metrics|7|93</t>
        </is>
      </c>
      <c r="DA13" s="406" t="n"/>
      <c r="DB13" s="406" t="n"/>
      <c r="DC13" s="406" t="n"/>
      <c r="DD13" s="406" t="n"/>
      <c r="DE13" s="406" t="n"/>
      <c r="DF13" s="406" t="n"/>
      <c r="DG13" s="406" t="n"/>
      <c r="DH13" s="406" t="n"/>
      <c r="DI13" s="406" t="n"/>
      <c r="DJ13" s="406" t="n"/>
      <c r="DK13" s="406" t="n"/>
      <c r="DL13" s="406" t="n"/>
      <c r="DM13" s="406" t="n"/>
      <c r="DN13" s="406" t="n"/>
      <c r="DO13" s="406" t="n"/>
      <c r="DP13" s="406" t="n"/>
      <c r="DQ13" s="406" t="n"/>
      <c r="DR13" s="406" t="n"/>
    </row>
    <row r="14">
      <c r="A14" s="74" t="inlineStr">
        <is>
          <t>Other including Eastern Europe/CIS</t>
        </is>
      </c>
      <c r="B14" s="50" t="n"/>
      <c r="C14" s="50" t="n"/>
      <c r="D14" s="50" t="n"/>
      <c r="E14" s="50" t="n"/>
      <c r="F14" s="50" t="n"/>
      <c r="G14" s="50" t="n"/>
      <c r="H14" s="50" t="n"/>
      <c r="I14" s="50" t="n"/>
      <c r="J14" s="50" t="n"/>
      <c r="K14" s="50" t="n"/>
      <c r="L14" s="50" t="n"/>
      <c r="M14" s="50" t="n"/>
      <c r="N14" s="145" t="n"/>
      <c r="O14" s="145" t="n"/>
      <c r="P14" s="145" t="n"/>
      <c r="Q14" s="145" t="n">
        <v>66174</v>
      </c>
      <c r="R14" s="145" t="n"/>
      <c r="S14" s="145" t="n"/>
      <c r="T14" s="145" t="n"/>
      <c r="U14" s="145" t="n">
        <v>103305</v>
      </c>
      <c r="V14" s="145" t="n"/>
      <c r="W14" s="145" t="n"/>
      <c r="X14" s="145" t="n"/>
      <c r="Y14" s="145" t="n">
        <v>110860</v>
      </c>
      <c r="Z14" s="145" t="n">
        <v>30719</v>
      </c>
      <c r="AA14" s="145" t="n">
        <v>61616</v>
      </c>
      <c r="AB14" s="145" t="n">
        <v>92865</v>
      </c>
      <c r="AC14" s="145" t="n">
        <v>140279</v>
      </c>
      <c r="AD14" s="145" t="n">
        <v>40527</v>
      </c>
      <c r="AE14" s="145" t="n">
        <v>83054</v>
      </c>
      <c r="AF14" s="145" t="n">
        <v>122890</v>
      </c>
      <c r="AG14" s="145" t="n">
        <v>173018</v>
      </c>
      <c r="AH14" s="145" t="n">
        <v>42364</v>
      </c>
      <c r="AI14" s="145" t="n">
        <v>93581</v>
      </c>
      <c r="AJ14" s="145" t="n">
        <v>144341</v>
      </c>
      <c r="AK14" s="145" t="n">
        <v>189123</v>
      </c>
      <c r="AL14" s="145" t="n">
        <v>45420</v>
      </c>
      <c r="AM14" s="145" t="n">
        <v>98739</v>
      </c>
      <c r="AN14" s="145" t="n">
        <v>155394</v>
      </c>
      <c r="AO14" s="145" t="n">
        <v>224836</v>
      </c>
      <c r="AP14" s="145" t="n">
        <v>62584</v>
      </c>
      <c r="AQ14" s="145" t="n">
        <v>128700</v>
      </c>
      <c r="AR14" s="145" t="n">
        <v>212159</v>
      </c>
      <c r="AS14" s="145" t="n">
        <v>290067</v>
      </c>
      <c r="AT14" s="145" t="n">
        <v>82978</v>
      </c>
      <c r="AU14" s="145" t="n">
        <v>159325</v>
      </c>
      <c r="AV14" s="145" t="n">
        <v>225717</v>
      </c>
      <c r="AW14" s="145" t="n">
        <v>296917</v>
      </c>
      <c r="AX14" s="145" t="n">
        <v>69200</v>
      </c>
      <c r="AY14" s="145" t="n">
        <v>130331</v>
      </c>
      <c r="AZ14" s="145" t="n">
        <v>192527</v>
      </c>
      <c r="BA14" s="145" t="n">
        <v>249871</v>
      </c>
      <c r="BB14" s="145" t="n">
        <v>57232</v>
      </c>
      <c r="BC14" s="145" t="n">
        <v>103779</v>
      </c>
      <c r="BD14" s="145" t="n">
        <v>158686</v>
      </c>
      <c r="BE14" s="145" t="n">
        <v>219540</v>
      </c>
      <c r="BF14" s="145" t="n">
        <v>58593</v>
      </c>
      <c r="BG14" s="145" t="n">
        <v>132932</v>
      </c>
      <c r="BH14" s="145" t="n">
        <v>212709</v>
      </c>
      <c r="BI14" s="145" t="n">
        <v>289136</v>
      </c>
      <c r="BJ14" s="145" t="n">
        <v>80000</v>
      </c>
      <c r="BK14" s="145" t="n">
        <v>155407</v>
      </c>
      <c r="BL14" s="145" t="n">
        <v>227739</v>
      </c>
      <c r="BM14" s="145" t="n">
        <v>294481</v>
      </c>
      <c r="BN14" s="145" t="n">
        <v>80420</v>
      </c>
      <c r="BO14" s="145" t="n">
        <v>153285</v>
      </c>
      <c r="BP14" s="145" t="n">
        <v>225231</v>
      </c>
      <c r="BQ14" s="145" t="n">
        <v>291336</v>
      </c>
      <c r="BR14" s="145" t="n">
        <v>59497</v>
      </c>
      <c r="BS14" t="n">
        <v>53722</v>
      </c>
      <c r="BT14" t="inlineStr">
        <is>
          <t>IPGP-Financial-Data-Workbook-2024-Q2.xlsx|Key Metrics|8|93</t>
        </is>
      </c>
      <c r="DA14" s="406" t="n"/>
      <c r="DB14" s="406" t="n"/>
      <c r="DC14" s="406" t="n"/>
      <c r="DD14" s="406" t="n"/>
      <c r="DE14" s="406" t="n"/>
      <c r="DF14" s="406" t="n"/>
      <c r="DG14" s="406" t="n"/>
      <c r="DH14" s="406" t="n"/>
      <c r="DI14" s="406" t="n"/>
      <c r="DJ14" s="406" t="n"/>
      <c r="DK14" s="406" t="n"/>
      <c r="DL14" s="406" t="n"/>
      <c r="DM14" s="406" t="n"/>
      <c r="DN14" s="406" t="n"/>
      <c r="DO14" s="406" t="n"/>
      <c r="DP14" s="406" t="n"/>
      <c r="DQ14" s="406" t="n"/>
      <c r="DR14" s="406" t="n"/>
    </row>
    <row r="15">
      <c r="A15" s="74" t="inlineStr">
        <is>
          <t>China</t>
        </is>
      </c>
      <c r="B15" s="50" t="n"/>
      <c r="C15" s="50" t="n"/>
      <c r="D15" s="50" t="n"/>
      <c r="E15" s="50" t="n"/>
      <c r="F15" s="50" t="n"/>
      <c r="G15" s="50" t="n"/>
      <c r="H15" s="50" t="n"/>
      <c r="I15" s="50" t="n"/>
      <c r="J15" s="50" t="n"/>
      <c r="K15" s="50" t="n"/>
      <c r="L15" s="50" t="n"/>
      <c r="M15" s="50" t="n"/>
      <c r="N15" s="145" t="n"/>
      <c r="O15" s="145" t="n"/>
      <c r="P15" s="145" t="n"/>
      <c r="Q15" s="145" t="n">
        <v>35878</v>
      </c>
      <c r="R15" s="145" t="n"/>
      <c r="S15" s="145" t="n"/>
      <c r="T15" s="145" t="n"/>
      <c r="U15" s="145" t="n">
        <v>63261</v>
      </c>
      <c r="V15" s="145" t="n"/>
      <c r="W15" s="145" t="n"/>
      <c r="X15" s="145" t="n"/>
      <c r="Y15" s="145" t="n">
        <v>69576</v>
      </c>
      <c r="Z15" s="145" t="n">
        <v>37013</v>
      </c>
      <c r="AA15" s="145" t="n">
        <v>95458</v>
      </c>
      <c r="AB15" s="145" t="n">
        <v>151731</v>
      </c>
      <c r="AC15" s="145" t="n">
        <v>67981</v>
      </c>
      <c r="AD15" s="145" t="n">
        <v>47241</v>
      </c>
      <c r="AE15" s="145" t="n">
        <v>112859</v>
      </c>
      <c r="AF15" s="145" t="n">
        <v>185242</v>
      </c>
      <c r="AG15" s="145" t="n">
        <v>245102</v>
      </c>
      <c r="AH15" s="145" t="n">
        <v>56533</v>
      </c>
      <c r="AI15" s="145" t="n">
        <v>149412</v>
      </c>
      <c r="AJ15" s="145" t="n">
        <v>242862</v>
      </c>
      <c r="AK15" s="145" t="n">
        <v>311946</v>
      </c>
      <c r="AL15" s="145" t="n">
        <v>61634</v>
      </c>
      <c r="AM15" s="145" t="n">
        <v>157989</v>
      </c>
      <c r="AN15" s="145" t="n">
        <v>260051</v>
      </c>
      <c r="AO15" s="145" t="n">
        <v>358476</v>
      </c>
      <c r="AP15" s="145" t="n">
        <v>116674</v>
      </c>
      <c r="AQ15" s="145" t="n">
        <v>301819</v>
      </c>
      <c r="AR15" s="145" t="n">
        <v>476911</v>
      </c>
      <c r="AS15" s="145" t="n">
        <v>621283</v>
      </c>
      <c r="AT15" s="145" t="n">
        <v>149973</v>
      </c>
      <c r="AU15" s="145" t="n">
        <v>352999</v>
      </c>
      <c r="AV15" s="145" t="n">
        <v>511852</v>
      </c>
      <c r="AW15" s="145" t="n">
        <v>629079</v>
      </c>
      <c r="AX15" s="145" t="n">
        <v>114366</v>
      </c>
      <c r="AY15" s="145" t="n">
        <v>277956</v>
      </c>
      <c r="AZ15" s="145" t="n">
        <v>399246</v>
      </c>
      <c r="BA15" s="145" t="n">
        <v>491890</v>
      </c>
      <c r="BB15" s="145" t="n">
        <v>68599</v>
      </c>
      <c r="BC15" s="145" t="n">
        <v>213815</v>
      </c>
      <c r="BD15" s="145" t="n">
        <v>361864</v>
      </c>
      <c r="BE15" s="145" t="n">
        <v>502278</v>
      </c>
      <c r="BF15" s="145" t="n">
        <v>139833</v>
      </c>
      <c r="BG15" s="145" t="n">
        <v>298908</v>
      </c>
      <c r="BH15" s="145" t="n">
        <v>436119</v>
      </c>
      <c r="BI15" s="145" t="n">
        <v>548348</v>
      </c>
      <c r="BJ15" s="145" t="n">
        <v>129748</v>
      </c>
      <c r="BK15" s="145" t="n">
        <v>267128</v>
      </c>
      <c r="BL15" s="145" t="n">
        <v>385080</v>
      </c>
      <c r="BM15" s="145" t="n">
        <v>479926</v>
      </c>
      <c r="BN15" s="145" t="n">
        <v>101287</v>
      </c>
      <c r="BO15" s="145" t="n">
        <v>199854</v>
      </c>
      <c r="BP15" s="145" t="n">
        <v>284262</v>
      </c>
      <c r="BQ15" s="145" t="n">
        <v>355321</v>
      </c>
      <c r="BR15" s="145" t="n">
        <v>62730</v>
      </c>
      <c r="BS15" t="n">
        <v>64875</v>
      </c>
      <c r="BT15" t="inlineStr">
        <is>
          <t>IPGP-Financial-Data-Workbook-2024-Q2.xlsx|Key Metrics|9|93</t>
        </is>
      </c>
      <c r="DA15" s="406" t="n"/>
      <c r="DB15" s="406" t="n"/>
      <c r="DC15" s="406" t="n"/>
      <c r="DD15" s="406" t="n"/>
      <c r="DE15" s="406" t="n"/>
      <c r="DF15" s="406" t="n"/>
      <c r="DG15" s="406" t="n"/>
      <c r="DH15" s="406" t="n"/>
      <c r="DI15" s="406" t="n"/>
      <c r="DJ15" s="406" t="n"/>
      <c r="DK15" s="406" t="n"/>
      <c r="DL15" s="406" t="n"/>
      <c r="DM15" s="406" t="n"/>
      <c r="DN15" s="406" t="n"/>
      <c r="DO15" s="406" t="n"/>
      <c r="DP15" s="406" t="n"/>
      <c r="DQ15" s="406" t="n"/>
      <c r="DR15" s="406" t="n"/>
    </row>
    <row r="16">
      <c r="A16" s="74" t="inlineStr">
        <is>
          <t>Japan</t>
        </is>
      </c>
      <c r="B16" s="50" t="n"/>
      <c r="C16" s="50" t="n"/>
      <c r="D16" s="50" t="n"/>
      <c r="E16" s="50" t="n"/>
      <c r="F16" s="50" t="n"/>
      <c r="G16" s="50" t="n"/>
      <c r="H16" s="50" t="n"/>
      <c r="I16" s="50" t="n"/>
      <c r="J16" s="50" t="n"/>
      <c r="K16" s="50" t="n"/>
      <c r="L16" s="50" t="n"/>
      <c r="M16" s="50" t="n"/>
      <c r="N16" s="145" t="n"/>
      <c r="O16" s="145" t="n"/>
      <c r="P16" s="145" t="n"/>
      <c r="Q16" s="145" t="n">
        <v>57762</v>
      </c>
      <c r="R16" s="145" t="n"/>
      <c r="S16" s="145" t="n"/>
      <c r="T16" s="145" t="n"/>
      <c r="U16" s="145" t="n">
        <v>104560</v>
      </c>
      <c r="V16" s="145" t="n"/>
      <c r="W16" s="145" t="n"/>
      <c r="X16" s="145" t="n"/>
      <c r="Y16" s="145" t="n">
        <v>138782</v>
      </c>
      <c r="Z16" s="145" t="n">
        <v>17647</v>
      </c>
      <c r="AA16" s="145" t="n">
        <v>32017</v>
      </c>
      <c r="AB16" s="145" t="n">
        <v>52054</v>
      </c>
      <c r="AC16" s="145" t="n">
        <v>192134</v>
      </c>
      <c r="AD16" s="145" t="n">
        <v>24482</v>
      </c>
      <c r="AE16" s="145" t="n">
        <v>39116</v>
      </c>
      <c r="AF16" s="145" t="n">
        <v>55788</v>
      </c>
      <c r="AG16" s="145" t="n">
        <v>72573</v>
      </c>
      <c r="AH16" s="145" t="n">
        <v>20808</v>
      </c>
      <c r="AI16" s="145" t="n">
        <v>39586</v>
      </c>
      <c r="AJ16" s="145" t="n">
        <v>52770</v>
      </c>
      <c r="AK16" s="145" t="n">
        <v>76033</v>
      </c>
      <c r="AL16" s="145" t="n">
        <v>19843</v>
      </c>
      <c r="AM16" s="145" t="n">
        <v>40183</v>
      </c>
      <c r="AN16" s="145" t="n">
        <v>63542</v>
      </c>
      <c r="AO16" s="145" t="n">
        <v>88592</v>
      </c>
      <c r="AP16" s="145" t="n">
        <v>14156</v>
      </c>
      <c r="AQ16" s="145" t="n">
        <v>33915</v>
      </c>
      <c r="AR16" s="145" t="n">
        <v>54965</v>
      </c>
      <c r="AS16" s="145" t="n">
        <v>80612</v>
      </c>
      <c r="AT16" s="145" t="n">
        <v>19629</v>
      </c>
      <c r="AU16" s="145" t="n">
        <v>39057</v>
      </c>
      <c r="AV16" s="145" t="n">
        <v>60928</v>
      </c>
      <c r="AW16" s="145" t="n">
        <v>87619</v>
      </c>
      <c r="AX16" s="145" t="n">
        <v>15614</v>
      </c>
      <c r="AY16" s="145" t="n">
        <v>33020</v>
      </c>
      <c r="AZ16" s="145" t="n">
        <v>54879</v>
      </c>
      <c r="BA16" s="145" t="n">
        <v>71757</v>
      </c>
      <c r="BB16" s="145" t="n">
        <v>13685</v>
      </c>
      <c r="BC16" s="145" t="n">
        <v>28357</v>
      </c>
      <c r="BD16" s="145" t="n">
        <v>41241</v>
      </c>
      <c r="BE16" s="145" t="n">
        <v>53180</v>
      </c>
      <c r="BF16" s="145" t="n">
        <v>10877</v>
      </c>
      <c r="BG16" s="145" t="n">
        <v>21199</v>
      </c>
      <c r="BH16" s="145" t="n">
        <v>35485</v>
      </c>
      <c r="BI16" s="145" t="n">
        <v>54077</v>
      </c>
      <c r="BJ16" s="145" t="n">
        <v>12886</v>
      </c>
      <c r="BK16" s="145" t="n">
        <v>27627</v>
      </c>
      <c r="BL16" s="145" t="n">
        <v>38847</v>
      </c>
      <c r="BM16" s="145" t="n">
        <v>57865</v>
      </c>
      <c r="BN16" s="145" t="n">
        <v>21618</v>
      </c>
      <c r="BO16" s="145" t="n">
        <v>38367</v>
      </c>
      <c r="BP16" s="145" t="n">
        <v>54196</v>
      </c>
      <c r="BQ16" s="145" t="n">
        <v>72333</v>
      </c>
      <c r="BR16" s="145" t="n">
        <v>16698</v>
      </c>
      <c r="BS16" t="n">
        <v>10215</v>
      </c>
      <c r="BT16" t="inlineStr">
        <is>
          <t>IPGP-Financial-Data-Workbook-2024-Q2.xlsx|Key Metrics|10|93</t>
        </is>
      </c>
      <c r="DA16" s="406" t="n"/>
      <c r="DB16" s="406" t="n"/>
      <c r="DC16" s="406" t="n"/>
      <c r="DD16" s="406" t="n"/>
      <c r="DE16" s="406" t="n"/>
      <c r="DF16" s="406" t="n"/>
      <c r="DG16" s="406" t="n"/>
      <c r="DH16" s="406" t="n"/>
      <c r="DI16" s="406" t="n"/>
      <c r="DJ16" s="406" t="n"/>
      <c r="DK16" s="406" t="n"/>
      <c r="DL16" s="406" t="n"/>
      <c r="DM16" s="406" t="n"/>
      <c r="DN16" s="406" t="n"/>
      <c r="DO16" s="406" t="n"/>
      <c r="DP16" s="406" t="n"/>
      <c r="DQ16" s="406" t="n"/>
      <c r="DR16" s="406" t="n"/>
    </row>
    <row r="17">
      <c r="A17" s="74" t="inlineStr">
        <is>
          <t>Other Asian countries</t>
        </is>
      </c>
      <c r="B17" s="50" t="n"/>
      <c r="C17" s="50" t="n"/>
      <c r="D17" s="50" t="n"/>
      <c r="E17" s="50" t="n"/>
      <c r="F17" s="50" t="n"/>
      <c r="G17" s="50" t="n"/>
      <c r="H17" s="50" t="n"/>
      <c r="I17" s="50" t="n"/>
      <c r="J17" s="50" t="n"/>
      <c r="K17" s="50" t="n"/>
      <c r="L17" s="50" t="n"/>
      <c r="M17" s="50" t="n"/>
      <c r="N17" s="145" t="n"/>
      <c r="O17" s="145" t="n"/>
      <c r="P17" s="145" t="n"/>
      <c r="Q17" s="145" t="n">
        <v>30614</v>
      </c>
      <c r="R17" s="145" t="n"/>
      <c r="S17" s="145" t="n"/>
      <c r="T17" s="145" t="n"/>
      <c r="U17" s="145" t="n">
        <v>36937</v>
      </c>
      <c r="V17" s="145" t="n"/>
      <c r="W17" s="145" t="n"/>
      <c r="X17" s="145" t="n"/>
      <c r="Y17" s="145" t="n">
        <v>43445</v>
      </c>
      <c r="Z17" s="145" t="n">
        <v>17060</v>
      </c>
      <c r="AA17" s="145" t="n">
        <v>35316</v>
      </c>
      <c r="AB17" s="145" t="n">
        <v>49475</v>
      </c>
      <c r="AC17" s="145" t="n">
        <v>64346</v>
      </c>
      <c r="AD17" s="145" t="n">
        <v>20022</v>
      </c>
      <c r="AE17" s="145" t="n">
        <v>41503</v>
      </c>
      <c r="AF17" s="145" t="n">
        <v>65564</v>
      </c>
      <c r="AG17" s="145" t="n">
        <v>85426</v>
      </c>
      <c r="AH17" s="145" t="n">
        <v>27154</v>
      </c>
      <c r="AI17" s="145" t="n">
        <v>53023</v>
      </c>
      <c r="AJ17" s="145" t="n">
        <v>76290</v>
      </c>
      <c r="AK17" s="145" t="n">
        <v>95494</v>
      </c>
      <c r="AL17" s="145" t="n">
        <v>25097</v>
      </c>
      <c r="AM17" s="145" t="n">
        <v>51463</v>
      </c>
      <c r="AN17" s="145" t="n">
        <v>76092</v>
      </c>
      <c r="AO17" s="145" t="n">
        <v>100052</v>
      </c>
      <c r="AP17" s="145" t="n">
        <v>29369</v>
      </c>
      <c r="AQ17" s="145" t="n">
        <v>61387</v>
      </c>
      <c r="AR17" s="145" t="n">
        <v>97362</v>
      </c>
      <c r="AS17" s="145" t="n">
        <v>131511</v>
      </c>
      <c r="AT17" s="145" t="n">
        <v>34207</v>
      </c>
      <c r="AU17" s="145" t="n">
        <v>67521</v>
      </c>
      <c r="AV17" s="145" t="n">
        <v>99474</v>
      </c>
      <c r="AW17" s="145" t="n">
        <v>127252</v>
      </c>
      <c r="AX17" s="145" t="n">
        <v>31738</v>
      </c>
      <c r="AY17" s="145" t="n">
        <v>60667</v>
      </c>
      <c r="AZ17" s="145" t="n">
        <v>89544</v>
      </c>
      <c r="BA17" s="145" t="n">
        <v>121586</v>
      </c>
      <c r="BB17" s="145" t="n">
        <v>22823</v>
      </c>
      <c r="BC17" s="145" t="n">
        <v>39697</v>
      </c>
      <c r="BD17" s="145" t="n">
        <v>70924</v>
      </c>
      <c r="BE17" s="145" t="n">
        <v>103785</v>
      </c>
      <c r="BF17" s="145" t="n">
        <v>33110</v>
      </c>
      <c r="BG17" s="145" t="n">
        <v>70764</v>
      </c>
      <c r="BH17" s="145" t="n">
        <v>106608</v>
      </c>
      <c r="BI17" s="145" t="n">
        <v>139148</v>
      </c>
      <c r="BJ17" s="145" t="n">
        <v>38675</v>
      </c>
      <c r="BK17" s="145" t="n">
        <v>72370</v>
      </c>
      <c r="BL17" s="145" t="n">
        <v>111500</v>
      </c>
      <c r="BM17" s="145" t="n">
        <v>152373</v>
      </c>
      <c r="BN17" s="145" t="n">
        <v>43654</v>
      </c>
      <c r="BO17" s="145" t="n">
        <v>81716</v>
      </c>
      <c r="BP17" s="145" t="n">
        <v>111457</v>
      </c>
      <c r="BQ17" s="145" t="n">
        <v>142378</v>
      </c>
      <c r="BR17" s="145" t="n">
        <v>24978</v>
      </c>
      <c r="BS17" t="n">
        <v>27643</v>
      </c>
      <c r="BT17" t="inlineStr">
        <is>
          <t>IPGP-Financial-Data-Workbook-2024-Q2.xlsx|Key Metrics|11|93</t>
        </is>
      </c>
      <c r="DA17" s="406" t="n"/>
      <c r="DB17" s="406" t="n"/>
      <c r="DC17" s="406" t="n"/>
      <c r="DD17" s="406" t="n"/>
      <c r="DE17" s="406" t="n"/>
      <c r="DF17" s="406" t="n"/>
      <c r="DG17" s="406" t="n"/>
      <c r="DH17" s="406" t="n"/>
      <c r="DI17" s="406" t="n"/>
      <c r="DJ17" s="406" t="n"/>
      <c r="DK17" s="406" t="n"/>
      <c r="DL17" s="406" t="n"/>
      <c r="DM17" s="406" t="n"/>
      <c r="DN17" s="406" t="n"/>
      <c r="DO17" s="406" t="n"/>
      <c r="DP17" s="406" t="n"/>
      <c r="DQ17" s="406" t="n"/>
      <c r="DR17" s="406" t="n"/>
    </row>
    <row r="18">
      <c r="A18" s="74" t="inlineStr">
        <is>
          <t>Rest of World</t>
        </is>
      </c>
      <c r="B18" s="50" t="n"/>
      <c r="C18" s="50" t="n"/>
      <c r="D18" s="50" t="n"/>
      <c r="E18" s="50" t="n"/>
      <c r="F18" s="50" t="n"/>
      <c r="G18" s="50" t="n"/>
      <c r="H18" s="50" t="n"/>
      <c r="I18" s="50" t="n"/>
      <c r="J18" s="50" t="n"/>
      <c r="K18" s="50" t="n"/>
      <c r="L18" s="50" t="n"/>
      <c r="M18" s="50" t="n"/>
      <c r="N18" s="145" t="n"/>
      <c r="O18" s="145" t="n"/>
      <c r="P18" s="145" t="n"/>
      <c r="Q18" s="145" t="n">
        <v>840</v>
      </c>
      <c r="R18" s="145" t="n"/>
      <c r="S18" s="145" t="n"/>
      <c r="T18" s="145" t="n"/>
      <c r="U18" s="145" t="n">
        <v>3959</v>
      </c>
      <c r="V18" s="145" t="n"/>
      <c r="W18" s="145" t="n"/>
      <c r="X18" s="145" t="n"/>
      <c r="Y18" s="145" t="n">
        <v>1701</v>
      </c>
      <c r="Z18" s="145" t="n">
        <v>564</v>
      </c>
      <c r="AA18" s="145" t="n">
        <v>1889</v>
      </c>
      <c r="AB18" s="145" t="n">
        <v>3000</v>
      </c>
      <c r="AC18" s="145" t="n">
        <v>1212</v>
      </c>
      <c r="AD18" s="145" t="n">
        <v>690</v>
      </c>
      <c r="AE18" s="145" t="n">
        <v>2447</v>
      </c>
      <c r="AF18" s="145" t="n">
        <v>3472</v>
      </c>
      <c r="AG18" s="145" t="n">
        <v>3076</v>
      </c>
      <c r="AH18" s="145" t="n">
        <v>736</v>
      </c>
      <c r="AI18" s="145" t="n">
        <v>1112</v>
      </c>
      <c r="AJ18" s="145" t="n">
        <v>2004</v>
      </c>
      <c r="AK18" s="145" t="n">
        <v>3342</v>
      </c>
      <c r="AL18" s="145" t="n">
        <v>652</v>
      </c>
      <c r="AM18" s="145" t="n">
        <v>1062</v>
      </c>
      <c r="AN18" s="145" t="n">
        <v>1506</v>
      </c>
      <c r="AO18" s="145" t="n">
        <v>2140</v>
      </c>
      <c r="AP18" s="145" t="n">
        <v>1796</v>
      </c>
      <c r="AQ18" s="145" t="n">
        <v>3208</v>
      </c>
      <c r="AR18" s="145" t="n">
        <v>4021</v>
      </c>
      <c r="AS18" s="145" t="n">
        <v>5445</v>
      </c>
      <c r="AT18" s="145" t="n">
        <v>664</v>
      </c>
      <c r="AU18" s="145" t="n">
        <v>2407</v>
      </c>
      <c r="AV18" s="145" t="n">
        <v>4208</v>
      </c>
      <c r="AW18" s="145" t="n">
        <v>5006</v>
      </c>
      <c r="AX18" s="145" t="n">
        <v>703</v>
      </c>
      <c r="AY18" s="145" t="n">
        <v>5612</v>
      </c>
      <c r="AZ18" s="145" t="n">
        <v>12324</v>
      </c>
      <c r="BA18" s="145" t="n">
        <v>17226</v>
      </c>
      <c r="BB18" s="145" t="n">
        <v>2153</v>
      </c>
      <c r="BC18" s="145" t="n">
        <v>3720</v>
      </c>
      <c r="BD18" s="145" t="n">
        <v>6199</v>
      </c>
      <c r="BE18" s="145" t="n">
        <v>10106</v>
      </c>
      <c r="BF18" s="145" t="n">
        <v>3528</v>
      </c>
      <c r="BG18" s="145" t="n">
        <v>5914</v>
      </c>
      <c r="BH18" s="145" t="n">
        <v>9509</v>
      </c>
      <c r="BI18" s="145" t="n">
        <v>13429</v>
      </c>
      <c r="BJ18" s="145" t="n">
        <v>4028</v>
      </c>
      <c r="BK18" s="145" t="n">
        <v>8885</v>
      </c>
      <c r="BL18" s="145" t="n">
        <v>14516</v>
      </c>
      <c r="BM18" s="145" t="n">
        <v>20698</v>
      </c>
      <c r="BN18" s="145" t="n">
        <v>4282</v>
      </c>
      <c r="BO18" s="145" t="n">
        <v>10828</v>
      </c>
      <c r="BP18" s="145" t="n">
        <v>15533</v>
      </c>
      <c r="BQ18" s="145" t="n">
        <v>24059</v>
      </c>
      <c r="BR18" s="145" t="n">
        <v>4123</v>
      </c>
      <c r="BS18" t="n">
        <v>3476</v>
      </c>
      <c r="BT18" t="inlineStr">
        <is>
          <t>IPGP-Financial-Data-Workbook-2024-Q2.xlsx|Key Metrics|12|93</t>
        </is>
      </c>
      <c r="DA18" s="406" t="n"/>
      <c r="DB18" s="406" t="n"/>
      <c r="DC18" s="406" t="n"/>
      <c r="DD18" s="406" t="n"/>
      <c r="DE18" s="406" t="n"/>
      <c r="DF18" s="406" t="n"/>
      <c r="DG18" s="406" t="n"/>
      <c r="DH18" s="406" t="n"/>
      <c r="DI18" s="406" t="n"/>
      <c r="DJ18" s="406" t="n"/>
      <c r="DK18" s="406" t="n"/>
      <c r="DL18" s="406" t="n"/>
      <c r="DM18" s="406" t="n"/>
      <c r="DN18" s="406" t="n"/>
      <c r="DO18" s="406" t="n"/>
      <c r="DP18" s="406" t="n"/>
      <c r="DQ18" s="406" t="n"/>
      <c r="DR18" s="406" t="n"/>
    </row>
    <row r="19">
      <c r="A19" s="22" t="inlineStr">
        <is>
          <t>Total</t>
        </is>
      </c>
      <c r="B19" s="403" t="n"/>
      <c r="C19" s="403" t="n"/>
      <c r="D19" s="403" t="n"/>
      <c r="E19" s="403" t="n"/>
      <c r="F19" s="403" t="n"/>
      <c r="G19" s="403" t="n"/>
      <c r="H19" s="403" t="n"/>
      <c r="I19" s="403" t="n"/>
      <c r="J19" s="403" t="n"/>
      <c r="K19" s="403" t="n"/>
      <c r="L19" s="403" t="n"/>
      <c r="M19" s="403" t="n"/>
      <c r="N19" s="133" t="n"/>
      <c r="O19" s="133" t="n"/>
      <c r="P19" s="133" t="n"/>
      <c r="Q19" s="133" t="n">
        <v>299256</v>
      </c>
      <c r="R19" s="133" t="n"/>
      <c r="S19" s="133" t="n"/>
      <c r="T19" s="133" t="n"/>
      <c r="U19" s="133" t="n">
        <v>474482</v>
      </c>
      <c r="V19" s="133" t="n"/>
      <c r="W19" s="133" t="n"/>
      <c r="X19" s="133" t="n"/>
      <c r="Y19" s="133" t="n">
        <v>562528</v>
      </c>
      <c r="Z19" s="133" t="n">
        <v>141852</v>
      </c>
      <c r="AA19" s="133" t="n">
        <v>310023</v>
      </c>
      <c r="AB19" s="133" t="n">
        <v>482175</v>
      </c>
      <c r="AC19" s="133" t="n">
        <v>648034</v>
      </c>
      <c r="AD19" s="133" t="n">
        <v>170575</v>
      </c>
      <c r="AE19" s="133" t="n">
        <v>362779</v>
      </c>
      <c r="AF19" s="133" t="n">
        <v>562430</v>
      </c>
      <c r="AG19" s="133" t="n">
        <v>769832</v>
      </c>
      <c r="AH19" s="133" t="n">
        <v>198960</v>
      </c>
      <c r="AI19" s="133" t="n">
        <v>434098</v>
      </c>
      <c r="AJ19" s="133" t="n">
        <v>677639</v>
      </c>
      <c r="AK19" s="133" t="n">
        <v>901265</v>
      </c>
      <c r="AL19" s="133" t="n">
        <v>207248</v>
      </c>
      <c r="AM19" s="133" t="n">
        <v>460035</v>
      </c>
      <c r="AN19" s="133" t="n">
        <v>726052</v>
      </c>
      <c r="AO19" s="133" t="n">
        <v>1006173</v>
      </c>
      <c r="AP19" s="133" t="n">
        <v>285846</v>
      </c>
      <c r="AQ19" s="133" t="n">
        <v>655219</v>
      </c>
      <c r="AR19" s="133" t="n">
        <v>1047834</v>
      </c>
      <c r="AS19" s="133" t="n">
        <v>1408889</v>
      </c>
      <c r="AT19" s="133" t="n">
        <v>359864</v>
      </c>
      <c r="AU19" s="133" t="n">
        <v>773477</v>
      </c>
      <c r="AV19" s="133" t="n">
        <v>1129823</v>
      </c>
      <c r="AW19" s="133" t="n">
        <v>1459874</v>
      </c>
      <c r="AX19" s="133" t="n">
        <v>315047</v>
      </c>
      <c r="AY19" s="133" t="n">
        <v>678816</v>
      </c>
      <c r="AZ19" s="133" t="n">
        <v>1007954</v>
      </c>
      <c r="BA19" s="133" t="n">
        <v>1314581</v>
      </c>
      <c r="BB19" s="133" t="n">
        <v>249242</v>
      </c>
      <c r="BC19" s="133" t="n">
        <v>545653</v>
      </c>
      <c r="BD19" s="133" t="n">
        <v>864094</v>
      </c>
      <c r="BE19" s="133" t="n">
        <v>1200724</v>
      </c>
      <c r="BF19" s="133" t="n">
        <v>345585</v>
      </c>
      <c r="BG19" s="133" t="n">
        <v>717243</v>
      </c>
      <c r="BH19" s="133" t="n">
        <v>1096393</v>
      </c>
      <c r="BI19" s="133" t="n">
        <v>1460860</v>
      </c>
      <c r="BJ19" s="133" t="n">
        <v>369979</v>
      </c>
      <c r="BK19" s="133" t="n">
        <v>747002</v>
      </c>
      <c r="BL19" s="133" t="n">
        <v>1096008</v>
      </c>
      <c r="BM19" s="133" t="n">
        <v>1429547</v>
      </c>
      <c r="BN19" s="133" t="n">
        <v>347174</v>
      </c>
      <c r="BO19" s="133" t="n">
        <v>687145</v>
      </c>
      <c r="BP19" s="133" t="n">
        <v>988546</v>
      </c>
      <c r="BQ19" s="133" t="n">
        <v>1287439</v>
      </c>
      <c r="BR19" s="133" t="n">
        <v>252009</v>
      </c>
      <c r="BS19" t="n">
        <v>257645</v>
      </c>
      <c r="BT19" t="inlineStr">
        <is>
          <t>IPGP-Financial-Data-Workbook-2024-Q2.xlsx|Key Metrics|13|93</t>
        </is>
      </c>
      <c r="DA19" s="406" t="n"/>
      <c r="DB19" s="406" t="n"/>
      <c r="DC19" s="406" t="n"/>
      <c r="DD19" s="406" t="n"/>
      <c r="DE19" s="406" t="n"/>
      <c r="DF19" s="406" t="n"/>
      <c r="DG19" s="406" t="n"/>
      <c r="DH19" s="406" t="n"/>
      <c r="DI19" s="406" t="n"/>
      <c r="DJ19" s="406" t="n"/>
      <c r="DK19" s="406" t="n"/>
      <c r="DL19" s="406" t="n"/>
      <c r="DM19" s="406" t="n"/>
      <c r="DN19" s="406" t="n"/>
      <c r="DO19" s="406" t="n"/>
      <c r="DP19" s="406" t="n"/>
      <c r="DQ19" s="406" t="n"/>
      <c r="DR19" s="406" t="n"/>
    </row>
    <row r="20">
      <c r="B20" s="50" t="n"/>
      <c r="C20" s="50" t="n"/>
      <c r="D20" s="50" t="n"/>
      <c r="E20" s="50" t="n"/>
      <c r="F20" s="50" t="n"/>
      <c r="G20" s="50" t="n"/>
      <c r="H20" s="50" t="n"/>
      <c r="I20" s="50" t="n"/>
      <c r="J20" s="50" t="n"/>
      <c r="K20" s="50" t="n"/>
      <c r="L20" s="50" t="n"/>
      <c r="M20" s="50" t="n"/>
      <c r="N20" s="20" t="n"/>
      <c r="O20" s="20" t="n"/>
      <c r="P20" s="20" t="n"/>
      <c r="Q20" s="20" t="n"/>
      <c r="R20" s="20" t="n"/>
      <c r="S20" s="20" t="n"/>
      <c r="T20" s="20" t="n"/>
      <c r="U20" s="20" t="n"/>
      <c r="V20" s="20" t="n"/>
      <c r="W20" s="20" t="n"/>
      <c r="X20" s="20" t="n"/>
      <c r="Y20" s="20" t="n"/>
      <c r="Z20" s="20" t="n"/>
      <c r="AA20" s="20" t="n"/>
      <c r="AC20" s="20" t="n"/>
      <c r="AD20" s="20" t="n"/>
      <c r="AE20" s="20" t="n"/>
      <c r="AF20" s="20" t="n"/>
      <c r="AG20" s="20" t="n"/>
      <c r="AH20" s="20" t="n"/>
      <c r="AI20" s="20" t="n"/>
      <c r="AJ20" s="20" t="n"/>
      <c r="AK20" s="20" t="n"/>
      <c r="AL20" s="20" t="n"/>
      <c r="AM20" s="20" t="n"/>
      <c r="AN20" s="20" t="n"/>
      <c r="AO20" s="20" t="n"/>
      <c r="AP20" s="20" t="n"/>
      <c r="AQ20" s="20" t="n"/>
      <c r="AR20" s="20" t="n"/>
      <c r="AS20" s="20" t="n"/>
    </row>
    <row r="21">
      <c r="A21" s="22" t="inlineStr">
        <is>
          <t>End market breakdown</t>
        </is>
      </c>
      <c r="B21" s="140" t="n"/>
      <c r="C21" s="140" t="n"/>
      <c r="D21" s="140" t="n"/>
      <c r="E21" s="50" t="n"/>
      <c r="F21" s="50" t="n"/>
      <c r="G21" s="50" t="n"/>
      <c r="H21" s="50" t="n"/>
      <c r="I21" s="50" t="n"/>
      <c r="J21" s="50" t="n"/>
      <c r="K21" s="50" t="n"/>
      <c r="L21" s="50" t="n"/>
      <c r="M21" s="50" t="n"/>
      <c r="N21" s="67" t="n"/>
      <c r="O21" s="67" t="n"/>
      <c r="P21" s="67" t="n"/>
      <c r="Q21" s="67" t="n"/>
      <c r="R21" s="67" t="n"/>
      <c r="S21" s="67" t="n"/>
      <c r="T21" s="67" t="n"/>
      <c r="U21" s="67" t="n"/>
      <c r="V21" s="67" t="n"/>
      <c r="W21" s="67" t="n"/>
      <c r="X21" s="67" t="n"/>
      <c r="Y21" s="67" t="n"/>
      <c r="Z21" s="67" t="n"/>
      <c r="AA21" s="67" t="n"/>
      <c r="AB21" s="67" t="n"/>
      <c r="AC21" s="67" t="n"/>
      <c r="AD21" s="67" t="n"/>
      <c r="AE21" s="67" t="n"/>
      <c r="AF21" s="67" t="n"/>
      <c r="AG21" s="67" t="n"/>
      <c r="AH21" s="67" t="n"/>
      <c r="AI21" s="67" t="n"/>
      <c r="AJ21" s="67" t="n"/>
      <c r="AK21" s="67" t="n"/>
      <c r="AL21" s="67" t="n"/>
      <c r="AM21" s="67" t="n"/>
      <c r="AN21" s="67" t="n"/>
      <c r="AO21" s="67" t="n"/>
      <c r="AP21" s="67" t="n"/>
      <c r="AQ21" s="67" t="n"/>
      <c r="AR21" s="67" t="n"/>
      <c r="AS21" s="67" t="n"/>
    </row>
    <row r="22">
      <c r="A22" s="74" t="inlineStr">
        <is>
          <t>Materials Processing</t>
        </is>
      </c>
      <c r="B22" s="145" t="n"/>
      <c r="C22" s="145" t="n"/>
      <c r="D22" s="145" t="n"/>
      <c r="E22" s="145" t="n"/>
      <c r="F22" s="145" t="n"/>
      <c r="H22" s="145" t="n"/>
      <c r="I22" s="145" t="n"/>
      <c r="J22" s="145" t="n"/>
      <c r="K22" s="145" t="n"/>
      <c r="L22" s="145" t="n"/>
      <c r="M22" s="145" t="n"/>
      <c r="N22" s="145" t="n">
        <v>42740</v>
      </c>
      <c r="O22" s="145" t="n">
        <v>100006</v>
      </c>
      <c r="P22" s="145" t="n">
        <v>167546</v>
      </c>
      <c r="Q22" s="145" t="n">
        <v>252014</v>
      </c>
      <c r="R22" s="145" t="n">
        <v>86397</v>
      </c>
      <c r="S22" s="145" t="n">
        <v>194297</v>
      </c>
      <c r="T22" s="145" t="n">
        <v>308542</v>
      </c>
      <c r="U22" s="145" t="n">
        <v>419443</v>
      </c>
      <c r="V22" s="145" t="n">
        <v>103188</v>
      </c>
      <c r="W22" s="145" t="n">
        <v>227800</v>
      </c>
      <c r="X22" s="145" t="n">
        <v>365525</v>
      </c>
      <c r="Y22" s="145" t="n">
        <v>492013</v>
      </c>
      <c r="Z22" s="145" t="n">
        <v>133045</v>
      </c>
      <c r="AA22" s="145" t="n">
        <v>290663</v>
      </c>
      <c r="AB22" s="145" t="n">
        <v>454764</v>
      </c>
      <c r="AC22" s="145" t="n">
        <v>608702</v>
      </c>
      <c r="AD22" s="145" t="n">
        <v>162724</v>
      </c>
      <c r="AE22" s="145" t="n">
        <v>347996</v>
      </c>
      <c r="AF22" s="145" t="n">
        <v>540284</v>
      </c>
      <c r="AG22" s="145" t="n">
        <v>731274</v>
      </c>
      <c r="AH22" s="145" t="n">
        <v>192003</v>
      </c>
      <c r="AI22" s="145" t="n">
        <v>416489</v>
      </c>
      <c r="AJ22" s="145" t="n">
        <v>640302</v>
      </c>
      <c r="AK22" s="145" t="n">
        <v>849335</v>
      </c>
      <c r="AL22" s="145" t="n">
        <v>198207</v>
      </c>
      <c r="AM22" s="145" t="n">
        <v>437263</v>
      </c>
      <c r="AN22" s="145" t="n">
        <v>683562</v>
      </c>
      <c r="AO22" s="145" t="n">
        <v>942119</v>
      </c>
      <c r="AP22" s="145" t="n">
        <v>264131</v>
      </c>
      <c r="AQ22" s="145" t="n">
        <v>617196</v>
      </c>
      <c r="AR22" s="145" t="n">
        <v>991921</v>
      </c>
      <c r="AS22" s="145" t="n">
        <v>1332607</v>
      </c>
      <c r="AT22" s="145" t="n">
        <v>339214</v>
      </c>
      <c r="AU22" s="145" t="n">
        <v>731215</v>
      </c>
      <c r="AV22" s="145" t="n">
        <v>1065712</v>
      </c>
      <c r="AW22" s="145" t="n">
        <v>1374448</v>
      </c>
      <c r="AX22" s="145" t="n">
        <v>301085</v>
      </c>
      <c r="AY22" s="145" t="n">
        <v>646676</v>
      </c>
      <c r="AZ22" s="145" t="n">
        <v>952936</v>
      </c>
      <c r="BA22" s="145" t="n">
        <v>1229211</v>
      </c>
      <c r="BB22" s="145" t="n">
        <v>218074</v>
      </c>
      <c r="BC22" s="145" t="n">
        <v>489782</v>
      </c>
      <c r="BD22" s="145" t="n">
        <v>779810</v>
      </c>
      <c r="BE22" s="145" t="n">
        <v>1082478</v>
      </c>
      <c r="BF22" s="145" t="n">
        <v>317241</v>
      </c>
      <c r="BG22" s="145" t="n">
        <v>662894</v>
      </c>
      <c r="BH22" s="145" t="n">
        <v>1008939</v>
      </c>
      <c r="BI22" s="145" t="n">
        <v>1325404</v>
      </c>
      <c r="BJ22" s="145" t="n">
        <v>338963</v>
      </c>
      <c r="BK22" s="145" t="n">
        <v>682320</v>
      </c>
      <c r="BL22" s="145" t="n">
        <v>994866</v>
      </c>
      <c r="BM22" s="145" t="n">
        <v>1291262</v>
      </c>
      <c r="BN22" s="145" t="n">
        <v>312969</v>
      </c>
      <c r="BO22" s="145" t="n">
        <v>627153</v>
      </c>
      <c r="BP22" s="145" t="n">
        <v>892379</v>
      </c>
      <c r="BQ22" s="145" t="n">
        <v>1152804</v>
      </c>
      <c r="BR22" s="145" t="n">
        <v>226365</v>
      </c>
      <c r="BS22" t="n">
        <v>225773</v>
      </c>
      <c r="BT22" t="inlineStr">
        <is>
          <t>IPGP-Financial-Data-Workbook-2024-Q2.xlsx|Key Metrics|26|93</t>
        </is>
      </c>
      <c r="DA22" s="406" t="n"/>
      <c r="DB22" s="406" t="n"/>
      <c r="DC22" s="406" t="n"/>
      <c r="DD22" s="406" t="n"/>
      <c r="DE22" s="406" t="n"/>
      <c r="DF22" s="406" t="n"/>
      <c r="DG22" s="406" t="n"/>
      <c r="DH22" s="406" t="n"/>
      <c r="DI22" s="406" t="n"/>
      <c r="DJ22" s="406" t="n"/>
      <c r="DK22" s="406" t="n"/>
      <c r="DL22" s="406" t="n"/>
      <c r="DM22" s="406" t="n"/>
      <c r="DN22" s="406" t="n"/>
      <c r="DO22" s="406" t="n"/>
      <c r="DP22" s="406" t="n"/>
      <c r="DQ22" s="406" t="n"/>
      <c r="DR22" s="406" t="n"/>
    </row>
    <row r="23">
      <c r="A23" s="74" t="inlineStr">
        <is>
          <t>Other application, of which</t>
        </is>
      </c>
      <c r="B23" s="145" t="n"/>
      <c r="C23" s="145" t="n"/>
      <c r="D23" s="145" t="n"/>
      <c r="E23" s="145" t="n"/>
      <c r="F23" s="145" t="n"/>
      <c r="H23" s="145" t="n"/>
      <c r="I23" s="145" t="n"/>
      <c r="J23" s="145" t="n"/>
      <c r="K23" s="145" t="n"/>
      <c r="L23" s="145" t="n"/>
      <c r="M23" s="145" t="n"/>
      <c r="N23" s="143">
        <f>SUM(N24:N26)</f>
        <v/>
      </c>
      <c r="O23" s="143">
        <f>SUM(O24:O26)</f>
        <v/>
      </c>
      <c r="P23" s="143">
        <f>SUM(P24:P26)</f>
        <v/>
      </c>
      <c r="Q23" s="143">
        <f>SUM(Q24:Q26)</f>
        <v/>
      </c>
      <c r="R23" s="143">
        <f>SUM(R24:R26)</f>
        <v/>
      </c>
      <c r="S23" s="143">
        <f>SUM(S24:S26)</f>
        <v/>
      </c>
      <c r="T23" s="143">
        <f>SUM(T24:T26)</f>
        <v/>
      </c>
      <c r="U23" s="143">
        <f>SUM(U24:U26)</f>
        <v/>
      </c>
      <c r="V23" s="145" t="n">
        <v>20004</v>
      </c>
      <c r="W23" s="145" t="n">
        <v>33319</v>
      </c>
      <c r="X23" s="145" t="n">
        <v>51973</v>
      </c>
      <c r="Y23" s="145" t="n">
        <v>70515</v>
      </c>
      <c r="Z23" s="145" t="n">
        <v>8807</v>
      </c>
      <c r="AA23" s="145" t="n">
        <v>19360</v>
      </c>
      <c r="AB23" s="145" t="n">
        <v>27411</v>
      </c>
      <c r="AC23" s="145" t="n">
        <v>39332</v>
      </c>
      <c r="AD23" s="145" t="n">
        <v>7851</v>
      </c>
      <c r="AE23" s="145" t="n">
        <v>14783</v>
      </c>
      <c r="AF23" s="145" t="n">
        <v>22146</v>
      </c>
      <c r="AG23" s="145" t="n">
        <v>38558</v>
      </c>
      <c r="AH23" s="145" t="n">
        <v>6957</v>
      </c>
      <c r="AI23" s="145" t="n">
        <v>17609</v>
      </c>
      <c r="AJ23" s="145" t="n">
        <v>37337</v>
      </c>
      <c r="AK23" s="145" t="n">
        <v>51930</v>
      </c>
      <c r="AL23" s="145" t="n">
        <v>9041</v>
      </c>
      <c r="AM23" s="145" t="n">
        <v>22772</v>
      </c>
      <c r="AN23" s="145" t="n">
        <v>42490</v>
      </c>
      <c r="AO23" s="145" t="n">
        <v>64054</v>
      </c>
      <c r="AP23" s="145" t="n">
        <v>21715</v>
      </c>
      <c r="AQ23" s="145" t="n">
        <v>38023</v>
      </c>
      <c r="AR23" s="145" t="n">
        <v>55913</v>
      </c>
      <c r="AS23" s="145" t="n">
        <v>76282</v>
      </c>
      <c r="AT23" s="145" t="n">
        <v>20650</v>
      </c>
      <c r="AU23" s="145" t="n">
        <v>42262</v>
      </c>
      <c r="AV23" s="145" t="n">
        <v>64111</v>
      </c>
      <c r="AW23" s="145" t="n">
        <v>85426</v>
      </c>
      <c r="AX23" s="145" t="n">
        <v>13962</v>
      </c>
      <c r="AY23" s="145" t="n">
        <v>32140</v>
      </c>
      <c r="AZ23" s="145" t="n">
        <v>55018</v>
      </c>
      <c r="BA23" s="145" t="n">
        <v>85370</v>
      </c>
      <c r="BB23" s="145" t="n">
        <v>31168</v>
      </c>
      <c r="BC23" s="145" t="n">
        <v>55871</v>
      </c>
      <c r="BD23" s="145" t="n">
        <v>84284</v>
      </c>
      <c r="BE23" s="145" t="n">
        <v>118246</v>
      </c>
      <c r="BF23" s="145" t="n">
        <v>28344</v>
      </c>
      <c r="BG23" s="145" t="n">
        <v>54349</v>
      </c>
      <c r="BH23" s="145" t="n">
        <v>87454</v>
      </c>
      <c r="BI23" s="145" t="n">
        <v>135456</v>
      </c>
      <c r="BJ23" s="145" t="n">
        <v>31016</v>
      </c>
      <c r="BK23" s="145" t="n">
        <v>64682</v>
      </c>
      <c r="BL23" s="145" t="n">
        <v>101142</v>
      </c>
      <c r="BM23" s="145" t="n">
        <v>138285</v>
      </c>
      <c r="BN23" s="145" t="n">
        <v>34205</v>
      </c>
      <c r="BO23" s="145" t="n">
        <v>59992</v>
      </c>
      <c r="BP23" s="145" t="n">
        <v>96167</v>
      </c>
      <c r="BQ23" s="145" t="n">
        <v>134635</v>
      </c>
      <c r="BR23" s="145" t="n">
        <v>25644</v>
      </c>
      <c r="DA23" s="406" t="n"/>
      <c r="DB23" s="406" t="n"/>
      <c r="DC23" s="406" t="n"/>
      <c r="DD23" s="406" t="n"/>
      <c r="DE23" s="406" t="n"/>
      <c r="DF23" s="406" t="n"/>
      <c r="DG23" s="406" t="n"/>
      <c r="DH23" s="406" t="n"/>
      <c r="DI23" s="406" t="n"/>
      <c r="DJ23" s="406" t="n"/>
      <c r="DK23" s="406" t="n"/>
      <c r="DL23" s="406" t="n"/>
      <c r="DM23" s="406" t="n"/>
      <c r="DN23" s="406" t="n"/>
      <c r="DO23" s="406" t="n"/>
      <c r="DP23" s="406" t="n"/>
      <c r="DQ23" s="406" t="n"/>
      <c r="DR23" s="406" t="n"/>
    </row>
    <row r="24">
      <c r="A24" s="33" t="inlineStr">
        <is>
          <t>Advanced Applications</t>
        </is>
      </c>
      <c r="B24" s="145" t="n"/>
      <c r="C24" s="145" t="n"/>
      <c r="D24" s="145" t="n"/>
      <c r="E24" s="145" t="n"/>
      <c r="F24" s="145" t="n"/>
      <c r="H24" s="145" t="n"/>
      <c r="I24" s="145" t="n"/>
      <c r="J24" s="145" t="n"/>
      <c r="K24" s="145" t="n"/>
      <c r="L24" s="145" t="n"/>
      <c r="M24" s="145" t="n"/>
      <c r="N24" s="145" t="n">
        <v>4684</v>
      </c>
      <c r="O24" s="145" t="n">
        <v>10065</v>
      </c>
      <c r="P24" s="145" t="n">
        <v>15749</v>
      </c>
      <c r="Q24" s="145" t="n">
        <v>25196</v>
      </c>
      <c r="R24" s="145" t="n">
        <v>8232</v>
      </c>
      <c r="S24" s="145" t="n">
        <v>14485</v>
      </c>
      <c r="T24" s="145" t="n">
        <v>19550</v>
      </c>
      <c r="U24" s="145" t="n">
        <v>25918</v>
      </c>
      <c r="V24" s="145" t="n"/>
      <c r="W24" s="145" t="n"/>
      <c r="X24" s="145" t="n"/>
      <c r="Y24" s="145" t="n">
        <v>43052</v>
      </c>
      <c r="Z24" s="145" t="n"/>
      <c r="AA24" s="145" t="n"/>
      <c r="AB24" s="145" t="n"/>
      <c r="AC24" s="145" t="n">
        <v>26190</v>
      </c>
      <c r="AD24" s="145" t="n"/>
      <c r="AE24" s="145" t="n"/>
      <c r="AF24" s="145" t="n"/>
      <c r="AG24" s="145" t="n">
        <v>25704</v>
      </c>
      <c r="AH24" s="145" t="n"/>
      <c r="AI24" s="145" t="n"/>
      <c r="AJ24" s="145" t="n"/>
      <c r="AK24" s="145" t="n">
        <v>28866</v>
      </c>
      <c r="AL24" s="145" t="n"/>
      <c r="AM24" s="145" t="n"/>
      <c r="AN24" s="145" t="n"/>
      <c r="AO24" s="145" t="n">
        <v>28166</v>
      </c>
      <c r="AP24" s="145" t="n"/>
      <c r="AQ24" s="145" t="n"/>
      <c r="AR24" s="145" t="n"/>
      <c r="AS24" s="145" t="n">
        <v>36836</v>
      </c>
      <c r="AT24" s="145" t="n"/>
      <c r="AU24" s="145" t="n"/>
      <c r="AV24" s="145" t="n"/>
      <c r="AW24" s="145" t="n">
        <v>43469</v>
      </c>
      <c r="AX24" s="145" t="n"/>
      <c r="AY24" s="145" t="n"/>
      <c r="AZ24" s="145" t="n"/>
      <c r="BA24" s="145" t="n">
        <v>40779</v>
      </c>
      <c r="BB24" s="145" t="n"/>
      <c r="BC24" s="145" t="n"/>
      <c r="BD24" s="145" t="n"/>
      <c r="BE24" s="145" t="n">
        <v>63859</v>
      </c>
      <c r="BF24" s="145" t="n"/>
      <c r="BG24" s="145" t="n"/>
      <c r="BH24" s="145" t="n"/>
      <c r="BI24" s="145" t="n">
        <v>69257</v>
      </c>
      <c r="BJ24" s="145" t="n"/>
      <c r="BK24" s="145" t="n"/>
      <c r="BL24" s="145" t="n"/>
      <c r="BM24" s="145" t="n">
        <v>54308</v>
      </c>
      <c r="BN24" s="145" t="n"/>
      <c r="BO24" s="145" t="n"/>
      <c r="BP24" s="145" t="n"/>
      <c r="BQ24" s="145" t="n">
        <v>55576</v>
      </c>
      <c r="BR24" s="145" t="n"/>
      <c r="DA24" s="406" t="n"/>
      <c r="DB24" s="406" t="n"/>
      <c r="DC24" s="406" t="n"/>
      <c r="DD24" s="406" t="n"/>
      <c r="DE24" s="406" t="n"/>
      <c r="DF24" s="406" t="n"/>
      <c r="DG24" s="406" t="n"/>
      <c r="DH24" s="406" t="n"/>
      <c r="DI24" s="406" t="n"/>
      <c r="DJ24" s="406" t="n"/>
      <c r="DK24" s="406" t="n"/>
      <c r="DL24" s="406" t="n"/>
      <c r="DM24" s="406" t="n"/>
      <c r="DN24" s="406" t="n"/>
      <c r="DO24" s="406" t="n"/>
      <c r="DP24" s="406" t="n"/>
      <c r="DQ24" s="406" t="n"/>
      <c r="DR24" s="406" t="n"/>
    </row>
    <row r="25">
      <c r="A25" s="33" t="inlineStr">
        <is>
          <t>Communications</t>
        </is>
      </c>
      <c r="B25" s="145" t="n"/>
      <c r="C25" s="145" t="n"/>
      <c r="D25" s="145" t="n"/>
      <c r="E25" s="145" t="n"/>
      <c r="F25" s="145" t="n"/>
      <c r="H25" s="145" t="n"/>
      <c r="I25" s="145" t="n"/>
      <c r="J25" s="145" t="n"/>
      <c r="K25" s="145" t="n"/>
      <c r="L25" s="145" t="n"/>
      <c r="M25" s="145" t="n"/>
      <c r="N25" s="145" t="n">
        <v>1854</v>
      </c>
      <c r="O25" s="145" t="n">
        <v>3986</v>
      </c>
      <c r="P25" s="145" t="n">
        <v>9192</v>
      </c>
      <c r="Q25" s="145" t="n">
        <v>14020</v>
      </c>
      <c r="R25" s="145" t="n">
        <v>3202</v>
      </c>
      <c r="S25" s="145" t="n">
        <v>9068</v>
      </c>
      <c r="T25" s="145" t="n">
        <v>16419</v>
      </c>
      <c r="U25" s="145" t="n">
        <v>20368</v>
      </c>
      <c r="V25" s="145" t="n"/>
      <c r="W25" s="145" t="n"/>
      <c r="X25" s="145" t="n"/>
      <c r="Y25" s="145" t="n">
        <v>21706</v>
      </c>
      <c r="Z25" s="145" t="n"/>
      <c r="AA25" s="145" t="n"/>
      <c r="AB25" s="145" t="n"/>
      <c r="AC25" s="145" t="n">
        <v>9135</v>
      </c>
      <c r="AD25" s="145" t="n"/>
      <c r="AE25" s="145" t="n"/>
      <c r="AF25" s="145" t="n"/>
      <c r="AG25" s="145" t="n">
        <v>8523</v>
      </c>
      <c r="AH25" s="145" t="n"/>
      <c r="AI25" s="145" t="n"/>
      <c r="AJ25" s="145" t="n"/>
      <c r="AK25" s="145" t="n">
        <v>14399</v>
      </c>
      <c r="AL25" s="145" t="n"/>
      <c r="AM25" s="145" t="n"/>
      <c r="AN25" s="145" t="n"/>
      <c r="AO25" s="145" t="n">
        <v>28823</v>
      </c>
      <c r="AP25" s="145" t="n"/>
      <c r="AQ25" s="145" t="n"/>
      <c r="AR25" s="145" t="n"/>
      <c r="AS25" s="145" t="n">
        <v>32023</v>
      </c>
      <c r="AT25" s="145" t="n"/>
      <c r="AU25" s="145" t="n"/>
      <c r="AV25" s="145" t="n"/>
      <c r="AW25" s="145" t="n">
        <v>34397</v>
      </c>
      <c r="AX25" s="145" t="n"/>
      <c r="AY25" s="145" t="n"/>
      <c r="AZ25" s="145" t="n"/>
      <c r="BA25" s="145" t="n">
        <v>30111</v>
      </c>
      <c r="BB25" s="145" t="n"/>
      <c r="BC25" s="145" t="n"/>
      <c r="BD25" s="145" t="n"/>
      <c r="BE25" s="145" t="n">
        <v>23144</v>
      </c>
      <c r="BF25" s="145" t="n"/>
      <c r="BG25" s="145" t="n"/>
      <c r="BH25" s="145" t="n"/>
      <c r="BI25" s="145" t="n">
        <v>23263</v>
      </c>
      <c r="BJ25" s="145" t="n"/>
      <c r="BK25" s="145" t="n"/>
      <c r="BL25" s="145" t="n"/>
      <c r="BM25" s="145" t="n">
        <v>13575</v>
      </c>
      <c r="BN25" s="145" t="n"/>
      <c r="BO25" s="145" t="n"/>
      <c r="BP25" s="145" t="n"/>
      <c r="BQ25" s="145" t="n">
        <v>7488</v>
      </c>
      <c r="BR25" s="145" t="n"/>
      <c r="DA25" s="406" t="n"/>
      <c r="DB25" s="406" t="n"/>
      <c r="DC25" s="406" t="n"/>
      <c r="DD25" s="406" t="n"/>
      <c r="DE25" s="406" t="n"/>
      <c r="DF25" s="406" t="n"/>
      <c r="DG25" s="406" t="n"/>
      <c r="DH25" s="406" t="n"/>
      <c r="DI25" s="406" t="n"/>
      <c r="DJ25" s="406" t="n"/>
      <c r="DK25" s="406" t="n"/>
      <c r="DL25" s="406" t="n"/>
      <c r="DM25" s="406" t="n"/>
      <c r="DN25" s="406" t="n"/>
      <c r="DO25" s="406" t="n"/>
      <c r="DP25" s="406" t="n"/>
      <c r="DQ25" s="406" t="n"/>
      <c r="DR25" s="406" t="n"/>
    </row>
    <row r="26">
      <c r="A26" s="33" t="inlineStr">
        <is>
          <t>Medical</t>
        </is>
      </c>
      <c r="B26" s="145" t="n"/>
      <c r="C26" s="145" t="n"/>
      <c r="D26" s="145" t="n"/>
      <c r="E26" s="145" t="n"/>
      <c r="F26" s="145" t="n"/>
      <c r="H26" s="145" t="n"/>
      <c r="I26" s="145" t="n"/>
      <c r="J26" s="145" t="n"/>
      <c r="K26" s="145" t="n"/>
      <c r="L26" s="145" t="n"/>
      <c r="M26" s="145" t="n"/>
      <c r="N26" s="145" t="n">
        <v>1926</v>
      </c>
      <c r="O26" s="145" t="n">
        <v>4405</v>
      </c>
      <c r="P26" s="145" t="n">
        <v>5784</v>
      </c>
      <c r="Q26" s="145" t="n">
        <v>8026</v>
      </c>
      <c r="R26" s="145" t="n">
        <v>2127</v>
      </c>
      <c r="S26" s="145" t="n">
        <v>4044</v>
      </c>
      <c r="T26" s="145" t="n">
        <v>6447</v>
      </c>
      <c r="U26" s="145" t="n">
        <v>8753</v>
      </c>
      <c r="V26" s="145" t="n"/>
      <c r="W26" s="145" t="n"/>
      <c r="X26" s="145" t="n"/>
      <c r="Y26" s="145" t="n">
        <v>5757</v>
      </c>
      <c r="Z26" s="145" t="n"/>
      <c r="AA26" s="145" t="n"/>
      <c r="AB26" s="145" t="n"/>
      <c r="AC26" s="145" t="n">
        <v>4007</v>
      </c>
      <c r="AD26" s="145" t="n"/>
      <c r="AE26" s="145" t="n"/>
      <c r="AF26" s="145" t="n"/>
      <c r="AG26" s="145" t="n">
        <v>4331</v>
      </c>
      <c r="AH26" s="145" t="n"/>
      <c r="AI26" s="145" t="n"/>
      <c r="AJ26" s="145" t="n"/>
      <c r="AK26" s="145" t="n">
        <v>8665</v>
      </c>
      <c r="AL26" s="145" t="n"/>
      <c r="AM26" s="145" t="n"/>
      <c r="AN26" s="145" t="n"/>
      <c r="AO26" s="145" t="n">
        <v>7065</v>
      </c>
      <c r="AP26" s="145" t="n"/>
      <c r="AQ26" s="145" t="n"/>
      <c r="AR26" s="145" t="n"/>
      <c r="AS26" s="145" t="n">
        <v>7423</v>
      </c>
      <c r="AT26" s="145" t="n"/>
      <c r="AU26" s="145" t="n"/>
      <c r="AV26" s="145" t="n"/>
      <c r="AW26" s="145" t="n">
        <v>7560</v>
      </c>
      <c r="AX26" s="145" t="n"/>
      <c r="AY26" s="145" t="n"/>
      <c r="AZ26" s="145" t="n"/>
      <c r="BA26" s="145" t="n">
        <v>14480</v>
      </c>
      <c r="BB26" s="145" t="n"/>
      <c r="BC26" s="145" t="n"/>
      <c r="BD26" s="145" t="n"/>
      <c r="BE26" s="145" t="n">
        <v>31243</v>
      </c>
      <c r="BF26" s="145" t="n"/>
      <c r="BG26" s="145" t="n"/>
      <c r="BH26" s="145" t="n"/>
      <c r="BI26" s="145" t="n">
        <v>42936</v>
      </c>
      <c r="BJ26" s="145" t="n"/>
      <c r="BK26" s="145" t="n"/>
      <c r="BL26" s="145" t="n"/>
      <c r="BM26" s="145" t="n">
        <v>70402</v>
      </c>
      <c r="BN26" s="145" t="n"/>
      <c r="BO26" s="145" t="n"/>
      <c r="BP26" s="145" t="n"/>
      <c r="BQ26" s="145" t="n">
        <v>71571</v>
      </c>
      <c r="BR26" s="145" t="n"/>
      <c r="DA26" s="406" t="n"/>
      <c r="DB26" s="406" t="n"/>
      <c r="DC26" s="406" t="n"/>
      <c r="DD26" s="406" t="n"/>
      <c r="DE26" s="406" t="n"/>
      <c r="DF26" s="406" t="n"/>
      <c r="DG26" s="406" t="n"/>
      <c r="DH26" s="406" t="n"/>
      <c r="DI26" s="406" t="n"/>
      <c r="DJ26" s="406" t="n"/>
      <c r="DK26" s="406" t="n"/>
      <c r="DL26" s="406" t="n"/>
      <c r="DM26" s="406" t="n"/>
      <c r="DN26" s="406" t="n"/>
      <c r="DO26" s="406" t="n"/>
      <c r="DP26" s="406" t="n"/>
      <c r="DQ26" s="406" t="n"/>
      <c r="DR26" s="406" t="n"/>
    </row>
    <row r="27">
      <c r="A27" s="40" t="inlineStr">
        <is>
          <t>Total</t>
        </is>
      </c>
      <c r="B27" s="121" t="n"/>
      <c r="C27" s="121" t="n"/>
      <c r="D27" s="121" t="n"/>
      <c r="E27" s="121" t="n"/>
      <c r="F27" s="121" t="n"/>
      <c r="G27" s="121" t="n"/>
      <c r="H27" s="121" t="n"/>
      <c r="I27" s="121" t="n"/>
      <c r="J27" s="121" t="n"/>
      <c r="K27" s="121" t="n"/>
      <c r="L27" s="121" t="n"/>
      <c r="M27" s="121" t="n"/>
      <c r="N27" s="133" t="n">
        <v>51204</v>
      </c>
      <c r="O27" s="133" t="n">
        <v>118462</v>
      </c>
      <c r="P27" s="133" t="n">
        <v>198271</v>
      </c>
      <c r="Q27" s="133" t="n">
        <v>299256</v>
      </c>
      <c r="R27" s="133" t="n">
        <v>99958</v>
      </c>
      <c r="S27" s="133" t="n">
        <v>221894</v>
      </c>
      <c r="T27" s="133" t="n">
        <v>350958</v>
      </c>
      <c r="U27" s="133" t="n">
        <v>474482</v>
      </c>
      <c r="V27" s="133" t="n">
        <v>123192</v>
      </c>
      <c r="W27" s="133" t="n">
        <v>261119</v>
      </c>
      <c r="X27" s="133" t="n">
        <v>417498</v>
      </c>
      <c r="Y27" s="133" t="n">
        <v>562528</v>
      </c>
      <c r="Z27" s="133" t="n">
        <v>141852</v>
      </c>
      <c r="AA27" s="133" t="n">
        <v>310023</v>
      </c>
      <c r="AB27" s="133" t="n">
        <v>482175</v>
      </c>
      <c r="AC27" s="133" t="n">
        <v>648034</v>
      </c>
      <c r="AD27" s="133" t="n">
        <v>170575</v>
      </c>
      <c r="AE27" s="133" t="n">
        <v>362779</v>
      </c>
      <c r="AF27" s="133" t="n">
        <v>562430</v>
      </c>
      <c r="AG27" s="133" t="n">
        <v>769832</v>
      </c>
      <c r="AH27" s="133" t="n">
        <v>198960</v>
      </c>
      <c r="AI27" s="133" t="n">
        <v>434098</v>
      </c>
      <c r="AJ27" s="133" t="n">
        <v>677639</v>
      </c>
      <c r="AK27" s="133" t="n">
        <v>901265</v>
      </c>
      <c r="AL27" s="133" t="n">
        <v>207248</v>
      </c>
      <c r="AM27" s="133" t="n">
        <v>460035</v>
      </c>
      <c r="AN27" s="133" t="n">
        <v>726052</v>
      </c>
      <c r="AO27" s="133" t="n">
        <v>1006173</v>
      </c>
      <c r="AP27" s="133" t="n">
        <v>285846</v>
      </c>
      <c r="AQ27" s="133" t="n">
        <v>655219</v>
      </c>
      <c r="AR27" s="133" t="n">
        <v>1047834</v>
      </c>
      <c r="AS27" s="133" t="n">
        <v>1408889</v>
      </c>
      <c r="AT27" s="133" t="n">
        <v>359864</v>
      </c>
      <c r="AU27" s="133" t="n">
        <v>773477</v>
      </c>
      <c r="AV27" s="133" t="n">
        <v>1129823</v>
      </c>
      <c r="AW27" s="133" t="n">
        <v>1459874</v>
      </c>
      <c r="AX27" s="133" t="n">
        <v>315047</v>
      </c>
      <c r="AY27" s="133" t="n">
        <v>678816</v>
      </c>
      <c r="AZ27" s="133" t="n">
        <v>1007954</v>
      </c>
      <c r="BA27" s="133" t="n">
        <v>1314581</v>
      </c>
      <c r="BB27" s="133" t="n">
        <v>249242</v>
      </c>
      <c r="BC27" s="133" t="n">
        <v>545653</v>
      </c>
      <c r="BD27" s="133" t="n">
        <v>864094</v>
      </c>
      <c r="BE27" s="133" t="n">
        <v>1200724</v>
      </c>
      <c r="BF27" s="133" t="n">
        <v>345585</v>
      </c>
      <c r="BG27" s="133" t="n">
        <v>717243</v>
      </c>
      <c r="BH27" s="133" t="n">
        <v>1096393</v>
      </c>
      <c r="BI27" s="133" t="n">
        <v>1460860</v>
      </c>
      <c r="BJ27" s="133" t="n">
        <v>369979</v>
      </c>
      <c r="BK27" s="133" t="n">
        <v>747002</v>
      </c>
      <c r="BL27" s="133" t="n">
        <v>1096008</v>
      </c>
      <c r="BM27" s="133" t="n">
        <v>1429547</v>
      </c>
      <c r="BN27" s="133" t="n">
        <v>347174</v>
      </c>
      <c r="BO27" s="133" t="n">
        <v>687145</v>
      </c>
      <c r="BP27" s="133" t="n">
        <v>988546</v>
      </c>
      <c r="BQ27" s="133" t="n">
        <v>1287439</v>
      </c>
      <c r="BR27" s="133" t="n">
        <v>252009</v>
      </c>
      <c r="BS27" t="n">
        <v>257645</v>
      </c>
      <c r="BT27" t="inlineStr">
        <is>
          <t>IPGP-Financial-Data-Workbook-2024-Q2.xlsx|Key Metrics|31|93</t>
        </is>
      </c>
      <c r="DA27" s="406" t="n"/>
      <c r="DB27" s="406" t="n"/>
      <c r="DC27" s="406" t="n"/>
      <c r="DD27" s="406" t="n"/>
      <c r="DE27" s="406" t="n"/>
      <c r="DF27" s="406" t="n"/>
      <c r="DG27" s="406" t="n"/>
      <c r="DH27" s="406" t="n"/>
      <c r="DI27" s="406" t="n"/>
      <c r="DJ27" s="406" t="n"/>
      <c r="DK27" s="406" t="n"/>
      <c r="DL27" s="406" t="n"/>
      <c r="DM27" s="406" t="n"/>
      <c r="DN27" s="406" t="n"/>
      <c r="DO27" s="406" t="n"/>
      <c r="DP27" s="406" t="n"/>
      <c r="DQ27" s="406" t="n"/>
      <c r="DR27" s="406" t="n"/>
    </row>
    <row r="28">
      <c r="A28" s="40" t="n"/>
      <c r="B28" s="121" t="n"/>
      <c r="C28" s="121" t="n"/>
      <c r="D28" s="121" t="n"/>
      <c r="E28" s="121" t="n"/>
      <c r="F28" s="121" t="n"/>
      <c r="G28" s="121" t="n"/>
      <c r="H28" s="121" t="n"/>
      <c r="I28" s="121" t="n"/>
      <c r="J28" s="121" t="n"/>
      <c r="K28" s="121" t="n"/>
      <c r="L28" s="121" t="n"/>
      <c r="M28" s="121" t="n"/>
      <c r="N28" s="133" t="n"/>
      <c r="O28" s="133" t="n"/>
      <c r="P28" s="133" t="n"/>
      <c r="Q28" s="133" t="n"/>
      <c r="R28" s="133" t="n"/>
      <c r="S28" s="133" t="n"/>
      <c r="T28" s="133" t="n"/>
      <c r="U28" s="133" t="n"/>
      <c r="V28" s="133" t="n"/>
      <c r="W28" s="133" t="n"/>
      <c r="X28" s="133" t="n"/>
      <c r="Y28" s="133" t="n"/>
      <c r="Z28" s="133" t="n"/>
      <c r="AA28" s="133" t="n"/>
      <c r="AC28" s="133" t="n"/>
      <c r="AD28" s="133" t="n"/>
      <c r="AE28" s="133" t="n"/>
      <c r="AF28" s="133" t="n"/>
      <c r="AG28" s="133" t="n"/>
      <c r="AH28" s="133" t="n"/>
      <c r="AI28" s="133" t="n"/>
      <c r="AJ28" s="133" t="n"/>
      <c r="AK28" s="133" t="n"/>
      <c r="AL28" s="133" t="n"/>
      <c r="AM28" s="133" t="n"/>
      <c r="AN28" s="133" t="n"/>
      <c r="AO28" s="133" t="n"/>
      <c r="AP28" s="133" t="n"/>
      <c r="AQ28" s="133" t="n"/>
      <c r="AR28" s="133" t="n"/>
      <c r="AS28" s="133" t="n"/>
    </row>
    <row r="29">
      <c r="A29" s="40" t="inlineStr">
        <is>
          <t>Segment breakdown</t>
        </is>
      </c>
      <c r="B29" s="121" t="n"/>
      <c r="C29" s="121" t="n"/>
      <c r="D29" s="121" t="n"/>
      <c r="E29" s="121" t="n"/>
      <c r="F29" s="121" t="n"/>
      <c r="G29" s="121" t="n"/>
      <c r="H29" s="121" t="n"/>
      <c r="I29" s="121" t="n"/>
      <c r="J29" s="121" t="n"/>
      <c r="K29" s="121" t="n"/>
      <c r="L29" s="121" t="n"/>
      <c r="M29" s="121" t="n"/>
      <c r="N29" s="133" t="n"/>
      <c r="O29" s="133" t="n"/>
      <c r="P29" s="133" t="n"/>
      <c r="Q29" s="133" t="n"/>
      <c r="R29" s="133" t="n"/>
      <c r="S29" s="133" t="n"/>
      <c r="T29" s="133" t="n"/>
      <c r="U29" s="133" t="n"/>
      <c r="V29" s="133" t="n"/>
      <c r="W29" s="133" t="n"/>
      <c r="X29" s="133" t="n"/>
      <c r="Y29" s="133" t="n"/>
      <c r="Z29" s="133" t="n"/>
      <c r="AA29" s="133" t="n"/>
      <c r="AC29" s="133" t="n"/>
      <c r="AD29" s="133" t="n"/>
      <c r="AE29" s="133" t="n"/>
      <c r="AF29" s="133" t="n"/>
      <c r="AG29" s="133" t="n"/>
      <c r="AH29" s="133" t="n"/>
      <c r="AI29" s="133" t="n"/>
      <c r="AJ29" s="133" t="n"/>
      <c r="AK29" s="133" t="n"/>
      <c r="AL29" s="133" t="n"/>
      <c r="AM29" s="133" t="n"/>
      <c r="AN29" s="133" t="n"/>
      <c r="AO29" s="133" t="n"/>
      <c r="AP29" s="133" t="n"/>
      <c r="AQ29" s="133" t="n"/>
      <c r="AR29" s="133" t="n"/>
      <c r="AS29" s="133" t="n"/>
      <c r="AW29" s="110" t="n"/>
      <c r="AX29" s="110" t="n"/>
      <c r="AY29" s="110" t="n"/>
      <c r="AZ29" s="110" t="n"/>
      <c r="BA29" s="110" t="n"/>
      <c r="BB29" s="110" t="n"/>
      <c r="BC29" s="110" t="n"/>
      <c r="BD29" s="110" t="n"/>
      <c r="BE29" s="110" t="n"/>
      <c r="BF29" s="110" t="n"/>
      <c r="BG29" s="110" t="n"/>
      <c r="BH29" s="110" t="n"/>
      <c r="BJ29" s="110" t="n"/>
      <c r="BN29" s="110" t="n"/>
      <c r="BO29" s="110" t="n"/>
    </row>
    <row r="30">
      <c r="A30" s="74" t="inlineStr">
        <is>
          <t>High-power CW lasers (1 Kilowatt or Greater)</t>
        </is>
      </c>
      <c r="B30" s="121" t="n"/>
      <c r="C30" s="121" t="n"/>
      <c r="D30" s="121" t="n"/>
      <c r="E30" s="121" t="n"/>
      <c r="F30" s="121" t="n"/>
      <c r="G30" s="121" t="n"/>
      <c r="H30" s="121" t="n"/>
      <c r="I30" s="121" t="n"/>
      <c r="J30" s="121" t="n"/>
      <c r="K30" s="121" t="n"/>
      <c r="L30" s="121" t="n"/>
      <c r="M30" s="121" t="n"/>
      <c r="N30" s="145" t="n"/>
      <c r="O30" s="145" t="n"/>
      <c r="P30" s="145" t="n"/>
      <c r="Q30" s="145" t="n"/>
      <c r="R30" s="145" t="n"/>
      <c r="S30" s="145" t="n"/>
      <c r="T30" s="145" t="n"/>
      <c r="U30" s="145" t="n"/>
      <c r="V30" s="145" t="n"/>
      <c r="W30" s="145" t="n"/>
      <c r="X30" s="145" t="n"/>
      <c r="Y30" s="145" t="n"/>
      <c r="Z30" s="145" t="n">
        <v>74572</v>
      </c>
      <c r="AA30" s="145" t="n">
        <v>159586</v>
      </c>
      <c r="AB30" s="145" t="n">
        <v>255299</v>
      </c>
      <c r="AC30" s="145" t="n">
        <v>342784</v>
      </c>
      <c r="AD30" s="145" t="n">
        <v>99455</v>
      </c>
      <c r="AE30" s="145" t="n">
        <v>203153</v>
      </c>
      <c r="AF30" s="145" t="n">
        <v>308595</v>
      </c>
      <c r="AG30" s="145" t="n">
        <v>423984</v>
      </c>
      <c r="AH30" s="145" t="n">
        <v>114316</v>
      </c>
      <c r="AI30" s="145" t="n">
        <v>246096</v>
      </c>
      <c r="AJ30" s="145" t="n">
        <v>377013</v>
      </c>
      <c r="AK30" s="145" t="n">
        <v>499598</v>
      </c>
      <c r="AL30" s="145" t="n">
        <v>118220</v>
      </c>
      <c r="AM30" s="145" t="n">
        <v>259626</v>
      </c>
      <c r="AN30" s="145" t="n">
        <v>412628</v>
      </c>
      <c r="AO30" s="145" t="n">
        <v>578668</v>
      </c>
      <c r="AP30" s="145" t="n">
        <v>167944</v>
      </c>
      <c r="AQ30" s="145" t="n">
        <v>390148</v>
      </c>
      <c r="AR30" s="145" t="n">
        <v>634387</v>
      </c>
      <c r="AS30" s="145" t="n">
        <v>867463</v>
      </c>
      <c r="AT30" s="145" t="n">
        <v>230574</v>
      </c>
      <c r="AU30" s="145" t="n">
        <v>496649</v>
      </c>
      <c r="AV30" s="145" t="n">
        <v>724111</v>
      </c>
      <c r="AW30" s="145" t="n">
        <v>909726</v>
      </c>
      <c r="AX30" s="145" t="n">
        <v>179019</v>
      </c>
      <c r="AY30" s="145" t="n">
        <v>392430</v>
      </c>
      <c r="AZ30" s="145" t="n">
        <v>577354</v>
      </c>
      <c r="BA30" s="145" t="n">
        <v>734745</v>
      </c>
      <c r="BB30" s="145" t="n">
        <v>119316</v>
      </c>
      <c r="BC30" s="145" t="n">
        <v>276794</v>
      </c>
      <c r="BD30" s="145" t="n">
        <v>461181</v>
      </c>
      <c r="BE30" s="145" t="n">
        <v>646062</v>
      </c>
      <c r="BF30" s="145" t="n">
        <v>170482</v>
      </c>
      <c r="BG30" s="145" t="n">
        <v>360226</v>
      </c>
      <c r="BH30" s="145" t="n">
        <v>538013</v>
      </c>
      <c r="BI30" s="145" t="n">
        <v>687406</v>
      </c>
      <c r="BJ30" s="145" t="n">
        <v>167691</v>
      </c>
      <c r="BK30" s="145" t="n">
        <v>330688</v>
      </c>
      <c r="BL30" s="145" t="n">
        <v>483455</v>
      </c>
      <c r="BM30" s="145" t="n">
        <v>613734</v>
      </c>
      <c r="BN30" s="145" t="n">
        <v>154034</v>
      </c>
      <c r="BO30" s="145" t="n">
        <v>300026</v>
      </c>
      <c r="BP30" s="145" t="n">
        <v>419538</v>
      </c>
      <c r="BQ30" s="145" t="n">
        <v>524981</v>
      </c>
      <c r="BR30" s="145" t="n">
        <v>90793</v>
      </c>
      <c r="BS30" t="n">
        <v>82225</v>
      </c>
      <c r="BT30" t="inlineStr">
        <is>
          <t>IPGP-Financial-Data-Workbook-2024-Q2.xlsx|Key Metrics|46|93</t>
        </is>
      </c>
      <c r="DA30" s="406" t="n"/>
      <c r="DB30" s="406" t="n"/>
      <c r="DC30" s="406" t="n"/>
      <c r="DD30" s="406" t="n"/>
      <c r="DE30" s="406" t="n"/>
      <c r="DF30" s="406" t="n"/>
      <c r="DG30" s="406" t="n"/>
      <c r="DH30" s="406" t="n"/>
      <c r="DI30" s="406" t="n"/>
      <c r="DJ30" s="406" t="n"/>
      <c r="DK30" s="406" t="n"/>
      <c r="DL30" s="406" t="n"/>
      <c r="DM30" s="406" t="n"/>
      <c r="DN30" s="406" t="n"/>
      <c r="DO30" s="406" t="n"/>
      <c r="DP30" s="406" t="n"/>
      <c r="DQ30" s="406" t="n"/>
      <c r="DR30" s="406" t="n"/>
    </row>
    <row r="31">
      <c r="A31" s="74" t="inlineStr">
        <is>
          <t>Medium-power CW lasers (Less Than 1 Kilowatt)</t>
        </is>
      </c>
      <c r="B31" s="121" t="n"/>
      <c r="C31" s="121" t="n"/>
      <c r="D31" s="121" t="n"/>
      <c r="E31" s="121" t="n"/>
      <c r="F31" s="121" t="n"/>
      <c r="G31" s="121" t="n"/>
      <c r="H31" s="121" t="n"/>
      <c r="I31" s="121" t="n"/>
      <c r="J31" s="121" t="n"/>
      <c r="K31" s="121" t="n"/>
      <c r="L31" s="121" t="n"/>
      <c r="M31" s="121" t="n"/>
      <c r="N31" s="145" t="n"/>
      <c r="O31" s="145" t="n"/>
      <c r="P31" s="145" t="n"/>
      <c r="Q31" s="145" t="n"/>
      <c r="R31" s="145" t="n"/>
      <c r="S31" s="145" t="n"/>
      <c r="T31" s="145" t="n"/>
      <c r="U31" s="145" t="n"/>
      <c r="V31" s="145" t="n"/>
      <c r="W31" s="145" t="n"/>
      <c r="X31" s="145" t="n"/>
      <c r="Y31" s="145" t="n"/>
      <c r="Z31" s="145" t="n">
        <v>14604</v>
      </c>
      <c r="AA31" s="145" t="n">
        <v>33848</v>
      </c>
      <c r="AB31" s="145" t="n">
        <v>50814</v>
      </c>
      <c r="AC31" s="145" t="n">
        <v>67014</v>
      </c>
      <c r="AD31" s="145" t="n">
        <v>20593</v>
      </c>
      <c r="AE31" s="145" t="n">
        <v>44753</v>
      </c>
      <c r="AF31" s="145" t="n">
        <v>68597</v>
      </c>
      <c r="AG31" s="145" t="n">
        <v>93426</v>
      </c>
      <c r="AH31" s="145" t="n">
        <v>25613</v>
      </c>
      <c r="AI31" s="145" t="n">
        <v>56554</v>
      </c>
      <c r="AJ31" s="145" t="n">
        <v>86953</v>
      </c>
      <c r="AK31" s="145" t="n">
        <v>114672</v>
      </c>
      <c r="AL31" s="145" t="n">
        <v>26292</v>
      </c>
      <c r="AM31" s="145" t="n">
        <v>56871</v>
      </c>
      <c r="AN31" s="145" t="n">
        <v>84874</v>
      </c>
      <c r="AO31" s="145" t="n">
        <v>112726</v>
      </c>
      <c r="AP31" s="145" t="n">
        <v>23136</v>
      </c>
      <c r="AQ31" s="145" t="n">
        <v>56409</v>
      </c>
      <c r="AR31" s="145" t="n">
        <v>89970</v>
      </c>
      <c r="AS31" s="145" t="n">
        <v>118705</v>
      </c>
      <c r="AT31" s="145" t="n">
        <v>25399</v>
      </c>
      <c r="AU31" s="145" t="n">
        <v>56371</v>
      </c>
      <c r="AV31" s="145" t="n">
        <v>75472</v>
      </c>
      <c r="AW31" s="145" t="n">
        <v>95764</v>
      </c>
      <c r="AX31" s="145" t="n">
        <v>15598</v>
      </c>
      <c r="AY31" s="145" t="n">
        <v>31013</v>
      </c>
      <c r="AZ31" s="145" t="n">
        <v>42904</v>
      </c>
      <c r="BA31" s="145" t="n">
        <v>56625</v>
      </c>
      <c r="BB31" s="145" t="n">
        <v>11253</v>
      </c>
      <c r="BC31" s="145" t="n">
        <v>21945</v>
      </c>
      <c r="BD31" s="145" t="n">
        <v>33701</v>
      </c>
      <c r="BE31" s="145" t="n">
        <v>50796</v>
      </c>
      <c r="BF31" s="145" t="n">
        <v>15882</v>
      </c>
      <c r="BG31" s="145" t="n">
        <v>34059</v>
      </c>
      <c r="BH31" s="145" t="n">
        <v>58579</v>
      </c>
      <c r="BI31" s="145" t="n">
        <v>80501</v>
      </c>
      <c r="BJ31" s="145" t="n">
        <v>23668</v>
      </c>
      <c r="BK31" s="145" t="n">
        <v>42591</v>
      </c>
      <c r="BL31" s="145" t="n">
        <v>63230</v>
      </c>
      <c r="BM31" s="145" t="n">
        <v>77079</v>
      </c>
      <c r="BN31" s="145" t="n">
        <v>13839</v>
      </c>
      <c r="BO31" s="145" t="n">
        <v>36209</v>
      </c>
      <c r="BP31" s="145" t="n">
        <v>57146</v>
      </c>
      <c r="BQ31" s="145" t="n">
        <v>71672</v>
      </c>
      <c r="BR31" s="145" t="n">
        <v>16214</v>
      </c>
      <c r="BS31" t="n">
        <v>15758</v>
      </c>
      <c r="BT31" t="inlineStr">
        <is>
          <t>IPGP-Financial-Data-Workbook-2024-Q2.xlsx|Key Metrics|47|93</t>
        </is>
      </c>
      <c r="DA31" s="406" t="n"/>
      <c r="DB31" s="406" t="n"/>
      <c r="DC31" s="406" t="n"/>
      <c r="DD31" s="406" t="n"/>
      <c r="DE31" s="406" t="n"/>
      <c r="DF31" s="406" t="n"/>
      <c r="DG31" s="406" t="n"/>
      <c r="DH31" s="406" t="n"/>
      <c r="DI31" s="406" t="n"/>
      <c r="DJ31" s="406" t="n"/>
      <c r="DK31" s="406" t="n"/>
      <c r="DL31" s="406" t="n"/>
      <c r="DM31" s="406" t="n"/>
      <c r="DN31" s="406" t="n"/>
      <c r="DO31" s="406" t="n"/>
      <c r="DP31" s="406" t="n"/>
      <c r="DQ31" s="406" t="n"/>
      <c r="DR31" s="406" t="n"/>
    </row>
    <row r="32">
      <c r="A32" s="74" t="inlineStr">
        <is>
          <t>Pulsed lasers</t>
        </is>
      </c>
      <c r="B32" s="121" t="n"/>
      <c r="C32" s="121" t="n"/>
      <c r="D32" s="121" t="n"/>
      <c r="E32" s="121" t="n"/>
      <c r="F32" s="121" t="n"/>
      <c r="G32" s="121" t="n"/>
      <c r="H32" s="121" t="n"/>
      <c r="I32" s="121" t="n"/>
      <c r="J32" s="121" t="n"/>
      <c r="K32" s="121" t="n"/>
      <c r="L32" s="121" t="n"/>
      <c r="M32" s="121" t="n"/>
      <c r="N32" s="145" t="n"/>
      <c r="O32" s="145" t="n"/>
      <c r="P32" s="145" t="n"/>
      <c r="Q32" s="145" t="n"/>
      <c r="R32" s="145" t="n"/>
      <c r="S32" s="145" t="n"/>
      <c r="T32" s="145" t="n"/>
      <c r="U32" s="145" t="n"/>
      <c r="V32" s="145" t="n"/>
      <c r="W32" s="145" t="n"/>
      <c r="X32" s="145" t="n"/>
      <c r="Y32" s="145" t="n"/>
      <c r="Z32" s="145" t="n">
        <v>33230</v>
      </c>
      <c r="AA32" s="145" t="n">
        <v>73072</v>
      </c>
      <c r="AB32" s="145" t="n">
        <v>107367</v>
      </c>
      <c r="AC32" s="145" t="n">
        <v>134652</v>
      </c>
      <c r="AD32" s="145" t="n">
        <v>28642</v>
      </c>
      <c r="AE32" s="145" t="n">
        <v>61069</v>
      </c>
      <c r="AF32" s="145" t="n">
        <v>99442</v>
      </c>
      <c r="AG32" s="145" t="n">
        <v>131420</v>
      </c>
      <c r="AH32" s="145" t="n">
        <v>29850</v>
      </c>
      <c r="AI32" s="145" t="n">
        <v>61990</v>
      </c>
      <c r="AJ32" s="145" t="n">
        <v>97036</v>
      </c>
      <c r="AK32" s="145" t="n">
        <v>124843</v>
      </c>
      <c r="AL32" s="145" t="n">
        <v>28625</v>
      </c>
      <c r="AM32" s="145" t="n">
        <v>65257</v>
      </c>
      <c r="AN32" s="145" t="n">
        <v>99686</v>
      </c>
      <c r="AO32" s="145" t="n">
        <v>128970</v>
      </c>
      <c r="AP32" s="145" t="n">
        <v>32456</v>
      </c>
      <c r="AQ32" s="145" t="n">
        <v>73562</v>
      </c>
      <c r="AR32" s="145" t="n">
        <v>113443</v>
      </c>
      <c r="AS32" s="145" t="n">
        <v>148702</v>
      </c>
      <c r="AT32" s="145" t="n">
        <v>38253</v>
      </c>
      <c r="AU32" s="145" t="n">
        <v>79835</v>
      </c>
      <c r="AV32" s="145" t="n">
        <v>115243</v>
      </c>
      <c r="AW32" s="145" t="n">
        <v>162048</v>
      </c>
      <c r="AX32" s="145" t="n">
        <v>31437</v>
      </c>
      <c r="AY32" s="145" t="n">
        <v>72250</v>
      </c>
      <c r="AZ32" s="145" t="n">
        <v>106100</v>
      </c>
      <c r="BA32" s="145" t="n">
        <v>137675</v>
      </c>
      <c r="BB32" s="145" t="n">
        <v>31839</v>
      </c>
      <c r="BC32" s="145" t="n">
        <v>74416</v>
      </c>
      <c r="BD32" s="145" t="n">
        <v>109391</v>
      </c>
      <c r="BE32" s="145" t="n">
        <v>158448</v>
      </c>
      <c r="BF32" s="145" t="n">
        <v>55395</v>
      </c>
      <c r="BG32" s="145" t="n">
        <v>117168</v>
      </c>
      <c r="BH32" s="145" t="n">
        <v>176219</v>
      </c>
      <c r="BI32" s="145" t="n">
        <v>240978</v>
      </c>
      <c r="BJ32" s="145" t="n">
        <v>66932</v>
      </c>
      <c r="BK32" s="145" t="n">
        <v>136784</v>
      </c>
      <c r="BL32" s="145" t="n">
        <v>192000</v>
      </c>
      <c r="BM32" s="145" t="n">
        <v>250677</v>
      </c>
      <c r="BN32" s="145" t="n">
        <v>56147</v>
      </c>
      <c r="BO32" s="145" t="n">
        <v>109149</v>
      </c>
      <c r="BP32" s="145" t="n">
        <v>150569</v>
      </c>
      <c r="BQ32" s="145" t="n">
        <v>185581</v>
      </c>
      <c r="BR32" s="145" t="n">
        <v>34819</v>
      </c>
      <c r="BS32" t="n">
        <v>42536</v>
      </c>
      <c r="BT32" t="inlineStr">
        <is>
          <t>IPGP-Financial-Data-Workbook-2024-Q2.xlsx|Key Metrics|48|93</t>
        </is>
      </c>
      <c r="DA32" s="406" t="n"/>
      <c r="DB32" s="406" t="n"/>
      <c r="DC32" s="406" t="n"/>
      <c r="DD32" s="406" t="n"/>
      <c r="DE32" s="406" t="n"/>
      <c r="DF32" s="406" t="n"/>
      <c r="DG32" s="406" t="n"/>
      <c r="DH32" s="406" t="n"/>
      <c r="DI32" s="406" t="n"/>
      <c r="DJ32" s="406" t="n"/>
      <c r="DK32" s="406" t="n"/>
      <c r="DL32" s="406" t="n"/>
      <c r="DM32" s="406" t="n"/>
      <c r="DN32" s="406" t="n"/>
      <c r="DO32" s="406" t="n"/>
      <c r="DP32" s="406" t="n"/>
      <c r="DQ32" s="406" t="n"/>
      <c r="DR32" s="406" t="n"/>
    </row>
    <row r="33">
      <c r="A33" s="74" t="inlineStr">
        <is>
          <t>QCW lasers</t>
        </is>
      </c>
      <c r="B33" s="121" t="n"/>
      <c r="C33" s="121" t="n"/>
      <c r="D33" s="121" t="n"/>
      <c r="E33" s="121" t="n"/>
      <c r="F33" s="121" t="n"/>
      <c r="G33" s="121" t="n"/>
      <c r="H33" s="121" t="n"/>
      <c r="I33" s="121" t="n"/>
      <c r="J33" s="121" t="n"/>
      <c r="K33" s="121" t="n"/>
      <c r="L33" s="121" t="n"/>
      <c r="M33" s="121" t="n"/>
      <c r="N33" s="145" t="n"/>
      <c r="O33" s="145" t="n"/>
      <c r="P33" s="145" t="n"/>
      <c r="Q33" s="145" t="n"/>
      <c r="R33" s="145" t="n"/>
      <c r="S33" s="145" t="n"/>
      <c r="T33" s="145" t="n"/>
      <c r="U33" s="145" t="n"/>
      <c r="V33" s="145" t="n"/>
      <c r="W33" s="145" t="n"/>
      <c r="X33" s="145" t="n"/>
      <c r="Y33" s="145" t="n"/>
      <c r="Z33" s="145" t="n">
        <v>3928</v>
      </c>
      <c r="AA33" s="145" t="n">
        <v>9519</v>
      </c>
      <c r="AB33" s="145" t="n">
        <v>16034</v>
      </c>
      <c r="AC33" s="145" t="n">
        <v>21511</v>
      </c>
      <c r="AD33" s="145" t="n">
        <v>5608</v>
      </c>
      <c r="AE33" s="145" t="n">
        <v>13683</v>
      </c>
      <c r="AF33" s="145" t="n">
        <v>28129</v>
      </c>
      <c r="AG33" s="145" t="n">
        <v>34881</v>
      </c>
      <c r="AH33" s="145" t="n">
        <v>10031</v>
      </c>
      <c r="AI33" s="145" t="n">
        <v>25742</v>
      </c>
      <c r="AJ33" s="145" t="n">
        <v>45591</v>
      </c>
      <c r="AK33" s="145" t="n">
        <v>56505</v>
      </c>
      <c r="AL33" s="145" t="n">
        <v>8600</v>
      </c>
      <c r="AM33" s="145" t="n">
        <v>24825</v>
      </c>
      <c r="AN33" s="145" t="n">
        <v>36485</v>
      </c>
      <c r="AO33" s="145" t="n">
        <v>48613</v>
      </c>
      <c r="AP33" s="145" t="n">
        <v>21368</v>
      </c>
      <c r="AQ33" s="145" t="n">
        <v>50850</v>
      </c>
      <c r="AR33" s="145" t="n">
        <v>74615</v>
      </c>
      <c r="AS33" s="145" t="n">
        <v>88329</v>
      </c>
      <c r="AT33" s="145" t="n">
        <v>16200</v>
      </c>
      <c r="AU33" s="145" t="n">
        <v>36292</v>
      </c>
      <c r="AV33" s="145" t="n">
        <v>54568</v>
      </c>
      <c r="AW33" s="145" t="n">
        <v>66700</v>
      </c>
      <c r="AX33" s="145" t="n">
        <v>14166</v>
      </c>
      <c r="AY33" s="145" t="n">
        <v>30133</v>
      </c>
      <c r="AZ33" s="145" t="n">
        <v>42612</v>
      </c>
      <c r="BA33" s="145" t="n">
        <v>56440</v>
      </c>
      <c r="BB33" s="145" t="n">
        <v>9873</v>
      </c>
      <c r="BC33" s="145" t="n">
        <v>23581</v>
      </c>
      <c r="BD33" s="145" t="n">
        <v>38660</v>
      </c>
      <c r="BE33" s="145" t="n">
        <v>50333</v>
      </c>
      <c r="BF33" s="145" t="n">
        <v>13666</v>
      </c>
      <c r="BG33" s="145" t="n">
        <v>29191</v>
      </c>
      <c r="BH33" s="145" t="n">
        <v>45503</v>
      </c>
      <c r="BI33" s="145" t="n">
        <v>60668</v>
      </c>
      <c r="BJ33" s="145" t="n">
        <v>12780</v>
      </c>
      <c r="BK33" s="145" t="n">
        <v>26859</v>
      </c>
      <c r="BL33" s="145" t="n">
        <v>38212</v>
      </c>
      <c r="BM33" s="145" t="n">
        <v>50212</v>
      </c>
      <c r="BN33" s="145" t="n">
        <v>11282</v>
      </c>
      <c r="BO33" s="145" t="n">
        <v>25122</v>
      </c>
      <c r="BP33" s="145" t="n">
        <v>35978</v>
      </c>
      <c r="BQ33" s="145" t="n">
        <v>48648</v>
      </c>
      <c r="BR33" s="145" t="n">
        <v>15791</v>
      </c>
      <c r="BS33" t="n">
        <v>10549</v>
      </c>
      <c r="BT33" t="inlineStr">
        <is>
          <t>IPGP-Financial-Data-Workbook-2024-Q2.xlsx|Key Metrics|49|93</t>
        </is>
      </c>
      <c r="DA33" s="406" t="n"/>
      <c r="DB33" s="406" t="n"/>
      <c r="DC33" s="406" t="n"/>
      <c r="DD33" s="406" t="n"/>
      <c r="DE33" s="406" t="n"/>
      <c r="DF33" s="406" t="n"/>
      <c r="DG33" s="406" t="n"/>
      <c r="DH33" s="406" t="n"/>
      <c r="DI33" s="406" t="n"/>
      <c r="DJ33" s="406" t="n"/>
      <c r="DK33" s="406" t="n"/>
      <c r="DL33" s="406" t="n"/>
      <c r="DM33" s="406" t="n"/>
      <c r="DN33" s="406" t="n"/>
      <c r="DO33" s="406" t="n"/>
      <c r="DP33" s="406" t="n"/>
      <c r="DQ33" s="406" t="n"/>
      <c r="DR33" s="406" t="n"/>
    </row>
    <row r="34">
      <c r="A34" s="74" t="inlineStr">
        <is>
          <t>Systems</t>
        </is>
      </c>
      <c r="B34" s="121" t="n"/>
      <c r="C34" s="121" t="n"/>
      <c r="D34" s="121" t="n"/>
      <c r="E34" s="121" t="n"/>
      <c r="F34" s="121" t="n"/>
      <c r="G34" s="121" t="n"/>
      <c r="H34" s="121" t="n"/>
      <c r="I34" s="121" t="n"/>
      <c r="J34" s="121" t="n"/>
      <c r="K34" s="121" t="n"/>
      <c r="L34" s="121" t="n"/>
      <c r="M34" s="121" t="n"/>
      <c r="N34" s="145" t="n"/>
      <c r="O34" s="145" t="n"/>
      <c r="P34" s="145" t="n"/>
      <c r="Q34" s="145" t="n"/>
      <c r="R34" s="145" t="n"/>
      <c r="S34" s="145" t="n"/>
      <c r="T34" s="145" t="n"/>
      <c r="U34" s="145" t="n"/>
      <c r="V34" s="145" t="n"/>
      <c r="W34" s="145" t="n"/>
      <c r="X34" s="145" t="n"/>
      <c r="Y34" s="145" t="n"/>
      <c r="Z34" s="145" t="n">
        <v>1544</v>
      </c>
      <c r="AA34" s="145" t="n">
        <v>4612</v>
      </c>
      <c r="AB34" s="145" t="n">
        <v>7192</v>
      </c>
      <c r="AC34" s="145" t="n">
        <v>18906</v>
      </c>
      <c r="AD34" s="145" t="n">
        <v>3860</v>
      </c>
      <c r="AE34" s="145" t="n">
        <v>6325</v>
      </c>
      <c r="AF34" s="145" t="n">
        <v>10774</v>
      </c>
      <c r="AG34" s="145" t="n">
        <v>15073</v>
      </c>
      <c r="AH34" s="145" t="n">
        <v>3797</v>
      </c>
      <c r="AI34" s="145" t="n">
        <v>5609</v>
      </c>
      <c r="AJ34" s="145" t="n">
        <v>12335</v>
      </c>
      <c r="AK34" s="145" t="n">
        <v>20266</v>
      </c>
      <c r="AL34" s="145" t="n">
        <v>5466</v>
      </c>
      <c r="AM34" s="145" t="n">
        <v>8780</v>
      </c>
      <c r="AN34" s="145" t="n">
        <v>15055</v>
      </c>
      <c r="AO34" s="145" t="n">
        <v>22943</v>
      </c>
      <c r="AP34" s="145" t="n">
        <v>7845</v>
      </c>
      <c r="AQ34" s="145" t="n">
        <v>14591</v>
      </c>
      <c r="AR34" s="145" t="n">
        <v>25153</v>
      </c>
      <c r="AS34" s="145" t="n">
        <v>40409</v>
      </c>
      <c r="AT34" s="145" t="n">
        <v>9471</v>
      </c>
      <c r="AU34" s="145" t="n">
        <v>22899</v>
      </c>
      <c r="AV34" s="145" t="n">
        <v>37600</v>
      </c>
      <c r="AW34" s="145" t="n">
        <v>59330</v>
      </c>
      <c r="AX34" s="145" t="n">
        <v>32631</v>
      </c>
      <c r="AY34" s="145" t="n">
        <v>72014</v>
      </c>
      <c r="AZ34" s="145" t="n">
        <v>104943</v>
      </c>
      <c r="BA34" s="145" t="n">
        <v>141647</v>
      </c>
      <c r="BB34" s="145" t="n">
        <v>18634</v>
      </c>
      <c r="BC34" s="145" t="n">
        <v>43576</v>
      </c>
      <c r="BD34" s="145" t="n">
        <v>64417</v>
      </c>
      <c r="BE34" s="145" t="n">
        <v>93727</v>
      </c>
      <c r="BF34" s="145" t="n">
        <v>27116</v>
      </c>
      <c r="BG34" s="145" t="n">
        <v>56713</v>
      </c>
      <c r="BH34" s="145" t="n">
        <v>89236</v>
      </c>
      <c r="BI34" s="145" t="n">
        <v>126642</v>
      </c>
      <c r="BJ34" s="145" t="n">
        <v>34597</v>
      </c>
      <c r="BK34" s="145" t="n">
        <v>73040</v>
      </c>
      <c r="BL34" s="145" t="n">
        <v>108970</v>
      </c>
      <c r="BM34" s="145" t="n">
        <v>153471</v>
      </c>
      <c r="BN34" s="145" t="n">
        <v>41384</v>
      </c>
      <c r="BO34" s="145" t="n">
        <v>79571</v>
      </c>
      <c r="BP34" s="145" t="n">
        <v>117064</v>
      </c>
      <c r="BQ34" s="145" t="n">
        <v>161177</v>
      </c>
      <c r="BR34" s="145" t="n">
        <v>37503</v>
      </c>
      <c r="BS34" t="n">
        <v>38668</v>
      </c>
      <c r="BT34" t="inlineStr">
        <is>
          <t>IPGP-Financial-Data-Workbook-2024-Q2.xlsx|Key Metrics|50|93</t>
        </is>
      </c>
      <c r="DA34" s="406" t="n"/>
      <c r="DB34" s="406" t="n"/>
      <c r="DC34" s="406" t="n"/>
      <c r="DD34" s="406" t="n"/>
      <c r="DE34" s="406" t="n"/>
      <c r="DF34" s="406" t="n"/>
      <c r="DG34" s="406" t="n"/>
      <c r="DH34" s="406" t="n"/>
      <c r="DI34" s="406" t="n"/>
      <c r="DJ34" s="406" t="n"/>
      <c r="DK34" s="406" t="n"/>
      <c r="DL34" s="406" t="n"/>
      <c r="DM34" s="406" t="n"/>
      <c r="DN34" s="406" t="n"/>
      <c r="DO34" s="406" t="n"/>
      <c r="DP34" s="406" t="n"/>
      <c r="DQ34" s="406" t="n"/>
      <c r="DR34" s="406" t="n"/>
    </row>
    <row r="35">
      <c r="A35" s="74" t="inlineStr">
        <is>
          <t>Other revenue (amplifiers, service, parts, accessories and change in deferred)</t>
        </is>
      </c>
      <c r="B35" s="121" t="n"/>
      <c r="C35" s="121" t="n"/>
      <c r="D35" s="121" t="n"/>
      <c r="E35" s="121" t="n"/>
      <c r="F35" s="121" t="n"/>
      <c r="G35" s="121" t="n"/>
      <c r="H35" s="121" t="n"/>
      <c r="I35" s="121" t="n"/>
      <c r="J35" s="121" t="n"/>
      <c r="K35" s="121" t="n"/>
      <c r="L35" s="121" t="n"/>
      <c r="M35" s="121" t="n"/>
      <c r="N35" s="145" t="n"/>
      <c r="O35" s="145" t="n"/>
      <c r="P35" s="145" t="n"/>
      <c r="Q35" s="145" t="n"/>
      <c r="R35" s="145" t="n"/>
      <c r="S35" s="145" t="n"/>
      <c r="T35" s="145" t="n"/>
      <c r="U35" s="145" t="n"/>
      <c r="V35" s="145" t="n"/>
      <c r="W35" s="145" t="n"/>
      <c r="X35" s="145" t="n"/>
      <c r="Y35" s="145" t="n"/>
      <c r="Z35" s="145" t="n">
        <v>13974</v>
      </c>
      <c r="AA35" s="145" t="n">
        <v>29386</v>
      </c>
      <c r="AB35" s="145" t="n">
        <v>45469</v>
      </c>
      <c r="AC35" s="145" t="n">
        <v>63167</v>
      </c>
      <c r="AD35" s="145" t="n">
        <v>12417</v>
      </c>
      <c r="AE35" s="145" t="n">
        <v>33796</v>
      </c>
      <c r="AF35" s="145" t="n">
        <v>46893</v>
      </c>
      <c r="AG35" s="145" t="n">
        <v>71048</v>
      </c>
      <c r="AH35" s="145" t="n">
        <v>15353</v>
      </c>
      <c r="AI35" s="145" t="n">
        <v>38107</v>
      </c>
      <c r="AJ35" s="145" t="n">
        <v>58711</v>
      </c>
      <c r="AK35" s="145" t="n">
        <v>85381</v>
      </c>
      <c r="AL35" s="145" t="n">
        <v>20045</v>
      </c>
      <c r="AM35" s="145" t="n">
        <v>44676</v>
      </c>
      <c r="AN35" s="145" t="n">
        <v>77324</v>
      </c>
      <c r="AO35" s="145" t="n">
        <v>114253</v>
      </c>
      <c r="AP35" s="145" t="n">
        <v>33097</v>
      </c>
      <c r="AQ35" s="145" t="n">
        <v>69659</v>
      </c>
      <c r="AR35" s="145" t="n">
        <v>110266</v>
      </c>
      <c r="AS35" s="145" t="n">
        <v>145281</v>
      </c>
      <c r="AT35" s="145" t="n">
        <v>39967</v>
      </c>
      <c r="AU35" s="145" t="n">
        <v>81431</v>
      </c>
      <c r="AV35" s="145" t="n">
        <v>122829</v>
      </c>
      <c r="AW35" s="145" t="n">
        <v>166306</v>
      </c>
      <c r="AX35" s="145" t="n">
        <v>42196</v>
      </c>
      <c r="AY35" s="145" t="n">
        <v>80976</v>
      </c>
      <c r="AZ35" s="145" t="n">
        <v>134041</v>
      </c>
      <c r="BA35" s="145" t="n">
        <v>187449</v>
      </c>
      <c r="BB35" s="145" t="n">
        <v>58327</v>
      </c>
      <c r="BC35" s="145" t="n">
        <v>105341</v>
      </c>
      <c r="BD35" s="145" t="n">
        <v>156744</v>
      </c>
      <c r="BE35" s="145" t="n">
        <v>201358</v>
      </c>
      <c r="BF35" s="145" t="n">
        <v>63044</v>
      </c>
      <c r="BG35" s="145" t="n">
        <v>119886</v>
      </c>
      <c r="BH35" s="145" t="n">
        <v>188843</v>
      </c>
      <c r="BI35" s="145" t="n">
        <v>264665</v>
      </c>
      <c r="BJ35" s="145" t="n">
        <v>64311</v>
      </c>
      <c r="BK35" s="145" t="n">
        <v>137040</v>
      </c>
      <c r="BL35" s="145" t="n">
        <v>210141</v>
      </c>
      <c r="BM35" s="145" t="n">
        <v>284374</v>
      </c>
      <c r="BN35" s="145" t="n">
        <v>70488</v>
      </c>
      <c r="BO35" s="145" t="n">
        <v>137068</v>
      </c>
      <c r="BP35" s="145" t="n">
        <v>208251</v>
      </c>
      <c r="BQ35" s="145" t="n">
        <v>295380</v>
      </c>
      <c r="BR35" s="145" t="n">
        <v>56889</v>
      </c>
      <c r="BS35" t="n">
        <v>67909</v>
      </c>
      <c r="BT35" t="inlineStr">
        <is>
          <t>IPGP-Financial-Data-Workbook-2024-Q2.xlsx|Key Metrics|51|93</t>
        </is>
      </c>
      <c r="DA35" s="406" t="n"/>
      <c r="DB35" s="406" t="n"/>
      <c r="DC35" s="406" t="n"/>
      <c r="DD35" s="406" t="n"/>
      <c r="DE35" s="406" t="n"/>
      <c r="DF35" s="406" t="n"/>
      <c r="DG35" s="406" t="n"/>
      <c r="DH35" s="406" t="n"/>
      <c r="DI35" s="406" t="n"/>
      <c r="DJ35" s="406" t="n"/>
      <c r="DK35" s="406" t="n"/>
      <c r="DL35" s="406" t="n"/>
      <c r="DM35" s="406" t="n"/>
      <c r="DN35" s="406" t="n"/>
      <c r="DO35" s="406" t="n"/>
      <c r="DP35" s="406" t="n"/>
      <c r="DQ35" s="406" t="n"/>
      <c r="DR35" s="406" t="n"/>
    </row>
    <row r="36">
      <c r="A36" s="40" t="inlineStr">
        <is>
          <t>Total</t>
        </is>
      </c>
      <c r="B36" s="121" t="n"/>
      <c r="C36" s="121" t="n"/>
      <c r="D36" s="121" t="n"/>
      <c r="E36" s="121" t="n"/>
      <c r="F36" s="121" t="n"/>
      <c r="G36" s="121" t="n"/>
      <c r="H36" s="121" t="n"/>
      <c r="I36" s="121" t="n"/>
      <c r="J36" s="121" t="n"/>
      <c r="K36" s="121" t="n"/>
      <c r="L36" s="121" t="n"/>
      <c r="M36" s="121" t="n"/>
      <c r="N36" s="133" t="n"/>
      <c r="O36" s="133" t="n"/>
      <c r="P36" s="133" t="n"/>
      <c r="Q36" s="133" t="n"/>
      <c r="R36" s="133" t="n"/>
      <c r="S36" s="133" t="n"/>
      <c r="T36" s="133" t="n"/>
      <c r="U36" s="133" t="n"/>
      <c r="V36" s="133" t="n"/>
      <c r="W36" s="133" t="n"/>
      <c r="X36" s="133" t="n"/>
      <c r="Y36" s="133" t="n"/>
      <c r="Z36" s="133" t="n">
        <v>141852</v>
      </c>
      <c r="AA36" s="133" t="n">
        <v>310023</v>
      </c>
      <c r="AB36" s="133" t="n">
        <v>482175</v>
      </c>
      <c r="AC36" s="133" t="n">
        <v>648034</v>
      </c>
      <c r="AD36" s="133" t="n">
        <v>170575</v>
      </c>
      <c r="AE36" s="133" t="n">
        <v>362779</v>
      </c>
      <c r="AF36" s="133" t="n">
        <v>562430</v>
      </c>
      <c r="AG36" s="133" t="n">
        <v>769832</v>
      </c>
      <c r="AH36" s="133" t="n">
        <v>198960</v>
      </c>
      <c r="AI36" s="133" t="n">
        <v>434098</v>
      </c>
      <c r="AJ36" s="133" t="n">
        <v>677639</v>
      </c>
      <c r="AK36" s="133" t="n">
        <v>901265</v>
      </c>
      <c r="AL36" s="133" t="n">
        <v>207248</v>
      </c>
      <c r="AM36" s="133" t="n">
        <v>460035</v>
      </c>
      <c r="AN36" s="133" t="n">
        <v>726052</v>
      </c>
      <c r="AO36" s="133" t="n">
        <v>1006173</v>
      </c>
      <c r="AP36" s="133" t="n">
        <v>285846</v>
      </c>
      <c r="AQ36" s="133" t="n">
        <v>655219</v>
      </c>
      <c r="AR36" s="133" t="n">
        <v>1047834</v>
      </c>
      <c r="AS36" s="133" t="n">
        <v>1408889</v>
      </c>
      <c r="AT36" s="133" t="n">
        <v>359864</v>
      </c>
      <c r="AU36" s="133" t="n">
        <v>773477</v>
      </c>
      <c r="AV36" s="133" t="n">
        <v>1129823</v>
      </c>
      <c r="AW36" s="133" t="n">
        <v>1459874</v>
      </c>
      <c r="AX36" s="133" t="n">
        <v>315047</v>
      </c>
      <c r="AY36" s="133" t="n">
        <v>678816</v>
      </c>
      <c r="AZ36" s="133" t="n">
        <v>1007954</v>
      </c>
      <c r="BA36" s="133" t="n">
        <v>1314581</v>
      </c>
      <c r="BB36" s="133" t="n">
        <v>249242</v>
      </c>
      <c r="BC36" s="133" t="n">
        <v>545653</v>
      </c>
      <c r="BD36" s="133" t="n">
        <v>864094</v>
      </c>
      <c r="BE36" s="133" t="n">
        <v>1200724</v>
      </c>
      <c r="BF36" s="133" t="n">
        <v>345585</v>
      </c>
      <c r="BG36" s="133" t="n">
        <v>717243</v>
      </c>
      <c r="BH36" s="133" t="n">
        <v>1096393</v>
      </c>
      <c r="BI36" s="133" t="n">
        <v>1460860</v>
      </c>
      <c r="BJ36" s="133" t="n">
        <v>369979</v>
      </c>
      <c r="BK36" s="133" t="n">
        <v>747002</v>
      </c>
      <c r="BL36" s="133" t="n">
        <v>1096008</v>
      </c>
      <c r="BM36" s="133" t="n">
        <v>1429547</v>
      </c>
      <c r="BN36" s="133" t="n">
        <v>347174</v>
      </c>
      <c r="BO36" s="133" t="n">
        <v>687145</v>
      </c>
      <c r="BP36" s="133" t="n">
        <v>988546</v>
      </c>
      <c r="BQ36" s="133" t="n">
        <v>1287439</v>
      </c>
      <c r="BR36" s="133" t="n">
        <v>252009</v>
      </c>
      <c r="BS36" t="n">
        <v>257645</v>
      </c>
      <c r="BT36" t="inlineStr">
        <is>
          <t>IPGP-Financial-Data-Workbook-2024-Q2.xlsx|Key Metrics|52|93</t>
        </is>
      </c>
      <c r="DA36" s="406" t="n"/>
      <c r="DB36" s="406" t="n"/>
      <c r="DC36" s="406" t="n"/>
      <c r="DD36" s="406" t="n"/>
      <c r="DE36" s="406" t="n"/>
      <c r="DF36" s="406" t="n"/>
      <c r="DG36" s="406" t="n"/>
      <c r="DH36" s="406" t="n"/>
      <c r="DI36" s="406" t="n"/>
      <c r="DJ36" s="406" t="n"/>
      <c r="DK36" s="406" t="n"/>
      <c r="DL36" s="406" t="n"/>
      <c r="DM36" s="406" t="n"/>
      <c r="DN36" s="406" t="n"/>
      <c r="DO36" s="406" t="n"/>
      <c r="DP36" s="406" t="n"/>
      <c r="DQ36" s="406" t="n"/>
      <c r="DR36" s="406" t="n"/>
    </row>
    <row r="37">
      <c r="A37" s="74" t="n"/>
      <c r="B37" s="121" t="n"/>
      <c r="C37" s="121" t="n"/>
      <c r="D37" s="121" t="n"/>
      <c r="E37" s="121" t="n"/>
      <c r="F37" s="121" t="n"/>
      <c r="G37" s="121" t="n"/>
      <c r="H37" s="121" t="n"/>
      <c r="I37" s="121" t="n"/>
      <c r="J37" s="121" t="n"/>
      <c r="K37" s="121" t="n"/>
      <c r="L37" s="121" t="n"/>
      <c r="M37" s="121" t="n"/>
      <c r="N37" s="133" t="n"/>
      <c r="O37" s="133" t="n"/>
      <c r="P37" s="133" t="n"/>
      <c r="Q37" s="133" t="n"/>
      <c r="R37" s="133" t="n"/>
      <c r="S37" s="133" t="n"/>
      <c r="T37" s="133" t="n"/>
      <c r="U37" s="133" t="n"/>
      <c r="V37" s="133" t="n"/>
      <c r="W37" s="133" t="n"/>
      <c r="X37" s="133" t="n"/>
      <c r="Y37" s="133" t="n"/>
      <c r="Z37" s="133" t="n"/>
      <c r="AA37" s="133" t="n"/>
      <c r="AC37" s="133" t="n"/>
      <c r="AD37" s="133" t="n"/>
      <c r="AE37" s="133" t="n"/>
      <c r="AF37" s="133" t="n"/>
      <c r="AG37" s="133" t="n"/>
      <c r="AH37" s="133" t="n"/>
      <c r="AI37" s="133" t="n"/>
      <c r="AJ37" s="133" t="n"/>
      <c r="AK37" s="133" t="n"/>
      <c r="AL37" s="133" t="n"/>
      <c r="AM37" s="133" t="n"/>
      <c r="AN37" s="133" t="n"/>
      <c r="AO37" s="133" t="n"/>
      <c r="AP37" s="133" t="n"/>
      <c r="AQ37" s="133" t="n"/>
      <c r="AR37" s="133" t="n"/>
      <c r="AS37" s="133" t="n"/>
    </row>
    <row r="38">
      <c r="A38" s="74" t="n"/>
      <c r="B38" s="121" t="n"/>
      <c r="C38" s="121" t="n"/>
      <c r="D38" s="121" t="n"/>
      <c r="E38" s="121" t="n"/>
      <c r="F38" s="121" t="n"/>
      <c r="G38" s="121" t="n"/>
      <c r="H38" s="121" t="n"/>
      <c r="I38" s="121" t="n"/>
      <c r="J38" s="121" t="n"/>
      <c r="K38" s="121" t="n"/>
      <c r="L38" s="121" t="n"/>
      <c r="M38" s="121" t="n"/>
      <c r="N38" s="145" t="n"/>
      <c r="O38" s="145" t="n"/>
      <c r="P38" s="145" t="n"/>
      <c r="Q38" s="145" t="n"/>
      <c r="R38" s="145" t="n"/>
      <c r="S38" s="145" t="n"/>
      <c r="T38" s="145" t="n"/>
      <c r="U38" s="145" t="n"/>
      <c r="V38" s="145" t="n"/>
      <c r="W38" s="145" t="n"/>
      <c r="X38" s="145" t="n"/>
      <c r="Y38" s="145" t="n"/>
      <c r="Z38" s="145" t="n"/>
      <c r="AA38" s="145" t="n"/>
      <c r="AB38" s="145" t="n"/>
      <c r="AC38" s="145" t="n"/>
      <c r="AD38" s="145" t="n"/>
      <c r="AE38" s="145" t="n"/>
      <c r="AF38" s="145" t="n"/>
      <c r="AG38" s="145" t="n"/>
      <c r="AH38" s="145" t="n"/>
      <c r="AI38" s="145" t="n"/>
      <c r="AJ38" s="145" t="n"/>
      <c r="AK38" s="145" t="n"/>
      <c r="AL38" s="145" t="n"/>
      <c r="AM38" s="145" t="n"/>
      <c r="AN38" s="145" t="n"/>
      <c r="AO38" s="145" t="n"/>
      <c r="AP38" s="145" t="n"/>
      <c r="AQ38" s="145" t="n"/>
      <c r="AR38" s="145" t="n"/>
      <c r="AS38" s="145" t="n"/>
    </row>
    <row r="39">
      <c r="A39" s="455" t="inlineStr">
        <is>
          <t>Check</t>
        </is>
      </c>
      <c r="B39" s="121" t="n"/>
      <c r="C39" s="121" t="n"/>
      <c r="D39" s="121" t="n"/>
      <c r="E39" s="121" t="n"/>
      <c r="F39" s="121" t="n"/>
      <c r="G39" s="121" t="n"/>
      <c r="H39" s="121" t="n"/>
      <c r="I39" s="121" t="n"/>
      <c r="J39" s="121" t="n"/>
      <c r="K39" s="121" t="n"/>
      <c r="L39" s="121" t="n"/>
      <c r="M39" s="121" t="n"/>
      <c r="N39" s="458">
        <f>SUM(N12:N18)-N19</f>
        <v/>
      </c>
      <c r="O39" s="458">
        <f>SUM(O12:O18)-O19</f>
        <v/>
      </c>
      <c r="P39" s="458">
        <f>SUM(P12:P18)-P19</f>
        <v/>
      </c>
      <c r="Q39" s="458">
        <f>SUM(Q12:Q18)-Q19</f>
        <v/>
      </c>
      <c r="R39" s="458">
        <f>SUM(R12:R18)-R19</f>
        <v/>
      </c>
      <c r="S39" s="458">
        <f>SUM(S12:S18)-S19</f>
        <v/>
      </c>
      <c r="T39" s="458">
        <f>SUM(T12:T18)-T19</f>
        <v/>
      </c>
      <c r="U39" s="458">
        <f>SUM(U12:U18)-U19</f>
        <v/>
      </c>
      <c r="V39" s="458">
        <f>SUM(V12:V18)-V19</f>
        <v/>
      </c>
      <c r="W39" s="458">
        <f>SUM(W12:W18)-W19</f>
        <v/>
      </c>
      <c r="X39" s="458">
        <f>SUM(X12:X18)-X19</f>
        <v/>
      </c>
      <c r="Y39" s="458">
        <f>SUM(Y12:Y18)-Y19</f>
        <v/>
      </c>
      <c r="Z39" s="458">
        <f>SUM(Z12:Z18)-Z19</f>
        <v/>
      </c>
      <c r="AA39" s="458">
        <f>SUM(AA12:AA18)-AA19</f>
        <v/>
      </c>
      <c r="AB39" s="458">
        <f>SUM(AB12:AB18)-AB19</f>
        <v/>
      </c>
      <c r="AC39" s="458">
        <f>SUM(AC12:AC18)-AC19</f>
        <v/>
      </c>
      <c r="AD39" s="458">
        <f>SUM(AD12:AD18)-AD19</f>
        <v/>
      </c>
      <c r="AE39" s="458">
        <f>SUM(AE12:AE18)-AE19</f>
        <v/>
      </c>
      <c r="AF39" s="458">
        <f>SUM(AF12:AF18)-AF19</f>
        <v/>
      </c>
      <c r="AG39" s="458">
        <f>SUM(AG12:AG18)-AG19</f>
        <v/>
      </c>
      <c r="AH39" s="458">
        <f>SUM(AH12:AH18)-AH19</f>
        <v/>
      </c>
      <c r="AI39" s="458">
        <f>SUM(AI12:AI18)-AI19</f>
        <v/>
      </c>
      <c r="AJ39" s="458">
        <f>SUM(AJ12:AJ18)-AJ19</f>
        <v/>
      </c>
      <c r="AK39" s="458">
        <f>SUM(AK12:AK18)-AK19</f>
        <v/>
      </c>
      <c r="AL39" s="458">
        <f>SUM(AL12:AL18)-AL19</f>
        <v/>
      </c>
      <c r="AM39" s="458">
        <f>SUM(AM12:AM18)-AM19</f>
        <v/>
      </c>
      <c r="AN39" s="458">
        <f>SUM(AN12:AN18)-AN19</f>
        <v/>
      </c>
      <c r="AO39" s="458">
        <f>SUM(AO12:AO18)-AO19</f>
        <v/>
      </c>
      <c r="AP39" s="458">
        <f>SUM(AP12:AP18)-AP19</f>
        <v/>
      </c>
      <c r="AQ39" s="458">
        <f>SUM(AQ12:AQ18)-AQ19</f>
        <v/>
      </c>
      <c r="AR39" s="458">
        <f>SUM(AR12:AR18)-AR19</f>
        <v/>
      </c>
      <c r="AS39" s="458">
        <f>SUM(AS12:AS18)-AS19</f>
        <v/>
      </c>
      <c r="AT39" s="458">
        <f>SUM(AT12:AT18)-AT19</f>
        <v/>
      </c>
      <c r="AU39" s="458">
        <f>SUM(AU12:AU18)-AU19</f>
        <v/>
      </c>
      <c r="AV39" s="458">
        <f>SUM(AV12:AV18)-AV19</f>
        <v/>
      </c>
      <c r="AW39" s="458">
        <f>SUM(AW12:AW18)-AW19</f>
        <v/>
      </c>
      <c r="AX39" s="458">
        <f>SUM(AX12:AX18)-AX19</f>
        <v/>
      </c>
      <c r="AY39" s="458">
        <f>SUM(AY12:AY18)-AY19</f>
        <v/>
      </c>
      <c r="AZ39" s="458">
        <f>SUM(AZ12:AZ18)-AZ19</f>
        <v/>
      </c>
      <c r="BA39" s="458">
        <f>SUM(BA12:BA18)-BA19</f>
        <v/>
      </c>
      <c r="BB39" s="458">
        <f>SUM(BB12:BB18)-BB19</f>
        <v/>
      </c>
      <c r="BC39" s="458">
        <f>SUM(BC12:BC18)-BC19</f>
        <v/>
      </c>
      <c r="BD39" s="458">
        <f>SUM(BD12:BD18)-BD19</f>
        <v/>
      </c>
      <c r="BE39" s="458">
        <f>SUM(BE12:BE18)-BE19</f>
        <v/>
      </c>
      <c r="BF39" s="458">
        <f>SUM(BF12:BF18)-BF19</f>
        <v/>
      </c>
      <c r="BG39" s="458">
        <f>SUM(BG12:BG18)-BG19</f>
        <v/>
      </c>
      <c r="BH39" s="458">
        <f>SUM(BH12:BH18)-BH19</f>
        <v/>
      </c>
      <c r="BI39" s="458">
        <f>SUM(BI12:BI18)-BI19</f>
        <v/>
      </c>
      <c r="BJ39" s="458">
        <f>SUM(BJ12:BJ18)-BJ19</f>
        <v/>
      </c>
      <c r="BK39" s="458">
        <f>SUM(BK12:BK18)-BK19</f>
        <v/>
      </c>
      <c r="BL39" s="458">
        <f>SUM(BL12:BL18)-BL19</f>
        <v/>
      </c>
      <c r="BM39" s="458">
        <f>SUM(BM12:BM18)-BM19</f>
        <v/>
      </c>
      <c r="BN39" s="458">
        <f>SUM(BN12:BN18)-BN19</f>
        <v/>
      </c>
      <c r="BO39" s="458">
        <f>SUM(BO12:BO18)-BO19</f>
        <v/>
      </c>
      <c r="BP39" s="458">
        <f>SUM(BP12:BP18)-BP19</f>
        <v/>
      </c>
      <c r="BQ39" s="458">
        <f>SUM(BQ12:BQ18)-BQ19</f>
        <v/>
      </c>
      <c r="BR39" s="458">
        <f>SUM(BR12:BR18)-BR19</f>
        <v/>
      </c>
      <c r="BS39" t="n">
        <v>0</v>
      </c>
      <c r="BT39" t="inlineStr">
        <is>
          <t>IPGP-Financial-Data-Workbook-2024-Q2.xlsx|Income Statement|13|93</t>
        </is>
      </c>
    </row>
    <row r="40">
      <c r="A40" s="455">
        <f>A39</f>
        <v/>
      </c>
      <c r="B40" s="121" t="n"/>
      <c r="C40" s="121" t="n"/>
      <c r="D40" s="121" t="n"/>
      <c r="E40" s="121" t="n"/>
      <c r="F40" s="121" t="n"/>
      <c r="G40" s="121" t="n"/>
      <c r="H40" s="121" t="n"/>
      <c r="I40" s="121" t="n"/>
      <c r="J40" s="121" t="n"/>
      <c r="K40" s="121" t="n"/>
      <c r="L40" s="121" t="n"/>
      <c r="M40" s="121" t="n"/>
      <c r="N40" s="458">
        <f>SUM(N22:N23)-N27</f>
        <v/>
      </c>
      <c r="O40" s="458">
        <f>SUM(O22:O23)-O27</f>
        <v/>
      </c>
      <c r="P40" s="458">
        <f>SUM(P22:P23)-P27</f>
        <v/>
      </c>
      <c r="Q40" s="458">
        <f>SUM(Q22:Q23)-Q27</f>
        <v/>
      </c>
      <c r="R40" s="458">
        <f>SUM(R22:R23)-R27</f>
        <v/>
      </c>
      <c r="S40" s="458">
        <f>SUM(S22:S23)-S27</f>
        <v/>
      </c>
      <c r="T40" s="458">
        <f>SUM(T22:T23)-T27</f>
        <v/>
      </c>
      <c r="U40" s="458">
        <f>SUM(U22:U23)-U27</f>
        <v/>
      </c>
      <c r="V40" s="458">
        <f>SUM(V22:V23)-V27</f>
        <v/>
      </c>
      <c r="W40" s="458">
        <f>SUM(W22:W23)-W27</f>
        <v/>
      </c>
      <c r="X40" s="458">
        <f>SUM(X22:X23)-X27</f>
        <v/>
      </c>
      <c r="Y40" s="458">
        <f>SUM(Y22:Y23)-Y27</f>
        <v/>
      </c>
      <c r="Z40" s="458">
        <f>SUM(Z22:Z23)-Z27</f>
        <v/>
      </c>
      <c r="AA40" s="458">
        <f>SUM(AA22:AA23)-AA27</f>
        <v/>
      </c>
      <c r="AB40" s="458">
        <f>SUM(AB22:AB23)-AB27</f>
        <v/>
      </c>
      <c r="AC40" s="458">
        <f>SUM(AC22:AC23)-AC27</f>
        <v/>
      </c>
      <c r="AD40" s="458">
        <f>SUM(AD22:AD23)-AD27</f>
        <v/>
      </c>
      <c r="AE40" s="458">
        <f>SUM(AE22:AE23)-AE27</f>
        <v/>
      </c>
      <c r="AF40" s="458">
        <f>SUM(AF22:AF23)-AF27</f>
        <v/>
      </c>
      <c r="AG40" s="458">
        <f>SUM(AG22:AG23)-AG27</f>
        <v/>
      </c>
      <c r="AH40" s="458">
        <f>SUM(AH22:AH23)-AH27</f>
        <v/>
      </c>
      <c r="AI40" s="458">
        <f>SUM(AI22:AI23)-AI27</f>
        <v/>
      </c>
      <c r="AJ40" s="458">
        <f>SUM(AJ22:AJ23)-AJ27</f>
        <v/>
      </c>
      <c r="AK40" s="458">
        <f>SUM(AK22:AK23)-AK27</f>
        <v/>
      </c>
      <c r="AL40" s="458">
        <f>SUM(AL22:AL23)-AL27</f>
        <v/>
      </c>
      <c r="AM40" s="458">
        <f>SUM(AM22:AM23)-AM27</f>
        <v/>
      </c>
      <c r="AN40" s="458">
        <f>SUM(AN22:AN23)-AN27</f>
        <v/>
      </c>
      <c r="AO40" s="458">
        <f>SUM(AO22:AO23)-AO27</f>
        <v/>
      </c>
      <c r="AP40" s="458">
        <f>SUM(AP22:AP23)-AP27</f>
        <v/>
      </c>
      <c r="AQ40" s="458">
        <f>SUM(AQ22:AQ23)-AQ27</f>
        <v/>
      </c>
      <c r="AR40" s="458">
        <f>SUM(AR22:AR23)-AR27</f>
        <v/>
      </c>
      <c r="AS40" s="458">
        <f>SUM(AS22:AS23)-AS27</f>
        <v/>
      </c>
      <c r="AT40" s="458">
        <f>SUM(AT22:AT23)-AT27</f>
        <v/>
      </c>
      <c r="AU40" s="458">
        <f>SUM(AU22:AU23)-AU27</f>
        <v/>
      </c>
      <c r="AV40" s="458">
        <f>SUM(AV22:AV23)-AV27</f>
        <v/>
      </c>
      <c r="AW40" s="458">
        <f>SUM(AW22:AW23)-AW27</f>
        <v/>
      </c>
      <c r="AX40" s="458">
        <f>SUM(AX22:AX23)-AX27</f>
        <v/>
      </c>
      <c r="AY40" s="458">
        <f>SUM(AY22:AY23)-AY27</f>
        <v/>
      </c>
      <c r="AZ40" s="458">
        <f>SUM(AZ22:AZ23)-AZ27</f>
        <v/>
      </c>
      <c r="BA40" s="458">
        <f>SUM(BA22:BA23)-BA27</f>
        <v/>
      </c>
      <c r="BB40" s="458">
        <f>SUM(BB22:BB23)-BB27</f>
        <v/>
      </c>
      <c r="BC40" s="458">
        <f>SUM(BC22:BC23)-BC27</f>
        <v/>
      </c>
      <c r="BD40" s="458">
        <f>SUM(BD22:BD23)-BD27</f>
        <v/>
      </c>
      <c r="BE40" s="458">
        <f>SUM(BE22:BE23)-BE27</f>
        <v/>
      </c>
      <c r="BF40" s="458">
        <f>SUM(BF22:BF23)-BF27</f>
        <v/>
      </c>
      <c r="BG40" s="458">
        <f>SUM(BG22:BG23)-BG27</f>
        <v/>
      </c>
      <c r="BH40" s="458">
        <f>SUM(BH22:BH23)-BH27</f>
        <v/>
      </c>
      <c r="BI40" s="458">
        <f>SUM(BI22:BI23)-BI27</f>
        <v/>
      </c>
      <c r="BJ40" s="458">
        <f>SUM(BJ22:BJ23)-BJ27</f>
        <v/>
      </c>
      <c r="BK40" s="458">
        <f>SUM(BK22:BK23)-BK27</f>
        <v/>
      </c>
      <c r="BL40" s="458">
        <f>SUM(BL22:BL23)-BL27</f>
        <v/>
      </c>
      <c r="BM40" s="458">
        <f>SUM(BM22:BM23)-BM27</f>
        <v/>
      </c>
      <c r="BN40" s="458">
        <f>SUM(BN22:BN23)-BN27</f>
        <v/>
      </c>
      <c r="BO40" s="458">
        <f>SUM(BO22:BO23)-BO27</f>
        <v/>
      </c>
      <c r="BP40" s="458">
        <f>SUM(BP22:BP23)-BP27</f>
        <v/>
      </c>
      <c r="BQ40" s="458">
        <f>SUM(BQ22:BQ23)-BQ27</f>
        <v/>
      </c>
      <c r="BR40" s="458">
        <f>SUM(BR22:BR23)-BR27</f>
        <v/>
      </c>
      <c r="BS40" t="n">
        <v>0</v>
      </c>
      <c r="BT40" t="inlineStr">
        <is>
          <t>IPGP-Financial-Data-Workbook-2024-Q2.xlsx|Income Statement|15|93</t>
        </is>
      </c>
    </row>
    <row r="41">
      <c r="A41" s="455">
        <f>A40</f>
        <v/>
      </c>
      <c r="B41" s="121" t="n"/>
      <c r="C41" s="121" t="n"/>
      <c r="D41" s="121" t="n"/>
      <c r="E41" s="121" t="n"/>
      <c r="F41" s="121" t="n"/>
      <c r="G41" s="121" t="n"/>
      <c r="H41" s="121" t="n"/>
      <c r="I41" s="121" t="n"/>
      <c r="J41" s="121" t="n"/>
      <c r="K41" s="121" t="n"/>
      <c r="L41" s="121" t="n"/>
      <c r="M41" s="121" t="n"/>
      <c r="N41" s="458">
        <f>SUM(N30:N35)-N36</f>
        <v/>
      </c>
      <c r="O41" s="458">
        <f>SUM(O30:O35)-O36</f>
        <v/>
      </c>
      <c r="P41" s="458">
        <f>SUM(P30:P35)-P36</f>
        <v/>
      </c>
      <c r="Q41" s="458">
        <f>SUM(Q30:Q35)-Q36</f>
        <v/>
      </c>
      <c r="R41" s="458">
        <f>SUM(R30:R35)-R36</f>
        <v/>
      </c>
      <c r="S41" s="458">
        <f>SUM(S30:S35)-S36</f>
        <v/>
      </c>
      <c r="T41" s="458">
        <f>SUM(T30:T35)-T36</f>
        <v/>
      </c>
      <c r="U41" s="458">
        <f>SUM(U30:U35)-U36</f>
        <v/>
      </c>
      <c r="V41" s="458">
        <f>SUM(V30:V35)-V36</f>
        <v/>
      </c>
      <c r="W41" s="458">
        <f>SUM(W30:W35)-W36</f>
        <v/>
      </c>
      <c r="X41" s="458">
        <f>SUM(X30:X35)-X36</f>
        <v/>
      </c>
      <c r="Y41" s="458">
        <f>SUM(Y30:Y35)-Y36</f>
        <v/>
      </c>
      <c r="Z41" s="458">
        <f>SUM(Z30:Z35)-Z36</f>
        <v/>
      </c>
      <c r="AA41" s="458">
        <f>SUM(AA30:AA35)-AA36</f>
        <v/>
      </c>
      <c r="AB41" s="458">
        <f>SUM(AB30:AB35)-AB36</f>
        <v/>
      </c>
      <c r="AC41" s="458">
        <f>SUM(AC30:AC35)-AC36</f>
        <v/>
      </c>
      <c r="AD41" s="458">
        <f>SUM(AD30:AD35)-AD36</f>
        <v/>
      </c>
      <c r="AE41" s="458">
        <f>SUM(AE30:AE35)-AE36</f>
        <v/>
      </c>
      <c r="AF41" s="458">
        <f>SUM(AF30:AF35)-AF36</f>
        <v/>
      </c>
      <c r="AG41" s="458">
        <f>SUM(AG30:AG35)-AG36</f>
        <v/>
      </c>
      <c r="AH41" s="458">
        <f>SUM(AH30:AH35)-AH36</f>
        <v/>
      </c>
      <c r="AI41" s="458">
        <f>SUM(AI30:AI35)-AI36</f>
        <v/>
      </c>
      <c r="AJ41" s="458">
        <f>SUM(AJ30:AJ35)-AJ36</f>
        <v/>
      </c>
      <c r="AK41" s="458">
        <f>SUM(AK30:AK35)-AK36</f>
        <v/>
      </c>
      <c r="AL41" s="458">
        <f>SUM(AL30:AL35)-AL36</f>
        <v/>
      </c>
      <c r="AM41" s="458">
        <f>SUM(AM30:AM35)-AM36</f>
        <v/>
      </c>
      <c r="AN41" s="458">
        <f>SUM(AN30:AN35)-AN36</f>
        <v/>
      </c>
      <c r="AO41" s="458">
        <f>SUM(AO30:AO35)-AO36</f>
        <v/>
      </c>
      <c r="AP41" s="458">
        <f>SUM(AP30:AP35)-AP36</f>
        <v/>
      </c>
      <c r="AQ41" s="458">
        <f>SUM(AQ30:AQ35)-AQ36</f>
        <v/>
      </c>
      <c r="AR41" s="458">
        <f>SUM(AR30:AR35)-AR36</f>
        <v/>
      </c>
      <c r="AS41" s="458">
        <f>SUM(AS30:AS35)-AS36</f>
        <v/>
      </c>
      <c r="AT41" s="458">
        <f>SUM(AT30:AT35)-AT36</f>
        <v/>
      </c>
      <c r="AU41" s="458">
        <f>SUM(AU30:AU35)-AU36</f>
        <v/>
      </c>
      <c r="AV41" s="458">
        <f>SUM(AV30:AV35)-AV36</f>
        <v/>
      </c>
      <c r="AW41" s="458">
        <f>SUM(AW30:AW35)-AW36</f>
        <v/>
      </c>
      <c r="AX41" s="458">
        <f>SUM(AX30:AX35)-AX36</f>
        <v/>
      </c>
      <c r="AY41" s="458">
        <f>SUM(AY30:AY35)-AY36</f>
        <v/>
      </c>
      <c r="AZ41" s="458">
        <f>SUM(AZ30:AZ35)-AZ36</f>
        <v/>
      </c>
      <c r="BA41" s="458">
        <f>SUM(BA30:BA35)-BA36</f>
        <v/>
      </c>
      <c r="BB41" s="458">
        <f>SUM(BB30:BB35)-BB36</f>
        <v/>
      </c>
      <c r="BC41" s="458">
        <f>SUM(BC30:BC35)-BC36</f>
        <v/>
      </c>
      <c r="BD41" s="458">
        <f>SUM(BD30:BD35)-BD36</f>
        <v/>
      </c>
      <c r="BE41" s="458">
        <f>SUM(BE30:BE35)-BE36</f>
        <v/>
      </c>
      <c r="BF41" s="458">
        <f>SUM(BF30:BF35)-BF36</f>
        <v/>
      </c>
      <c r="BG41" s="458">
        <f>SUM(BG30:BG35)-BG36</f>
        <v/>
      </c>
      <c r="BH41" s="458">
        <f>SUM(BH30:BH35)-BH36</f>
        <v/>
      </c>
      <c r="BI41" s="458">
        <f>SUM(BI30:BI35)-BI36</f>
        <v/>
      </c>
      <c r="BJ41" s="458">
        <f>SUM(BJ30:BJ35)-BJ36</f>
        <v/>
      </c>
      <c r="BK41" s="458">
        <f>SUM(BK30:BK35)-BK36</f>
        <v/>
      </c>
      <c r="BL41" s="458">
        <f>SUM(BL30:BL35)-BL36</f>
        <v/>
      </c>
      <c r="BM41" s="458">
        <f>SUM(BM30:BM35)-BM36</f>
        <v/>
      </c>
      <c r="BN41" s="458">
        <f>SUM(BN30:BN35)-BN36</f>
        <v/>
      </c>
      <c r="BO41" s="458">
        <f>SUM(BO30:BO35)-BO36</f>
        <v/>
      </c>
      <c r="BP41" s="458">
        <f>SUM(BP30:BP35)-BP36</f>
        <v/>
      </c>
      <c r="BQ41" s="458">
        <f>SUM(BQ30:BQ35)-BQ36</f>
        <v/>
      </c>
      <c r="BR41" s="458">
        <f>SUM(BR30:BR35)-BR36</f>
        <v/>
      </c>
      <c r="BS41" t="n">
        <v>0</v>
      </c>
      <c r="BT41" t="inlineStr">
        <is>
          <t>IPGP-Financial-Data-Workbook-2024-Q2.xlsx|Income Statement|16|93</t>
        </is>
      </c>
    </row>
    <row r="42">
      <c r="A42" s="455">
        <f>A41</f>
        <v/>
      </c>
      <c r="B42" s="121" t="n"/>
      <c r="C42" s="121" t="n"/>
      <c r="D42" s="121" t="n"/>
      <c r="E42" s="121" t="n"/>
      <c r="F42" s="121" t="n"/>
      <c r="G42" s="121" t="n"/>
      <c r="H42" s="121" t="n"/>
      <c r="I42" s="121" t="n"/>
      <c r="J42" s="121" t="n"/>
      <c r="K42" s="121" t="n"/>
      <c r="L42" s="121" t="n"/>
      <c r="M42" s="121" t="n"/>
      <c r="N42" s="458">
        <f>IF(AND(OR(N19=N79,ISBLANK(N19)),OR(N27=N79,ISBLANK(N27)),OR(N36=N79,ISBLANK(N36))),0,#N/A)</f>
        <v/>
      </c>
      <c r="O42" s="458">
        <f>IF(AND(OR(O19=O79,ISBLANK(O19)),OR(O27=O79,ISBLANK(O27)),OR(O36=O79,ISBLANK(O36))),0,#N/A)</f>
        <v/>
      </c>
      <c r="P42" s="458">
        <f>IF(AND(OR(P19=P79,ISBLANK(P19)),OR(P27=P79,ISBLANK(P27)),OR(P36=P79,ISBLANK(P36))),0,#N/A)</f>
        <v/>
      </c>
      <c r="Q42" s="458">
        <f>IF(AND(OR(Q19=Q79,ISBLANK(Q19)),OR(Q27=Q79,ISBLANK(Q27)),OR(Q36=Q79,ISBLANK(Q36))),0,#N/A)</f>
        <v/>
      </c>
      <c r="R42" s="458">
        <f>IF(AND(OR(R19=R79,ISBLANK(R19)),OR(R27=R79,ISBLANK(R27)),OR(R36=R79,ISBLANK(R36))),0,#N/A)</f>
        <v/>
      </c>
      <c r="S42" s="458">
        <f>IF(AND(OR(S19=S79,ISBLANK(S19)),OR(S27=S79,ISBLANK(S27)),OR(S36=S79,ISBLANK(S36))),0,#N/A)</f>
        <v/>
      </c>
      <c r="T42" s="458">
        <f>IF(AND(OR(T19=T79,ISBLANK(T19)),OR(T27=T79,ISBLANK(T27)),OR(T36=T79,ISBLANK(T36))),0,#N/A)</f>
        <v/>
      </c>
      <c r="U42" s="458">
        <f>IF(AND(OR(U19=U79,ISBLANK(U19)),OR(U27=U79,ISBLANK(U27)),OR(U36=U79,ISBLANK(U36))),0,#N/A)</f>
        <v/>
      </c>
      <c r="V42" s="458">
        <f>IF(AND(OR(V19=V79,ISBLANK(V19)),OR(V27=V79,ISBLANK(V27)),OR(V36=V79,ISBLANK(V36))),0,#N/A)</f>
        <v/>
      </c>
      <c r="W42" s="458">
        <f>IF(AND(OR(W19=W79,ISBLANK(W19)),OR(W27=W79,ISBLANK(W27)),OR(W36=W79,ISBLANK(W36))),0,#N/A)</f>
        <v/>
      </c>
      <c r="X42" s="458">
        <f>IF(AND(OR(X19=X79,ISBLANK(X19)),OR(X27=X79,ISBLANK(X27)),OR(X36=X79,ISBLANK(X36))),0,#N/A)</f>
        <v/>
      </c>
      <c r="Y42" s="458">
        <f>IF(AND(OR(Y19=Y79,ISBLANK(Y19)),OR(Y27=Y79,ISBLANK(Y27)),OR(Y36=Y79,ISBLANK(Y36))),0,#N/A)</f>
        <v/>
      </c>
      <c r="Z42" s="458">
        <f>IF(AND(OR(Z19=Z79,ISBLANK(Z19)),OR(Z27=Z79,ISBLANK(Z27)),OR(Z36=Z79,ISBLANK(Z36))),0,#N/A)</f>
        <v/>
      </c>
      <c r="AA42" s="458">
        <f>IF(AND(OR(AA19=AA79,ISBLANK(AA19)),OR(AA27=AA79,ISBLANK(AA27)),OR(AA36=AA79,ISBLANK(AA36))),0,#N/A)</f>
        <v/>
      </c>
      <c r="AB42" s="458">
        <f>IF(AND(OR(AB19=AB79,ISBLANK(AB19)),OR(AB27=AB79,ISBLANK(AB27)),OR(AB36=AB79,ISBLANK(AB36))),0,#N/A)</f>
        <v/>
      </c>
      <c r="AC42" s="458">
        <f>IF(AND(OR(AC19=AC79,ISBLANK(AC19)),OR(AC27=AC79,ISBLANK(AC27)),OR(AC36=AC79,ISBLANK(AC36))),0,#N/A)</f>
        <v/>
      </c>
      <c r="AD42" s="458">
        <f>IF(AND(OR(AD19=AD79,ISBLANK(AD19)),OR(AD27=AD79,ISBLANK(AD27)),OR(AD36=AD79,ISBLANK(AD36))),0,#N/A)</f>
        <v/>
      </c>
      <c r="AE42" s="458">
        <f>IF(AND(OR(AE19=AE79,ISBLANK(AE19)),OR(AE27=AE79,ISBLANK(AE27)),OR(AE36=AE79,ISBLANK(AE36))),0,#N/A)</f>
        <v/>
      </c>
      <c r="AF42" s="458">
        <f>IF(AND(OR(AF19=AF79,ISBLANK(AF19)),OR(AF27=AF79,ISBLANK(AF27)),OR(AF36=AF79,ISBLANK(AF36))),0,#N/A)</f>
        <v/>
      </c>
      <c r="AG42" s="458">
        <f>IF(AND(OR(AG19=AG79,ISBLANK(AG19)),OR(AG27=AG79,ISBLANK(AG27)),OR(AG36=AG79,ISBLANK(AG36))),0,#N/A)</f>
        <v/>
      </c>
      <c r="AH42" s="458">
        <f>IF(AND(OR(AH19=AH79,ISBLANK(AH19)),OR(AH27=AH79,ISBLANK(AH27)),OR(AH36=AH79,ISBLANK(AH36))),0,#N/A)</f>
        <v/>
      </c>
      <c r="AI42" s="458">
        <f>IF(AND(OR(AI19=AI79,ISBLANK(AI19)),OR(AI27=AI79,ISBLANK(AI27)),OR(AI36=AI79,ISBLANK(AI36))),0,#N/A)</f>
        <v/>
      </c>
      <c r="AJ42" s="458">
        <f>IF(AND(OR(AJ19=AJ79,ISBLANK(AJ19)),OR(AJ27=AJ79,ISBLANK(AJ27)),OR(AJ36=AJ79,ISBLANK(AJ36))),0,#N/A)</f>
        <v/>
      </c>
      <c r="AK42" s="458">
        <f>IF(AND(OR(AK19=AK79,ISBLANK(AK19)),OR(AK27=AK79,ISBLANK(AK27)),OR(AK36=AK79,ISBLANK(AK36))),0,#N/A)</f>
        <v/>
      </c>
      <c r="AL42" s="458">
        <f>IF(AND(OR(AL19=AL79,ISBLANK(AL19)),OR(AL27=AL79,ISBLANK(AL27)),OR(AL36=AL79,ISBLANK(AL36))),0,#N/A)</f>
        <v/>
      </c>
      <c r="AM42" s="458">
        <f>IF(AND(OR(AM19=AM79,ISBLANK(AM19)),OR(AM27=AM79,ISBLANK(AM27)),OR(AM36=AM79,ISBLANK(AM36))),0,#N/A)</f>
        <v/>
      </c>
      <c r="AN42" s="458">
        <f>IF(AND(OR(AN19=AN79,ISBLANK(AN19)),OR(AN27=AN79,ISBLANK(AN27)),OR(AN36=AN79,ISBLANK(AN36))),0,#N/A)</f>
        <v/>
      </c>
      <c r="AO42" s="458">
        <f>IF(AND(OR(AO19=AO79,ISBLANK(AO19)),OR(AO27=AO79,ISBLANK(AO27)),OR(AO36=AO79,ISBLANK(AO36))),0,#N/A)</f>
        <v/>
      </c>
      <c r="AP42" s="458">
        <f>IF(AND(OR(AP19=AP79,ISBLANK(AP19)),OR(AP27=AP79,ISBLANK(AP27)),OR(AP36=AP79,ISBLANK(AP36))),0,#N/A)</f>
        <v/>
      </c>
      <c r="AQ42" s="458">
        <f>IF(AND(OR(AQ19=AQ79,ISBLANK(AQ19)),OR(AQ27=AQ79,ISBLANK(AQ27)),OR(AQ36=AQ79,ISBLANK(AQ36))),0,#N/A)</f>
        <v/>
      </c>
      <c r="AR42" s="458">
        <f>IF(AND(OR(AR19=AR79,ISBLANK(AR19)),OR(AR27=AR79,ISBLANK(AR27)),OR(AR36=AR79,ISBLANK(AR36))),0,#N/A)</f>
        <v/>
      </c>
      <c r="AS42" s="458">
        <f>IF(AND(OR(AS19=AS79,ISBLANK(AS19)),OR(AS27=AS79,ISBLANK(AS27)),OR(AS36=AS79,ISBLANK(AS36))),0,#N/A)</f>
        <v/>
      </c>
      <c r="AT42" s="458">
        <f>IF(AND(OR(AT19=AT79,ISBLANK(AT19)),OR(AT27=AT79,ISBLANK(AT27)),OR(AT36=AT79,ISBLANK(AT36))),0,#N/A)</f>
        <v/>
      </c>
      <c r="AU42" s="458">
        <f>IF(AND(OR(AU19=AU79,ISBLANK(AU19)),OR(AU27=AU79,ISBLANK(AU27)),OR(AU36=AU79,ISBLANK(AU36))),0,#N/A)</f>
        <v/>
      </c>
      <c r="AV42" s="458">
        <f>IF(AND(OR(AV19=AV79,ISBLANK(AV19)),OR(AV27=AV79,ISBLANK(AV27)),OR(AV36=AV79,ISBLANK(AV36))),0,#N/A)</f>
        <v/>
      </c>
      <c r="AW42" s="458">
        <f>IF(AND(OR(AW19=AW79,ISBLANK(AW19)),OR(AW27=AW79,ISBLANK(AW27)),OR(AW36=AW79,ISBLANK(AW36))),0,#N/A)</f>
        <v/>
      </c>
      <c r="AX42" s="458">
        <f>IF(AND(OR(AX19=AX79,ISBLANK(AX19)),OR(AX27=AX79,ISBLANK(AX27)),OR(AX36=AX79,ISBLANK(AX36))),0,#N/A)</f>
        <v/>
      </c>
      <c r="AY42" s="458">
        <f>IF(AND(OR(AY19=AY79,ISBLANK(AY19)),OR(AY27=AY79,ISBLANK(AY27)),OR(AY36=AY79,ISBLANK(AY36))),0,#N/A)</f>
        <v/>
      </c>
      <c r="AZ42" s="458">
        <f>IF(AND(OR(AZ19=AZ79,ISBLANK(AZ19)),OR(AZ27=AZ79,ISBLANK(AZ27)),OR(AZ36=AZ79,ISBLANK(AZ36))),0,#N/A)</f>
        <v/>
      </c>
      <c r="BA42" s="458">
        <f>IF(AND(OR(BA19=BA79,ISBLANK(BA19)),OR(BA27=BA79,ISBLANK(BA27)),OR(BA36=BA79,ISBLANK(BA36))),0,#N/A)</f>
        <v/>
      </c>
      <c r="BB42" s="458">
        <f>IF(AND(OR(BB19=BB79,ISBLANK(BB19)),OR(BB27=BB79,ISBLANK(BB27)),OR(BB36=BB79,ISBLANK(BB36))),0,#N/A)</f>
        <v/>
      </c>
      <c r="BC42" s="458">
        <f>IF(AND(OR(BC19=BC79,ISBLANK(BC19)),OR(BC27=BC79,ISBLANK(BC27)),OR(BC36=BC79,ISBLANK(BC36))),0,#N/A)</f>
        <v/>
      </c>
      <c r="BD42" s="458">
        <f>IF(AND(OR(BD19=BD79,ISBLANK(BD19)),OR(BD27=BD79,ISBLANK(BD27)),OR(BD36=BD79,ISBLANK(BD36))),0,#N/A)</f>
        <v/>
      </c>
      <c r="BE42" s="458">
        <f>IF(AND(OR(BE19=BE79,ISBLANK(BE19)),OR(BE27=BE79,ISBLANK(BE27)),OR(BE36=BE79,ISBLANK(BE36))),0,#N/A)</f>
        <v/>
      </c>
      <c r="BF42" s="458">
        <f>IF(AND(OR(BF19=BF79,ISBLANK(BF19)),OR(BF27=BF79,ISBLANK(BF27)),OR(BF36=BF79,ISBLANK(BF36))),0,#N/A)</f>
        <v/>
      </c>
      <c r="BG42" s="458">
        <f>IF(AND(OR(BG19=BG79,ISBLANK(BG19)),OR(BG27=BG79,ISBLANK(BG27)),OR(BG36=BG79,ISBLANK(BG36))),0,#N/A)</f>
        <v/>
      </c>
      <c r="BH42" s="458">
        <f>IF(AND(OR(BH19=BH79,ISBLANK(BH19)),OR(BH27=BH79,ISBLANK(BH27)),OR(BH36=BH79,ISBLANK(BH36))),0,#N/A)</f>
        <v/>
      </c>
      <c r="BI42" s="458">
        <f>IF(AND(OR(BI19=BI79,ISBLANK(BI19)),OR(BI27=BI79,ISBLANK(BI27)),OR(BI36=BI79,ISBLANK(BI36))),0,#N/A)</f>
        <v/>
      </c>
      <c r="BJ42" s="458">
        <f>IF(AND(OR(BJ19=BJ79,ISBLANK(BJ19)),OR(BJ27=BJ79,ISBLANK(BJ27)),OR(BJ36=BJ79,ISBLANK(BJ36))),0,#N/A)</f>
        <v/>
      </c>
      <c r="BK42" s="458">
        <f>IF(AND(OR(BK19=BK79,ISBLANK(BK19)),OR(BK27=BK79,ISBLANK(BK27)),OR(BK36=BK79,ISBLANK(BK36))),0,#N/A)</f>
        <v/>
      </c>
      <c r="BL42" s="458">
        <f>IF(AND(OR(BL19=BL79,ISBLANK(BL19)),OR(BL27=BL79,ISBLANK(BL27)),OR(BL36=BL79,ISBLANK(BL36))),0,#N/A)</f>
        <v/>
      </c>
      <c r="BM42" s="458">
        <f>IF(AND(OR(BM19=BM79,ISBLANK(BM19)),OR(BM27=BM79,ISBLANK(BM27)),OR(BM36=BM79,ISBLANK(BM36))),0,#N/A)</f>
        <v/>
      </c>
      <c r="BN42" s="458">
        <f>IF(AND(OR(BN19=BN79,ISBLANK(BN19)),OR(BN27=BN79,ISBLANK(BN27)),OR(BN36=BN79,ISBLANK(BN36))),0,#N/A)</f>
        <v/>
      </c>
      <c r="BO42" s="458">
        <f>IF(AND(OR(BO19=BO79,ISBLANK(BO19)),OR(BO27=BO79,ISBLANK(BO27)),OR(BO36=BO79,ISBLANK(BO36))),0,#N/A)</f>
        <v/>
      </c>
      <c r="BP42" s="458">
        <f>IF(AND(OR(BP19=BP79,ISBLANK(BP19)),OR(BP27=BP79,ISBLANK(BP27)),OR(BP36=BP79,ISBLANK(BP36))),0,#N/A)</f>
        <v/>
      </c>
      <c r="BQ42" s="458">
        <f>IF(AND(OR(BQ19=BQ79,ISBLANK(BQ19)),OR(BQ27=BQ79,ISBLANK(BQ27)),OR(BQ36=BQ79,ISBLANK(BQ36))),0,#N/A)</f>
        <v/>
      </c>
      <c r="BR42" s="458">
        <f>IF(AND(OR(BR19=BR79,ISBLANK(BR19)),OR(BR27=BR79,ISBLANK(BR27)),OR(BR36=BR79,ISBLANK(BR36))),0,#N/A)</f>
        <v/>
      </c>
      <c r="BS42" t="n">
        <v>0</v>
      </c>
      <c r="BT42" t="inlineStr">
        <is>
          <t>IPGP-Financial-Data-Workbook-2024-Q2.xlsx|Income Statement|31|93</t>
        </is>
      </c>
    </row>
    <row r="43">
      <c r="A43" s="455" t="n"/>
      <c r="B43" s="121" t="n"/>
      <c r="C43" s="121" t="n"/>
      <c r="D43" s="121" t="n"/>
      <c r="E43" s="121" t="n"/>
      <c r="F43" s="121" t="n"/>
      <c r="G43" s="121" t="n"/>
      <c r="H43" s="121" t="n"/>
      <c r="I43" s="121" t="n"/>
      <c r="J43" s="121" t="n"/>
      <c r="K43" s="121" t="n"/>
      <c r="L43" s="121" t="n"/>
      <c r="M43" s="121" t="n"/>
      <c r="N43" s="458" t="n"/>
      <c r="O43" s="458" t="n"/>
      <c r="P43" s="458" t="n"/>
      <c r="Q43" s="458" t="n"/>
      <c r="R43" s="458" t="n"/>
      <c r="S43" s="458" t="n"/>
      <c r="T43" s="458" t="n"/>
      <c r="U43" s="458" t="n"/>
      <c r="V43" s="458" t="n"/>
      <c r="W43" s="458" t="n"/>
      <c r="X43" s="458" t="n"/>
      <c r="Y43" s="458" t="n"/>
      <c r="Z43" s="458" t="n"/>
      <c r="AA43" s="458" t="n"/>
      <c r="AB43" s="458" t="n"/>
      <c r="AC43" s="458" t="n"/>
      <c r="AD43" s="458" t="n"/>
      <c r="AE43" s="458" t="n"/>
      <c r="AF43" s="458" t="n"/>
      <c r="AG43" s="458" t="n"/>
      <c r="AH43" s="458" t="n"/>
      <c r="AI43" s="458" t="n"/>
      <c r="AJ43" s="458" t="n"/>
      <c r="AK43" s="458" t="n"/>
      <c r="AL43" s="458" t="n"/>
      <c r="AM43" s="458" t="n"/>
      <c r="AN43" s="458" t="n"/>
      <c r="AO43" s="458" t="n"/>
      <c r="AP43" s="458" t="n"/>
      <c r="AQ43" s="458" t="n"/>
      <c r="AR43" s="458" t="n"/>
      <c r="AS43" s="458" t="n"/>
    </row>
    <row r="44">
      <c r="A44" s="455" t="n"/>
      <c r="B44" s="121" t="n"/>
      <c r="C44" s="121" t="n"/>
      <c r="D44" s="121" t="n"/>
      <c r="E44" s="121" t="n"/>
      <c r="F44" s="121" t="n"/>
      <c r="G44" s="121" t="n"/>
      <c r="H44" s="121" t="n"/>
      <c r="I44" s="121" t="n"/>
      <c r="J44" s="121" t="n"/>
      <c r="K44" s="121" t="n"/>
      <c r="L44" s="121" t="n"/>
      <c r="M44" s="121" t="n"/>
      <c r="N44" s="458" t="n"/>
      <c r="O44" s="458" t="n"/>
      <c r="P44" s="458" t="n"/>
      <c r="Q44" s="458" t="n"/>
      <c r="R44" s="458" t="n"/>
      <c r="S44" s="458" t="n"/>
      <c r="T44" s="458" t="n"/>
      <c r="U44" s="458" t="n"/>
      <c r="V44" s="458" t="n"/>
      <c r="W44" s="458" t="n"/>
      <c r="X44" s="458" t="n"/>
      <c r="Y44" s="458" t="n"/>
      <c r="Z44" s="458" t="n"/>
      <c r="AA44" s="458" t="n"/>
      <c r="AB44" s="458" t="n"/>
      <c r="AC44" s="458" t="n"/>
      <c r="AD44" s="458" t="n"/>
      <c r="AE44" s="458" t="n"/>
      <c r="AF44" s="458" t="n"/>
      <c r="AG44" s="458" t="n"/>
      <c r="AH44" s="458" t="n"/>
      <c r="AI44" s="458" t="n"/>
      <c r="AJ44" s="458" t="n"/>
      <c r="AK44" s="458" t="n"/>
      <c r="AL44" s="458" t="n"/>
      <c r="AM44" s="458" t="n"/>
      <c r="AN44" s="458" t="n"/>
      <c r="AO44" s="458" t="n"/>
      <c r="AP44" s="458" t="n"/>
      <c r="AQ44" s="458" t="n"/>
      <c r="AR44" s="458" t="n"/>
      <c r="AS44" s="458" t="n"/>
    </row>
    <row r="45">
      <c r="A45" s="455" t="n"/>
      <c r="B45" s="121" t="n"/>
      <c r="C45" s="121" t="n"/>
      <c r="D45" s="121" t="n"/>
      <c r="E45" s="121" t="n"/>
      <c r="F45" s="121" t="n"/>
      <c r="G45" s="121" t="n"/>
      <c r="H45" s="121" t="n"/>
      <c r="I45" s="121" t="n"/>
      <c r="J45" s="121" t="n"/>
      <c r="K45" s="121" t="n"/>
      <c r="L45" s="121" t="n"/>
      <c r="M45" s="121" t="n"/>
      <c r="N45" s="121" t="n"/>
      <c r="O45" s="121" t="n"/>
      <c r="P45" s="121" t="n"/>
      <c r="Q45" s="458" t="n"/>
      <c r="R45" s="458" t="n"/>
      <c r="S45" s="121" t="n"/>
      <c r="T45" s="458" t="n"/>
      <c r="U45" s="458" t="n"/>
      <c r="V45" s="458" t="n"/>
      <c r="W45" s="458" t="n"/>
      <c r="X45" s="458" t="n"/>
      <c r="Y45" s="458" t="n"/>
      <c r="Z45" s="458" t="n"/>
      <c r="AA45" s="458" t="n"/>
      <c r="AB45" s="458" t="n"/>
      <c r="AC45" s="458" t="n"/>
      <c r="AD45" s="458" t="n"/>
      <c r="AE45" s="458" t="n"/>
      <c r="AF45" s="458" t="n"/>
      <c r="AG45" s="458" t="n"/>
      <c r="AH45" s="458" t="n"/>
      <c r="AI45" s="458" t="n"/>
      <c r="AJ45" s="458" t="n"/>
      <c r="AK45" s="458" t="n"/>
      <c r="AL45" s="458" t="n"/>
      <c r="AM45" s="458" t="n"/>
      <c r="AN45" s="458" t="n"/>
      <c r="AO45" s="458" t="n"/>
      <c r="AP45" s="458" t="n"/>
      <c r="AQ45" s="458" t="n"/>
      <c r="AR45" s="458" t="n"/>
      <c r="AS45" s="458" t="n"/>
    </row>
    <row r="46">
      <c r="A46" s="81" t="inlineStr">
        <is>
          <t>Segment information (%)</t>
        </is>
      </c>
      <c r="B46" s="121" t="n"/>
      <c r="C46" s="121" t="n"/>
      <c r="D46" s="121" t="n"/>
      <c r="E46" s="121" t="n"/>
      <c r="F46" s="121" t="n"/>
      <c r="G46" s="121" t="n"/>
      <c r="H46" s="121" t="n"/>
      <c r="I46" s="121" t="n"/>
      <c r="J46" s="121" t="n"/>
      <c r="K46" s="121" t="n"/>
      <c r="L46" s="121" t="n"/>
      <c r="M46" s="121" t="n"/>
      <c r="N46" s="121" t="n"/>
      <c r="O46" s="121" t="n"/>
      <c r="P46" s="121" t="n"/>
      <c r="Q46" s="458" t="n"/>
      <c r="R46" s="458" t="n"/>
      <c r="S46" s="121" t="n"/>
      <c r="T46" s="458" t="n"/>
      <c r="U46" s="458" t="n"/>
      <c r="V46" s="458" t="n"/>
      <c r="W46" s="458" t="n"/>
      <c r="X46" s="458" t="n"/>
      <c r="Y46" s="458" t="n"/>
      <c r="Z46" s="458" t="n"/>
      <c r="AA46" s="458" t="n"/>
      <c r="AB46" s="458" t="n"/>
      <c r="AC46" s="458" t="n"/>
      <c r="AD46" s="458" t="n"/>
      <c r="AE46" s="458" t="n"/>
      <c r="AF46" s="458" t="n"/>
      <c r="AG46" s="458" t="n"/>
      <c r="AH46" s="458" t="n"/>
      <c r="AI46" s="458" t="n"/>
      <c r="AJ46" s="458" t="n"/>
      <c r="AK46" s="458" t="n"/>
      <c r="AL46" s="458" t="n"/>
      <c r="AM46" s="458" t="n"/>
      <c r="AN46" s="458" t="n"/>
      <c r="AO46" s="458" t="n"/>
      <c r="AP46" s="458" t="n"/>
      <c r="AQ46" s="458" t="n"/>
      <c r="AR46" s="458" t="n"/>
      <c r="AS46" s="458" t="n"/>
    </row>
    <row r="47">
      <c r="A47" s="22" t="inlineStr">
        <is>
          <t>Region mix (%)</t>
        </is>
      </c>
      <c r="B47" s="121" t="n"/>
      <c r="C47" s="121" t="n"/>
      <c r="D47" s="121" t="n"/>
      <c r="E47" s="121" t="n"/>
      <c r="F47" s="121" t="n"/>
      <c r="G47" s="121" t="n"/>
      <c r="H47" s="121" t="n"/>
      <c r="I47" s="121" t="n"/>
      <c r="J47" s="121" t="n"/>
      <c r="K47" s="121" t="n"/>
      <c r="L47" s="121" t="n"/>
      <c r="M47" s="121" t="n"/>
      <c r="N47" s="121" t="n"/>
      <c r="O47" s="121" t="n"/>
      <c r="P47" s="121" t="n"/>
      <c r="Q47" s="458" t="n"/>
      <c r="R47" s="458" t="n"/>
      <c r="S47" s="121" t="n"/>
      <c r="T47" s="458" t="n"/>
      <c r="U47" s="458" t="n"/>
      <c r="V47" s="458" t="n"/>
      <c r="W47" s="458" t="n"/>
      <c r="X47" s="458" t="n"/>
      <c r="Y47" s="458" t="n"/>
      <c r="Z47" s="458" t="n"/>
      <c r="AA47" s="458" t="n"/>
      <c r="AB47" s="458" t="n"/>
      <c r="AC47" s="458" t="n"/>
      <c r="AD47" s="458" t="n"/>
      <c r="AE47" s="458" t="n"/>
      <c r="AF47" s="458" t="n"/>
      <c r="AG47" s="458" t="n"/>
      <c r="AH47" s="458" t="n"/>
      <c r="AI47" s="458" t="n"/>
      <c r="AJ47" s="458" t="n"/>
      <c r="AK47" s="458" t="n"/>
      <c r="AL47" s="458" t="n"/>
      <c r="AM47" s="458" t="n"/>
      <c r="AN47" s="458" t="n"/>
      <c r="AO47" s="458" t="n"/>
      <c r="AP47" s="458" t="n"/>
      <c r="AQ47" s="458" t="n"/>
      <c r="AR47" s="458" t="n"/>
      <c r="AS47" s="458" t="n"/>
    </row>
    <row r="48">
      <c r="A48" s="74">
        <f>A12</f>
        <v/>
      </c>
      <c r="B48" s="121" t="n"/>
      <c r="C48" s="121" t="n"/>
      <c r="D48" s="121" t="n"/>
      <c r="E48" s="121" t="n"/>
      <c r="F48" s="121" t="n"/>
      <c r="G48" s="121" t="n"/>
      <c r="H48" s="121" t="n"/>
      <c r="I48" s="121" t="n"/>
      <c r="J48" s="121" t="n"/>
      <c r="K48" s="121" t="n"/>
      <c r="L48" s="121" t="n"/>
      <c r="M48" s="121" t="n"/>
      <c r="N48" s="937">
        <f>IF(ISBLANK(N12),"",N12/N$19)</f>
        <v/>
      </c>
      <c r="O48" s="937">
        <f>IF(ISBLANK(O12),"",O12/O$19)</f>
        <v/>
      </c>
      <c r="P48" s="937">
        <f>IF(ISBLANK(P12),"",P12/P$19)</f>
        <v/>
      </c>
      <c r="Q48" s="937">
        <f>IF(ISBLANK(Q12),"",Q12/Q$19)</f>
        <v/>
      </c>
      <c r="R48" s="937">
        <f>IF(ISBLANK(R12),"",R12/R$19)</f>
        <v/>
      </c>
      <c r="S48" s="937">
        <f>IF(ISBLANK(S12),"",S12/S$19)</f>
        <v/>
      </c>
      <c r="T48" s="937">
        <f>IF(ISBLANK(T12),"",T12/T$19)</f>
        <v/>
      </c>
      <c r="U48" s="937">
        <f>IF(ISBLANK(U12),"",U12/U$19)</f>
        <v/>
      </c>
      <c r="V48" s="937">
        <f>IF(ISBLANK(V12),"",V12/V$19)</f>
        <v/>
      </c>
      <c r="W48" s="937">
        <f>IF(ISBLANK(W12),"",W12/W$19)</f>
        <v/>
      </c>
      <c r="X48" s="937">
        <f>IF(ISBLANK(X12),"",X12/X$19)</f>
        <v/>
      </c>
      <c r="Y48" s="937">
        <f>IF(ISBLANK(Y12),"",Y12/Y$19)</f>
        <v/>
      </c>
      <c r="Z48" s="937">
        <f>IF(ISBLANK(Z12),"",Z12/Z$19)</f>
        <v/>
      </c>
      <c r="AA48" s="937">
        <f>IF(ISBLANK(AA12),"",AA12/AA$19)</f>
        <v/>
      </c>
      <c r="AB48" s="937">
        <f>IF(ISBLANK(AB12),"",AB12/AB$19)</f>
        <v/>
      </c>
      <c r="AC48" s="937">
        <f>IF(ISBLANK(AC12),"",AC12/AC$19)</f>
        <v/>
      </c>
      <c r="AD48" s="937">
        <f>IF(ISBLANK(AD12),"",AD12/AD$19)</f>
        <v/>
      </c>
      <c r="AE48" s="937">
        <f>IF(ISBLANK(AE12),"",AE12/AE$19)</f>
        <v/>
      </c>
      <c r="AF48" s="937">
        <f>IF(ISBLANK(AF12),"",AF12/AF$19)</f>
        <v/>
      </c>
      <c r="AG48" s="937">
        <f>IF(ISBLANK(AG12),"",AG12/AG$19)</f>
        <v/>
      </c>
      <c r="AH48" s="937">
        <f>IF(ISBLANK(AH12),"",AH12/AH$19)</f>
        <v/>
      </c>
      <c r="AI48" s="937">
        <f>IF(ISBLANK(AI12),"",AI12/AI$19)</f>
        <v/>
      </c>
      <c r="AJ48" s="937">
        <f>IF(ISBLANK(AJ12),"",AJ12/AJ$19)</f>
        <v/>
      </c>
      <c r="AK48" s="937">
        <f>IF(ISBLANK(AK12),"",AK12/AK$19)</f>
        <v/>
      </c>
      <c r="AL48" s="937">
        <f>IF(ISBLANK(AL12),"",AL12/AL$19)</f>
        <v/>
      </c>
      <c r="AM48" s="937">
        <f>IF(ISBLANK(AM12),"",AM12/AM$19)</f>
        <v/>
      </c>
      <c r="AN48" s="937">
        <f>IF(ISBLANK(AN12),"",AN12/AN$19)</f>
        <v/>
      </c>
      <c r="AO48" s="937">
        <f>IF(ISBLANK(AO12),"",AO12/AO$19)</f>
        <v/>
      </c>
      <c r="AP48" s="937">
        <f>IF(ISBLANK(AP12),"",AP12/AP$19)</f>
        <v/>
      </c>
      <c r="AQ48" s="937">
        <f>IF(ISBLANK(AQ12),"",AQ12/AQ$19)</f>
        <v/>
      </c>
      <c r="AR48" s="937">
        <f>IF(ISBLANK(AR12),"",AR12/AR$19)</f>
        <v/>
      </c>
      <c r="AS48" s="937">
        <f>IF(ISBLANK(AS12),"",AS12/AS$19)</f>
        <v/>
      </c>
      <c r="AT48" s="937">
        <f>IF(ISBLANK(AT12),"",AT12/AT$19)</f>
        <v/>
      </c>
      <c r="AU48" s="937">
        <f>IF(ISBLANK(AU12),"",AU12/AU$19)</f>
        <v/>
      </c>
      <c r="AV48" s="937">
        <f>IF(ISBLANK(AV12),"",AV12/AV$19)</f>
        <v/>
      </c>
      <c r="AW48" s="937">
        <f>IF(ISBLANK(AW12),"",AW12/AW$19)</f>
        <v/>
      </c>
      <c r="AX48" s="937">
        <f>IF(ISBLANK(AX12),"",AX12/AX$19)</f>
        <v/>
      </c>
      <c r="AY48" s="937">
        <f>IF(ISBLANK(AY12),"",AY12/AY$19)</f>
        <v/>
      </c>
      <c r="AZ48" s="937">
        <f>IF(ISBLANK(AZ12),"",AZ12/AZ$19)</f>
        <v/>
      </c>
      <c r="BA48" s="937">
        <f>IF(ISBLANK(BA12),"",BA12/BA$19)</f>
        <v/>
      </c>
      <c r="BB48" s="937">
        <f>IF(ISBLANK(BB12),"",BB12/BB$19)</f>
        <v/>
      </c>
      <c r="BC48" s="937">
        <f>IF(ISBLANK(BC12),"",BC12/BC$19)</f>
        <v/>
      </c>
      <c r="BD48" s="937">
        <f>IF(ISBLANK(BD12),"",BD12/BD$19)</f>
        <v/>
      </c>
      <c r="BE48" s="937">
        <f>IF(ISBLANK(BE12),"",BE12/BE$19)</f>
        <v/>
      </c>
      <c r="BF48" s="937">
        <f>IF(ISBLANK(BF12),"",BF12/BF$19)</f>
        <v/>
      </c>
      <c r="BG48" s="937">
        <f>IF(ISBLANK(BG12),"",BG12/BG$19)</f>
        <v/>
      </c>
      <c r="BH48" s="937">
        <f>IF(ISBLANK(BH12),"",BH12/BH$19)</f>
        <v/>
      </c>
      <c r="BI48" s="937">
        <f>IF(ISBLANK(BI12),"",BI12/BI$19)</f>
        <v/>
      </c>
      <c r="BJ48" s="937">
        <f>IF(ISBLANK(BJ12),"",BJ12/BJ$19)</f>
        <v/>
      </c>
      <c r="BK48" s="937">
        <f>IF(ISBLANK(BK12),"",BK12/BK$19)</f>
        <v/>
      </c>
      <c r="BL48" s="937">
        <f>IF(ISBLANK(BL12),"",BL12/BL$19)</f>
        <v/>
      </c>
      <c r="BM48" s="937">
        <f>IF(ISBLANK(BM12),"",BM12/BM$19)</f>
        <v/>
      </c>
      <c r="BN48" s="937">
        <f>IF(ISBLANK(BN12),"",BN12/BN$19)</f>
        <v/>
      </c>
      <c r="BO48" s="937">
        <f>IF(ISBLANK(BO12),"",BO12/BO$19)</f>
        <v/>
      </c>
      <c r="BP48" s="937">
        <f>IF(ISBLANK(BP12),"",BP12/BP$19)</f>
        <v/>
      </c>
      <c r="BQ48" s="937">
        <f>IF(ISBLANK(BQ12),"",BQ12/BQ$19)</f>
        <v/>
      </c>
      <c r="BR48" s="937">
        <f>IF(ISBLANK(BR12),"",BR12/BR$19)</f>
        <v/>
      </c>
      <c r="BS48" t="n">
        <v>0.2984921112383318</v>
      </c>
      <c r="BT48" t="inlineStr">
        <is>
          <t>IPGP-Financial-Data-Workbook-2024-Q2.xlsx|Key Metrics|16|93</t>
        </is>
      </c>
    </row>
    <row r="49">
      <c r="A49" s="74">
        <f>A13</f>
        <v/>
      </c>
      <c r="B49" s="121" t="n"/>
      <c r="C49" s="121" t="n"/>
      <c r="D49" s="121" t="n"/>
      <c r="E49" s="121" t="n"/>
      <c r="F49" s="121" t="n"/>
      <c r="G49" s="121" t="n"/>
      <c r="H49" s="121" t="n"/>
      <c r="I49" s="121" t="n"/>
      <c r="J49" s="121" t="n"/>
      <c r="K49" s="121" t="n"/>
      <c r="L49" s="121" t="n"/>
      <c r="M49" s="121" t="n"/>
      <c r="N49" s="937">
        <f>IF(ISBLANK(N13),"",N13/N$19)</f>
        <v/>
      </c>
      <c r="O49" s="937">
        <f>IF(ISBLANK(O13),"",O13/O$19)</f>
        <v/>
      </c>
      <c r="P49" s="937">
        <f>IF(ISBLANK(P13),"",P13/P$19)</f>
        <v/>
      </c>
      <c r="Q49" s="937">
        <f>IF(ISBLANK(Q13),"",Q13/Q$19)</f>
        <v/>
      </c>
      <c r="R49" s="937">
        <f>IF(ISBLANK(R13),"",R13/R$19)</f>
        <v/>
      </c>
      <c r="S49" s="937">
        <f>IF(ISBLANK(S13),"",S13/S$19)</f>
        <v/>
      </c>
      <c r="T49" s="937">
        <f>IF(ISBLANK(T13),"",T13/T$19)</f>
        <v/>
      </c>
      <c r="U49" s="937">
        <f>IF(ISBLANK(U13),"",U13/U$19)</f>
        <v/>
      </c>
      <c r="V49" s="937">
        <f>IF(ISBLANK(V13),"",V13/V$19)</f>
        <v/>
      </c>
      <c r="W49" s="937">
        <f>IF(ISBLANK(W13),"",W13/W$19)</f>
        <v/>
      </c>
      <c r="X49" s="937">
        <f>IF(ISBLANK(X13),"",X13/X$19)</f>
        <v/>
      </c>
      <c r="Y49" s="937">
        <f>IF(ISBLANK(Y13),"",Y13/Y$19)</f>
        <v/>
      </c>
      <c r="Z49" s="937">
        <f>IF(ISBLANK(Z13),"",Z13/Z$19)</f>
        <v/>
      </c>
      <c r="AA49" s="937">
        <f>IF(ISBLANK(AA13),"",AA13/AA$19)</f>
        <v/>
      </c>
      <c r="AB49" s="937">
        <f>IF(ISBLANK(AB13),"",AB13/AB$19)</f>
        <v/>
      </c>
      <c r="AC49" s="937">
        <f>IF(ISBLANK(AC13),"",AC13/AC$19)</f>
        <v/>
      </c>
      <c r="AD49" s="937">
        <f>IF(ISBLANK(AD13),"",AD13/AD$19)</f>
        <v/>
      </c>
      <c r="AE49" s="937">
        <f>IF(ISBLANK(AE13),"",AE13/AE$19)</f>
        <v/>
      </c>
      <c r="AF49" s="937">
        <f>IF(ISBLANK(AF13),"",AF13/AF$19)</f>
        <v/>
      </c>
      <c r="AG49" s="937">
        <f>IF(ISBLANK(AG13),"",AG13/AG$19)</f>
        <v/>
      </c>
      <c r="AH49" s="937">
        <f>IF(ISBLANK(AH13),"",AH13/AH$19)</f>
        <v/>
      </c>
      <c r="AI49" s="937">
        <f>IF(ISBLANK(AI13),"",AI13/AI$19)</f>
        <v/>
      </c>
      <c r="AJ49" s="937">
        <f>IF(ISBLANK(AJ13),"",AJ13/AJ$19)</f>
        <v/>
      </c>
      <c r="AK49" s="937">
        <f>IF(ISBLANK(AK13),"",AK13/AK$19)</f>
        <v/>
      </c>
      <c r="AL49" s="937">
        <f>IF(ISBLANK(AL13),"",AL13/AL$19)</f>
        <v/>
      </c>
      <c r="AM49" s="937">
        <f>IF(ISBLANK(AM13),"",AM13/AM$19)</f>
        <v/>
      </c>
      <c r="AN49" s="937">
        <f>IF(ISBLANK(AN13),"",AN13/AN$19)</f>
        <v/>
      </c>
      <c r="AO49" s="937">
        <f>IF(ISBLANK(AO13),"",AO13/AO$19)</f>
        <v/>
      </c>
      <c r="AP49" s="937">
        <f>IF(ISBLANK(AP13),"",AP13/AP$19)</f>
        <v/>
      </c>
      <c r="AQ49" s="937">
        <f>IF(ISBLANK(AQ13),"",AQ13/AQ$19)</f>
        <v/>
      </c>
      <c r="AR49" s="937">
        <f>IF(ISBLANK(AR13),"",AR13/AR$19)</f>
        <v/>
      </c>
      <c r="AS49" s="937">
        <f>IF(ISBLANK(AS13),"",AS13/AS$19)</f>
        <v/>
      </c>
      <c r="AT49" s="937">
        <f>IF(ISBLANK(AT13),"",AT13/AT$19)</f>
        <v/>
      </c>
      <c r="AU49" s="937">
        <f>IF(ISBLANK(AU13),"",AU13/AU$19)</f>
        <v/>
      </c>
      <c r="AV49" s="937">
        <f>IF(ISBLANK(AV13),"",AV13/AV$19)</f>
        <v/>
      </c>
      <c r="AW49" s="937">
        <f>IF(ISBLANK(AW13),"",AW13/AW$19)</f>
        <v/>
      </c>
      <c r="AX49" s="937">
        <f>IF(ISBLANK(AX13),"",AX13/AX$19)</f>
        <v/>
      </c>
      <c r="AY49" s="937">
        <f>IF(ISBLANK(AY13),"",AY13/AY$19)</f>
        <v/>
      </c>
      <c r="AZ49" s="937">
        <f>IF(ISBLANK(AZ13),"",AZ13/AZ$19)</f>
        <v/>
      </c>
      <c r="BA49" s="937">
        <f>IF(ISBLANK(BA13),"",BA13/BA$19)</f>
        <v/>
      </c>
      <c r="BB49" s="937">
        <f>IF(ISBLANK(BB13),"",BB13/BB$19)</f>
        <v/>
      </c>
      <c r="BC49" s="937">
        <f>IF(ISBLANK(BC13),"",BC13/BC$19)</f>
        <v/>
      </c>
      <c r="BD49" s="937">
        <f>IF(ISBLANK(BD13),"",BD13/BD$19)</f>
        <v/>
      </c>
      <c r="BE49" s="937">
        <f>IF(ISBLANK(BE13),"",BE13/BE$19)</f>
        <v/>
      </c>
      <c r="BF49" s="937">
        <f>IF(ISBLANK(BF13),"",BF13/BF$19)</f>
        <v/>
      </c>
      <c r="BG49" s="937">
        <f>IF(ISBLANK(BG13),"",BG13/BG$19)</f>
        <v/>
      </c>
      <c r="BH49" s="937">
        <f>IF(ISBLANK(BH13),"",BH13/BH$19)</f>
        <v/>
      </c>
      <c r="BI49" s="937">
        <f>IF(ISBLANK(BI13),"",BI13/BI$19)</f>
        <v/>
      </c>
      <c r="BJ49" s="937">
        <f>IF(ISBLANK(BJ13),"",BJ13/BJ$19)</f>
        <v/>
      </c>
      <c r="BK49" s="937">
        <f>IF(ISBLANK(BK13),"",BK13/BK$19)</f>
        <v/>
      </c>
      <c r="BL49" s="937">
        <f>IF(ISBLANK(BL13),"",BL13/BL$19)</f>
        <v/>
      </c>
      <c r="BM49" s="937">
        <f>IF(ISBLANK(BM13),"",BM13/BM$19)</f>
        <v/>
      </c>
      <c r="BN49" s="937">
        <f>IF(ISBLANK(BN13),"",BN13/BN$19)</f>
        <v/>
      </c>
      <c r="BO49" s="937">
        <f>IF(ISBLANK(BO13),"",BO13/BO$19)</f>
        <v/>
      </c>
      <c r="BP49" s="937">
        <f>IF(ISBLANK(BP13),"",BP13/BP$19)</f>
        <v/>
      </c>
      <c r="BQ49" s="937">
        <f>IF(ISBLANK(BQ13),"",BQ13/BQ$19)</f>
        <v/>
      </c>
      <c r="BR49" s="937">
        <f>IF(ISBLANK(BR13),"",BR13/BR$19)</f>
        <v/>
      </c>
      <c r="BS49" t="n">
        <v>0.0807661705059287</v>
      </c>
      <c r="BT49" t="inlineStr">
        <is>
          <t>IPGP-Financial-Data-Workbook-2024-Q2.xlsx|Key Metrics|17|93</t>
        </is>
      </c>
    </row>
    <row r="50">
      <c r="A50" s="74">
        <f>A14</f>
        <v/>
      </c>
      <c r="B50" s="121" t="n"/>
      <c r="C50" s="121" t="n"/>
      <c r="D50" s="121" t="n"/>
      <c r="E50" s="121" t="n"/>
      <c r="F50" s="121" t="n"/>
      <c r="G50" s="121" t="n"/>
      <c r="H50" s="121" t="n"/>
      <c r="I50" s="121" t="n"/>
      <c r="J50" s="121" t="n"/>
      <c r="K50" s="121" t="n"/>
      <c r="L50" s="121" t="n"/>
      <c r="M50" s="121" t="n"/>
      <c r="N50" s="937">
        <f>IF(ISBLANK(N14),"",N14/N$19)</f>
        <v/>
      </c>
      <c r="O50" s="937">
        <f>IF(ISBLANK(O14),"",O14/O$19)</f>
        <v/>
      </c>
      <c r="P50" s="937">
        <f>IF(ISBLANK(P14),"",P14/P$19)</f>
        <v/>
      </c>
      <c r="Q50" s="937">
        <f>IF(ISBLANK(Q14),"",Q14/Q$19)</f>
        <v/>
      </c>
      <c r="R50" s="937">
        <f>IF(ISBLANK(R14),"",R14/R$19)</f>
        <v/>
      </c>
      <c r="S50" s="937">
        <f>IF(ISBLANK(S14),"",S14/S$19)</f>
        <v/>
      </c>
      <c r="T50" s="937">
        <f>IF(ISBLANK(T14),"",T14/T$19)</f>
        <v/>
      </c>
      <c r="U50" s="937">
        <f>IF(ISBLANK(U14),"",U14/U$19)</f>
        <v/>
      </c>
      <c r="V50" s="937">
        <f>IF(ISBLANK(V14),"",V14/V$19)</f>
        <v/>
      </c>
      <c r="W50" s="937">
        <f>IF(ISBLANK(W14),"",W14/W$19)</f>
        <v/>
      </c>
      <c r="X50" s="937">
        <f>IF(ISBLANK(X14),"",X14/X$19)</f>
        <v/>
      </c>
      <c r="Y50" s="937">
        <f>IF(ISBLANK(Y14),"",Y14/Y$19)</f>
        <v/>
      </c>
      <c r="Z50" s="937">
        <f>IF(ISBLANK(Z14),"",Z14/Z$19)</f>
        <v/>
      </c>
      <c r="AA50" s="937">
        <f>IF(ISBLANK(AA14),"",AA14/AA$19)</f>
        <v/>
      </c>
      <c r="AB50" s="937">
        <f>IF(ISBLANK(AB14),"",AB14/AB$19)</f>
        <v/>
      </c>
      <c r="AC50" s="937">
        <f>IF(ISBLANK(AC14),"",AC14/AC$19)</f>
        <v/>
      </c>
      <c r="AD50" s="937">
        <f>IF(ISBLANK(AD14),"",AD14/AD$19)</f>
        <v/>
      </c>
      <c r="AE50" s="937">
        <f>IF(ISBLANK(AE14),"",AE14/AE$19)</f>
        <v/>
      </c>
      <c r="AF50" s="937">
        <f>IF(ISBLANK(AF14),"",AF14/AF$19)</f>
        <v/>
      </c>
      <c r="AG50" s="937">
        <f>IF(ISBLANK(AG14),"",AG14/AG$19)</f>
        <v/>
      </c>
      <c r="AH50" s="937">
        <f>IF(ISBLANK(AH14),"",AH14/AH$19)</f>
        <v/>
      </c>
      <c r="AI50" s="937">
        <f>IF(ISBLANK(AI14),"",AI14/AI$19)</f>
        <v/>
      </c>
      <c r="AJ50" s="937">
        <f>IF(ISBLANK(AJ14),"",AJ14/AJ$19)</f>
        <v/>
      </c>
      <c r="AK50" s="937">
        <f>IF(ISBLANK(AK14),"",AK14/AK$19)</f>
        <v/>
      </c>
      <c r="AL50" s="937">
        <f>IF(ISBLANK(AL14),"",AL14/AL$19)</f>
        <v/>
      </c>
      <c r="AM50" s="937">
        <f>IF(ISBLANK(AM14),"",AM14/AM$19)</f>
        <v/>
      </c>
      <c r="AN50" s="937">
        <f>IF(ISBLANK(AN14),"",AN14/AN$19)</f>
        <v/>
      </c>
      <c r="AO50" s="937">
        <f>IF(ISBLANK(AO14),"",AO14/AO$19)</f>
        <v/>
      </c>
      <c r="AP50" s="937">
        <f>IF(ISBLANK(AP14),"",AP14/AP$19)</f>
        <v/>
      </c>
      <c r="AQ50" s="937">
        <f>IF(ISBLANK(AQ14),"",AQ14/AQ$19)</f>
        <v/>
      </c>
      <c r="AR50" s="937">
        <f>IF(ISBLANK(AR14),"",AR14/AR$19)</f>
        <v/>
      </c>
      <c r="AS50" s="937">
        <f>IF(ISBLANK(AS14),"",AS14/AS$19)</f>
        <v/>
      </c>
      <c r="AT50" s="937">
        <f>IF(ISBLANK(AT14),"",AT14/AT$19)</f>
        <v/>
      </c>
      <c r="AU50" s="937">
        <f>IF(ISBLANK(AU14),"",AU14/AU$19)</f>
        <v/>
      </c>
      <c r="AV50" s="937">
        <f>IF(ISBLANK(AV14),"",AV14/AV$19)</f>
        <v/>
      </c>
      <c r="AW50" s="937">
        <f>IF(ISBLANK(AW14),"",AW14/AW$19)</f>
        <v/>
      </c>
      <c r="AX50" s="937">
        <f>IF(ISBLANK(AX14),"",AX14/AX$19)</f>
        <v/>
      </c>
      <c r="AY50" s="937">
        <f>IF(ISBLANK(AY14),"",AY14/AY$19)</f>
        <v/>
      </c>
      <c r="AZ50" s="937">
        <f>IF(ISBLANK(AZ14),"",AZ14/AZ$19)</f>
        <v/>
      </c>
      <c r="BA50" s="937">
        <f>IF(ISBLANK(BA14),"",BA14/BA$19)</f>
        <v/>
      </c>
      <c r="BB50" s="937">
        <f>IF(ISBLANK(BB14),"",BB14/BB$19)</f>
        <v/>
      </c>
      <c r="BC50" s="937">
        <f>IF(ISBLANK(BC14),"",BC14/BC$19)</f>
        <v/>
      </c>
      <c r="BD50" s="937">
        <f>IF(ISBLANK(BD14),"",BD14/BD$19)</f>
        <v/>
      </c>
      <c r="BE50" s="937">
        <f>IF(ISBLANK(BE14),"",BE14/BE$19)</f>
        <v/>
      </c>
      <c r="BF50" s="937">
        <f>IF(ISBLANK(BF14),"",BF14/BF$19)</f>
        <v/>
      </c>
      <c r="BG50" s="937">
        <f>IF(ISBLANK(BG14),"",BG14/BG$19)</f>
        <v/>
      </c>
      <c r="BH50" s="937">
        <f>IF(ISBLANK(BH14),"",BH14/BH$19)</f>
        <v/>
      </c>
      <c r="BI50" s="937">
        <f>IF(ISBLANK(BI14),"",BI14/BI$19)</f>
        <v/>
      </c>
      <c r="BJ50" s="937">
        <f>IF(ISBLANK(BJ14),"",BJ14/BJ$19)</f>
        <v/>
      </c>
      <c r="BK50" s="937">
        <f>IF(ISBLANK(BK14),"",BK14/BK$19)</f>
        <v/>
      </c>
      <c r="BL50" s="937">
        <f>IF(ISBLANK(BL14),"",BL14/BL$19)</f>
        <v/>
      </c>
      <c r="BM50" s="937">
        <f>IF(ISBLANK(BM14),"",BM14/BM$19)</f>
        <v/>
      </c>
      <c r="BN50" s="937">
        <f>IF(ISBLANK(BN14),"",BN14/BN$19)</f>
        <v/>
      </c>
      <c r="BO50" s="937">
        <f>IF(ISBLANK(BO14),"",BO14/BO$19)</f>
        <v/>
      </c>
      <c r="BP50" s="937">
        <f>IF(ISBLANK(BP14),"",BP14/BP$19)</f>
        <v/>
      </c>
      <c r="BQ50" s="937">
        <f>IF(ISBLANK(BQ14),"",BQ14/BQ$19)</f>
        <v/>
      </c>
      <c r="BR50" s="937">
        <f>IF(ISBLANK(BR14),"",BR14/BR$19)</f>
        <v/>
      </c>
      <c r="BS50" t="n">
        <v>0.2085117118515787</v>
      </c>
      <c r="BT50" t="inlineStr">
        <is>
          <t>IPGP-Financial-Data-Workbook-2024-Q2.xlsx|Key Metrics|18|93</t>
        </is>
      </c>
    </row>
    <row r="51" customFormat="1" s="660">
      <c r="A51" s="757">
        <f>A15</f>
        <v/>
      </c>
      <c r="B51" s="758" t="n"/>
      <c r="C51" s="758" t="n"/>
      <c r="D51" s="758" t="n"/>
      <c r="E51" s="758" t="n"/>
      <c r="F51" s="758" t="n"/>
      <c r="G51" s="758" t="n"/>
      <c r="H51" s="758" t="n"/>
      <c r="I51" s="758" t="n"/>
      <c r="J51" s="758" t="n"/>
      <c r="K51" s="758" t="n"/>
      <c r="L51" s="758" t="n"/>
      <c r="M51" s="758" t="n"/>
      <c r="N51" s="938">
        <f>IF(ISBLANK(N15),"",N15/N$19)</f>
        <v/>
      </c>
      <c r="O51" s="938">
        <f>IF(ISBLANK(O15),"",O15/O$19)</f>
        <v/>
      </c>
      <c r="P51" s="938">
        <f>IF(ISBLANK(P15),"",P15/P$19)</f>
        <v/>
      </c>
      <c r="Q51" s="938">
        <f>IF(ISBLANK(Q15),"",Q15/Q$19)</f>
        <v/>
      </c>
      <c r="R51" s="938">
        <f>IF(ISBLANK(R15),"",R15/R$19)</f>
        <v/>
      </c>
      <c r="S51" s="938">
        <f>IF(ISBLANK(S15),"",S15/S$19)</f>
        <v/>
      </c>
      <c r="T51" s="938">
        <f>IF(ISBLANK(T15),"",T15/T$19)</f>
        <v/>
      </c>
      <c r="U51" s="938">
        <f>IF(ISBLANK(U15),"",U15/U$19)</f>
        <v/>
      </c>
      <c r="V51" s="938">
        <f>IF(ISBLANK(V15),"",V15/V$19)</f>
        <v/>
      </c>
      <c r="W51" s="938">
        <f>IF(ISBLANK(W15),"",W15/W$19)</f>
        <v/>
      </c>
      <c r="X51" s="938">
        <f>IF(ISBLANK(X15),"",X15/X$19)</f>
        <v/>
      </c>
      <c r="Y51" s="938">
        <f>IF(ISBLANK(Y15),"",Y15/Y$19)</f>
        <v/>
      </c>
      <c r="Z51" s="938">
        <f>IF(ISBLANK(Z15),"",Z15/Z$19)</f>
        <v/>
      </c>
      <c r="AA51" s="938">
        <f>IF(ISBLANK(AA15),"",AA15/AA$19)</f>
        <v/>
      </c>
      <c r="AB51" s="938">
        <f>IF(ISBLANK(AB15),"",AB15/AB$19)</f>
        <v/>
      </c>
      <c r="AC51" s="938">
        <f>IF(ISBLANK(AC15),"",AC15/AC$19)</f>
        <v/>
      </c>
      <c r="AD51" s="938">
        <f>IF(ISBLANK(AD15),"",AD15/AD$19)</f>
        <v/>
      </c>
      <c r="AE51" s="938">
        <f>IF(ISBLANK(AE15),"",AE15/AE$19)</f>
        <v/>
      </c>
      <c r="AF51" s="938">
        <f>IF(ISBLANK(AF15),"",AF15/AF$19)</f>
        <v/>
      </c>
      <c r="AG51" s="938">
        <f>IF(ISBLANK(AG15),"",AG15/AG$19)</f>
        <v/>
      </c>
      <c r="AH51" s="938">
        <f>IF(ISBLANK(AH15),"",AH15/AH$19)</f>
        <v/>
      </c>
      <c r="AI51" s="938">
        <f>IF(ISBLANK(AI15),"",AI15/AI$19)</f>
        <v/>
      </c>
      <c r="AJ51" s="938">
        <f>IF(ISBLANK(AJ15),"",AJ15/AJ$19)</f>
        <v/>
      </c>
      <c r="AK51" s="938">
        <f>IF(ISBLANK(AK15),"",AK15/AK$19)</f>
        <v/>
      </c>
      <c r="AL51" s="938">
        <f>IF(ISBLANK(AL15),"",AL15/AL$19)</f>
        <v/>
      </c>
      <c r="AM51" s="938">
        <f>IF(ISBLANK(AM15),"",AM15/AM$19)</f>
        <v/>
      </c>
      <c r="AN51" s="938">
        <f>IF(ISBLANK(AN15),"",AN15/AN$19)</f>
        <v/>
      </c>
      <c r="AO51" s="938">
        <f>IF(ISBLANK(AO15),"",AO15/AO$19)</f>
        <v/>
      </c>
      <c r="AP51" s="938">
        <f>IF(ISBLANK(AP15),"",AP15/AP$19)</f>
        <v/>
      </c>
      <c r="AQ51" s="938">
        <f>IF(ISBLANK(AQ15),"",AQ15/AQ$19)</f>
        <v/>
      </c>
      <c r="AR51" s="938">
        <f>IF(ISBLANK(AR15),"",AR15/AR$19)</f>
        <v/>
      </c>
      <c r="AS51" s="938">
        <f>IF(ISBLANK(AS15),"",AS15/AS$19)</f>
        <v/>
      </c>
      <c r="AT51" s="938">
        <f>IF(ISBLANK(AT15),"",AT15/AT$19)</f>
        <v/>
      </c>
      <c r="AU51" s="938">
        <f>IF(ISBLANK(AU15),"",AU15/AU$19)</f>
        <v/>
      </c>
      <c r="AV51" s="938">
        <f>IF(ISBLANK(AV15),"",AV15/AV$19)</f>
        <v/>
      </c>
      <c r="AW51" s="938">
        <f>IF(ISBLANK(AW15),"",AW15/AW$19)</f>
        <v/>
      </c>
      <c r="AX51" s="938">
        <f>IF(ISBLANK(AX15),"",AX15/AX$19)</f>
        <v/>
      </c>
      <c r="AY51" s="938">
        <f>IF(ISBLANK(AY15),"",AY15/AY$19)</f>
        <v/>
      </c>
      <c r="AZ51" s="938">
        <f>IF(ISBLANK(AZ15),"",AZ15/AZ$19)</f>
        <v/>
      </c>
      <c r="BA51" s="938">
        <f>IF(ISBLANK(BA15),"",BA15/BA$19)</f>
        <v/>
      </c>
      <c r="BB51" s="938">
        <f>IF(ISBLANK(BB15),"",BB15/BB$19)</f>
        <v/>
      </c>
      <c r="BC51" s="938">
        <f>IF(ISBLANK(BC15),"",BC15/BC$19)</f>
        <v/>
      </c>
      <c r="BD51" s="938">
        <f>IF(ISBLANK(BD15),"",BD15/BD$19)</f>
        <v/>
      </c>
      <c r="BE51" s="938">
        <f>IF(ISBLANK(BE15),"",BE15/BE$19)</f>
        <v/>
      </c>
      <c r="BF51" s="938">
        <f>IF(ISBLANK(BF15),"",BF15/BF$19)</f>
        <v/>
      </c>
      <c r="BG51" s="938">
        <f>IF(ISBLANK(BG15),"",BG15/BG$19)</f>
        <v/>
      </c>
      <c r="BH51" s="938">
        <f>IF(ISBLANK(BH15),"",BH15/BH$19)</f>
        <v/>
      </c>
      <c r="BI51" s="938">
        <f>IF(ISBLANK(BI15),"",BI15/BI$19)</f>
        <v/>
      </c>
      <c r="BJ51" s="938">
        <f>IF(ISBLANK(BJ15),"",BJ15/BJ$19)</f>
        <v/>
      </c>
      <c r="BK51" s="938">
        <f>IF(ISBLANK(BK15),"",BK15/BK$19)</f>
        <v/>
      </c>
      <c r="BL51" s="938">
        <f>IF(ISBLANK(BL15),"",BL15/BL$19)</f>
        <v/>
      </c>
      <c r="BM51" s="938">
        <f>IF(ISBLANK(BM15),"",BM15/BM$19)</f>
        <v/>
      </c>
      <c r="BN51" s="938">
        <f>IF(ISBLANK(BN15),"",BN15/BN$19)</f>
        <v/>
      </c>
      <c r="BO51" s="938">
        <f>IF(ISBLANK(BO15),"",BO15/BO$19)</f>
        <v/>
      </c>
      <c r="BP51" s="938">
        <f>IF(ISBLANK(BP15),"",BP15/BP$19)</f>
        <v/>
      </c>
      <c r="BQ51" s="938">
        <f>IF(ISBLANK(BQ15),"",BQ15/BQ$19)</f>
        <v/>
      </c>
      <c r="BR51" s="938">
        <f>IF(ISBLANK(BR15),"",BR15/BR$19)</f>
        <v/>
      </c>
      <c r="BS51" t="n">
        <v>0.2517999573055949</v>
      </c>
      <c r="BT51" t="inlineStr">
        <is>
          <t>IPGP-Financial-Data-Workbook-2024-Q2.xlsx|Key Metrics|19|93</t>
        </is>
      </c>
    </row>
    <row r="52">
      <c r="A52" s="74">
        <f>A16</f>
        <v/>
      </c>
      <c r="B52" s="121" t="n"/>
      <c r="C52" s="121" t="n"/>
      <c r="D52" s="121" t="n"/>
      <c r="E52" s="121" t="n"/>
      <c r="F52" s="121" t="n"/>
      <c r="G52" s="121" t="n"/>
      <c r="H52" s="121" t="n"/>
      <c r="I52" s="121" t="n"/>
      <c r="J52" s="121" t="n"/>
      <c r="K52" s="121" t="n"/>
      <c r="L52" s="121" t="n"/>
      <c r="M52" s="121" t="n"/>
      <c r="N52" s="937">
        <f>IF(ISBLANK(N16),"",N16/N$19)</f>
        <v/>
      </c>
      <c r="O52" s="937">
        <f>IF(ISBLANK(O16),"",O16/O$19)</f>
        <v/>
      </c>
      <c r="P52" s="937">
        <f>IF(ISBLANK(P16),"",P16/P$19)</f>
        <v/>
      </c>
      <c r="Q52" s="937">
        <f>IF(ISBLANK(Q16),"",Q16/Q$19)</f>
        <v/>
      </c>
      <c r="R52" s="937">
        <f>IF(ISBLANK(R16),"",R16/R$19)</f>
        <v/>
      </c>
      <c r="S52" s="937">
        <f>IF(ISBLANK(S16),"",S16/S$19)</f>
        <v/>
      </c>
      <c r="T52" s="937">
        <f>IF(ISBLANK(T16),"",T16/T$19)</f>
        <v/>
      </c>
      <c r="U52" s="937">
        <f>IF(ISBLANK(U16),"",U16/U$19)</f>
        <v/>
      </c>
      <c r="V52" s="937">
        <f>IF(ISBLANK(V16),"",V16/V$19)</f>
        <v/>
      </c>
      <c r="W52" s="937">
        <f>IF(ISBLANK(W16),"",W16/W$19)</f>
        <v/>
      </c>
      <c r="X52" s="937">
        <f>IF(ISBLANK(X16),"",X16/X$19)</f>
        <v/>
      </c>
      <c r="Y52" s="937">
        <f>IF(ISBLANK(Y16),"",Y16/Y$19)</f>
        <v/>
      </c>
      <c r="Z52" s="937">
        <f>IF(ISBLANK(Z16),"",Z16/Z$19)</f>
        <v/>
      </c>
      <c r="AA52" s="937">
        <f>IF(ISBLANK(AA16),"",AA16/AA$19)</f>
        <v/>
      </c>
      <c r="AB52" s="937">
        <f>IF(ISBLANK(AB16),"",AB16/AB$19)</f>
        <v/>
      </c>
      <c r="AC52" s="937">
        <f>IF(ISBLANK(AC16),"",AC16/AC$19)</f>
        <v/>
      </c>
      <c r="AD52" s="937">
        <f>IF(ISBLANK(AD16),"",AD16/AD$19)</f>
        <v/>
      </c>
      <c r="AE52" s="937">
        <f>IF(ISBLANK(AE16),"",AE16/AE$19)</f>
        <v/>
      </c>
      <c r="AF52" s="937">
        <f>IF(ISBLANK(AF16),"",AF16/AF$19)</f>
        <v/>
      </c>
      <c r="AG52" s="937">
        <f>IF(ISBLANK(AG16),"",AG16/AG$19)</f>
        <v/>
      </c>
      <c r="AH52" s="937">
        <f>IF(ISBLANK(AH16),"",AH16/AH$19)</f>
        <v/>
      </c>
      <c r="AI52" s="937">
        <f>IF(ISBLANK(AI16),"",AI16/AI$19)</f>
        <v/>
      </c>
      <c r="AJ52" s="937">
        <f>IF(ISBLANK(AJ16),"",AJ16/AJ$19)</f>
        <v/>
      </c>
      <c r="AK52" s="937">
        <f>IF(ISBLANK(AK16),"",AK16/AK$19)</f>
        <v/>
      </c>
      <c r="AL52" s="937">
        <f>IF(ISBLANK(AL16),"",AL16/AL$19)</f>
        <v/>
      </c>
      <c r="AM52" s="937">
        <f>IF(ISBLANK(AM16),"",AM16/AM$19)</f>
        <v/>
      </c>
      <c r="AN52" s="937">
        <f>IF(ISBLANK(AN16),"",AN16/AN$19)</f>
        <v/>
      </c>
      <c r="AO52" s="937">
        <f>IF(ISBLANK(AO16),"",AO16/AO$19)</f>
        <v/>
      </c>
      <c r="AP52" s="937">
        <f>IF(ISBLANK(AP16),"",AP16/AP$19)</f>
        <v/>
      </c>
      <c r="AQ52" s="937">
        <f>IF(ISBLANK(AQ16),"",AQ16/AQ$19)</f>
        <v/>
      </c>
      <c r="AR52" s="937">
        <f>IF(ISBLANK(AR16),"",AR16/AR$19)</f>
        <v/>
      </c>
      <c r="AS52" s="937">
        <f>IF(ISBLANK(AS16),"",AS16/AS$19)</f>
        <v/>
      </c>
      <c r="AT52" s="937">
        <f>IF(ISBLANK(AT16),"",AT16/AT$19)</f>
        <v/>
      </c>
      <c r="AU52" s="937">
        <f>IF(ISBLANK(AU16),"",AU16/AU$19)</f>
        <v/>
      </c>
      <c r="AV52" s="937">
        <f>IF(ISBLANK(AV16),"",AV16/AV$19)</f>
        <v/>
      </c>
      <c r="AW52" s="937">
        <f>IF(ISBLANK(AW16),"",AW16/AW$19)</f>
        <v/>
      </c>
      <c r="AX52" s="937">
        <f>IF(ISBLANK(AX16),"",AX16/AX$19)</f>
        <v/>
      </c>
      <c r="AY52" s="937">
        <f>IF(ISBLANK(AY16),"",AY16/AY$19)</f>
        <v/>
      </c>
      <c r="AZ52" s="937">
        <f>IF(ISBLANK(AZ16),"",AZ16/AZ$19)</f>
        <v/>
      </c>
      <c r="BA52" s="937">
        <f>IF(ISBLANK(BA16),"",BA16/BA$19)</f>
        <v/>
      </c>
      <c r="BB52" s="937">
        <f>IF(ISBLANK(BB16),"",BB16/BB$19)</f>
        <v/>
      </c>
      <c r="BC52" s="937">
        <f>IF(ISBLANK(BC16),"",BC16/BC$19)</f>
        <v/>
      </c>
      <c r="BD52" s="937">
        <f>IF(ISBLANK(BD16),"",BD16/BD$19)</f>
        <v/>
      </c>
      <c r="BE52" s="937">
        <f>IF(ISBLANK(BE16),"",BE16/BE$19)</f>
        <v/>
      </c>
      <c r="BF52" s="937">
        <f>IF(ISBLANK(BF16),"",BF16/BF$19)</f>
        <v/>
      </c>
      <c r="BG52" s="937">
        <f>IF(ISBLANK(BG16),"",BG16/BG$19)</f>
        <v/>
      </c>
      <c r="BH52" s="937">
        <f>IF(ISBLANK(BH16),"",BH16/BH$19)</f>
        <v/>
      </c>
      <c r="BI52" s="937">
        <f>IF(ISBLANK(BI16),"",BI16/BI$19)</f>
        <v/>
      </c>
      <c r="BJ52" s="937">
        <f>IF(ISBLANK(BJ16),"",BJ16/BJ$19)</f>
        <v/>
      </c>
      <c r="BK52" s="937">
        <f>IF(ISBLANK(BK16),"",BK16/BK$19)</f>
        <v/>
      </c>
      <c r="BL52" s="937">
        <f>IF(ISBLANK(BL16),"",BL16/BL$19)</f>
        <v/>
      </c>
      <c r="BM52" s="937">
        <f>IF(ISBLANK(BM16),"",BM16/BM$19)</f>
        <v/>
      </c>
      <c r="BN52" s="937">
        <f>IF(ISBLANK(BN16),"",BN16/BN$19)</f>
        <v/>
      </c>
      <c r="BO52" s="937">
        <f>IF(ISBLANK(BO16),"",BO16/BO$19)</f>
        <v/>
      </c>
      <c r="BP52" s="937">
        <f>IF(ISBLANK(BP16),"",BP16/BP$19)</f>
        <v/>
      </c>
      <c r="BQ52" s="937">
        <f>IF(ISBLANK(BQ16),"",BQ16/BQ$19)</f>
        <v/>
      </c>
      <c r="BR52" s="937">
        <f>IF(ISBLANK(BR16),"",BR16/BR$19)</f>
        <v/>
      </c>
      <c r="BS52" t="n">
        <v>0.03964757709251102</v>
      </c>
      <c r="BT52" t="inlineStr">
        <is>
          <t>IPGP-Financial-Data-Workbook-2024-Q2.xlsx|Key Metrics|20|93</t>
        </is>
      </c>
    </row>
    <row r="53">
      <c r="A53" s="74">
        <f>A17</f>
        <v/>
      </c>
      <c r="B53" s="121" t="n"/>
      <c r="C53" s="121" t="n"/>
      <c r="D53" s="121" t="n"/>
      <c r="E53" s="121" t="n"/>
      <c r="F53" s="121" t="n"/>
      <c r="G53" s="121" t="n"/>
      <c r="H53" s="121" t="n"/>
      <c r="I53" s="121" t="n"/>
      <c r="J53" s="121" t="n"/>
      <c r="K53" s="121" t="n"/>
      <c r="L53" s="121" t="n"/>
      <c r="M53" s="121" t="n"/>
      <c r="N53" s="937">
        <f>IF(ISBLANK(N17),"",N17/N$19)</f>
        <v/>
      </c>
      <c r="O53" s="937">
        <f>IF(ISBLANK(O17),"",O17/O$19)</f>
        <v/>
      </c>
      <c r="P53" s="937">
        <f>IF(ISBLANK(P17),"",P17/P$19)</f>
        <v/>
      </c>
      <c r="Q53" s="937">
        <f>IF(ISBLANK(Q17),"",Q17/Q$19)</f>
        <v/>
      </c>
      <c r="R53" s="937">
        <f>IF(ISBLANK(R17),"",R17/R$19)</f>
        <v/>
      </c>
      <c r="S53" s="937">
        <f>IF(ISBLANK(S17),"",S17/S$19)</f>
        <v/>
      </c>
      <c r="T53" s="937">
        <f>IF(ISBLANK(T17),"",T17/T$19)</f>
        <v/>
      </c>
      <c r="U53" s="937">
        <f>IF(ISBLANK(U17),"",U17/U$19)</f>
        <v/>
      </c>
      <c r="V53" s="937">
        <f>IF(ISBLANK(V17),"",V17/V$19)</f>
        <v/>
      </c>
      <c r="W53" s="937">
        <f>IF(ISBLANK(W17),"",W17/W$19)</f>
        <v/>
      </c>
      <c r="X53" s="937">
        <f>IF(ISBLANK(X17),"",X17/X$19)</f>
        <v/>
      </c>
      <c r="Y53" s="937">
        <f>IF(ISBLANK(Y17),"",Y17/Y$19)</f>
        <v/>
      </c>
      <c r="Z53" s="937">
        <f>IF(ISBLANK(Z17),"",Z17/Z$19)</f>
        <v/>
      </c>
      <c r="AA53" s="937">
        <f>IF(ISBLANK(AA17),"",AA17/AA$19)</f>
        <v/>
      </c>
      <c r="AB53" s="937">
        <f>IF(ISBLANK(AB17),"",AB17/AB$19)</f>
        <v/>
      </c>
      <c r="AC53" s="937">
        <f>IF(ISBLANK(AC17),"",AC17/AC$19)</f>
        <v/>
      </c>
      <c r="AD53" s="937">
        <f>IF(ISBLANK(AD17),"",AD17/AD$19)</f>
        <v/>
      </c>
      <c r="AE53" s="937">
        <f>IF(ISBLANK(AE17),"",AE17/AE$19)</f>
        <v/>
      </c>
      <c r="AF53" s="937">
        <f>IF(ISBLANK(AF17),"",AF17/AF$19)</f>
        <v/>
      </c>
      <c r="AG53" s="937">
        <f>IF(ISBLANK(AG17),"",AG17/AG$19)</f>
        <v/>
      </c>
      <c r="AH53" s="937">
        <f>IF(ISBLANK(AH17),"",AH17/AH$19)</f>
        <v/>
      </c>
      <c r="AI53" s="937">
        <f>IF(ISBLANK(AI17),"",AI17/AI$19)</f>
        <v/>
      </c>
      <c r="AJ53" s="937">
        <f>IF(ISBLANK(AJ17),"",AJ17/AJ$19)</f>
        <v/>
      </c>
      <c r="AK53" s="937">
        <f>IF(ISBLANK(AK17),"",AK17/AK$19)</f>
        <v/>
      </c>
      <c r="AL53" s="937">
        <f>IF(ISBLANK(AL17),"",AL17/AL$19)</f>
        <v/>
      </c>
      <c r="AM53" s="937">
        <f>IF(ISBLANK(AM17),"",AM17/AM$19)</f>
        <v/>
      </c>
      <c r="AN53" s="937">
        <f>IF(ISBLANK(AN17),"",AN17/AN$19)</f>
        <v/>
      </c>
      <c r="AO53" s="937">
        <f>IF(ISBLANK(AO17),"",AO17/AO$19)</f>
        <v/>
      </c>
      <c r="AP53" s="937">
        <f>IF(ISBLANK(AP17),"",AP17/AP$19)</f>
        <v/>
      </c>
      <c r="AQ53" s="937">
        <f>IF(ISBLANK(AQ17),"",AQ17/AQ$19)</f>
        <v/>
      </c>
      <c r="AR53" s="937">
        <f>IF(ISBLANK(AR17),"",AR17/AR$19)</f>
        <v/>
      </c>
      <c r="AS53" s="937">
        <f>IF(ISBLANK(AS17),"",AS17/AS$19)</f>
        <v/>
      </c>
      <c r="AT53" s="937">
        <f>IF(ISBLANK(AT17),"",AT17/AT$19)</f>
        <v/>
      </c>
      <c r="AU53" s="937">
        <f>IF(ISBLANK(AU17),"",AU17/AU$19)</f>
        <v/>
      </c>
      <c r="AV53" s="937">
        <f>IF(ISBLANK(AV17),"",AV17/AV$19)</f>
        <v/>
      </c>
      <c r="AW53" s="937">
        <f>IF(ISBLANK(AW17),"",AW17/AW$19)</f>
        <v/>
      </c>
      <c r="AX53" s="937">
        <f>IF(ISBLANK(AX17),"",AX17/AX$19)</f>
        <v/>
      </c>
      <c r="AY53" s="937">
        <f>IF(ISBLANK(AY17),"",AY17/AY$19)</f>
        <v/>
      </c>
      <c r="AZ53" s="937">
        <f>IF(ISBLANK(AZ17),"",AZ17/AZ$19)</f>
        <v/>
      </c>
      <c r="BA53" s="937">
        <f>IF(ISBLANK(BA17),"",BA17/BA$19)</f>
        <v/>
      </c>
      <c r="BB53" s="937">
        <f>IF(ISBLANK(BB17),"",BB17/BB$19)</f>
        <v/>
      </c>
      <c r="BC53" s="937">
        <f>IF(ISBLANK(BC17),"",BC17/BC$19)</f>
        <v/>
      </c>
      <c r="BD53" s="937">
        <f>IF(ISBLANK(BD17),"",BD17/BD$19)</f>
        <v/>
      </c>
      <c r="BE53" s="937">
        <f>IF(ISBLANK(BE17),"",BE17/BE$19)</f>
        <v/>
      </c>
      <c r="BF53" s="937">
        <f>IF(ISBLANK(BF17),"",BF17/BF$19)</f>
        <v/>
      </c>
      <c r="BG53" s="937">
        <f>IF(ISBLANK(BG17),"",BG17/BG$19)</f>
        <v/>
      </c>
      <c r="BH53" s="937">
        <f>IF(ISBLANK(BH17),"",BH17/BH$19)</f>
        <v/>
      </c>
      <c r="BI53" s="937">
        <f>IF(ISBLANK(BI17),"",BI17/BI$19)</f>
        <v/>
      </c>
      <c r="BJ53" s="937">
        <f>IF(ISBLANK(BJ17),"",BJ17/BJ$19)</f>
        <v/>
      </c>
      <c r="BK53" s="937">
        <f>IF(ISBLANK(BK17),"",BK17/BK$19)</f>
        <v/>
      </c>
      <c r="BL53" s="937">
        <f>IF(ISBLANK(BL17),"",BL17/BL$19)</f>
        <v/>
      </c>
      <c r="BM53" s="937">
        <f>IF(ISBLANK(BM17),"",BM17/BM$19)</f>
        <v/>
      </c>
      <c r="BN53" s="937">
        <f>IF(ISBLANK(BN17),"",BN17/BN$19)</f>
        <v/>
      </c>
      <c r="BO53" s="937">
        <f>IF(ISBLANK(BO17),"",BO17/BO$19)</f>
        <v/>
      </c>
      <c r="BP53" s="937">
        <f>IF(ISBLANK(BP17),"",BP17/BP$19)</f>
        <v/>
      </c>
      <c r="BQ53" s="937">
        <f>IF(ISBLANK(BQ17),"",BQ17/BQ$19)</f>
        <v/>
      </c>
      <c r="BR53" s="937">
        <f>IF(ISBLANK(BR17),"",BR17/BR$19)</f>
        <v/>
      </c>
      <c r="BS53" t="n">
        <v>0.1072910399968949</v>
      </c>
      <c r="BT53" t="inlineStr">
        <is>
          <t>IPGP-Financial-Data-Workbook-2024-Q2.xlsx|Key Metrics|21|93</t>
        </is>
      </c>
    </row>
    <row r="54">
      <c r="A54" s="74">
        <f>A18</f>
        <v/>
      </c>
      <c r="B54" s="121" t="n"/>
      <c r="C54" s="121" t="n"/>
      <c r="D54" s="121" t="n"/>
      <c r="E54" s="121" t="n"/>
      <c r="F54" s="121" t="n"/>
      <c r="G54" s="121" t="n"/>
      <c r="H54" s="121" t="n"/>
      <c r="I54" s="121" t="n"/>
      <c r="J54" s="121" t="n"/>
      <c r="K54" s="121" t="n"/>
      <c r="L54" s="121" t="n"/>
      <c r="M54" s="121" t="n"/>
      <c r="N54" s="937">
        <f>IF(ISBLANK(N18),"",N18/N$19)</f>
        <v/>
      </c>
      <c r="O54" s="937">
        <f>IF(ISBLANK(O18),"",O18/O$19)</f>
        <v/>
      </c>
      <c r="P54" s="937">
        <f>IF(ISBLANK(P18),"",P18/P$19)</f>
        <v/>
      </c>
      <c r="Q54" s="937">
        <f>IF(ISBLANK(Q18),"",Q18/Q$19)</f>
        <v/>
      </c>
      <c r="R54" s="937">
        <f>IF(ISBLANK(R18),"",R18/R$19)</f>
        <v/>
      </c>
      <c r="S54" s="937">
        <f>IF(ISBLANK(S18),"",S18/S$19)</f>
        <v/>
      </c>
      <c r="T54" s="937">
        <f>IF(ISBLANK(T18),"",T18/T$19)</f>
        <v/>
      </c>
      <c r="U54" s="937">
        <f>IF(ISBLANK(U18),"",U18/U$19)</f>
        <v/>
      </c>
      <c r="V54" s="937">
        <f>IF(ISBLANK(V18),"",V18/V$19)</f>
        <v/>
      </c>
      <c r="W54" s="937">
        <f>IF(ISBLANK(W18),"",W18/W$19)</f>
        <v/>
      </c>
      <c r="X54" s="937">
        <f>IF(ISBLANK(X18),"",X18/X$19)</f>
        <v/>
      </c>
      <c r="Y54" s="937">
        <f>IF(ISBLANK(Y18),"",Y18/Y$19)</f>
        <v/>
      </c>
      <c r="Z54" s="937">
        <f>IF(ISBLANK(Z18),"",Z18/Z$19)</f>
        <v/>
      </c>
      <c r="AA54" s="937">
        <f>IF(ISBLANK(AA18),"",AA18/AA$19)</f>
        <v/>
      </c>
      <c r="AB54" s="937">
        <f>IF(ISBLANK(AB18),"",AB18/AB$19)</f>
        <v/>
      </c>
      <c r="AC54" s="937">
        <f>IF(ISBLANK(AC18),"",AC18/AC$19)</f>
        <v/>
      </c>
      <c r="AD54" s="937">
        <f>IF(ISBLANK(AD18),"",AD18/AD$19)</f>
        <v/>
      </c>
      <c r="AE54" s="937">
        <f>IF(ISBLANK(AE18),"",AE18/AE$19)</f>
        <v/>
      </c>
      <c r="AF54" s="937">
        <f>IF(ISBLANK(AF18),"",AF18/AF$19)</f>
        <v/>
      </c>
      <c r="AG54" s="937">
        <f>IF(ISBLANK(AG18),"",AG18/AG$19)</f>
        <v/>
      </c>
      <c r="AH54" s="937">
        <f>IF(ISBLANK(AH18),"",AH18/AH$19)</f>
        <v/>
      </c>
      <c r="AI54" s="937">
        <f>IF(ISBLANK(AI18),"",AI18/AI$19)</f>
        <v/>
      </c>
      <c r="AJ54" s="937">
        <f>IF(ISBLANK(AJ18),"",AJ18/AJ$19)</f>
        <v/>
      </c>
      <c r="AK54" s="937">
        <f>IF(ISBLANK(AK18),"",AK18/AK$19)</f>
        <v/>
      </c>
      <c r="AL54" s="937">
        <f>IF(ISBLANK(AL18),"",AL18/AL$19)</f>
        <v/>
      </c>
      <c r="AM54" s="937">
        <f>IF(ISBLANK(AM18),"",AM18/AM$19)</f>
        <v/>
      </c>
      <c r="AN54" s="937">
        <f>IF(ISBLANK(AN18),"",AN18/AN$19)</f>
        <v/>
      </c>
      <c r="AO54" s="937">
        <f>IF(ISBLANK(AO18),"",AO18/AO$19)</f>
        <v/>
      </c>
      <c r="AP54" s="937">
        <f>IF(ISBLANK(AP18),"",AP18/AP$19)</f>
        <v/>
      </c>
      <c r="AQ54" s="937">
        <f>IF(ISBLANK(AQ18),"",AQ18/AQ$19)</f>
        <v/>
      </c>
      <c r="AR54" s="937">
        <f>IF(ISBLANK(AR18),"",AR18/AR$19)</f>
        <v/>
      </c>
      <c r="AS54" s="937">
        <f>IF(ISBLANK(AS18),"",AS18/AS$19)</f>
        <v/>
      </c>
      <c r="AT54" s="937">
        <f>IF(ISBLANK(AT18),"",AT18/AT$19)</f>
        <v/>
      </c>
      <c r="AU54" s="937">
        <f>IF(ISBLANK(AU18),"",AU18/AU$19)</f>
        <v/>
      </c>
      <c r="AV54" s="937">
        <f>IF(ISBLANK(AV18),"",AV18/AV$19)</f>
        <v/>
      </c>
      <c r="AW54" s="937">
        <f>IF(ISBLANK(AW18),"",AW18/AW$19)</f>
        <v/>
      </c>
      <c r="AX54" s="937">
        <f>IF(ISBLANK(AX18),"",AX18/AX$19)</f>
        <v/>
      </c>
      <c r="AY54" s="937">
        <f>IF(ISBLANK(AY18),"",AY18/AY$19)</f>
        <v/>
      </c>
      <c r="AZ54" s="937">
        <f>IF(ISBLANK(AZ18),"",AZ18/AZ$19)</f>
        <v/>
      </c>
      <c r="BA54" s="937">
        <f>IF(ISBLANK(BA18),"",BA18/BA$19)</f>
        <v/>
      </c>
      <c r="BB54" s="937">
        <f>IF(ISBLANK(BB18),"",BB18/BB$19)</f>
        <v/>
      </c>
      <c r="BC54" s="937">
        <f>IF(ISBLANK(BC18),"",BC18/BC$19)</f>
        <v/>
      </c>
      <c r="BD54" s="937">
        <f>IF(ISBLANK(BD18),"",BD18/BD$19)</f>
        <v/>
      </c>
      <c r="BE54" s="937">
        <f>IF(ISBLANK(BE18),"",BE18/BE$19)</f>
        <v/>
      </c>
      <c r="BF54" s="937">
        <f>IF(ISBLANK(BF18),"",BF18/BF$19)</f>
        <v/>
      </c>
      <c r="BG54" s="937">
        <f>IF(ISBLANK(BG18),"",BG18/BG$19)</f>
        <v/>
      </c>
      <c r="BH54" s="937">
        <f>IF(ISBLANK(BH18),"",BH18/BH$19)</f>
        <v/>
      </c>
      <c r="BI54" s="937">
        <f>IF(ISBLANK(BI18),"",BI18/BI$19)</f>
        <v/>
      </c>
      <c r="BJ54" s="937">
        <f>IF(ISBLANK(BJ18),"",BJ18/BJ$19)</f>
        <v/>
      </c>
      <c r="BK54" s="937">
        <f>IF(ISBLANK(BK18),"",BK18/BK$19)</f>
        <v/>
      </c>
      <c r="BL54" s="937">
        <f>IF(ISBLANK(BL18),"",BL18/BL$19)</f>
        <v/>
      </c>
      <c r="BM54" s="937">
        <f>IF(ISBLANK(BM18),"",BM18/BM$19)</f>
        <v/>
      </c>
      <c r="BN54" s="937">
        <f>IF(ISBLANK(BN18),"",BN18/BN$19)</f>
        <v/>
      </c>
      <c r="BO54" s="937">
        <f>IF(ISBLANK(BO18),"",BO18/BO$19)</f>
        <v/>
      </c>
      <c r="BP54" s="937">
        <f>IF(ISBLANK(BP18),"",BP18/BP$19)</f>
        <v/>
      </c>
      <c r="BQ54" s="937">
        <f>IF(ISBLANK(BQ18),"",BQ18/BQ$19)</f>
        <v/>
      </c>
      <c r="BR54" s="937">
        <f>IF(ISBLANK(BR18),"",BR18/BR$19)</f>
        <v/>
      </c>
      <c r="BS54" t="n">
        <v>0.01349143200915989</v>
      </c>
      <c r="BT54" t="inlineStr">
        <is>
          <t>IPGP-Financial-Data-Workbook-2024-Q2.xlsx|Key Metrics|22|93</t>
        </is>
      </c>
    </row>
    <row r="55">
      <c r="A55" s="22">
        <f>A19</f>
        <v/>
      </c>
      <c r="B55" s="121" t="n"/>
      <c r="C55" s="121" t="n"/>
      <c r="D55" s="121" t="n"/>
      <c r="E55" s="121" t="n"/>
      <c r="F55" s="121" t="n"/>
      <c r="G55" s="121" t="n"/>
      <c r="H55" s="121" t="n"/>
      <c r="I55" s="121" t="n"/>
      <c r="J55" s="121" t="n"/>
      <c r="K55" s="121" t="n"/>
      <c r="L55" s="121" t="n"/>
      <c r="M55" s="121" t="n"/>
      <c r="N55" s="939">
        <f>IF(ISBLANK(N19),"",N19/N$19)</f>
        <v/>
      </c>
      <c r="O55" s="939">
        <f>IF(ISBLANK(O19),"",O19/O$19)</f>
        <v/>
      </c>
      <c r="P55" s="939">
        <f>IF(ISBLANK(P19),"",P19/P$19)</f>
        <v/>
      </c>
      <c r="Q55" s="939">
        <f>IF(ISBLANK(Q19),"",Q19/Q$19)</f>
        <v/>
      </c>
      <c r="R55" s="939">
        <f>IF(ISBLANK(R19),"",R19/R$19)</f>
        <v/>
      </c>
      <c r="S55" s="939">
        <f>IF(ISBLANK(S19),"",S19/S$19)</f>
        <v/>
      </c>
      <c r="T55" s="939">
        <f>IF(ISBLANK(T19),"",T19/T$19)</f>
        <v/>
      </c>
      <c r="U55" s="939">
        <f>IF(ISBLANK(U19),"",U19/U$19)</f>
        <v/>
      </c>
      <c r="V55" s="939">
        <f>IF(ISBLANK(V19),"",V19/V$19)</f>
        <v/>
      </c>
      <c r="W55" s="939">
        <f>IF(ISBLANK(W19),"",W19/W$19)</f>
        <v/>
      </c>
      <c r="X55" s="939">
        <f>IF(ISBLANK(X19),"",X19/X$19)</f>
        <v/>
      </c>
      <c r="Y55" s="939">
        <f>IF(ISBLANK(Y19),"",Y19/Y$19)</f>
        <v/>
      </c>
      <c r="Z55" s="939">
        <f>IF(ISBLANK(Z19),"",Z19/Z$19)</f>
        <v/>
      </c>
      <c r="AA55" s="939">
        <f>IF(ISBLANK(AA19),"",AA19/AA$19)</f>
        <v/>
      </c>
      <c r="AB55" s="939">
        <f>IF(ISBLANK(AB19),"",AB19/AB$19)</f>
        <v/>
      </c>
      <c r="AC55" s="939">
        <f>IF(ISBLANK(AC19),"",AC19/AC$19)</f>
        <v/>
      </c>
      <c r="AD55" s="939">
        <f>IF(ISBLANK(AD19),"",AD19/AD$19)</f>
        <v/>
      </c>
      <c r="AE55" s="939">
        <f>IF(ISBLANK(AE19),"",AE19/AE$19)</f>
        <v/>
      </c>
      <c r="AF55" s="939">
        <f>IF(ISBLANK(AF19),"",AF19/AF$19)</f>
        <v/>
      </c>
      <c r="AG55" s="939">
        <f>IF(ISBLANK(AG19),"",AG19/AG$19)</f>
        <v/>
      </c>
      <c r="AH55" s="939">
        <f>IF(ISBLANK(AH19),"",AH19/AH$19)</f>
        <v/>
      </c>
      <c r="AI55" s="939">
        <f>IF(ISBLANK(AI19),"",AI19/AI$19)</f>
        <v/>
      </c>
      <c r="AJ55" s="939">
        <f>IF(ISBLANK(AJ19),"",AJ19/AJ$19)</f>
        <v/>
      </c>
      <c r="AK55" s="939">
        <f>IF(ISBLANK(AK19),"",AK19/AK$19)</f>
        <v/>
      </c>
      <c r="AL55" s="939">
        <f>IF(ISBLANK(AL19),"",AL19/AL$19)</f>
        <v/>
      </c>
      <c r="AM55" s="939">
        <f>IF(ISBLANK(AM19),"",AM19/AM$19)</f>
        <v/>
      </c>
      <c r="AN55" s="939">
        <f>IF(ISBLANK(AN19),"",AN19/AN$19)</f>
        <v/>
      </c>
      <c r="AO55" s="939">
        <f>IF(ISBLANK(AO19),"",AO19/AO$19)</f>
        <v/>
      </c>
      <c r="AP55" s="939">
        <f>IF(ISBLANK(AP19),"",AP19/AP$19)</f>
        <v/>
      </c>
      <c r="AQ55" s="939">
        <f>IF(ISBLANK(AQ19),"",AQ19/AQ$19)</f>
        <v/>
      </c>
      <c r="AR55" s="939">
        <f>IF(ISBLANK(AR19),"",AR19/AR$19)</f>
        <v/>
      </c>
      <c r="AS55" s="939">
        <f>IF(ISBLANK(AS19),"",AS19/AS$19)</f>
        <v/>
      </c>
      <c r="AT55" s="939">
        <f>IF(ISBLANK(AT19),"",AT19/AT$19)</f>
        <v/>
      </c>
      <c r="AU55" s="939">
        <f>IF(ISBLANK(AU19),"",AU19/AU$19)</f>
        <v/>
      </c>
      <c r="AV55" s="939">
        <f>IF(ISBLANK(AV19),"",AV19/AV$19)</f>
        <v/>
      </c>
      <c r="AW55" s="939">
        <f>IF(ISBLANK(AW19),"",AW19/AW$19)</f>
        <v/>
      </c>
      <c r="AX55" s="939">
        <f>IF(ISBLANK(AX19),"",AX19/AX$19)</f>
        <v/>
      </c>
      <c r="AY55" s="939">
        <f>IF(ISBLANK(AY19),"",AY19/AY$19)</f>
        <v/>
      </c>
      <c r="AZ55" s="939">
        <f>IF(ISBLANK(AZ19),"",AZ19/AZ$19)</f>
        <v/>
      </c>
      <c r="BA55" s="939">
        <f>IF(ISBLANK(BA19),"",BA19/BA$19)</f>
        <v/>
      </c>
      <c r="BB55" s="939">
        <f>IF(ISBLANK(BB19),"",BB19/BB$19)</f>
        <v/>
      </c>
      <c r="BC55" s="939">
        <f>IF(ISBLANK(BC19),"",BC19/BC$19)</f>
        <v/>
      </c>
      <c r="BD55" s="939">
        <f>IF(ISBLANK(BD19),"",BD19/BD$19)</f>
        <v/>
      </c>
      <c r="BE55" s="939">
        <f>IF(ISBLANK(BE19),"",BE19/BE$19)</f>
        <v/>
      </c>
      <c r="BF55" s="939">
        <f>IF(ISBLANK(BF19),"",BF19/BF$19)</f>
        <v/>
      </c>
      <c r="BG55" s="939">
        <f>IF(ISBLANK(BG19),"",BG19/BG$19)</f>
        <v/>
      </c>
      <c r="BH55" s="939">
        <f>IF(ISBLANK(BH19),"",BH19/BH$19)</f>
        <v/>
      </c>
      <c r="BI55" s="939">
        <f>IF(ISBLANK(BI19),"",BI19/BI$19)</f>
        <v/>
      </c>
      <c r="BJ55" s="939">
        <f>IF(ISBLANK(BJ19),"",BJ19/BJ$19)</f>
        <v/>
      </c>
      <c r="BK55" s="939">
        <f>IF(ISBLANK(BK19),"",BK19/BK$19)</f>
        <v/>
      </c>
      <c r="BL55" s="939">
        <f>IF(ISBLANK(BL19),"",BL19/BL$19)</f>
        <v/>
      </c>
      <c r="BM55" s="939">
        <f>IF(ISBLANK(BM19),"",BM19/BM$19)</f>
        <v/>
      </c>
      <c r="BN55" s="939">
        <f>IF(ISBLANK(BN19),"",BN19/BN$19)</f>
        <v/>
      </c>
      <c r="BO55" s="939">
        <f>IF(ISBLANK(BO19),"",BO19/BO$19)</f>
        <v/>
      </c>
      <c r="BP55" s="939">
        <f>IF(ISBLANK(BP19),"",BP19/BP$19)</f>
        <v/>
      </c>
      <c r="BQ55" s="939">
        <f>IF(ISBLANK(BQ19),"",BQ19/BQ$19)</f>
        <v/>
      </c>
      <c r="BR55" s="939">
        <f>IF(ISBLANK(BR19),"",BR19/BR$19)</f>
        <v/>
      </c>
      <c r="BS55" t="n">
        <v>1</v>
      </c>
      <c r="BT55" t="inlineStr">
        <is>
          <t>IPGP-Financial-Data-Workbook-2024-Q2.xlsx|Key Metrics|23|93</t>
        </is>
      </c>
    </row>
    <row r="56">
      <c r="B56" s="121" t="n"/>
      <c r="C56" s="121" t="n"/>
      <c r="D56" s="121" t="n"/>
      <c r="E56" s="121" t="n"/>
      <c r="F56" s="121" t="n"/>
      <c r="G56" s="121" t="n"/>
      <c r="H56" s="121" t="n"/>
      <c r="I56" s="121" t="n"/>
      <c r="J56" s="121" t="n"/>
      <c r="K56" s="121" t="n"/>
      <c r="L56" s="121" t="n"/>
      <c r="M56" s="121" t="n"/>
      <c r="N56" s="121" t="n"/>
      <c r="O56" s="121" t="n"/>
      <c r="P56" s="121" t="n"/>
      <c r="Q56" s="458" t="n"/>
      <c r="R56" s="458" t="n"/>
      <c r="S56" s="121" t="n"/>
      <c r="T56" s="458" t="n"/>
      <c r="U56" s="458" t="n"/>
      <c r="V56" s="458" t="n"/>
      <c r="W56" s="458" t="n"/>
      <c r="X56" s="458" t="n"/>
      <c r="Y56" s="458" t="n"/>
      <c r="Z56" s="458" t="n"/>
      <c r="AA56" s="458" t="n"/>
      <c r="AB56" s="458" t="n"/>
      <c r="AC56" s="458" t="n"/>
      <c r="AD56" s="458" t="n"/>
      <c r="AE56" s="458" t="n"/>
      <c r="AF56" s="458" t="n"/>
      <c r="AG56" s="458" t="n"/>
      <c r="AH56" s="458" t="n"/>
      <c r="AI56" s="458" t="n"/>
      <c r="AJ56" s="458" t="n"/>
      <c r="AK56" s="145" t="n"/>
      <c r="AL56" s="145" t="n"/>
      <c r="AM56" s="145" t="n"/>
      <c r="AN56" s="145" t="n"/>
      <c r="AO56" s="145" t="n"/>
      <c r="AP56" s="145" t="n"/>
      <c r="AQ56" s="145" t="n"/>
      <c r="AR56" s="145" t="n"/>
      <c r="AS56" s="145" t="n"/>
    </row>
    <row r="57">
      <c r="A57" s="22" t="inlineStr">
        <is>
          <t>End market mix (%)</t>
        </is>
      </c>
      <c r="B57" s="121" t="n"/>
      <c r="C57" s="121" t="n"/>
      <c r="D57" s="121" t="n"/>
      <c r="E57" s="121" t="n"/>
      <c r="F57" s="121" t="n"/>
      <c r="G57" s="121" t="n"/>
      <c r="H57" s="121" t="n"/>
      <c r="I57" s="121" t="n"/>
      <c r="J57" s="121" t="n"/>
      <c r="K57" s="121" t="n"/>
      <c r="L57" s="121" t="n"/>
      <c r="M57" s="121" t="n"/>
      <c r="N57" s="121" t="n"/>
      <c r="O57" s="121" t="n"/>
      <c r="P57" s="121" t="n"/>
      <c r="Q57" s="457" t="n"/>
      <c r="R57" s="457" t="n"/>
      <c r="S57" s="121" t="n"/>
      <c r="T57" s="457" t="n"/>
      <c r="U57" s="457" t="n"/>
      <c r="V57" s="457" t="n"/>
      <c r="W57" s="457" t="n"/>
      <c r="X57" s="457" t="n"/>
      <c r="Y57" s="457" t="n"/>
      <c r="Z57" s="457" t="n"/>
      <c r="AA57" s="457" t="n"/>
      <c r="AB57" s="457" t="n"/>
      <c r="AC57" s="457" t="n"/>
      <c r="AD57" s="457" t="n"/>
      <c r="AE57" s="457" t="n"/>
      <c r="AF57" s="457" t="n"/>
      <c r="AG57" s="457" t="n"/>
      <c r="AH57" s="457" t="n"/>
      <c r="AI57" s="457" t="n"/>
      <c r="AJ57" s="457" t="n"/>
      <c r="AK57" s="133" t="n"/>
      <c r="AL57" s="133" t="n"/>
      <c r="AM57" s="133" t="n"/>
      <c r="AN57" s="133" t="n"/>
      <c r="AO57" s="133" t="n"/>
      <c r="AP57" s="133" t="n"/>
      <c r="AQ57" s="133" t="n"/>
      <c r="AR57" s="133" t="n"/>
      <c r="AS57" s="133" t="n"/>
    </row>
    <row r="58">
      <c r="A58" s="74">
        <f>A22</f>
        <v/>
      </c>
      <c r="B58" s="121" t="n"/>
      <c r="C58" s="121" t="n"/>
      <c r="D58" s="121" t="n"/>
      <c r="E58" s="121" t="n"/>
      <c r="F58" s="121" t="n"/>
      <c r="G58" s="121" t="n"/>
      <c r="H58" s="121" t="n"/>
      <c r="I58" s="121" t="n"/>
      <c r="J58" s="121" t="n"/>
      <c r="K58" s="121" t="n"/>
      <c r="L58" s="121" t="n"/>
      <c r="M58" s="121" t="n"/>
      <c r="N58" s="940">
        <f>IF(ISBLANK(N22),"",N22/N$27)</f>
        <v/>
      </c>
      <c r="O58" s="940">
        <f>IF(ISBLANK(O22),"",O22/O$27)</f>
        <v/>
      </c>
      <c r="P58" s="940">
        <f>IF(ISBLANK(P22),"",P22/P$27)</f>
        <v/>
      </c>
      <c r="Q58" s="940">
        <f>IF(ISBLANK(Q22),"",Q22/Q$27)</f>
        <v/>
      </c>
      <c r="R58" s="940">
        <f>IF(ISBLANK(R22),"",R22/R$27)</f>
        <v/>
      </c>
      <c r="S58" s="940">
        <f>IF(ISBLANK(S22),"",S22/S$27)</f>
        <v/>
      </c>
      <c r="T58" s="940">
        <f>IF(ISBLANK(T22),"",T22/T$27)</f>
        <v/>
      </c>
      <c r="U58" s="940">
        <f>IF(ISBLANK(U22),"",U22/U$27)</f>
        <v/>
      </c>
      <c r="V58" s="940">
        <f>IF(ISBLANK(V22),"",V22/V$27)</f>
        <v/>
      </c>
      <c r="W58" s="940">
        <f>IF(ISBLANK(W22),"",W22/W$27)</f>
        <v/>
      </c>
      <c r="X58" s="940">
        <f>IF(ISBLANK(X22),"",X22/X$27)</f>
        <v/>
      </c>
      <c r="Y58" s="940">
        <f>IF(ISBLANK(Y22),"",Y22/Y$27)</f>
        <v/>
      </c>
      <c r="Z58" s="940">
        <f>IF(ISBLANK(Z22),"",Z22/Z$27)</f>
        <v/>
      </c>
      <c r="AA58" s="940">
        <f>IF(ISBLANK(AA22),"",AA22/AA$27)</f>
        <v/>
      </c>
      <c r="AB58" s="940">
        <f>IF(ISBLANK(AB22),"",AB22/AB$27)</f>
        <v/>
      </c>
      <c r="AC58" s="940">
        <f>IF(ISBLANK(AC22),"",AC22/AC$27)</f>
        <v/>
      </c>
      <c r="AD58" s="940">
        <f>IF(ISBLANK(AD22),"",AD22/AD$27)</f>
        <v/>
      </c>
      <c r="AE58" s="940">
        <f>IF(ISBLANK(AE22),"",AE22/AE$27)</f>
        <v/>
      </c>
      <c r="AF58" s="940">
        <f>IF(ISBLANK(AF22),"",AF22/AF$27)</f>
        <v/>
      </c>
      <c r="AG58" s="940">
        <f>IF(ISBLANK(AG22),"",AG22/AG$27)</f>
        <v/>
      </c>
      <c r="AH58" s="940">
        <f>IF(ISBLANK(AH22),"",AH22/AH$27)</f>
        <v/>
      </c>
      <c r="AI58" s="940">
        <f>IF(ISBLANK(AI22),"",AI22/AI$27)</f>
        <v/>
      </c>
      <c r="AJ58" s="940">
        <f>IF(ISBLANK(AJ22),"",AJ22/AJ$27)</f>
        <v/>
      </c>
      <c r="AK58" s="940">
        <f>IF(ISBLANK(AK22),"",AK22/AK$27)</f>
        <v/>
      </c>
      <c r="AL58" s="940">
        <f>IF(ISBLANK(AL22),"",AL22/AL$27)</f>
        <v/>
      </c>
      <c r="AM58" s="940">
        <f>IF(ISBLANK(AM22),"",AM22/AM$27)</f>
        <v/>
      </c>
      <c r="AN58" s="940">
        <f>IF(ISBLANK(AN22),"",AN22/AN$27)</f>
        <v/>
      </c>
      <c r="AO58" s="940">
        <f>IF(ISBLANK(AO22),"",AO22/AO$27)</f>
        <v/>
      </c>
      <c r="AP58" s="940">
        <f>IF(ISBLANK(AP22),"",AP22/AP$27)</f>
        <v/>
      </c>
      <c r="AQ58" s="940">
        <f>IF(ISBLANK(AQ22),"",AQ22/AQ$27)</f>
        <v/>
      </c>
      <c r="AR58" s="940">
        <f>IF(ISBLANK(AR22),"",AR22/AR$27)</f>
        <v/>
      </c>
      <c r="AS58" s="940">
        <f>IF(ISBLANK(AS22),"",AS22/AS$27)</f>
        <v/>
      </c>
      <c r="AT58" s="940">
        <f>IF(ISBLANK(AT22),"",AT22/AT$27)</f>
        <v/>
      </c>
      <c r="AU58" s="940">
        <f>IF(ISBLANK(AU22),"",AU22/AU$27)</f>
        <v/>
      </c>
      <c r="AV58" s="940">
        <f>IF(ISBLANK(AV22),"",AV22/AV$27)</f>
        <v/>
      </c>
      <c r="AW58" s="940">
        <f>IF(ISBLANK(AW22),"",AW22/AW$27)</f>
        <v/>
      </c>
      <c r="AX58" s="940">
        <f>IF(ISBLANK(AX22),"",AX22/AX$27)</f>
        <v/>
      </c>
      <c r="AY58" s="940">
        <f>IF(ISBLANK(AY22),"",AY22/AY$27)</f>
        <v/>
      </c>
      <c r="AZ58" s="940">
        <f>IF(ISBLANK(AZ22),"",AZ22/AZ$27)</f>
        <v/>
      </c>
      <c r="BA58" s="940">
        <f>IF(ISBLANK(BA22),"",BA22/BA$27)</f>
        <v/>
      </c>
      <c r="BB58" s="940">
        <f>IF(ISBLANK(BB22),"",BB22/BB$27)</f>
        <v/>
      </c>
      <c r="BC58" s="940">
        <f>IF(ISBLANK(BC22),"",BC22/BC$27)</f>
        <v/>
      </c>
      <c r="BD58" s="940">
        <f>IF(ISBLANK(BD22),"",BD22/BD$27)</f>
        <v/>
      </c>
      <c r="BE58" s="940">
        <f>IF(ISBLANK(BE22),"",BE22/BE$27)</f>
        <v/>
      </c>
      <c r="BF58" s="940">
        <f>IF(ISBLANK(BF22),"",BF22/BF$27)</f>
        <v/>
      </c>
      <c r="BG58" s="940">
        <f>IF(ISBLANK(BG22),"",BG22/BG$27)</f>
        <v/>
      </c>
      <c r="BH58" s="940">
        <f>IF(ISBLANK(BH22),"",BH22/BH$27)</f>
        <v/>
      </c>
      <c r="BI58" s="940">
        <f>IF(ISBLANK(BI22),"",BI22/BI$27)</f>
        <v/>
      </c>
      <c r="BJ58" s="940">
        <f>IF(ISBLANK(BJ22),"",BJ22/BJ$27)</f>
        <v/>
      </c>
      <c r="BK58" s="940">
        <f>IF(ISBLANK(BK22),"",BK22/BK$27)</f>
        <v/>
      </c>
      <c r="BL58" s="940">
        <f>IF(ISBLANK(BL22),"",BL22/BL$27)</f>
        <v/>
      </c>
      <c r="BM58" s="940">
        <f>IF(ISBLANK(BM22),"",BM22/BM$27)</f>
        <v/>
      </c>
      <c r="BN58" s="940">
        <f>IF(ISBLANK(BN22),"",BN22/BN$27)</f>
        <v/>
      </c>
      <c r="BO58" s="940">
        <f>IF(ISBLANK(BO22),"",BO22/BO$27)</f>
        <v/>
      </c>
      <c r="BP58" s="940">
        <f>IF(ISBLANK(BP22),"",BP22/BP$27)</f>
        <v/>
      </c>
      <c r="BQ58" s="940">
        <f>IF(ISBLANK(BQ22),"",BQ22/BQ$27)</f>
        <v/>
      </c>
      <c r="BR58" s="940">
        <f>IF(ISBLANK(BR22),"",BR22/BR$27)</f>
        <v/>
      </c>
      <c r="BS58" t="n">
        <v>0.876294901899901</v>
      </c>
      <c r="BT58" t="inlineStr">
        <is>
          <t>IPGP-Financial-Data-Workbook-2024-Q2.xlsx|Key Metrics|34|93</t>
        </is>
      </c>
    </row>
    <row r="59">
      <c r="A59" s="74">
        <f>A23</f>
        <v/>
      </c>
      <c r="B59" s="121" t="n"/>
      <c r="C59" s="121" t="n"/>
      <c r="D59" s="121" t="n"/>
      <c r="E59" s="121" t="n"/>
      <c r="F59" s="121" t="n"/>
      <c r="G59" s="121" t="n"/>
      <c r="H59" s="121" t="n"/>
      <c r="I59" s="121" t="n"/>
      <c r="J59" s="121" t="n"/>
      <c r="K59" s="121" t="n"/>
      <c r="L59" s="121" t="n"/>
      <c r="M59" s="121" t="n"/>
      <c r="N59" s="940">
        <f>IF(ISBLANK(N23),"",N23/N$27)</f>
        <v/>
      </c>
      <c r="O59" s="940">
        <f>IF(ISBLANK(O23),"",O23/O$27)</f>
        <v/>
      </c>
      <c r="P59" s="940">
        <f>IF(ISBLANK(P23),"",P23/P$27)</f>
        <v/>
      </c>
      <c r="Q59" s="940">
        <f>IF(ISBLANK(Q23),"",Q23/Q$27)</f>
        <v/>
      </c>
      <c r="R59" s="940">
        <f>IF(ISBLANK(R23),"",R23/R$27)</f>
        <v/>
      </c>
      <c r="S59" s="940">
        <f>IF(ISBLANK(S23),"",S23/S$27)</f>
        <v/>
      </c>
      <c r="T59" s="940">
        <f>IF(ISBLANK(T23),"",T23/T$27)</f>
        <v/>
      </c>
      <c r="U59" s="940">
        <f>IF(ISBLANK(U23),"",U23/U$27)</f>
        <v/>
      </c>
      <c r="V59" s="940">
        <f>IF(ISBLANK(V23),"",V23/V$27)</f>
        <v/>
      </c>
      <c r="W59" s="940">
        <f>IF(ISBLANK(W23),"",W23/W$27)</f>
        <v/>
      </c>
      <c r="X59" s="940">
        <f>IF(ISBLANK(X23),"",X23/X$27)</f>
        <v/>
      </c>
      <c r="Y59" s="940">
        <f>IF(ISBLANK(Y23),"",Y23/Y$27)</f>
        <v/>
      </c>
      <c r="Z59" s="940">
        <f>IF(ISBLANK(Z23),"",Z23/Z$27)</f>
        <v/>
      </c>
      <c r="AA59" s="940">
        <f>IF(ISBLANK(AA23),"",AA23/AA$27)</f>
        <v/>
      </c>
      <c r="AB59" s="940">
        <f>IF(ISBLANK(AB23),"",AB23/AB$27)</f>
        <v/>
      </c>
      <c r="AC59" s="940">
        <f>IF(ISBLANK(AC23),"",AC23/AC$27)</f>
        <v/>
      </c>
      <c r="AD59" s="940">
        <f>IF(ISBLANK(AD23),"",AD23/AD$27)</f>
        <v/>
      </c>
      <c r="AE59" s="940">
        <f>IF(ISBLANK(AE23),"",AE23/AE$27)</f>
        <v/>
      </c>
      <c r="AF59" s="940">
        <f>IF(ISBLANK(AF23),"",AF23/AF$27)</f>
        <v/>
      </c>
      <c r="AG59" s="940">
        <f>IF(ISBLANK(AG23),"",AG23/AG$27)</f>
        <v/>
      </c>
      <c r="AH59" s="940">
        <f>IF(ISBLANK(AH23),"",AH23/AH$27)</f>
        <v/>
      </c>
      <c r="AI59" s="940">
        <f>IF(ISBLANK(AI23),"",AI23/AI$27)</f>
        <v/>
      </c>
      <c r="AJ59" s="940">
        <f>IF(ISBLANK(AJ23),"",AJ23/AJ$27)</f>
        <v/>
      </c>
      <c r="AK59" s="940">
        <f>IF(ISBLANK(AK23),"",AK23/AK$27)</f>
        <v/>
      </c>
      <c r="AL59" s="940">
        <f>IF(ISBLANK(AL23),"",AL23/AL$27)</f>
        <v/>
      </c>
      <c r="AM59" s="940">
        <f>IF(ISBLANK(AM23),"",AM23/AM$27)</f>
        <v/>
      </c>
      <c r="AN59" s="940">
        <f>IF(ISBLANK(AN23),"",AN23/AN$27)</f>
        <v/>
      </c>
      <c r="AO59" s="940">
        <f>IF(ISBLANK(AO23),"",AO23/AO$27)</f>
        <v/>
      </c>
      <c r="AP59" s="940">
        <f>IF(ISBLANK(AP23),"",AP23/AP$27)</f>
        <v/>
      </c>
      <c r="AQ59" s="940">
        <f>IF(ISBLANK(AQ23),"",AQ23/AQ$27)</f>
        <v/>
      </c>
      <c r="AR59" s="940">
        <f>IF(ISBLANK(AR23),"",AR23/AR$27)</f>
        <v/>
      </c>
      <c r="AS59" s="940">
        <f>IF(ISBLANK(AS23),"",AS23/AS$27)</f>
        <v/>
      </c>
      <c r="AT59" s="940">
        <f>IF(ISBLANK(AT23),"",AT23/AT$27)</f>
        <v/>
      </c>
      <c r="AU59" s="940">
        <f>IF(ISBLANK(AU23),"",AU23/AU$27)</f>
        <v/>
      </c>
      <c r="AV59" s="940">
        <f>IF(ISBLANK(AV23),"",AV23/AV$27)</f>
        <v/>
      </c>
      <c r="AW59" s="940">
        <f>IF(ISBLANK(AW23),"",AW23/AW$27)</f>
        <v/>
      </c>
      <c r="AX59" s="940">
        <f>IF(ISBLANK(AX23),"",AX23/AX$27)</f>
        <v/>
      </c>
      <c r="AY59" s="940">
        <f>IF(ISBLANK(AY23),"",AY23/AY$27)</f>
        <v/>
      </c>
      <c r="AZ59" s="940">
        <f>IF(ISBLANK(AZ23),"",AZ23/AZ$27)</f>
        <v/>
      </c>
      <c r="BA59" s="940">
        <f>IF(ISBLANK(BA23),"",BA23/BA$27)</f>
        <v/>
      </c>
      <c r="BB59" s="940">
        <f>IF(ISBLANK(BB23),"",BB23/BB$27)</f>
        <v/>
      </c>
      <c r="BC59" s="940">
        <f>IF(ISBLANK(BC23),"",BC23/BC$27)</f>
        <v/>
      </c>
      <c r="BD59" s="940">
        <f>IF(ISBLANK(BD23),"",BD23/BD$27)</f>
        <v/>
      </c>
      <c r="BE59" s="940">
        <f>IF(ISBLANK(BE23),"",BE23/BE$27)</f>
        <v/>
      </c>
      <c r="BF59" s="940">
        <f>IF(ISBLANK(BF23),"",BF23/BF$27)</f>
        <v/>
      </c>
      <c r="BG59" s="940">
        <f>IF(ISBLANK(BG23),"",BG23/BG$27)</f>
        <v/>
      </c>
      <c r="BH59" s="940">
        <f>IF(ISBLANK(BH23),"",BH23/BH$27)</f>
        <v/>
      </c>
      <c r="BI59" s="940">
        <f>IF(ISBLANK(BI23),"",BI23/BI$27)</f>
        <v/>
      </c>
      <c r="BJ59" s="940">
        <f>IF(ISBLANK(BJ23),"",BJ23/BJ$27)</f>
        <v/>
      </c>
      <c r="BK59" s="940">
        <f>IF(ISBLANK(BK23),"",BK23/BK$27)</f>
        <v/>
      </c>
      <c r="BL59" s="940">
        <f>IF(ISBLANK(BL23),"",BL23/BL$27)</f>
        <v/>
      </c>
      <c r="BM59" s="940">
        <f>IF(ISBLANK(BM23),"",BM23/BM$27)</f>
        <v/>
      </c>
      <c r="BN59" s="940">
        <f>IF(ISBLANK(BN23),"",BN23/BN$27)</f>
        <v/>
      </c>
      <c r="BO59" s="940">
        <f>IF(ISBLANK(BO23),"",BO23/BO$27)</f>
        <v/>
      </c>
      <c r="BP59" s="940">
        <f>IF(ISBLANK(BP23),"",BP23/BP$27)</f>
        <v/>
      </c>
      <c r="BQ59" s="940">
        <f>IF(ISBLANK(BQ23),"",BQ23/BQ$27)</f>
        <v/>
      </c>
      <c r="BR59" s="940">
        <f>IF(ISBLANK(BR23),"",BR23/BR$27)</f>
        <v/>
      </c>
    </row>
    <row r="60">
      <c r="A60" s="33">
        <f>A24</f>
        <v/>
      </c>
      <c r="B60" s="121" t="n"/>
      <c r="C60" s="121" t="n"/>
      <c r="D60" s="121" t="n"/>
      <c r="E60" s="121" t="n"/>
      <c r="F60" s="121" t="n"/>
      <c r="G60" s="121" t="n"/>
      <c r="H60" s="121" t="n"/>
      <c r="I60" s="121" t="n"/>
      <c r="J60" s="121" t="n"/>
      <c r="K60" s="121" t="n"/>
      <c r="L60" s="121" t="n"/>
      <c r="M60" s="121" t="n"/>
      <c r="N60" s="940">
        <f>IF(ISBLANK(N24),"",N24/N$27)</f>
        <v/>
      </c>
      <c r="O60" s="940">
        <f>IF(ISBLANK(O24),"",O24/O$27)</f>
        <v/>
      </c>
      <c r="P60" s="940">
        <f>IF(ISBLANK(P24),"",P24/P$27)</f>
        <v/>
      </c>
      <c r="Q60" s="940">
        <f>IF(ISBLANK(Q24),"",Q24/Q$27)</f>
        <v/>
      </c>
      <c r="R60" s="940">
        <f>IF(ISBLANK(R24),"",R24/R$27)</f>
        <v/>
      </c>
      <c r="S60" s="940">
        <f>IF(ISBLANK(S24),"",S24/S$27)</f>
        <v/>
      </c>
      <c r="T60" s="940">
        <f>IF(ISBLANK(T24),"",T24/T$27)</f>
        <v/>
      </c>
      <c r="U60" s="940">
        <f>IF(ISBLANK(U24),"",U24/U$27)</f>
        <v/>
      </c>
      <c r="V60" s="940">
        <f>IF(ISBLANK(V24),"",V24/V$27)</f>
        <v/>
      </c>
      <c r="W60" s="940">
        <f>IF(ISBLANK(W24),"",W24/W$27)</f>
        <v/>
      </c>
      <c r="X60" s="940">
        <f>IF(ISBLANK(X24),"",X24/X$27)</f>
        <v/>
      </c>
      <c r="Y60" s="940">
        <f>IF(ISBLANK(Y24),"",Y24/Y$27)</f>
        <v/>
      </c>
      <c r="Z60" s="940">
        <f>IF(ISBLANK(Z24),"",Z24/Z$27)</f>
        <v/>
      </c>
      <c r="AA60" s="940">
        <f>IF(ISBLANK(AA24),"",AA24/AA$27)</f>
        <v/>
      </c>
      <c r="AB60" s="940">
        <f>IF(ISBLANK(AB24),"",AB24/AB$27)</f>
        <v/>
      </c>
      <c r="AC60" s="940">
        <f>IF(ISBLANK(AC24),"",AC24/AC$27)</f>
        <v/>
      </c>
      <c r="AD60" s="940">
        <f>IF(ISBLANK(AD24),"",AD24/AD$27)</f>
        <v/>
      </c>
      <c r="AE60" s="940">
        <f>IF(ISBLANK(AE24),"",AE24/AE$27)</f>
        <v/>
      </c>
      <c r="AF60" s="940">
        <f>IF(ISBLANK(AF24),"",AF24/AF$27)</f>
        <v/>
      </c>
      <c r="AG60" s="940">
        <f>IF(ISBLANK(AG24),"",AG24/AG$27)</f>
        <v/>
      </c>
      <c r="AH60" s="940">
        <f>IF(ISBLANK(AH24),"",AH24/AH$27)</f>
        <v/>
      </c>
      <c r="AI60" s="940">
        <f>IF(ISBLANK(AI24),"",AI24/AI$27)</f>
        <v/>
      </c>
      <c r="AJ60" s="940">
        <f>IF(ISBLANK(AJ24),"",AJ24/AJ$27)</f>
        <v/>
      </c>
      <c r="AK60" s="940">
        <f>IF(ISBLANK(AK24),"",AK24/AK$27)</f>
        <v/>
      </c>
      <c r="AL60" s="940">
        <f>IF(ISBLANK(AL24),"",AL24/AL$27)</f>
        <v/>
      </c>
      <c r="AM60" s="940">
        <f>IF(ISBLANK(AM24),"",AM24/AM$27)</f>
        <v/>
      </c>
      <c r="AN60" s="940">
        <f>IF(ISBLANK(AN24),"",AN24/AN$27)</f>
        <v/>
      </c>
      <c r="AO60" s="940">
        <f>IF(ISBLANK(AO24),"",AO24/AO$27)</f>
        <v/>
      </c>
      <c r="AP60" s="940">
        <f>IF(ISBLANK(AP24),"",AP24/AP$27)</f>
        <v/>
      </c>
      <c r="AQ60" s="940">
        <f>IF(ISBLANK(AQ24),"",AQ24/AQ$27)</f>
        <v/>
      </c>
      <c r="AR60" s="940">
        <f>IF(ISBLANK(AR24),"",AR24/AR$27)</f>
        <v/>
      </c>
      <c r="AS60" s="940">
        <f>IF(ISBLANK(AS24),"",AS24/AS$27)</f>
        <v/>
      </c>
    </row>
    <row r="61">
      <c r="A61" s="33">
        <f>A25</f>
        <v/>
      </c>
      <c r="B61" s="121" t="n"/>
      <c r="C61" s="121" t="n"/>
      <c r="D61" s="121" t="n"/>
      <c r="E61" s="121" t="n"/>
      <c r="F61" s="121" t="n"/>
      <c r="G61" s="121" t="n"/>
      <c r="H61" s="121" t="n"/>
      <c r="I61" s="121" t="n"/>
      <c r="J61" s="121" t="n"/>
      <c r="K61" s="121" t="n"/>
      <c r="L61" s="121" t="n"/>
      <c r="M61" s="121" t="n"/>
      <c r="N61" s="940">
        <f>IF(ISBLANK(N25),"",N25/N$27)</f>
        <v/>
      </c>
      <c r="O61" s="940">
        <f>IF(ISBLANK(O25),"",O25/O$27)</f>
        <v/>
      </c>
      <c r="P61" s="940">
        <f>IF(ISBLANK(P25),"",P25/P$27)</f>
        <v/>
      </c>
      <c r="Q61" s="940">
        <f>IF(ISBLANK(Q25),"",Q25/Q$27)</f>
        <v/>
      </c>
      <c r="R61" s="940">
        <f>IF(ISBLANK(R25),"",R25/R$27)</f>
        <v/>
      </c>
      <c r="S61" s="940">
        <f>IF(ISBLANK(S25),"",S25/S$27)</f>
        <v/>
      </c>
      <c r="T61" s="940">
        <f>IF(ISBLANK(T25),"",T25/T$27)</f>
        <v/>
      </c>
      <c r="U61" s="940">
        <f>IF(ISBLANK(U25),"",U25/U$27)</f>
        <v/>
      </c>
      <c r="V61" s="940">
        <f>IF(ISBLANK(V25),"",V25/V$27)</f>
        <v/>
      </c>
      <c r="W61" s="940">
        <f>IF(ISBLANK(W25),"",W25/W$27)</f>
        <v/>
      </c>
      <c r="X61" s="940">
        <f>IF(ISBLANK(X25),"",X25/X$27)</f>
        <v/>
      </c>
      <c r="Y61" s="940">
        <f>IF(ISBLANK(Y25),"",Y25/Y$27)</f>
        <v/>
      </c>
      <c r="Z61" s="940">
        <f>IF(ISBLANK(Z25),"",Z25/Z$27)</f>
        <v/>
      </c>
      <c r="AA61" s="940">
        <f>IF(ISBLANK(AA25),"",AA25/AA$27)</f>
        <v/>
      </c>
      <c r="AB61" s="940">
        <f>IF(ISBLANK(AB25),"",AB25/AB$27)</f>
        <v/>
      </c>
      <c r="AC61" s="940">
        <f>IF(ISBLANK(AC25),"",AC25/AC$27)</f>
        <v/>
      </c>
      <c r="AD61" s="940">
        <f>IF(ISBLANK(AD25),"",AD25/AD$27)</f>
        <v/>
      </c>
      <c r="AE61" s="940">
        <f>IF(ISBLANK(AE25),"",AE25/AE$27)</f>
        <v/>
      </c>
      <c r="AF61" s="940">
        <f>IF(ISBLANK(AF25),"",AF25/AF$27)</f>
        <v/>
      </c>
      <c r="AG61" s="940">
        <f>IF(ISBLANK(AG25),"",AG25/AG$27)</f>
        <v/>
      </c>
      <c r="AH61" s="940">
        <f>IF(ISBLANK(AH25),"",AH25/AH$27)</f>
        <v/>
      </c>
      <c r="AI61" s="940">
        <f>IF(ISBLANK(AI25),"",AI25/AI$27)</f>
        <v/>
      </c>
      <c r="AJ61" s="940">
        <f>IF(ISBLANK(AJ25),"",AJ25/AJ$27)</f>
        <v/>
      </c>
      <c r="AK61" s="940">
        <f>IF(ISBLANK(AK25),"",AK25/AK$27)</f>
        <v/>
      </c>
      <c r="AL61" s="940">
        <f>IF(ISBLANK(AL25),"",AL25/AL$27)</f>
        <v/>
      </c>
      <c r="AM61" s="940">
        <f>IF(ISBLANK(AM25),"",AM25/AM$27)</f>
        <v/>
      </c>
      <c r="AN61" s="940">
        <f>IF(ISBLANK(AN25),"",AN25/AN$27)</f>
        <v/>
      </c>
      <c r="AO61" s="940">
        <f>IF(ISBLANK(AO25),"",AO25/AO$27)</f>
        <v/>
      </c>
      <c r="AP61" s="940">
        <f>IF(ISBLANK(AP25),"",AP25/AP$27)</f>
        <v/>
      </c>
      <c r="AQ61" s="940">
        <f>IF(ISBLANK(AQ25),"",AQ25/AQ$27)</f>
        <v/>
      </c>
      <c r="AR61" s="940">
        <f>IF(ISBLANK(AR25),"",AR25/AR$27)</f>
        <v/>
      </c>
      <c r="AS61" s="940">
        <f>IF(ISBLANK(AS25),"",AS25/AS$27)</f>
        <v/>
      </c>
    </row>
    <row r="62">
      <c r="A62" s="33">
        <f>A26</f>
        <v/>
      </c>
      <c r="B62" s="121" t="n"/>
      <c r="C62" s="121" t="n"/>
      <c r="D62" s="121" t="n"/>
      <c r="E62" s="121" t="n"/>
      <c r="F62" s="121" t="n"/>
      <c r="G62" s="121" t="n"/>
      <c r="H62" s="121" t="n"/>
      <c r="I62" s="121" t="n"/>
      <c r="J62" s="121" t="n"/>
      <c r="K62" s="121" t="n"/>
      <c r="L62" s="121" t="n"/>
      <c r="M62" s="121" t="n"/>
      <c r="N62" s="940">
        <f>IF(ISBLANK(N26),"",N26/N$27)</f>
        <v/>
      </c>
      <c r="O62" s="940">
        <f>IF(ISBLANK(O26),"",O26/O$27)</f>
        <v/>
      </c>
      <c r="P62" s="940">
        <f>IF(ISBLANK(P26),"",P26/P$27)</f>
        <v/>
      </c>
      <c r="Q62" s="940">
        <f>IF(ISBLANK(Q26),"",Q26/Q$27)</f>
        <v/>
      </c>
      <c r="R62" s="940">
        <f>IF(ISBLANK(R26),"",R26/R$27)</f>
        <v/>
      </c>
      <c r="S62" s="940">
        <f>IF(ISBLANK(S26),"",S26/S$27)</f>
        <v/>
      </c>
      <c r="T62" s="940">
        <f>IF(ISBLANK(T26),"",T26/T$27)</f>
        <v/>
      </c>
      <c r="U62" s="940">
        <f>IF(ISBLANK(U26),"",U26/U$27)</f>
        <v/>
      </c>
      <c r="V62" s="940">
        <f>IF(ISBLANK(V26),"",V26/V$27)</f>
        <v/>
      </c>
      <c r="W62" s="940">
        <f>IF(ISBLANK(W26),"",W26/W$27)</f>
        <v/>
      </c>
      <c r="X62" s="940">
        <f>IF(ISBLANK(X26),"",X26/X$27)</f>
        <v/>
      </c>
      <c r="Y62" s="940">
        <f>IF(ISBLANK(Y26),"",Y26/Y$27)</f>
        <v/>
      </c>
      <c r="Z62" s="940">
        <f>IF(ISBLANK(Z26),"",Z26/Z$27)</f>
        <v/>
      </c>
      <c r="AA62" s="940">
        <f>IF(ISBLANK(AA26),"",AA26/AA$27)</f>
        <v/>
      </c>
      <c r="AB62" s="940">
        <f>IF(ISBLANK(AB26),"",AB26/AB$27)</f>
        <v/>
      </c>
      <c r="AC62" s="940">
        <f>IF(ISBLANK(AC26),"",AC26/AC$27)</f>
        <v/>
      </c>
      <c r="AD62" s="940">
        <f>IF(ISBLANK(AD26),"",AD26/AD$27)</f>
        <v/>
      </c>
      <c r="AE62" s="940">
        <f>IF(ISBLANK(AE26),"",AE26/AE$27)</f>
        <v/>
      </c>
      <c r="AF62" s="940">
        <f>IF(ISBLANK(AF26),"",AF26/AF$27)</f>
        <v/>
      </c>
      <c r="AG62" s="940">
        <f>IF(ISBLANK(AG26),"",AG26/AG$27)</f>
        <v/>
      </c>
      <c r="AH62" s="940">
        <f>IF(ISBLANK(AH26),"",AH26/AH$27)</f>
        <v/>
      </c>
      <c r="AI62" s="940">
        <f>IF(ISBLANK(AI26),"",AI26/AI$27)</f>
        <v/>
      </c>
      <c r="AJ62" s="940">
        <f>IF(ISBLANK(AJ26),"",AJ26/AJ$27)</f>
        <v/>
      </c>
      <c r="AK62" s="940">
        <f>IF(ISBLANK(AK26),"",AK26/AK$27)</f>
        <v/>
      </c>
      <c r="AL62" s="940">
        <f>IF(ISBLANK(AL26),"",AL26/AL$27)</f>
        <v/>
      </c>
      <c r="AM62" s="940">
        <f>IF(ISBLANK(AM26),"",AM26/AM$27)</f>
        <v/>
      </c>
      <c r="AN62" s="940">
        <f>IF(ISBLANK(AN26),"",AN26/AN$27)</f>
        <v/>
      </c>
      <c r="AO62" s="940">
        <f>IF(ISBLANK(AO26),"",AO26/AO$27)</f>
        <v/>
      </c>
      <c r="AP62" s="940">
        <f>IF(ISBLANK(AP26),"",AP26/AP$27)</f>
        <v/>
      </c>
      <c r="AQ62" s="940">
        <f>IF(ISBLANK(AQ26),"",AQ26/AQ$27)</f>
        <v/>
      </c>
      <c r="AR62" s="940">
        <f>IF(ISBLANK(AR26),"",AR26/AR$27)</f>
        <v/>
      </c>
      <c r="AS62" s="940">
        <f>IF(ISBLANK(AS26),"",AS26/AS$27)</f>
        <v/>
      </c>
    </row>
    <row r="63">
      <c r="A63" s="22">
        <f>A27</f>
        <v/>
      </c>
      <c r="B63" s="121" t="n"/>
      <c r="C63" s="121" t="n"/>
      <c r="D63" s="121" t="n"/>
      <c r="E63" s="121" t="n"/>
      <c r="F63" s="121" t="n"/>
      <c r="G63" s="121" t="n"/>
      <c r="H63" s="121" t="n"/>
      <c r="I63" s="121" t="n"/>
      <c r="J63" s="121" t="n"/>
      <c r="K63" s="121" t="n"/>
      <c r="L63" s="121" t="n"/>
      <c r="M63" s="121" t="n"/>
      <c r="N63" s="941">
        <f>IF(ISBLANK(N27),"",N27/N$27)</f>
        <v/>
      </c>
      <c r="O63" s="941">
        <f>IF(ISBLANK(O27),"",O27/O$27)</f>
        <v/>
      </c>
      <c r="P63" s="941">
        <f>IF(ISBLANK(P27),"",P27/P$27)</f>
        <v/>
      </c>
      <c r="Q63" s="941">
        <f>IF(ISBLANK(Q27),"",Q27/Q$27)</f>
        <v/>
      </c>
      <c r="R63" s="941">
        <f>IF(ISBLANK(R27),"",R27/R$27)</f>
        <v/>
      </c>
      <c r="S63" s="941">
        <f>IF(ISBLANK(S27),"",S27/S$27)</f>
        <v/>
      </c>
      <c r="T63" s="941">
        <f>IF(ISBLANK(T27),"",T27/T$27)</f>
        <v/>
      </c>
      <c r="U63" s="941">
        <f>IF(ISBLANK(U27),"",U27/U$27)</f>
        <v/>
      </c>
      <c r="V63" s="941">
        <f>IF(ISBLANK(V27),"",V27/V$27)</f>
        <v/>
      </c>
      <c r="W63" s="941">
        <f>IF(ISBLANK(W27),"",W27/W$27)</f>
        <v/>
      </c>
      <c r="X63" s="941">
        <f>IF(ISBLANK(X27),"",X27/X$27)</f>
        <v/>
      </c>
      <c r="Y63" s="941">
        <f>IF(ISBLANK(Y27),"",Y27/Y$27)</f>
        <v/>
      </c>
      <c r="Z63" s="941">
        <f>IF(ISBLANK(Z27),"",Z27/Z$27)</f>
        <v/>
      </c>
      <c r="AA63" s="941">
        <f>IF(ISBLANK(AA27),"",AA27/AA$27)</f>
        <v/>
      </c>
      <c r="AB63" s="941">
        <f>IF(ISBLANK(AB27),"",AB27/AB$27)</f>
        <v/>
      </c>
      <c r="AC63" s="941">
        <f>IF(ISBLANK(AC27),"",AC27/AC$27)</f>
        <v/>
      </c>
      <c r="AD63" s="941">
        <f>IF(ISBLANK(AD27),"",AD27/AD$27)</f>
        <v/>
      </c>
      <c r="AE63" s="941">
        <f>IF(ISBLANK(AE27),"",AE27/AE$27)</f>
        <v/>
      </c>
      <c r="AF63" s="941">
        <f>IF(ISBLANK(AF27),"",AF27/AF$27)</f>
        <v/>
      </c>
      <c r="AG63" s="941">
        <f>IF(ISBLANK(AG27),"",AG27/AG$27)</f>
        <v/>
      </c>
      <c r="AH63" s="941">
        <f>IF(ISBLANK(AH27),"",AH27/AH$27)</f>
        <v/>
      </c>
      <c r="AI63" s="941">
        <f>IF(ISBLANK(AI27),"",AI27/AI$27)</f>
        <v/>
      </c>
      <c r="AJ63" s="941">
        <f>IF(ISBLANK(AJ27),"",AJ27/AJ$27)</f>
        <v/>
      </c>
      <c r="AK63" s="941">
        <f>IF(ISBLANK(AK27),"",AK27/AK$27)</f>
        <v/>
      </c>
      <c r="AL63" s="941">
        <f>IF(ISBLANK(AL27),"",AL27/AL$27)</f>
        <v/>
      </c>
      <c r="AM63" s="941">
        <f>IF(ISBLANK(AM27),"",AM27/AM$27)</f>
        <v/>
      </c>
      <c r="AN63" s="941">
        <f>IF(ISBLANK(AN27),"",AN27/AN$27)</f>
        <v/>
      </c>
      <c r="AO63" s="941">
        <f>IF(ISBLANK(AO27),"",AO27/AO$27)</f>
        <v/>
      </c>
      <c r="AP63" s="941">
        <f>IF(ISBLANK(AP27),"",AP27/AP$27)</f>
        <v/>
      </c>
      <c r="AQ63" s="941">
        <f>IF(ISBLANK(AQ27),"",AQ27/AQ$27)</f>
        <v/>
      </c>
      <c r="AR63" s="941">
        <f>IF(ISBLANK(AR27),"",AR27/AR$27)</f>
        <v/>
      </c>
      <c r="AS63" s="941">
        <f>IF(ISBLANK(AS27),"",AS27/AS$27)</f>
        <v/>
      </c>
      <c r="AT63" s="941">
        <f>IF(ISBLANK(AT27),"",AT27/AT$27)</f>
        <v/>
      </c>
      <c r="AU63" s="941">
        <f>IF(ISBLANK(AU27),"",AU27/AU$27)</f>
        <v/>
      </c>
      <c r="AV63" s="941">
        <f>IF(ISBLANK(AV27),"",AV27/AV$27)</f>
        <v/>
      </c>
      <c r="AW63" s="941">
        <f>IF(ISBLANK(AW27),"",AW27/AW$27)</f>
        <v/>
      </c>
      <c r="AX63" s="941">
        <f>IF(ISBLANK(AX27),"",AX27/AX$27)</f>
        <v/>
      </c>
      <c r="AY63" s="941">
        <f>IF(ISBLANK(AY27),"",AY27/AY$27)</f>
        <v/>
      </c>
      <c r="AZ63" s="941">
        <f>IF(ISBLANK(AZ27),"",AZ27/AZ$27)</f>
        <v/>
      </c>
      <c r="BA63" s="941">
        <f>IF(ISBLANK(BA27),"",BA27/BA$27)</f>
        <v/>
      </c>
      <c r="BB63" s="941">
        <f>IF(ISBLANK(BB27),"",BB27/BB$27)</f>
        <v/>
      </c>
      <c r="BC63" s="941">
        <f>IF(ISBLANK(BC27),"",BC27/BC$27)</f>
        <v/>
      </c>
      <c r="BD63" s="941">
        <f>IF(ISBLANK(BD27),"",BD27/BD$27)</f>
        <v/>
      </c>
      <c r="BE63" s="941">
        <f>IF(ISBLANK(BE27),"",BE27/BE$27)</f>
        <v/>
      </c>
      <c r="BF63" s="941">
        <f>IF(ISBLANK(BF27),"",BF27/BF$27)</f>
        <v/>
      </c>
      <c r="BG63" s="941">
        <f>IF(ISBLANK(BG27),"",BG27/BG$27)</f>
        <v/>
      </c>
      <c r="BH63" s="941">
        <f>IF(ISBLANK(BH27),"",BH27/BH$27)</f>
        <v/>
      </c>
      <c r="BI63" s="941">
        <f>IF(ISBLANK(BI27),"",BI27/BI$27)</f>
        <v/>
      </c>
      <c r="BJ63" s="941">
        <f>IF(ISBLANK(BJ27),"",BJ27/BJ$27)</f>
        <v/>
      </c>
      <c r="BK63" s="941">
        <f>IF(ISBLANK(BK27),"",BK27/BK$27)</f>
        <v/>
      </c>
      <c r="BL63" s="941">
        <f>IF(ISBLANK(BL27),"",BL27/BL$27)</f>
        <v/>
      </c>
      <c r="BM63" s="941">
        <f>IF(ISBLANK(BM27),"",BM27/BM$27)</f>
        <v/>
      </c>
      <c r="BN63" s="941">
        <f>IF(ISBLANK(BN27),"",BN27/BN$27)</f>
        <v/>
      </c>
      <c r="BO63" s="941">
        <f>IF(ISBLANK(BO27),"",BO27/BO$27)</f>
        <v/>
      </c>
      <c r="BP63" s="941">
        <f>IF(ISBLANK(BP27),"",BP27/BP$27)</f>
        <v/>
      </c>
      <c r="BQ63" s="941">
        <f>IF(ISBLANK(BQ27),"",BQ27/BQ$27)</f>
        <v/>
      </c>
      <c r="BR63" s="941">
        <f>IF(ISBLANK(BR27),"",BR27/BR$27)</f>
        <v/>
      </c>
      <c r="BS63" t="n">
        <v>1</v>
      </c>
      <c r="BT63" t="inlineStr">
        <is>
          <t>IPGP-Financial-Data-Workbook-2024-Q2.xlsx|Key Metrics|43|93</t>
        </is>
      </c>
    </row>
    <row r="64">
      <c r="B64" s="121" t="n"/>
      <c r="C64" s="121" t="n"/>
      <c r="D64" s="121" t="n"/>
      <c r="E64" s="121" t="n"/>
      <c r="F64" s="121" t="n"/>
      <c r="G64" s="121" t="n"/>
      <c r="H64" s="121" t="n"/>
      <c r="I64" s="121" t="n"/>
      <c r="J64" s="121" t="n"/>
      <c r="K64" s="121" t="n"/>
      <c r="L64" s="121" t="n"/>
      <c r="M64" s="121" t="n"/>
      <c r="N64" s="121" t="n"/>
      <c r="O64" s="121" t="n"/>
      <c r="P64" s="121" t="n"/>
      <c r="Q64" s="458" t="n"/>
      <c r="R64" s="458" t="n"/>
      <c r="S64" s="121" t="n"/>
      <c r="T64" s="458" t="n"/>
      <c r="U64" s="458" t="n"/>
      <c r="V64" s="458" t="n"/>
      <c r="W64" s="458" t="n"/>
      <c r="X64" s="458" t="n"/>
      <c r="Y64" s="458" t="n"/>
      <c r="Z64" s="458" t="n"/>
      <c r="AA64" s="458" t="n"/>
      <c r="AB64" s="458" t="n"/>
      <c r="AC64" s="458" t="n"/>
      <c r="AD64" s="458" t="n"/>
      <c r="AE64" s="458" t="n"/>
      <c r="AF64" s="458" t="n"/>
      <c r="AG64" s="458" t="n"/>
      <c r="AH64" s="458" t="n"/>
      <c r="AI64" s="458" t="n"/>
      <c r="AJ64" s="458" t="n"/>
      <c r="AK64" s="145" t="n"/>
      <c r="AL64" s="145" t="n"/>
      <c r="AM64" s="145" t="n"/>
      <c r="AN64" s="145" t="n"/>
      <c r="AO64" s="145" t="n"/>
      <c r="AP64" s="145" t="n"/>
      <c r="AQ64" s="145" t="n"/>
      <c r="AR64" s="145" t="n"/>
      <c r="AS64" s="145" t="n"/>
    </row>
    <row r="65">
      <c r="A65" s="22" t="inlineStr">
        <is>
          <t>Segment mix (%)</t>
        </is>
      </c>
      <c r="B65" s="121" t="n"/>
      <c r="C65" s="121" t="n"/>
      <c r="D65" s="121" t="n"/>
      <c r="E65" s="121" t="n"/>
      <c r="F65" s="121" t="n"/>
      <c r="G65" s="121" t="n"/>
      <c r="H65" s="121" t="n"/>
      <c r="I65" s="121" t="n"/>
      <c r="J65" s="121" t="n"/>
      <c r="K65" s="121" t="n"/>
      <c r="L65" s="121" t="n"/>
      <c r="M65" s="121" t="n"/>
      <c r="N65" s="121" t="n"/>
      <c r="O65" s="121" t="n"/>
      <c r="P65" s="121" t="n"/>
      <c r="Q65" s="458" t="n"/>
      <c r="R65" s="458" t="n"/>
      <c r="S65" s="121" t="n"/>
      <c r="T65" s="458" t="n"/>
      <c r="U65" s="458" t="n"/>
      <c r="V65" s="458" t="n"/>
      <c r="W65" s="458" t="n"/>
      <c r="X65" s="458" t="n"/>
      <c r="Y65" s="458" t="n"/>
      <c r="Z65" s="458" t="n"/>
      <c r="AA65" s="458" t="n"/>
      <c r="AB65" s="458" t="n"/>
      <c r="AC65" s="458" t="n"/>
      <c r="AD65" s="458" t="n"/>
      <c r="AE65" s="458" t="n"/>
      <c r="AF65" s="458" t="n"/>
      <c r="AG65" s="458" t="n"/>
      <c r="AH65" s="458" t="n"/>
      <c r="AI65" s="458" t="n"/>
      <c r="AJ65" s="458" t="n"/>
      <c r="AK65" s="145" t="n"/>
      <c r="AL65" s="145" t="n"/>
      <c r="AM65" s="145" t="n"/>
      <c r="AN65" s="145" t="n"/>
      <c r="AO65" s="145" t="n"/>
      <c r="AP65" s="145" t="n"/>
      <c r="AQ65" s="145" t="n"/>
      <c r="AR65" s="145" t="n"/>
      <c r="AS65" s="145" t="n"/>
    </row>
    <row r="66">
      <c r="A66" s="74">
        <f>A30</f>
        <v/>
      </c>
      <c r="B66" s="121" t="n"/>
      <c r="C66" s="121" t="n"/>
      <c r="D66" s="121" t="n"/>
      <c r="E66" s="121" t="n"/>
      <c r="F66" s="121" t="n"/>
      <c r="G66" s="121" t="n"/>
      <c r="H66" s="121" t="n"/>
      <c r="I66" s="121" t="n"/>
      <c r="J66" s="121" t="n"/>
      <c r="K66" s="121" t="n"/>
      <c r="L66" s="121" t="n"/>
      <c r="M66" s="121" t="n"/>
      <c r="N66" s="941">
        <f>IF(ISBLANK(N30),"",N30/N$36)</f>
        <v/>
      </c>
      <c r="O66" s="941">
        <f>IF(ISBLANK(O30),"",O30/O$36)</f>
        <v/>
      </c>
      <c r="P66" s="941">
        <f>IF(ISBLANK(P30),"",P30/P$36)</f>
        <v/>
      </c>
      <c r="Q66" s="941">
        <f>IF(ISBLANK(Q30),"",Q30/Q$36)</f>
        <v/>
      </c>
      <c r="R66" s="941">
        <f>IF(ISBLANK(R30),"",R30/R$36)</f>
        <v/>
      </c>
      <c r="S66" s="941">
        <f>IF(ISBLANK(S30),"",S30/S$36)</f>
        <v/>
      </c>
      <c r="T66" s="941">
        <f>IF(ISBLANK(T30),"",T30/T$36)</f>
        <v/>
      </c>
      <c r="U66" s="941">
        <f>IF(ISBLANK(U30),"",U30/U$36)</f>
        <v/>
      </c>
      <c r="V66" s="941">
        <f>IF(ISBLANK(V30),"",V30/V$36)</f>
        <v/>
      </c>
      <c r="W66" s="941">
        <f>IF(ISBLANK(W30),"",W30/W$36)</f>
        <v/>
      </c>
      <c r="X66" s="941">
        <f>IF(ISBLANK(X30),"",X30/X$36)</f>
        <v/>
      </c>
      <c r="Y66" s="941">
        <f>IF(ISBLANK(Y30),"",Y30/Y$36)</f>
        <v/>
      </c>
      <c r="Z66" s="940">
        <f>IF(ISBLANK(Z30),"",Z30/Z$36)</f>
        <v/>
      </c>
      <c r="AA66" s="940">
        <f>IF(ISBLANK(AA30),"",AA30/AA$36)</f>
        <v/>
      </c>
      <c r="AB66" s="940">
        <f>IF(ISBLANK(AB30),"",AB30/AB$36)</f>
        <v/>
      </c>
      <c r="AC66" s="940">
        <f>IF(ISBLANK(AC30),"",AC30/AC$36)</f>
        <v/>
      </c>
      <c r="AD66" s="940">
        <f>IF(ISBLANK(AD30),"",AD30/AD$36)</f>
        <v/>
      </c>
      <c r="AE66" s="940">
        <f>IF(ISBLANK(AE30),"",AE30/AE$36)</f>
        <v/>
      </c>
      <c r="AF66" s="940">
        <f>IF(ISBLANK(AF30),"",AF30/AF$36)</f>
        <v/>
      </c>
      <c r="AG66" s="940">
        <f>IF(ISBLANK(AG30),"",AG30/AG$36)</f>
        <v/>
      </c>
      <c r="AH66" s="940">
        <f>IF(ISBLANK(AH30),"",AH30/AH$36)</f>
        <v/>
      </c>
      <c r="AI66" s="940">
        <f>IF(ISBLANK(AI30),"",AI30/AI$36)</f>
        <v/>
      </c>
      <c r="AJ66" s="940">
        <f>IF(ISBLANK(AJ30),"",AJ30/AJ$36)</f>
        <v/>
      </c>
      <c r="AK66" s="940">
        <f>IF(ISBLANK(AK30),"",AK30/AK$36)</f>
        <v/>
      </c>
      <c r="AL66" s="940">
        <f>IF(ISBLANK(AL30),"",AL30/AL$36)</f>
        <v/>
      </c>
      <c r="AM66" s="940">
        <f>IF(ISBLANK(AM30),"",AM30/AM$36)</f>
        <v/>
      </c>
      <c r="AN66" s="940">
        <f>IF(ISBLANK(AN30),"",AN30/AN$36)</f>
        <v/>
      </c>
      <c r="AO66" s="940">
        <f>IF(ISBLANK(AO30),"",AO30/AO$36)</f>
        <v/>
      </c>
      <c r="AP66" s="940">
        <f>IF(ISBLANK(AP30),"",AP30/AP$36)</f>
        <v/>
      </c>
      <c r="AQ66" s="940">
        <f>IF(ISBLANK(AQ30),"",AQ30/AQ$36)</f>
        <v/>
      </c>
      <c r="AR66" s="940">
        <f>IF(ISBLANK(AR30),"",AR30/AR$36)</f>
        <v/>
      </c>
      <c r="AS66" s="940">
        <f>IF(ISBLANK(AS30),"",AS30/AS$36)</f>
        <v/>
      </c>
      <c r="AT66" s="940">
        <f>IF(ISBLANK(AT30),"",AT30/AT$36)</f>
        <v/>
      </c>
      <c r="AU66" s="940">
        <f>IF(ISBLANK(AU30),"",AU30/AU$36)</f>
        <v/>
      </c>
      <c r="AV66" s="940">
        <f>IF(ISBLANK(AV30),"",AV30/AV$36)</f>
        <v/>
      </c>
      <c r="AW66" s="940">
        <f>IF(ISBLANK(AW30),"",AW30/AW$36)</f>
        <v/>
      </c>
      <c r="AX66" s="940">
        <f>IF(ISBLANK(AX30),"",AX30/AX$36)</f>
        <v/>
      </c>
      <c r="AY66" s="940">
        <f>IF(ISBLANK(AY30),"",AY30/AY$36)</f>
        <v/>
      </c>
      <c r="AZ66" s="940">
        <f>IF(ISBLANK(AZ30),"",AZ30/AZ$36)</f>
        <v/>
      </c>
      <c r="BA66" s="940">
        <f>IF(ISBLANK(BA30),"",BA30/BA$36)</f>
        <v/>
      </c>
      <c r="BB66" s="940">
        <f>IF(ISBLANK(BB30),"",BB30/BB$36)</f>
        <v/>
      </c>
      <c r="BC66" s="940">
        <f>IF(ISBLANK(BC30),"",BC30/BC$36)</f>
        <v/>
      </c>
      <c r="BD66" s="940">
        <f>IF(ISBLANK(BD30),"",BD30/BD$36)</f>
        <v/>
      </c>
      <c r="BE66" s="940">
        <f>IF(ISBLANK(BE30),"",BE30/BE$36)</f>
        <v/>
      </c>
      <c r="BF66" s="940">
        <f>IF(ISBLANK(BF30),"",BF30/BF$36)</f>
        <v/>
      </c>
      <c r="BG66" s="940">
        <f>IF(ISBLANK(BG30),"",BG30/BG$36)</f>
        <v/>
      </c>
      <c r="BH66" s="940">
        <f>IF(ISBLANK(BH30),"",BH30/BH$36)</f>
        <v/>
      </c>
      <c r="BI66" s="940">
        <f>IF(ISBLANK(BI30),"",BI30/BI$36)</f>
        <v/>
      </c>
      <c r="BJ66" s="940">
        <f>IF(ISBLANK(BJ30),"",BJ30/BJ$36)</f>
        <v/>
      </c>
      <c r="BK66" s="940">
        <f>IF(ISBLANK(BK30),"",BK30/BK$36)</f>
        <v/>
      </c>
      <c r="BL66" s="940">
        <f>IF(ISBLANK(BL30),"",BL30/BL$36)</f>
        <v/>
      </c>
      <c r="BM66" s="940">
        <f>IF(ISBLANK(BM30),"",BM30/BM$36)</f>
        <v/>
      </c>
      <c r="BN66" s="940">
        <f>IF(ISBLANK(BN30),"",BN30/BN$36)</f>
        <v/>
      </c>
      <c r="BO66" s="940">
        <f>IF(ISBLANK(BO30),"",BO30/BO$36)</f>
        <v/>
      </c>
      <c r="BP66" s="940">
        <f>IF(ISBLANK(BP30),"",BP30/BP$36)</f>
        <v/>
      </c>
      <c r="BQ66" s="940">
        <f>IF(ISBLANK(BQ30),"",BQ30/BQ$36)</f>
        <v/>
      </c>
      <c r="BR66" s="940">
        <f>IF(ISBLANK(BR30),"",BR30/BR$36)</f>
        <v/>
      </c>
      <c r="BS66" t="n">
        <v>0.3191406780647791</v>
      </c>
      <c r="BT66" t="inlineStr">
        <is>
          <t>IPGP-Financial-Data-Workbook-2024-Q2.xlsx|Key Metrics|55|93</t>
        </is>
      </c>
    </row>
    <row r="67">
      <c r="A67" s="74">
        <f>A31</f>
        <v/>
      </c>
      <c r="B67" s="121" t="n"/>
      <c r="C67" s="121" t="n"/>
      <c r="D67" s="121" t="n"/>
      <c r="E67" s="121" t="n"/>
      <c r="F67" s="121" t="n"/>
      <c r="G67" s="121" t="n"/>
      <c r="H67" s="121" t="n"/>
      <c r="I67" s="121" t="n"/>
      <c r="J67" s="121" t="n"/>
      <c r="K67" s="121" t="n"/>
      <c r="L67" s="121" t="n"/>
      <c r="M67" s="121" t="n"/>
      <c r="N67" s="941">
        <f>IF(ISBLANK(N31),"",N31/N$36)</f>
        <v/>
      </c>
      <c r="O67" s="941">
        <f>IF(ISBLANK(O31),"",O31/O$36)</f>
        <v/>
      </c>
      <c r="P67" s="941">
        <f>IF(ISBLANK(P31),"",P31/P$36)</f>
        <v/>
      </c>
      <c r="Q67" s="941">
        <f>IF(ISBLANK(Q31),"",Q31/Q$36)</f>
        <v/>
      </c>
      <c r="R67" s="941">
        <f>IF(ISBLANK(R31),"",R31/R$36)</f>
        <v/>
      </c>
      <c r="S67" s="941">
        <f>IF(ISBLANK(S31),"",S31/S$36)</f>
        <v/>
      </c>
      <c r="T67" s="941">
        <f>IF(ISBLANK(T31),"",T31/T$36)</f>
        <v/>
      </c>
      <c r="U67" s="941">
        <f>IF(ISBLANK(U31),"",U31/U$36)</f>
        <v/>
      </c>
      <c r="V67" s="941">
        <f>IF(ISBLANK(V31),"",V31/V$36)</f>
        <v/>
      </c>
      <c r="W67" s="941">
        <f>IF(ISBLANK(W31),"",W31/W$36)</f>
        <v/>
      </c>
      <c r="X67" s="941">
        <f>IF(ISBLANK(X31),"",X31/X$36)</f>
        <v/>
      </c>
      <c r="Y67" s="941">
        <f>IF(ISBLANK(Y31),"",Y31/Y$36)</f>
        <v/>
      </c>
      <c r="Z67" s="940">
        <f>IF(ISBLANK(Z31),"",Z31/Z$36)</f>
        <v/>
      </c>
      <c r="AA67" s="940">
        <f>IF(ISBLANK(AA31),"",AA31/AA$36)</f>
        <v/>
      </c>
      <c r="AB67" s="940">
        <f>IF(ISBLANK(AB31),"",AB31/AB$36)</f>
        <v/>
      </c>
      <c r="AC67" s="940">
        <f>IF(ISBLANK(AC31),"",AC31/AC$36)</f>
        <v/>
      </c>
      <c r="AD67" s="940">
        <f>IF(ISBLANK(AD31),"",AD31/AD$36)</f>
        <v/>
      </c>
      <c r="AE67" s="940">
        <f>IF(ISBLANK(AE31),"",AE31/AE$36)</f>
        <v/>
      </c>
      <c r="AF67" s="940">
        <f>IF(ISBLANK(AF31),"",AF31/AF$36)</f>
        <v/>
      </c>
      <c r="AG67" s="940">
        <f>IF(ISBLANK(AG31),"",AG31/AG$36)</f>
        <v/>
      </c>
      <c r="AH67" s="940">
        <f>IF(ISBLANK(AH31),"",AH31/AH$36)</f>
        <v/>
      </c>
      <c r="AI67" s="940">
        <f>IF(ISBLANK(AI31),"",AI31/AI$36)</f>
        <v/>
      </c>
      <c r="AJ67" s="940">
        <f>IF(ISBLANK(AJ31),"",AJ31/AJ$36)</f>
        <v/>
      </c>
      <c r="AK67" s="940">
        <f>IF(ISBLANK(AK31),"",AK31/AK$36)</f>
        <v/>
      </c>
      <c r="AL67" s="940">
        <f>IF(ISBLANK(AL31),"",AL31/AL$36)</f>
        <v/>
      </c>
      <c r="AM67" s="940">
        <f>IF(ISBLANK(AM31),"",AM31/AM$36)</f>
        <v/>
      </c>
      <c r="AN67" s="940">
        <f>IF(ISBLANK(AN31),"",AN31/AN$36)</f>
        <v/>
      </c>
      <c r="AO67" s="940">
        <f>IF(ISBLANK(AO31),"",AO31/AO$36)</f>
        <v/>
      </c>
      <c r="AP67" s="940">
        <f>IF(ISBLANK(AP31),"",AP31/AP$36)</f>
        <v/>
      </c>
      <c r="AQ67" s="940">
        <f>IF(ISBLANK(AQ31),"",AQ31/AQ$36)</f>
        <v/>
      </c>
      <c r="AR67" s="940">
        <f>IF(ISBLANK(AR31),"",AR31/AR$36)</f>
        <v/>
      </c>
      <c r="AS67" s="940">
        <f>IF(ISBLANK(AS31),"",AS31/AS$36)</f>
        <v/>
      </c>
      <c r="AT67" s="940">
        <f>IF(ISBLANK(AT31),"",AT31/AT$36)</f>
        <v/>
      </c>
      <c r="AU67" s="940">
        <f>IF(ISBLANK(AU31),"",AU31/AU$36)</f>
        <v/>
      </c>
      <c r="AV67" s="940">
        <f>IF(ISBLANK(AV31),"",AV31/AV$36)</f>
        <v/>
      </c>
      <c r="AW67" s="940">
        <f>IF(ISBLANK(AW31),"",AW31/AW$36)</f>
        <v/>
      </c>
      <c r="AX67" s="940">
        <f>IF(ISBLANK(AX31),"",AX31/AX$36)</f>
        <v/>
      </c>
      <c r="AY67" s="940">
        <f>IF(ISBLANK(AY31),"",AY31/AY$36)</f>
        <v/>
      </c>
      <c r="AZ67" s="940">
        <f>IF(ISBLANK(AZ31),"",AZ31/AZ$36)</f>
        <v/>
      </c>
      <c r="BA67" s="940">
        <f>IF(ISBLANK(BA31),"",BA31/BA$36)</f>
        <v/>
      </c>
      <c r="BB67" s="940">
        <f>IF(ISBLANK(BB31),"",BB31/BB$36)</f>
        <v/>
      </c>
      <c r="BC67" s="940">
        <f>IF(ISBLANK(BC31),"",BC31/BC$36)</f>
        <v/>
      </c>
      <c r="BD67" s="940">
        <f>IF(ISBLANK(BD31),"",BD31/BD$36)</f>
        <v/>
      </c>
      <c r="BE67" s="940">
        <f>IF(ISBLANK(BE31),"",BE31/BE$36)</f>
        <v/>
      </c>
      <c r="BF67" s="940">
        <f>IF(ISBLANK(BF31),"",BF31/BF$36)</f>
        <v/>
      </c>
      <c r="BG67" s="940">
        <f>IF(ISBLANK(BG31),"",BG31/BG$36)</f>
        <v/>
      </c>
      <c r="BH67" s="940">
        <f>IF(ISBLANK(BH31),"",BH31/BH$36)</f>
        <v/>
      </c>
      <c r="BI67" s="940">
        <f>IF(ISBLANK(BI31),"",BI31/BI$36)</f>
        <v/>
      </c>
      <c r="BJ67" s="940">
        <f>IF(ISBLANK(BJ31),"",BJ31/BJ$36)</f>
        <v/>
      </c>
      <c r="BK67" s="940">
        <f>IF(ISBLANK(BK31),"",BK31/BK$36)</f>
        <v/>
      </c>
      <c r="BL67" s="940">
        <f>IF(ISBLANK(BL31),"",BL31/BL$36)</f>
        <v/>
      </c>
      <c r="BM67" s="940">
        <f>IF(ISBLANK(BM31),"",BM31/BM$36)</f>
        <v/>
      </c>
      <c r="BN67" s="940">
        <f>IF(ISBLANK(BN31),"",BN31/BN$36)</f>
        <v/>
      </c>
      <c r="BO67" s="940">
        <f>IF(ISBLANK(BO31),"",BO31/BO$36)</f>
        <v/>
      </c>
      <c r="BP67" s="940">
        <f>IF(ISBLANK(BP31),"",BP31/BP$36)</f>
        <v/>
      </c>
      <c r="BQ67" s="940">
        <f>IF(ISBLANK(BQ31),"",BQ31/BQ$36)</f>
        <v/>
      </c>
      <c r="BR67" s="940">
        <f>IF(ISBLANK(BR31),"",BR31/BR$36)</f>
        <v/>
      </c>
      <c r="BS67" t="n">
        <v>0.06116167594946535</v>
      </c>
      <c r="BT67" t="inlineStr">
        <is>
          <t>IPGP-Financial-Data-Workbook-2024-Q2.xlsx|Key Metrics|56|93</t>
        </is>
      </c>
    </row>
    <row r="68">
      <c r="A68" s="74">
        <f>A32</f>
        <v/>
      </c>
      <c r="B68" s="121" t="n"/>
      <c r="C68" s="121" t="n"/>
      <c r="D68" s="121" t="n"/>
      <c r="E68" s="121" t="n"/>
      <c r="F68" s="121" t="n"/>
      <c r="G68" s="121" t="n"/>
      <c r="H68" s="121" t="n"/>
      <c r="I68" s="121" t="n"/>
      <c r="J68" s="121" t="n"/>
      <c r="K68" s="121" t="n"/>
      <c r="L68" s="121" t="n"/>
      <c r="M68" s="121" t="n"/>
      <c r="N68" s="941">
        <f>IF(ISBLANK(N32),"",N32/N$36)</f>
        <v/>
      </c>
      <c r="O68" s="941">
        <f>IF(ISBLANK(O32),"",O32/O$36)</f>
        <v/>
      </c>
      <c r="P68" s="941">
        <f>IF(ISBLANK(P32),"",P32/P$36)</f>
        <v/>
      </c>
      <c r="Q68" s="941">
        <f>IF(ISBLANK(Q32),"",Q32/Q$36)</f>
        <v/>
      </c>
      <c r="R68" s="941">
        <f>IF(ISBLANK(R32),"",R32/R$36)</f>
        <v/>
      </c>
      <c r="S68" s="941">
        <f>IF(ISBLANK(S32),"",S32/S$36)</f>
        <v/>
      </c>
      <c r="T68" s="941">
        <f>IF(ISBLANK(T32),"",T32/T$36)</f>
        <v/>
      </c>
      <c r="U68" s="941">
        <f>IF(ISBLANK(U32),"",U32/U$36)</f>
        <v/>
      </c>
      <c r="V68" s="941">
        <f>IF(ISBLANK(V32),"",V32/V$36)</f>
        <v/>
      </c>
      <c r="W68" s="941">
        <f>IF(ISBLANK(W32),"",W32/W$36)</f>
        <v/>
      </c>
      <c r="X68" s="941">
        <f>IF(ISBLANK(X32),"",X32/X$36)</f>
        <v/>
      </c>
      <c r="Y68" s="941">
        <f>IF(ISBLANK(Y32),"",Y32/Y$36)</f>
        <v/>
      </c>
      <c r="Z68" s="940">
        <f>IF(ISBLANK(Z32),"",Z32/Z$36)</f>
        <v/>
      </c>
      <c r="AA68" s="940">
        <f>IF(ISBLANK(AA32),"",AA32/AA$36)</f>
        <v/>
      </c>
      <c r="AB68" s="940">
        <f>IF(ISBLANK(AB32),"",AB32/AB$36)</f>
        <v/>
      </c>
      <c r="AC68" s="940">
        <f>IF(ISBLANK(AC32),"",AC32/AC$36)</f>
        <v/>
      </c>
      <c r="AD68" s="940">
        <f>IF(ISBLANK(AD32),"",AD32/AD$36)</f>
        <v/>
      </c>
      <c r="AE68" s="940">
        <f>IF(ISBLANK(AE32),"",AE32/AE$36)</f>
        <v/>
      </c>
      <c r="AF68" s="940">
        <f>IF(ISBLANK(AF32),"",AF32/AF$36)</f>
        <v/>
      </c>
      <c r="AG68" s="940">
        <f>IF(ISBLANK(AG32),"",AG32/AG$36)</f>
        <v/>
      </c>
      <c r="AH68" s="940">
        <f>IF(ISBLANK(AH32),"",AH32/AH$36)</f>
        <v/>
      </c>
      <c r="AI68" s="940">
        <f>IF(ISBLANK(AI32),"",AI32/AI$36)</f>
        <v/>
      </c>
      <c r="AJ68" s="940">
        <f>IF(ISBLANK(AJ32),"",AJ32/AJ$36)</f>
        <v/>
      </c>
      <c r="AK68" s="940">
        <f>IF(ISBLANK(AK32),"",AK32/AK$36)</f>
        <v/>
      </c>
      <c r="AL68" s="940">
        <f>IF(ISBLANK(AL32),"",AL32/AL$36)</f>
        <v/>
      </c>
      <c r="AM68" s="940">
        <f>IF(ISBLANK(AM32),"",AM32/AM$36)</f>
        <v/>
      </c>
      <c r="AN68" s="940">
        <f>IF(ISBLANK(AN32),"",AN32/AN$36)</f>
        <v/>
      </c>
      <c r="AO68" s="940">
        <f>IF(ISBLANK(AO32),"",AO32/AO$36)</f>
        <v/>
      </c>
      <c r="AP68" s="940">
        <f>IF(ISBLANK(AP32),"",AP32/AP$36)</f>
        <v/>
      </c>
      <c r="AQ68" s="940">
        <f>IF(ISBLANK(AQ32),"",AQ32/AQ$36)</f>
        <v/>
      </c>
      <c r="AR68" s="940">
        <f>IF(ISBLANK(AR32),"",AR32/AR$36)</f>
        <v/>
      </c>
      <c r="AS68" s="940">
        <f>IF(ISBLANK(AS32),"",AS32/AS$36)</f>
        <v/>
      </c>
      <c r="AT68" s="940">
        <f>IF(ISBLANK(AT32),"",AT32/AT$36)</f>
        <v/>
      </c>
      <c r="AU68" s="940">
        <f>IF(ISBLANK(AU32),"",AU32/AU$36)</f>
        <v/>
      </c>
      <c r="AV68" s="940">
        <f>IF(ISBLANK(AV32),"",AV32/AV$36)</f>
        <v/>
      </c>
      <c r="AW68" s="940">
        <f>IF(ISBLANK(AW32),"",AW32/AW$36)</f>
        <v/>
      </c>
      <c r="AX68" s="940">
        <f>IF(ISBLANK(AX32),"",AX32/AX$36)</f>
        <v/>
      </c>
      <c r="AY68" s="940">
        <f>IF(ISBLANK(AY32),"",AY32/AY$36)</f>
        <v/>
      </c>
      <c r="AZ68" s="940">
        <f>IF(ISBLANK(AZ32),"",AZ32/AZ$36)</f>
        <v/>
      </c>
      <c r="BA68" s="940">
        <f>IF(ISBLANK(BA32),"",BA32/BA$36)</f>
        <v/>
      </c>
      <c r="BB68" s="940">
        <f>IF(ISBLANK(BB32),"",BB32/BB$36)</f>
        <v/>
      </c>
      <c r="BC68" s="940">
        <f>IF(ISBLANK(BC32),"",BC32/BC$36)</f>
        <v/>
      </c>
      <c r="BD68" s="940">
        <f>IF(ISBLANK(BD32),"",BD32/BD$36)</f>
        <v/>
      </c>
      <c r="BE68" s="940">
        <f>IF(ISBLANK(BE32),"",BE32/BE$36)</f>
        <v/>
      </c>
      <c r="BF68" s="940">
        <f>IF(ISBLANK(BF32),"",BF32/BF$36)</f>
        <v/>
      </c>
      <c r="BG68" s="940">
        <f>IF(ISBLANK(BG32),"",BG32/BG$36)</f>
        <v/>
      </c>
      <c r="BH68" s="940">
        <f>IF(ISBLANK(BH32),"",BH32/BH$36)</f>
        <v/>
      </c>
      <c r="BI68" s="940">
        <f>IF(ISBLANK(BI32),"",BI32/BI$36)</f>
        <v/>
      </c>
      <c r="BJ68" s="940">
        <f>IF(ISBLANK(BJ32),"",BJ32/BJ$36)</f>
        <v/>
      </c>
      <c r="BK68" s="940">
        <f>IF(ISBLANK(BK32),"",BK32/BK$36)</f>
        <v/>
      </c>
      <c r="BL68" s="940">
        <f>IF(ISBLANK(BL32),"",BL32/BL$36)</f>
        <v/>
      </c>
      <c r="BM68" s="940">
        <f>IF(ISBLANK(BM32),"",BM32/BM$36)</f>
        <v/>
      </c>
      <c r="BN68" s="940">
        <f>IF(ISBLANK(BN32),"",BN32/BN$36)</f>
        <v/>
      </c>
      <c r="BO68" s="940">
        <f>IF(ISBLANK(BO32),"",BO32/BO$36)</f>
        <v/>
      </c>
      <c r="BP68" s="940">
        <f>IF(ISBLANK(BP32),"",BP32/BP$36)</f>
        <v/>
      </c>
      <c r="BQ68" s="940">
        <f>IF(ISBLANK(BQ32),"",BQ32/BQ$36)</f>
        <v/>
      </c>
      <c r="BR68" s="940">
        <f>IF(ISBLANK(BR32),"",BR32/BR$36)</f>
        <v/>
      </c>
      <c r="BS68" t="n">
        <v>0.1650953831822857</v>
      </c>
      <c r="BT68" t="inlineStr">
        <is>
          <t>IPGP-Financial-Data-Workbook-2024-Q2.xlsx|Key Metrics|57|93</t>
        </is>
      </c>
    </row>
    <row r="69">
      <c r="A69" s="74">
        <f>A33</f>
        <v/>
      </c>
      <c r="B69" s="121" t="n"/>
      <c r="C69" s="121" t="n"/>
      <c r="D69" s="121" t="n"/>
      <c r="E69" s="121" t="n"/>
      <c r="F69" s="121" t="n"/>
      <c r="G69" s="121" t="n"/>
      <c r="H69" s="121" t="n"/>
      <c r="I69" s="121" t="n"/>
      <c r="J69" s="121" t="n"/>
      <c r="K69" s="121" t="n"/>
      <c r="L69" s="121" t="n"/>
      <c r="M69" s="121" t="n"/>
      <c r="N69" s="941">
        <f>IF(ISBLANK(N33),"",N33/N$36)</f>
        <v/>
      </c>
      <c r="O69" s="941">
        <f>IF(ISBLANK(O33),"",O33/O$36)</f>
        <v/>
      </c>
      <c r="P69" s="941">
        <f>IF(ISBLANK(P33),"",P33/P$36)</f>
        <v/>
      </c>
      <c r="Q69" s="941">
        <f>IF(ISBLANK(Q33),"",Q33/Q$36)</f>
        <v/>
      </c>
      <c r="R69" s="941">
        <f>IF(ISBLANK(R33),"",R33/R$36)</f>
        <v/>
      </c>
      <c r="S69" s="941">
        <f>IF(ISBLANK(S33),"",S33/S$36)</f>
        <v/>
      </c>
      <c r="T69" s="941">
        <f>IF(ISBLANK(T33),"",T33/T$36)</f>
        <v/>
      </c>
      <c r="U69" s="941">
        <f>IF(ISBLANK(U33),"",U33/U$36)</f>
        <v/>
      </c>
      <c r="V69" s="941">
        <f>IF(ISBLANK(V33),"",V33/V$36)</f>
        <v/>
      </c>
      <c r="W69" s="941">
        <f>IF(ISBLANK(W33),"",W33/W$36)</f>
        <v/>
      </c>
      <c r="X69" s="941">
        <f>IF(ISBLANK(X33),"",X33/X$36)</f>
        <v/>
      </c>
      <c r="Y69" s="941">
        <f>IF(ISBLANK(Y33),"",Y33/Y$36)</f>
        <v/>
      </c>
      <c r="Z69" s="940">
        <f>IF(ISBLANK(Z33),"",Z33/Z$36)</f>
        <v/>
      </c>
      <c r="AA69" s="940">
        <f>IF(ISBLANK(AA33),"",AA33/AA$36)</f>
        <v/>
      </c>
      <c r="AB69" s="940">
        <f>IF(ISBLANK(AB33),"",AB33/AB$36)</f>
        <v/>
      </c>
      <c r="AC69" s="940">
        <f>IF(ISBLANK(AC33),"",AC33/AC$36)</f>
        <v/>
      </c>
      <c r="AD69" s="940">
        <f>IF(ISBLANK(AD33),"",AD33/AD$36)</f>
        <v/>
      </c>
      <c r="AE69" s="940">
        <f>IF(ISBLANK(AE33),"",AE33/AE$36)</f>
        <v/>
      </c>
      <c r="AF69" s="940">
        <f>IF(ISBLANK(AF33),"",AF33/AF$36)</f>
        <v/>
      </c>
      <c r="AG69" s="940">
        <f>IF(ISBLANK(AG33),"",AG33/AG$36)</f>
        <v/>
      </c>
      <c r="AH69" s="940">
        <f>IF(ISBLANK(AH33),"",AH33/AH$36)</f>
        <v/>
      </c>
      <c r="AI69" s="940">
        <f>IF(ISBLANK(AI33),"",AI33/AI$36)</f>
        <v/>
      </c>
      <c r="AJ69" s="940">
        <f>IF(ISBLANK(AJ33),"",AJ33/AJ$36)</f>
        <v/>
      </c>
      <c r="AK69" s="940">
        <f>IF(ISBLANK(AK33),"",AK33/AK$36)</f>
        <v/>
      </c>
      <c r="AL69" s="940">
        <f>IF(ISBLANK(AL33),"",AL33/AL$36)</f>
        <v/>
      </c>
      <c r="AM69" s="940">
        <f>IF(ISBLANK(AM33),"",AM33/AM$36)</f>
        <v/>
      </c>
      <c r="AN69" s="940">
        <f>IF(ISBLANK(AN33),"",AN33/AN$36)</f>
        <v/>
      </c>
      <c r="AO69" s="940">
        <f>IF(ISBLANK(AO33),"",AO33/AO$36)</f>
        <v/>
      </c>
      <c r="AP69" s="940">
        <f>IF(ISBLANK(AP33),"",AP33/AP$36)</f>
        <v/>
      </c>
      <c r="AQ69" s="940">
        <f>IF(ISBLANK(AQ33),"",AQ33/AQ$36)</f>
        <v/>
      </c>
      <c r="AR69" s="940">
        <f>IF(ISBLANK(AR33),"",AR33/AR$36)</f>
        <v/>
      </c>
      <c r="AS69" s="940">
        <f>IF(ISBLANK(AS33),"",AS33/AS$36)</f>
        <v/>
      </c>
      <c r="AT69" s="940">
        <f>IF(ISBLANK(AT33),"",AT33/AT$36)</f>
        <v/>
      </c>
      <c r="AU69" s="940">
        <f>IF(ISBLANK(AU33),"",AU33/AU$36)</f>
        <v/>
      </c>
      <c r="AV69" s="940">
        <f>IF(ISBLANK(AV33),"",AV33/AV$36)</f>
        <v/>
      </c>
      <c r="AW69" s="940">
        <f>IF(ISBLANK(AW33),"",AW33/AW$36)</f>
        <v/>
      </c>
      <c r="AX69" s="940">
        <f>IF(ISBLANK(AX33),"",AX33/AX$36)</f>
        <v/>
      </c>
      <c r="AY69" s="940">
        <f>IF(ISBLANK(AY33),"",AY33/AY$36)</f>
        <v/>
      </c>
      <c r="AZ69" s="940">
        <f>IF(ISBLANK(AZ33),"",AZ33/AZ$36)</f>
        <v/>
      </c>
      <c r="BA69" s="940">
        <f>IF(ISBLANK(BA33),"",BA33/BA$36)</f>
        <v/>
      </c>
      <c r="BB69" s="940">
        <f>IF(ISBLANK(BB33),"",BB33/BB$36)</f>
        <v/>
      </c>
      <c r="BC69" s="940">
        <f>IF(ISBLANK(BC33),"",BC33/BC$36)</f>
        <v/>
      </c>
      <c r="BD69" s="940">
        <f>IF(ISBLANK(BD33),"",BD33/BD$36)</f>
        <v/>
      </c>
      <c r="BE69" s="940">
        <f>IF(ISBLANK(BE33),"",BE33/BE$36)</f>
        <v/>
      </c>
      <c r="BF69" s="940">
        <f>IF(ISBLANK(BF33),"",BF33/BF$36)</f>
        <v/>
      </c>
      <c r="BG69" s="940">
        <f>IF(ISBLANK(BG33),"",BG33/BG$36)</f>
        <v/>
      </c>
      <c r="BH69" s="940">
        <f>IF(ISBLANK(BH33),"",BH33/BH$36)</f>
        <v/>
      </c>
      <c r="BI69" s="940">
        <f>IF(ISBLANK(BI33),"",BI33/BI$36)</f>
        <v/>
      </c>
      <c r="BJ69" s="940">
        <f>IF(ISBLANK(BJ33),"",BJ33/BJ$36)</f>
        <v/>
      </c>
      <c r="BK69" s="940">
        <f>IF(ISBLANK(BK33),"",BK33/BK$36)</f>
        <v/>
      </c>
      <c r="BL69" s="940">
        <f>IF(ISBLANK(BL33),"",BL33/BL$36)</f>
        <v/>
      </c>
      <c r="BM69" s="940">
        <f>IF(ISBLANK(BM33),"",BM33/BM$36)</f>
        <v/>
      </c>
      <c r="BN69" s="940">
        <f>IF(ISBLANK(BN33),"",BN33/BN$36)</f>
        <v/>
      </c>
      <c r="BO69" s="940">
        <f>IF(ISBLANK(BO33),"",BO33/BO$36)</f>
        <v/>
      </c>
      <c r="BP69" s="940">
        <f>IF(ISBLANK(BP33),"",BP33/BP$36)</f>
        <v/>
      </c>
      <c r="BQ69" s="940">
        <f>IF(ISBLANK(BQ33),"",BQ33/BQ$36)</f>
        <v/>
      </c>
      <c r="BR69" s="940">
        <f>IF(ISBLANK(BR33),"",BR33/BR$36)</f>
        <v/>
      </c>
      <c r="BS69" t="n">
        <v>0.04094393448349473</v>
      </c>
      <c r="BT69" t="inlineStr">
        <is>
          <t>IPGP-Financial-Data-Workbook-2024-Q2.xlsx|Key Metrics|58|93</t>
        </is>
      </c>
    </row>
    <row r="70">
      <c r="A70" s="74">
        <f>A34</f>
        <v/>
      </c>
      <c r="B70" s="121" t="n"/>
      <c r="C70" s="121" t="n"/>
      <c r="D70" s="121" t="n"/>
      <c r="E70" s="121" t="n"/>
      <c r="F70" s="121" t="n"/>
      <c r="G70" s="121" t="n"/>
      <c r="H70" s="121" t="n"/>
      <c r="I70" s="121" t="n"/>
      <c r="J70" s="121" t="n"/>
      <c r="K70" s="121" t="n"/>
      <c r="L70" s="121" t="n"/>
      <c r="M70" s="121" t="n"/>
      <c r="N70" s="941">
        <f>IF(ISBLANK(N34),"",N34/N$36)</f>
        <v/>
      </c>
      <c r="O70" s="941">
        <f>IF(ISBLANK(O34),"",O34/O$36)</f>
        <v/>
      </c>
      <c r="P70" s="941">
        <f>IF(ISBLANK(P34),"",P34/P$36)</f>
        <v/>
      </c>
      <c r="Q70" s="941">
        <f>IF(ISBLANK(Q34),"",Q34/Q$36)</f>
        <v/>
      </c>
      <c r="R70" s="941">
        <f>IF(ISBLANK(R34),"",R34/R$36)</f>
        <v/>
      </c>
      <c r="S70" s="941">
        <f>IF(ISBLANK(S34),"",S34/S$36)</f>
        <v/>
      </c>
      <c r="T70" s="941">
        <f>IF(ISBLANK(T34),"",T34/T$36)</f>
        <v/>
      </c>
      <c r="U70" s="941">
        <f>IF(ISBLANK(U34),"",U34/U$36)</f>
        <v/>
      </c>
      <c r="V70" s="941">
        <f>IF(ISBLANK(V34),"",V34/V$36)</f>
        <v/>
      </c>
      <c r="W70" s="941">
        <f>IF(ISBLANK(W34),"",W34/W$36)</f>
        <v/>
      </c>
      <c r="X70" s="941">
        <f>IF(ISBLANK(X34),"",X34/X$36)</f>
        <v/>
      </c>
      <c r="Y70" s="941">
        <f>IF(ISBLANK(Y34),"",Y34/Y$36)</f>
        <v/>
      </c>
      <c r="Z70" s="940">
        <f>IF(ISBLANK(Z34),"",Z34/Z$36)</f>
        <v/>
      </c>
      <c r="AA70" s="940">
        <f>IF(ISBLANK(AA34),"",AA34/AA$36)</f>
        <v/>
      </c>
      <c r="AB70" s="940">
        <f>IF(ISBLANK(AB34),"",AB34/AB$36)</f>
        <v/>
      </c>
      <c r="AC70" s="940">
        <f>IF(ISBLANK(AC34),"",AC34/AC$36)</f>
        <v/>
      </c>
      <c r="AD70" s="940">
        <f>IF(ISBLANK(AD34),"",AD34/AD$36)</f>
        <v/>
      </c>
      <c r="AE70" s="940">
        <f>IF(ISBLANK(AE34),"",AE34/AE$36)</f>
        <v/>
      </c>
      <c r="AF70" s="940">
        <f>IF(ISBLANK(AF34),"",AF34/AF$36)</f>
        <v/>
      </c>
      <c r="AG70" s="940">
        <f>IF(ISBLANK(AG34),"",AG34/AG$36)</f>
        <v/>
      </c>
      <c r="AH70" s="940">
        <f>IF(ISBLANK(AH34),"",AH34/AH$36)</f>
        <v/>
      </c>
      <c r="AI70" s="940">
        <f>IF(ISBLANK(AI34),"",AI34/AI$36)</f>
        <v/>
      </c>
      <c r="AJ70" s="940">
        <f>IF(ISBLANK(AJ34),"",AJ34/AJ$36)</f>
        <v/>
      </c>
      <c r="AK70" s="940">
        <f>IF(ISBLANK(AK34),"",AK34/AK$36)</f>
        <v/>
      </c>
      <c r="AL70" s="940">
        <f>IF(ISBLANK(AL34),"",AL34/AL$36)</f>
        <v/>
      </c>
      <c r="AM70" s="940">
        <f>IF(ISBLANK(AM34),"",AM34/AM$36)</f>
        <v/>
      </c>
      <c r="AN70" s="940">
        <f>IF(ISBLANK(AN34),"",AN34/AN$36)</f>
        <v/>
      </c>
      <c r="AO70" s="940">
        <f>IF(ISBLANK(AO34),"",AO34/AO$36)</f>
        <v/>
      </c>
      <c r="AP70" s="940">
        <f>IF(ISBLANK(AP34),"",AP34/AP$36)</f>
        <v/>
      </c>
      <c r="AQ70" s="940">
        <f>IF(ISBLANK(AQ34),"",AQ34/AQ$36)</f>
        <v/>
      </c>
      <c r="AR70" s="940">
        <f>IF(ISBLANK(AR34),"",AR34/AR$36)</f>
        <v/>
      </c>
      <c r="AS70" s="940">
        <f>IF(ISBLANK(AS34),"",AS34/AS$36)</f>
        <v/>
      </c>
      <c r="AT70" s="940">
        <f>IF(ISBLANK(AT34),"",AT34/AT$36)</f>
        <v/>
      </c>
      <c r="AU70" s="940">
        <f>IF(ISBLANK(AU34),"",AU34/AU$36)</f>
        <v/>
      </c>
      <c r="AV70" s="940">
        <f>IF(ISBLANK(AV34),"",AV34/AV$36)</f>
        <v/>
      </c>
      <c r="AW70" s="940">
        <f>IF(ISBLANK(AW34),"",AW34/AW$36)</f>
        <v/>
      </c>
      <c r="AX70" s="940">
        <f>IF(ISBLANK(AX34),"",AX34/AX$36)</f>
        <v/>
      </c>
      <c r="AY70" s="940">
        <f>IF(ISBLANK(AY34),"",AY34/AY$36)</f>
        <v/>
      </c>
      <c r="AZ70" s="940">
        <f>IF(ISBLANK(AZ34),"",AZ34/AZ$36)</f>
        <v/>
      </c>
      <c r="BA70" s="940">
        <f>IF(ISBLANK(BA34),"",BA34/BA$36)</f>
        <v/>
      </c>
      <c r="BB70" s="940">
        <f>IF(ISBLANK(BB34),"",BB34/BB$36)</f>
        <v/>
      </c>
      <c r="BC70" s="940">
        <f>IF(ISBLANK(BC34),"",BC34/BC$36)</f>
        <v/>
      </c>
      <c r="BD70" s="940">
        <f>IF(ISBLANK(BD34),"",BD34/BD$36)</f>
        <v/>
      </c>
      <c r="BE70" s="940">
        <f>IF(ISBLANK(BE34),"",BE34/BE$36)</f>
        <v/>
      </c>
      <c r="BF70" s="940">
        <f>IF(ISBLANK(BF34),"",BF34/BF$36)</f>
        <v/>
      </c>
      <c r="BG70" s="940">
        <f>IF(ISBLANK(BG34),"",BG34/BG$36)</f>
        <v/>
      </c>
      <c r="BH70" s="940">
        <f>IF(ISBLANK(BH34),"",BH34/BH$36)</f>
        <v/>
      </c>
      <c r="BI70" s="940">
        <f>IF(ISBLANK(BI34),"",BI34/BI$36)</f>
        <v/>
      </c>
      <c r="BJ70" s="940">
        <f>IF(ISBLANK(BJ34),"",BJ34/BJ$36)</f>
        <v/>
      </c>
      <c r="BK70" s="940">
        <f>IF(ISBLANK(BK34),"",BK34/BK$36)</f>
        <v/>
      </c>
      <c r="BL70" s="940">
        <f>IF(ISBLANK(BL34),"",BL34/BL$36)</f>
        <v/>
      </c>
      <c r="BM70" s="940">
        <f>IF(ISBLANK(BM34),"",BM34/BM$36)</f>
        <v/>
      </c>
      <c r="BN70" s="940">
        <f>IF(ISBLANK(BN34),"",BN34/BN$36)</f>
        <v/>
      </c>
      <c r="BO70" s="940">
        <f>IF(ISBLANK(BO34),"",BO34/BO$36)</f>
        <v/>
      </c>
      <c r="BP70" s="940">
        <f>IF(ISBLANK(BP34),"",BP34/BP$36)</f>
        <v/>
      </c>
      <c r="BQ70" s="940">
        <f>IF(ISBLANK(BQ34),"",BQ34/BQ$36)</f>
        <v/>
      </c>
      <c r="BR70" s="940">
        <f>IF(ISBLANK(BR34),"",BR34/BR$36)</f>
        <v/>
      </c>
      <c r="BS70" t="n">
        <v>0.1500824778280192</v>
      </c>
      <c r="BT70" t="inlineStr">
        <is>
          <t>IPGP-Financial-Data-Workbook-2024-Q2.xlsx|Key Metrics|59|93</t>
        </is>
      </c>
    </row>
    <row r="71">
      <c r="A71" s="74">
        <f>A35</f>
        <v/>
      </c>
      <c r="B71" s="121" t="n"/>
      <c r="C71" s="121" t="n"/>
      <c r="D71" s="121" t="n"/>
      <c r="E71" s="121" t="n"/>
      <c r="F71" s="121" t="n"/>
      <c r="G71" s="121" t="n"/>
      <c r="H71" s="121" t="n"/>
      <c r="I71" s="121" t="n"/>
      <c r="J71" s="121" t="n"/>
      <c r="K71" s="121" t="n"/>
      <c r="L71" s="121" t="n"/>
      <c r="M71" s="121" t="n"/>
      <c r="N71" s="941">
        <f>IF(ISBLANK(N35),"",N35/N$36)</f>
        <v/>
      </c>
      <c r="O71" s="941">
        <f>IF(ISBLANK(O35),"",O35/O$36)</f>
        <v/>
      </c>
      <c r="P71" s="941">
        <f>IF(ISBLANK(P35),"",P35/P$36)</f>
        <v/>
      </c>
      <c r="Q71" s="941">
        <f>IF(ISBLANK(Q35),"",Q35/Q$36)</f>
        <v/>
      </c>
      <c r="R71" s="941">
        <f>IF(ISBLANK(R35),"",R35/R$36)</f>
        <v/>
      </c>
      <c r="S71" s="941">
        <f>IF(ISBLANK(S35),"",S35/S$36)</f>
        <v/>
      </c>
      <c r="T71" s="941">
        <f>IF(ISBLANK(T35),"",T35/T$36)</f>
        <v/>
      </c>
      <c r="U71" s="941">
        <f>IF(ISBLANK(U35),"",U35/U$36)</f>
        <v/>
      </c>
      <c r="V71" s="941">
        <f>IF(ISBLANK(V35),"",V35/V$36)</f>
        <v/>
      </c>
      <c r="W71" s="941">
        <f>IF(ISBLANK(W35),"",W35/W$36)</f>
        <v/>
      </c>
      <c r="X71" s="941">
        <f>IF(ISBLANK(X35),"",X35/X$36)</f>
        <v/>
      </c>
      <c r="Y71" s="941">
        <f>IF(ISBLANK(Y35),"",Y35/Y$36)</f>
        <v/>
      </c>
      <c r="Z71" s="940">
        <f>IF(ISBLANK(Z35),"",Z35/Z$36)</f>
        <v/>
      </c>
      <c r="AA71" s="940">
        <f>IF(ISBLANK(AA35),"",AA35/AA$36)</f>
        <v/>
      </c>
      <c r="AB71" s="940">
        <f>IF(ISBLANK(AB35),"",AB35/AB$36)</f>
        <v/>
      </c>
      <c r="AC71" s="940">
        <f>IF(ISBLANK(AC35),"",AC35/AC$36)</f>
        <v/>
      </c>
      <c r="AD71" s="940">
        <f>IF(ISBLANK(AD35),"",AD35/AD$36)</f>
        <v/>
      </c>
      <c r="AE71" s="940">
        <f>IF(ISBLANK(AE35),"",AE35/AE$36)</f>
        <v/>
      </c>
      <c r="AF71" s="940">
        <f>IF(ISBLANK(AF35),"",AF35/AF$36)</f>
        <v/>
      </c>
      <c r="AG71" s="940">
        <f>IF(ISBLANK(AG35),"",AG35/AG$36)</f>
        <v/>
      </c>
      <c r="AH71" s="940">
        <f>IF(ISBLANK(AH35),"",AH35/AH$36)</f>
        <v/>
      </c>
      <c r="AI71" s="940">
        <f>IF(ISBLANK(AI35),"",AI35/AI$36)</f>
        <v/>
      </c>
      <c r="AJ71" s="940">
        <f>IF(ISBLANK(AJ35),"",AJ35/AJ$36)</f>
        <v/>
      </c>
      <c r="AK71" s="940">
        <f>IF(ISBLANK(AK35),"",AK35/AK$36)</f>
        <v/>
      </c>
      <c r="AL71" s="940">
        <f>IF(ISBLANK(AL35),"",AL35/AL$36)</f>
        <v/>
      </c>
      <c r="AM71" s="940">
        <f>IF(ISBLANK(AM35),"",AM35/AM$36)</f>
        <v/>
      </c>
      <c r="AN71" s="940">
        <f>IF(ISBLANK(AN35),"",AN35/AN$36)</f>
        <v/>
      </c>
      <c r="AO71" s="940">
        <f>IF(ISBLANK(AO35),"",AO35/AO$36)</f>
        <v/>
      </c>
      <c r="AP71" s="940">
        <f>IF(ISBLANK(AP35),"",AP35/AP$36)</f>
        <v/>
      </c>
      <c r="AQ71" s="940">
        <f>IF(ISBLANK(AQ35),"",AQ35/AQ$36)</f>
        <v/>
      </c>
      <c r="AR71" s="940">
        <f>IF(ISBLANK(AR35),"",AR35/AR$36)</f>
        <v/>
      </c>
      <c r="AS71" s="940">
        <f>IF(ISBLANK(AS35),"",AS35/AS$36)</f>
        <v/>
      </c>
      <c r="AT71" s="940">
        <f>IF(ISBLANK(AT35),"",AT35/AT$36)</f>
        <v/>
      </c>
      <c r="AU71" s="940">
        <f>IF(ISBLANK(AU35),"",AU35/AU$36)</f>
        <v/>
      </c>
      <c r="AV71" s="940">
        <f>IF(ISBLANK(AV35),"",AV35/AV$36)</f>
        <v/>
      </c>
      <c r="AW71" s="940">
        <f>IF(ISBLANK(AW35),"",AW35/AW$36)</f>
        <v/>
      </c>
      <c r="AX71" s="940">
        <f>IF(ISBLANK(AX35),"",AX35/AX$36)</f>
        <v/>
      </c>
      <c r="AY71" s="940">
        <f>IF(ISBLANK(AY35),"",AY35/AY$36)</f>
        <v/>
      </c>
      <c r="AZ71" s="940">
        <f>IF(ISBLANK(AZ35),"",AZ35/AZ$36)</f>
        <v/>
      </c>
      <c r="BA71" s="940">
        <f>IF(ISBLANK(BA35),"",BA35/BA$36)</f>
        <v/>
      </c>
      <c r="BB71" s="940">
        <f>IF(ISBLANK(BB35),"",BB35/BB$36)</f>
        <v/>
      </c>
      <c r="BC71" s="940">
        <f>IF(ISBLANK(BC35),"",BC35/BC$36)</f>
        <v/>
      </c>
      <c r="BD71" s="940">
        <f>IF(ISBLANK(BD35),"",BD35/BD$36)</f>
        <v/>
      </c>
      <c r="BE71" s="940">
        <f>IF(ISBLANK(BE35),"",BE35/BE$36)</f>
        <v/>
      </c>
      <c r="BF71" s="940">
        <f>IF(ISBLANK(BF35),"",BF35/BF$36)</f>
        <v/>
      </c>
      <c r="BG71" s="940">
        <f>IF(ISBLANK(BG35),"",BG35/BG$36)</f>
        <v/>
      </c>
      <c r="BH71" s="940">
        <f>IF(ISBLANK(BH35),"",BH35/BH$36)</f>
        <v/>
      </c>
      <c r="BI71" s="940">
        <f>IF(ISBLANK(BI35),"",BI35/BI$36)</f>
        <v/>
      </c>
      <c r="BJ71" s="940">
        <f>IF(ISBLANK(BJ35),"",BJ35/BJ$36)</f>
        <v/>
      </c>
      <c r="BK71" s="940">
        <f>IF(ISBLANK(BK35),"",BK35/BK$36)</f>
        <v/>
      </c>
      <c r="BL71" s="940">
        <f>IF(ISBLANK(BL35),"",BL35/BL$36)</f>
        <v/>
      </c>
      <c r="BM71" s="940">
        <f>IF(ISBLANK(BM35),"",BM35/BM$36)</f>
        <v/>
      </c>
      <c r="BN71" s="940">
        <f>IF(ISBLANK(BN35),"",BN35/BN$36)</f>
        <v/>
      </c>
      <c r="BO71" s="940">
        <f>IF(ISBLANK(BO35),"",BO35/BO$36)</f>
        <v/>
      </c>
      <c r="BP71" s="940">
        <f>IF(ISBLANK(BP35),"",BP35/BP$36)</f>
        <v/>
      </c>
      <c r="BQ71" s="940">
        <f>IF(ISBLANK(BQ35),"",BQ35/BQ$36)</f>
        <v/>
      </c>
      <c r="BR71" s="940">
        <f>IF(ISBLANK(BR35),"",BR35/BR$36)</f>
        <v/>
      </c>
      <c r="BS71" t="n">
        <v>0.263575850491956</v>
      </c>
      <c r="BT71" t="inlineStr">
        <is>
          <t>IPGP-Financial-Data-Workbook-2024-Q2.xlsx|Key Metrics|60|93</t>
        </is>
      </c>
    </row>
    <row r="72">
      <c r="A72" s="22">
        <f>A36</f>
        <v/>
      </c>
      <c r="B72" s="121" t="n"/>
      <c r="C72" s="121" t="n"/>
      <c r="D72" s="121" t="n"/>
      <c r="E72" s="121" t="n"/>
      <c r="F72" s="121" t="n"/>
      <c r="G72" s="121" t="n"/>
      <c r="H72" s="121" t="n"/>
      <c r="I72" s="121" t="n"/>
      <c r="J72" s="121" t="n"/>
      <c r="K72" s="121" t="n"/>
      <c r="L72" s="121" t="n"/>
      <c r="M72" s="121" t="n"/>
      <c r="N72" s="941">
        <f>IF(ISBLANK(N36),"",N36/N$36)</f>
        <v/>
      </c>
      <c r="O72" s="941">
        <f>IF(ISBLANK(O36),"",O36/O$36)</f>
        <v/>
      </c>
      <c r="P72" s="941">
        <f>IF(ISBLANK(P36),"",P36/P$36)</f>
        <v/>
      </c>
      <c r="Q72" s="941">
        <f>IF(ISBLANK(Q36),"",Q36/Q$36)</f>
        <v/>
      </c>
      <c r="R72" s="941">
        <f>IF(ISBLANK(R36),"",R36/R$36)</f>
        <v/>
      </c>
      <c r="S72" s="941">
        <f>IF(ISBLANK(S36),"",S36/S$36)</f>
        <v/>
      </c>
      <c r="T72" s="941">
        <f>IF(ISBLANK(T36),"",T36/T$36)</f>
        <v/>
      </c>
      <c r="U72" s="941">
        <f>IF(ISBLANK(U36),"",U36/U$36)</f>
        <v/>
      </c>
      <c r="V72" s="941">
        <f>IF(ISBLANK(V36),"",V36/V$36)</f>
        <v/>
      </c>
      <c r="W72" s="941">
        <f>IF(ISBLANK(W36),"",W36/W$36)</f>
        <v/>
      </c>
      <c r="X72" s="941">
        <f>IF(ISBLANK(X36),"",X36/X$36)</f>
        <v/>
      </c>
      <c r="Y72" s="941">
        <f>IF(ISBLANK(Y36),"",Y36/Y$36)</f>
        <v/>
      </c>
      <c r="Z72" s="941">
        <f>IF(ISBLANK(Z36),"",Z36/Z$36)</f>
        <v/>
      </c>
      <c r="AA72" s="941">
        <f>IF(ISBLANK(AA36),"",AA36/AA$36)</f>
        <v/>
      </c>
      <c r="AB72" s="941">
        <f>IF(ISBLANK(AB36),"",AB36/AB$36)</f>
        <v/>
      </c>
      <c r="AC72" s="941">
        <f>IF(ISBLANK(AC36),"",AC36/AC$36)</f>
        <v/>
      </c>
      <c r="AD72" s="941">
        <f>IF(ISBLANK(AD36),"",AD36/AD$36)</f>
        <v/>
      </c>
      <c r="AE72" s="941">
        <f>IF(ISBLANK(AE36),"",AE36/AE$36)</f>
        <v/>
      </c>
      <c r="AF72" s="941">
        <f>IF(ISBLANK(AF36),"",AF36/AF$36)</f>
        <v/>
      </c>
      <c r="AG72" s="941">
        <f>IF(ISBLANK(AG36),"",AG36/AG$36)</f>
        <v/>
      </c>
      <c r="AH72" s="941">
        <f>IF(ISBLANK(AH36),"",AH36/AH$36)</f>
        <v/>
      </c>
      <c r="AI72" s="941">
        <f>IF(ISBLANK(AI36),"",AI36/AI$36)</f>
        <v/>
      </c>
      <c r="AJ72" s="941">
        <f>IF(ISBLANK(AJ36),"",AJ36/AJ$36)</f>
        <v/>
      </c>
      <c r="AK72" s="941">
        <f>IF(ISBLANK(AK36),"",AK36/AK$36)</f>
        <v/>
      </c>
      <c r="AL72" s="941">
        <f>IF(ISBLANK(AL36),"",AL36/AL$36)</f>
        <v/>
      </c>
      <c r="AM72" s="941">
        <f>IF(ISBLANK(AM36),"",AM36/AM$36)</f>
        <v/>
      </c>
      <c r="AN72" s="941">
        <f>IF(ISBLANK(AN36),"",AN36/AN$36)</f>
        <v/>
      </c>
      <c r="AO72" s="941">
        <f>IF(ISBLANK(AO36),"",AO36/AO$36)</f>
        <v/>
      </c>
      <c r="AP72" s="941">
        <f>IF(ISBLANK(AP36),"",AP36/AP$36)</f>
        <v/>
      </c>
      <c r="AQ72" s="941">
        <f>IF(ISBLANK(AQ36),"",AQ36/AQ$36)</f>
        <v/>
      </c>
      <c r="AR72" s="941">
        <f>IF(ISBLANK(AR36),"",AR36/AR$36)</f>
        <v/>
      </c>
      <c r="AS72" s="941">
        <f>IF(ISBLANK(AS36),"",AS36/AS$36)</f>
        <v/>
      </c>
      <c r="AT72" s="941">
        <f>IF(ISBLANK(AT36),"",AT36/AT$36)</f>
        <v/>
      </c>
      <c r="AU72" s="941">
        <f>IF(ISBLANK(AU36),"",AU36/AU$36)</f>
        <v/>
      </c>
      <c r="AV72" s="941">
        <f>IF(ISBLANK(AV36),"",AV36/AV$36)</f>
        <v/>
      </c>
      <c r="AW72" s="941">
        <f>IF(ISBLANK(AW36),"",AW36/AW$36)</f>
        <v/>
      </c>
      <c r="AX72" s="941">
        <f>IF(ISBLANK(AX36),"",AX36/AX$36)</f>
        <v/>
      </c>
      <c r="AY72" s="941">
        <f>IF(ISBLANK(AY36),"",AY36/AY$36)</f>
        <v/>
      </c>
      <c r="AZ72" s="941">
        <f>IF(ISBLANK(AZ36),"",AZ36/AZ$36)</f>
        <v/>
      </c>
      <c r="BA72" s="941">
        <f>IF(ISBLANK(BA36),"",BA36/BA$36)</f>
        <v/>
      </c>
      <c r="BB72" s="941">
        <f>IF(ISBLANK(BB36),"",BB36/BB$36)</f>
        <v/>
      </c>
      <c r="BC72" s="941">
        <f>IF(ISBLANK(BC36),"",BC36/BC$36)</f>
        <v/>
      </c>
      <c r="BD72" s="941">
        <f>IF(ISBLANK(BD36),"",BD36/BD$36)</f>
        <v/>
      </c>
      <c r="BE72" s="941">
        <f>IF(ISBLANK(BE36),"",BE36/BE$36)</f>
        <v/>
      </c>
      <c r="BF72" s="941">
        <f>IF(ISBLANK(BF36),"",BF36/BF$36)</f>
        <v/>
      </c>
      <c r="BG72" s="941">
        <f>IF(ISBLANK(BG36),"",BG36/BG$36)</f>
        <v/>
      </c>
      <c r="BH72" s="941">
        <f>IF(ISBLANK(BH36),"",BH36/BH$36)</f>
        <v/>
      </c>
      <c r="BI72" s="941">
        <f>IF(ISBLANK(BI36),"",BI36/BI$36)</f>
        <v/>
      </c>
      <c r="BJ72" s="941">
        <f>IF(ISBLANK(BJ36),"",BJ36/BJ$36)</f>
        <v/>
      </c>
      <c r="BK72" s="941">
        <f>IF(ISBLANK(BK36),"",BK36/BK$36)</f>
        <v/>
      </c>
      <c r="BL72" s="941">
        <f>IF(ISBLANK(BL36),"",BL36/BL$36)</f>
        <v/>
      </c>
      <c r="BM72" s="941">
        <f>IF(ISBLANK(BM36),"",BM36/BM$36)</f>
        <v/>
      </c>
      <c r="BN72" s="941">
        <f>IF(ISBLANK(BN36),"",BN36/BN$36)</f>
        <v/>
      </c>
      <c r="BO72" s="941">
        <f>IF(ISBLANK(BO36),"",BO36/BO$36)</f>
        <v/>
      </c>
      <c r="BP72" s="941">
        <f>IF(ISBLANK(BP36),"",BP36/BP$36)</f>
        <v/>
      </c>
      <c r="BQ72" s="941">
        <f>IF(ISBLANK(BQ36),"",BQ36/BQ$36)</f>
        <v/>
      </c>
      <c r="BR72" s="941">
        <f>IF(ISBLANK(BR36),"",BR36/BR$36)</f>
        <v/>
      </c>
      <c r="BS72" t="n">
        <v>1</v>
      </c>
      <c r="BT72" t="inlineStr">
        <is>
          <t>IPGP-Financial-Data-Workbook-2024-Q2.xlsx|Key Metrics|61|93</t>
        </is>
      </c>
    </row>
    <row r="73">
      <c r="B73" s="121" t="n"/>
      <c r="C73" s="121" t="n"/>
      <c r="D73" s="121" t="n"/>
      <c r="E73" s="121" t="n"/>
      <c r="F73" s="121" t="n"/>
      <c r="G73" s="121" t="n"/>
      <c r="H73" s="121" t="n"/>
      <c r="I73" s="121" t="n"/>
      <c r="J73" s="121" t="n"/>
      <c r="K73" s="121" t="n"/>
      <c r="L73" s="121" t="n"/>
      <c r="M73" s="121" t="n"/>
      <c r="N73" s="121" t="n"/>
      <c r="O73" s="121" t="n"/>
      <c r="P73" s="121" t="n"/>
      <c r="Q73" s="458" t="n"/>
      <c r="R73" s="458" t="n"/>
      <c r="S73" s="121" t="n"/>
      <c r="T73" s="458" t="n"/>
      <c r="U73" s="458" t="n"/>
      <c r="V73" s="458" t="n"/>
      <c r="W73" s="458" t="n"/>
      <c r="X73" s="458" t="n"/>
      <c r="Y73" s="458" t="n"/>
      <c r="Z73" s="458" t="n"/>
      <c r="AA73" s="458" t="n"/>
      <c r="AB73" s="458" t="n"/>
      <c r="AC73" s="458" t="n"/>
      <c r="AD73" s="458" t="n"/>
      <c r="AE73" s="458" t="n"/>
      <c r="AF73" s="458" t="n"/>
      <c r="AG73" s="458" t="n"/>
      <c r="AH73" s="458" t="n"/>
      <c r="AI73" s="458" t="n"/>
      <c r="AJ73" s="458" t="n"/>
      <c r="AK73" s="145" t="n"/>
      <c r="AL73" s="145" t="n"/>
      <c r="AM73" s="145" t="n"/>
      <c r="AN73" s="145" t="n"/>
      <c r="AO73" s="145" t="n"/>
      <c r="AP73" s="145" t="n"/>
      <c r="AQ73" s="145" t="n"/>
      <c r="AR73" s="145" t="n"/>
      <c r="AS73" s="145" t="n"/>
    </row>
    <row r="74">
      <c r="B74" s="121" t="n"/>
      <c r="C74" s="121" t="n"/>
      <c r="D74" s="121" t="n"/>
      <c r="E74" s="121" t="n"/>
      <c r="F74" s="121" t="n"/>
      <c r="G74" s="121" t="n"/>
      <c r="H74" s="121" t="n"/>
      <c r="I74" s="121" t="n"/>
      <c r="J74" s="121" t="n"/>
      <c r="K74" s="121" t="n"/>
      <c r="L74" s="121" t="n"/>
      <c r="M74" s="121" t="n"/>
      <c r="N74" s="121" t="n"/>
      <c r="O74" s="121" t="n"/>
      <c r="P74" s="121" t="n"/>
      <c r="Q74" s="458" t="n"/>
      <c r="R74" s="458" t="n"/>
      <c r="S74" s="121" t="n"/>
      <c r="T74" s="458" t="n"/>
      <c r="U74" s="458" t="n"/>
      <c r="V74" s="458" t="n"/>
      <c r="W74" s="458" t="n"/>
      <c r="X74" s="458" t="n"/>
      <c r="Y74" s="458" t="n"/>
      <c r="Z74" s="458" t="n"/>
      <c r="AA74" s="458" t="n"/>
      <c r="AB74" s="458" t="n"/>
      <c r="AC74" s="458" t="n"/>
      <c r="AD74" s="458" t="n"/>
      <c r="AE74" s="458" t="n"/>
      <c r="AF74" s="458" t="n"/>
      <c r="AG74" s="458" t="n"/>
      <c r="AH74" s="458" t="n"/>
      <c r="AI74" s="458" t="n"/>
      <c r="AJ74" s="458" t="n"/>
      <c r="AK74" s="145" t="n"/>
      <c r="AL74" s="145" t="n"/>
      <c r="AM74" s="145" t="n"/>
      <c r="AN74" s="145" t="n"/>
      <c r="AO74" s="145" t="n"/>
      <c r="AP74" s="145" t="n"/>
      <c r="AQ74" s="145" t="n"/>
      <c r="AR74" s="145" t="n"/>
      <c r="AS74" s="145" t="n"/>
    </row>
    <row r="75">
      <c r="B75" s="121" t="n"/>
      <c r="C75" s="121" t="n"/>
      <c r="D75" s="121" t="n"/>
      <c r="E75" s="121" t="n"/>
      <c r="F75" s="121" t="n"/>
      <c r="G75" s="121" t="n"/>
      <c r="H75" s="121" t="n"/>
      <c r="I75" s="121" t="n"/>
      <c r="J75" s="121" t="n"/>
      <c r="K75" s="121" t="n"/>
      <c r="L75" s="121" t="n"/>
      <c r="M75" s="121" t="n"/>
      <c r="N75" s="121" t="n"/>
      <c r="O75" s="121" t="n"/>
      <c r="P75" s="121" t="n"/>
      <c r="Q75" s="458" t="n"/>
      <c r="R75" s="458" t="n"/>
      <c r="S75" s="121" t="n"/>
      <c r="T75" s="458" t="n"/>
      <c r="U75" s="458" t="n"/>
      <c r="V75" s="458" t="n"/>
      <c r="W75" s="458" t="n"/>
      <c r="X75" s="458" t="n"/>
      <c r="Y75" s="458" t="n"/>
      <c r="Z75" s="458" t="n"/>
      <c r="AA75" s="458" t="n"/>
      <c r="AB75" s="458" t="n"/>
      <c r="AC75" s="458" t="n"/>
      <c r="AD75" s="458" t="n"/>
      <c r="AE75" s="458" t="n"/>
      <c r="AF75" s="458" t="n"/>
      <c r="AG75" s="458" t="n"/>
      <c r="AH75" s="458" t="n"/>
      <c r="AI75" s="458" t="n"/>
      <c r="AJ75" s="458" t="n"/>
      <c r="AK75" s="145" t="n"/>
      <c r="AL75" s="145" t="n"/>
      <c r="AM75" s="145" t="n"/>
      <c r="AN75" s="145" t="n"/>
      <c r="AO75" s="145" t="n"/>
      <c r="AP75" s="145" t="n"/>
      <c r="AQ75" s="145" t="n"/>
      <c r="AR75" s="145" t="n"/>
      <c r="AS75" s="145" t="n"/>
    </row>
    <row r="76">
      <c r="A76" s="105" t="n"/>
      <c r="B76" s="121" t="n"/>
      <c r="C76" s="121" t="n"/>
      <c r="D76" s="121" t="n"/>
      <c r="E76" s="121" t="n"/>
      <c r="F76" s="121" t="n"/>
      <c r="G76" s="121" t="n"/>
      <c r="H76" s="121" t="n"/>
      <c r="I76" s="121" t="n"/>
      <c r="J76" s="121" t="n"/>
      <c r="K76" s="121" t="n"/>
      <c r="L76" s="121" t="n"/>
      <c r="M76" s="121" t="n"/>
      <c r="N76" s="121" t="n"/>
      <c r="O76" s="121" t="n"/>
      <c r="P76" s="121" t="n"/>
      <c r="Q76" s="121" t="n"/>
      <c r="R76" s="121" t="n"/>
      <c r="S76" s="121" t="n"/>
      <c r="T76" s="121" t="n"/>
      <c r="U76" s="121" t="n"/>
      <c r="V76" s="121" t="n"/>
      <c r="W76" s="121" t="n"/>
      <c r="X76" s="121" t="n"/>
      <c r="Y76" s="121" t="n"/>
      <c r="Z76" s="121" t="n"/>
      <c r="AA76" s="121" t="n"/>
      <c r="AB76" s="121" t="n"/>
      <c r="AC76" s="121" t="n"/>
      <c r="AD76" s="121" t="n"/>
      <c r="AE76" s="121" t="n"/>
      <c r="AF76" s="121" t="n"/>
      <c r="AG76" s="121" t="n"/>
      <c r="AH76" s="121" t="n"/>
      <c r="AI76" s="121" t="n"/>
      <c r="AJ76" s="121" t="n"/>
      <c r="AK76" s="439" t="n"/>
      <c r="AL76" s="439" t="n"/>
      <c r="AM76" s="121" t="n"/>
      <c r="AN76" s="121" t="n"/>
      <c r="AO76" s="121" t="n"/>
      <c r="AP76" s="121" t="n"/>
      <c r="AQ76" s="121" t="n"/>
      <c r="AR76" s="121" t="n"/>
      <c r="AS76" s="121" t="n"/>
    </row>
    <row r="77">
      <c r="A77" s="81" t="inlineStr">
        <is>
          <t>CONSOLIDATED INCOME STATEMENT (in '000 USD) -YTD</t>
        </is>
      </c>
      <c r="B77" s="119" t="n"/>
      <c r="C77" s="119" t="n"/>
      <c r="D77" s="119" t="n"/>
      <c r="E77" s="119" t="n"/>
      <c r="F77" s="119" t="n"/>
      <c r="G77" s="119" t="n"/>
      <c r="H77" s="119" t="n"/>
      <c r="I77" s="119" t="n"/>
      <c r="J77" s="119" t="n"/>
      <c r="K77" s="119" t="n"/>
      <c r="L77" s="119" t="n"/>
      <c r="M77" s="119" t="n"/>
      <c r="N77" s="119" t="n"/>
      <c r="O77" s="119" t="n"/>
      <c r="P77" s="119" t="n"/>
      <c r="Q77" s="119" t="n"/>
      <c r="R77" s="119" t="n"/>
      <c r="S77" s="119" t="n"/>
      <c r="T77" s="20" t="n"/>
      <c r="U77" s="20" t="n"/>
      <c r="V77" s="20" t="n"/>
      <c r="W77" s="20" t="n"/>
      <c r="X77" s="20" t="n"/>
      <c r="Y77" s="20" t="n"/>
      <c r="Z77" s="20" t="n"/>
      <c r="AA77" s="20" t="n"/>
      <c r="AB77" s="20" t="n"/>
      <c r="AC77" s="20" t="n"/>
      <c r="AD77" s="20" t="n"/>
      <c r="AE77" s="20" t="n"/>
      <c r="AF77" s="20" t="n"/>
      <c r="AG77" s="20" t="n"/>
      <c r="AH77" s="20" t="n"/>
      <c r="AI77" s="20" t="n"/>
      <c r="AJ77" s="20" t="n"/>
      <c r="AK77" s="20" t="n"/>
      <c r="AL77" s="20" t="n"/>
      <c r="AM77" s="20" t="n"/>
      <c r="AN77" s="20" t="n"/>
      <c r="AO77" s="20" t="n"/>
      <c r="AP77" s="20" t="n"/>
      <c r="AQ77" s="20" t="n"/>
      <c r="AR77" s="20" t="n"/>
      <c r="AS77" s="20" t="n"/>
    </row>
    <row r="78">
      <c r="B78" s="76" t="n"/>
      <c r="C78" s="76" t="n"/>
      <c r="D78" s="76" t="n"/>
      <c r="E78" s="76" t="n"/>
      <c r="F78" s="76" t="n"/>
      <c r="G78" s="76" t="n"/>
      <c r="H78" s="76" t="n"/>
      <c r="I78" s="76" t="n"/>
      <c r="J78" s="76" t="n"/>
      <c r="K78" s="76" t="n"/>
      <c r="L78" s="76" t="n"/>
      <c r="M78" s="76" t="n"/>
      <c r="N78" s="76" t="n"/>
      <c r="O78" s="76" t="n"/>
      <c r="P78" s="76" t="n"/>
      <c r="Q78" s="76" t="n"/>
      <c r="R78" s="76" t="n"/>
      <c r="S78" s="76" t="n"/>
      <c r="AO78" s="108" t="n"/>
      <c r="AP78" s="108" t="n"/>
      <c r="AQ78" s="108" t="n"/>
      <c r="AR78" s="108" t="n"/>
      <c r="AS78" s="108" t="n"/>
    </row>
    <row r="79">
      <c r="A79" s="22" t="inlineStr">
        <is>
          <t>Net Sales</t>
        </is>
      </c>
      <c r="B79" s="133" t="n"/>
      <c r="C79" s="133" t="n"/>
      <c r="D79" s="133" t="n"/>
      <c r="E79" s="133" t="n"/>
      <c r="F79" s="133" t="n"/>
      <c r="G79" s="133" t="n"/>
      <c r="H79" s="133" t="n"/>
      <c r="I79" s="133" t="n"/>
      <c r="J79" s="133" t="n"/>
      <c r="K79" s="133" t="n"/>
      <c r="L79" s="133" t="n"/>
      <c r="M79" s="133" t="n"/>
      <c r="N79" s="133" t="n">
        <v>51204</v>
      </c>
      <c r="O79" s="133" t="n">
        <v>118462</v>
      </c>
      <c r="P79" s="133" t="n">
        <v>198271</v>
      </c>
      <c r="Q79" s="133" t="n">
        <v>299256</v>
      </c>
      <c r="R79" s="133" t="n">
        <v>99958</v>
      </c>
      <c r="S79" s="133" t="n">
        <v>221894</v>
      </c>
      <c r="T79" s="133" t="n">
        <v>350958</v>
      </c>
      <c r="U79" s="133" t="n">
        <v>474482</v>
      </c>
      <c r="V79" s="133" t="n">
        <v>123192</v>
      </c>
      <c r="W79" s="133" t="n">
        <v>261119</v>
      </c>
      <c r="X79" s="133" t="n">
        <v>417498</v>
      </c>
      <c r="Y79" s="133" t="n">
        <v>562528</v>
      </c>
      <c r="Z79" s="133" t="n">
        <v>141852</v>
      </c>
      <c r="AA79" s="133" t="n">
        <v>310023</v>
      </c>
      <c r="AB79" s="133" t="n">
        <v>482175</v>
      </c>
      <c r="AC79" s="133" t="n">
        <v>648034</v>
      </c>
      <c r="AD79" s="133" t="n">
        <v>170575</v>
      </c>
      <c r="AE79" s="133" t="n">
        <v>362779</v>
      </c>
      <c r="AF79" s="133" t="n">
        <v>562430</v>
      </c>
      <c r="AG79" s="133" t="n">
        <v>769832</v>
      </c>
      <c r="AH79" s="133" t="n">
        <v>198960</v>
      </c>
      <c r="AI79" s="133" t="n">
        <v>434098</v>
      </c>
      <c r="AJ79" s="133" t="n">
        <v>677639</v>
      </c>
      <c r="AK79" s="133" t="n">
        <v>901265</v>
      </c>
      <c r="AL79" s="133" t="n">
        <v>207248</v>
      </c>
      <c r="AM79" s="133" t="n">
        <v>460035</v>
      </c>
      <c r="AN79" s="133" t="n">
        <v>726052</v>
      </c>
      <c r="AO79" s="133" t="n">
        <v>1006173</v>
      </c>
      <c r="AP79" s="133" t="n">
        <v>285846</v>
      </c>
      <c r="AQ79" s="133" t="n">
        <v>655219</v>
      </c>
      <c r="AR79" s="133" t="n">
        <v>1047834</v>
      </c>
      <c r="AS79" s="133" t="n">
        <v>1408889</v>
      </c>
      <c r="AT79" s="133" t="n">
        <v>359864</v>
      </c>
      <c r="AU79" s="133" t="n">
        <v>773477</v>
      </c>
      <c r="AV79" s="133" t="n">
        <v>1129823</v>
      </c>
      <c r="AW79" s="133" t="n">
        <v>1459874</v>
      </c>
      <c r="AX79" s="133" t="n">
        <v>315047</v>
      </c>
      <c r="AY79" s="133" t="n">
        <v>678816</v>
      </c>
      <c r="AZ79" s="133" t="n">
        <v>1007954</v>
      </c>
      <c r="BA79" s="133" t="n">
        <v>1314581</v>
      </c>
      <c r="BB79" s="133" t="n">
        <v>249242</v>
      </c>
      <c r="BC79" s="133" t="n">
        <v>545653</v>
      </c>
      <c r="BD79" s="133" t="n">
        <v>864094</v>
      </c>
      <c r="BE79" s="133" t="n">
        <v>1200724</v>
      </c>
      <c r="BF79" s="133" t="n">
        <v>345585</v>
      </c>
      <c r="BG79" s="133" t="n">
        <v>717243</v>
      </c>
      <c r="BH79" s="133" t="n">
        <v>1096393</v>
      </c>
      <c r="BI79" s="133" t="n">
        <v>1460860</v>
      </c>
      <c r="BJ79" s="133" t="n">
        <v>369979</v>
      </c>
      <c r="BK79" s="133" t="n">
        <v>747002</v>
      </c>
      <c r="BL79" s="133" t="n">
        <v>1096008</v>
      </c>
      <c r="BM79" s="133" t="n">
        <v>1429547</v>
      </c>
      <c r="BN79" s="133" t="n">
        <v>347174</v>
      </c>
      <c r="BO79" s="133" t="n">
        <v>687145</v>
      </c>
      <c r="BP79" s="133" t="n">
        <v>988546</v>
      </c>
      <c r="BQ79" s="133" t="n">
        <v>1287439</v>
      </c>
      <c r="BR79" s="133" t="n">
        <v>252009</v>
      </c>
      <c r="BS79" t="n">
        <v>257645</v>
      </c>
      <c r="BT79" t="inlineStr">
        <is>
          <t>IPGP-Financial-Data-Workbook-2024-Q2.xlsx|Key Metrics|13|93</t>
        </is>
      </c>
    </row>
    <row r="80">
      <c r="A80" s="74" t="inlineStr">
        <is>
          <t>Cost of sales</t>
        </is>
      </c>
      <c r="B80" s="145" t="n"/>
      <c r="C80" s="145" t="n"/>
      <c r="D80" s="145" t="n"/>
      <c r="E80" s="145" t="n"/>
      <c r="F80" s="145" t="n"/>
      <c r="G80" s="145" t="n"/>
      <c r="H80" s="145" t="n"/>
      <c r="I80" s="145" t="n"/>
      <c r="J80" s="145" t="n"/>
      <c r="K80" s="145" t="n"/>
      <c r="L80" s="145" t="n"/>
      <c r="M80" s="145" t="n"/>
      <c r="N80" s="145" t="n">
        <v>30657</v>
      </c>
      <c r="O80" s="145" t="n">
        <v>67454</v>
      </c>
      <c r="P80" s="145" t="n">
        <v>107332</v>
      </c>
      <c r="Q80" s="145" t="n">
        <v>152798</v>
      </c>
      <c r="R80" s="145" t="n">
        <v>46292</v>
      </c>
      <c r="S80" s="145" t="n">
        <v>101522</v>
      </c>
      <c r="T80" s="145" t="n">
        <v>160127</v>
      </c>
      <c r="U80" s="145" t="n">
        <v>217227</v>
      </c>
      <c r="V80" s="145" t="n">
        <v>54508</v>
      </c>
      <c r="W80" s="145" t="n">
        <v>117525</v>
      </c>
      <c r="X80" s="145" t="n">
        <v>187945</v>
      </c>
      <c r="Y80" s="145" t="n">
        <v>257801</v>
      </c>
      <c r="Z80" s="145" t="n">
        <v>66211</v>
      </c>
      <c r="AA80" s="145" t="n">
        <v>144460</v>
      </c>
      <c r="AB80" s="145" t="n">
        <v>223799</v>
      </c>
      <c r="AC80" s="145" t="n">
        <v>308136</v>
      </c>
      <c r="AD80" s="145" t="n">
        <v>81291</v>
      </c>
      <c r="AE80" s="145" t="n">
        <v>169268</v>
      </c>
      <c r="AF80" s="145" t="n">
        <v>259829</v>
      </c>
      <c r="AG80" s="145" t="n">
        <v>353314</v>
      </c>
      <c r="AH80" s="145" t="n">
        <v>91133</v>
      </c>
      <c r="AI80" s="145" t="n">
        <v>197568</v>
      </c>
      <c r="AJ80" s="145" t="n">
        <v>307805</v>
      </c>
      <c r="AK80" s="145" t="n">
        <v>409388</v>
      </c>
      <c r="AL80" s="145" t="n">
        <v>92838</v>
      </c>
      <c r="AM80" s="145" t="n">
        <v>207921</v>
      </c>
      <c r="AN80" s="145" t="n">
        <v>329147</v>
      </c>
      <c r="AO80" s="145" t="n">
        <v>453933</v>
      </c>
      <c r="AP80" s="145" t="n">
        <v>128579</v>
      </c>
      <c r="AQ80" s="145" t="n">
        <v>291656</v>
      </c>
      <c r="AR80" s="145" t="n">
        <v>459716</v>
      </c>
      <c r="AS80" s="145" t="n">
        <v>611978</v>
      </c>
      <c r="AT80" s="145" t="n">
        <v>156502</v>
      </c>
      <c r="AU80" s="145" t="n">
        <v>335140</v>
      </c>
      <c r="AV80" s="145" t="n">
        <v>496303</v>
      </c>
      <c r="AW80" s="145" t="n">
        <v>659606</v>
      </c>
      <c r="AX80" s="145" t="n">
        <v>166136</v>
      </c>
      <c r="AY80" s="145" t="n">
        <v>349668</v>
      </c>
      <c r="AZ80" s="145" t="n">
        <v>525948</v>
      </c>
      <c r="BA80" s="145" t="n">
        <v>708372</v>
      </c>
      <c r="BB80" s="145" t="n">
        <v>146366</v>
      </c>
      <c r="BC80" s="145" t="n">
        <v>306328</v>
      </c>
      <c r="BD80" s="145" t="n">
        <v>471977</v>
      </c>
      <c r="BE80" s="145" t="n">
        <v>661728</v>
      </c>
      <c r="BF80" s="145" t="n">
        <v>181594</v>
      </c>
      <c r="BG80" s="145" t="n">
        <v>372724</v>
      </c>
      <c r="BH80" s="145" t="n">
        <v>566000</v>
      </c>
      <c r="BI80" s="145" t="n">
        <v>764462</v>
      </c>
      <c r="BJ80" s="145" t="n">
        <v>198158</v>
      </c>
      <c r="BK80" s="145" t="n">
        <v>402837</v>
      </c>
      <c r="BL80" s="145" t="n">
        <v>601419</v>
      </c>
      <c r="BM80" s="145" t="n">
        <v>874134</v>
      </c>
      <c r="BN80" s="145" t="n">
        <v>200236</v>
      </c>
      <c r="BO80" s="145" t="n">
        <v>392516</v>
      </c>
      <c r="BP80" s="145" t="n">
        <v>561015</v>
      </c>
      <c r="BQ80" s="145" t="n">
        <v>745741</v>
      </c>
      <c r="BR80" s="145" t="n">
        <v>154473</v>
      </c>
      <c r="BS80" t="n">
        <v>161459</v>
      </c>
      <c r="BT80" t="inlineStr">
        <is>
          <t>IPGP-Financial-Data-Workbook-2024-Q2.xlsx|Income Statement|6|93</t>
        </is>
      </c>
    </row>
    <row r="81">
      <c r="A81" s="22" t="inlineStr">
        <is>
          <t>Gross profit</t>
        </is>
      </c>
      <c r="B81" s="133" t="n"/>
      <c r="C81" s="133" t="n"/>
      <c r="D81" s="133" t="n"/>
      <c r="E81" s="133" t="n"/>
      <c r="F81" s="133" t="n"/>
      <c r="G81" s="133" t="n"/>
      <c r="H81" s="133" t="n"/>
      <c r="I81" s="133" t="n"/>
      <c r="J81" s="133" t="n"/>
      <c r="K81" s="133" t="n"/>
      <c r="L81" s="133" t="n"/>
      <c r="M81" s="133" t="n"/>
      <c r="N81" s="133" t="n">
        <v>20547</v>
      </c>
      <c r="O81" s="133" t="n">
        <v>51008</v>
      </c>
      <c r="P81" s="133" t="n">
        <v>90939</v>
      </c>
      <c r="Q81" s="133" t="n">
        <v>146458</v>
      </c>
      <c r="R81" s="133" t="n">
        <v>53666</v>
      </c>
      <c r="S81" s="133" t="n">
        <v>120372</v>
      </c>
      <c r="T81" s="133" t="n">
        <v>190831</v>
      </c>
      <c r="U81" s="133" t="n">
        <v>257255</v>
      </c>
      <c r="V81" s="133" t="n">
        <v>68684</v>
      </c>
      <c r="W81" s="133" t="n">
        <v>143594</v>
      </c>
      <c r="X81" s="133" t="n">
        <v>229553</v>
      </c>
      <c r="Y81" s="133" t="n">
        <v>304727</v>
      </c>
      <c r="Z81" s="133" t="n">
        <v>75641</v>
      </c>
      <c r="AA81" s="133" t="n">
        <v>165563</v>
      </c>
      <c r="AB81" s="133" t="n">
        <v>258376</v>
      </c>
      <c r="AC81" s="133" t="n">
        <v>339898</v>
      </c>
      <c r="AD81" s="133" t="n">
        <v>89284</v>
      </c>
      <c r="AE81" s="133" t="n">
        <v>193511</v>
      </c>
      <c r="AF81" s="133" t="n">
        <v>302601</v>
      </c>
      <c r="AG81" s="133" t="n">
        <v>416518</v>
      </c>
      <c r="AH81" s="133" t="n">
        <v>107827</v>
      </c>
      <c r="AI81" s="133" t="n">
        <v>236530</v>
      </c>
      <c r="AJ81" s="133" t="n">
        <v>369834</v>
      </c>
      <c r="AK81" s="133" t="n">
        <v>491877</v>
      </c>
      <c r="AL81" s="133" t="n">
        <v>114410</v>
      </c>
      <c r="AM81" s="133" t="n">
        <v>252114</v>
      </c>
      <c r="AN81" s="133" t="n">
        <v>396905</v>
      </c>
      <c r="AO81" s="133" t="n">
        <v>552240</v>
      </c>
      <c r="AP81" s="133" t="n">
        <v>157267</v>
      </c>
      <c r="AQ81" s="133" t="n">
        <v>363563</v>
      </c>
      <c r="AR81" s="133" t="n">
        <v>588118</v>
      </c>
      <c r="AS81" s="133" t="n">
        <v>796911</v>
      </c>
      <c r="AT81" s="133" t="n">
        <v>203362</v>
      </c>
      <c r="AU81" s="133" t="n">
        <v>438337</v>
      </c>
      <c r="AV81" s="133" t="n">
        <v>633520</v>
      </c>
      <c r="AW81" s="133" t="n">
        <v>800268</v>
      </c>
      <c r="AX81" s="133" t="n">
        <v>148911</v>
      </c>
      <c r="AY81" s="133" t="n">
        <v>329148</v>
      </c>
      <c r="AZ81" s="133" t="n">
        <v>482006</v>
      </c>
      <c r="BA81" s="133" t="n">
        <v>606209</v>
      </c>
      <c r="BB81" s="133" t="n">
        <v>102876</v>
      </c>
      <c r="BC81" s="133" t="n">
        <v>239325</v>
      </c>
      <c r="BD81" s="133" t="n">
        <v>392117</v>
      </c>
      <c r="BE81" s="133" t="n">
        <v>538996</v>
      </c>
      <c r="BF81" s="133" t="n">
        <v>163991</v>
      </c>
      <c r="BG81" s="133" t="n">
        <v>344519</v>
      </c>
      <c r="BH81" s="133" t="n">
        <v>530393</v>
      </c>
      <c r="BI81" s="133" t="n">
        <v>696398</v>
      </c>
      <c r="BJ81" s="133" t="n">
        <v>171821</v>
      </c>
      <c r="BK81" s="133" t="n">
        <v>344165</v>
      </c>
      <c r="BL81" s="133" t="n">
        <v>494589</v>
      </c>
      <c r="BM81" s="133" t="n">
        <v>555413</v>
      </c>
      <c r="BN81" s="133" t="n">
        <v>146938</v>
      </c>
      <c r="BO81" s="133" t="n">
        <v>294629</v>
      </c>
      <c r="BP81" s="133" t="n">
        <v>427531</v>
      </c>
      <c r="BQ81" s="133" t="n">
        <v>541698</v>
      </c>
      <c r="BR81" s="133" t="n">
        <v>97536</v>
      </c>
      <c r="BS81" t="n">
        <v>96186</v>
      </c>
      <c r="BT81" t="inlineStr">
        <is>
          <t>IPGP-Financial-Data-Workbook-2024-Q2.xlsx|Income Statement|7|93</t>
        </is>
      </c>
    </row>
    <row r="82">
      <c r="A82" s="33" t="inlineStr">
        <is>
          <t>Sales and marketing</t>
        </is>
      </c>
      <c r="B82" s="145" t="n"/>
      <c r="C82" s="145" t="n"/>
      <c r="D82" s="145" t="n"/>
      <c r="E82" s="145" t="n"/>
      <c r="F82" s="145" t="n"/>
      <c r="G82" s="145" t="n"/>
      <c r="H82" s="145" t="n"/>
      <c r="I82" s="145" t="n"/>
      <c r="J82" s="145" t="n"/>
      <c r="K82" s="145" t="n"/>
      <c r="L82" s="145" t="n"/>
      <c r="M82" s="145" t="n"/>
      <c r="N82" s="145" t="n">
        <v>4338</v>
      </c>
      <c r="O82" s="145" t="n">
        <v>9270</v>
      </c>
      <c r="P82" s="145" t="n">
        <v>13797</v>
      </c>
      <c r="Q82" s="145" t="n">
        <v>19100</v>
      </c>
      <c r="R82" s="145" t="n">
        <v>4948</v>
      </c>
      <c r="S82" s="145" t="n">
        <v>10795</v>
      </c>
      <c r="T82" s="145" t="n">
        <v>16451</v>
      </c>
      <c r="U82" s="145" t="n">
        <v>21731</v>
      </c>
      <c r="V82" s="145" t="n">
        <v>5132</v>
      </c>
      <c r="W82" s="145" t="n">
        <v>10986</v>
      </c>
      <c r="X82" s="145" t="n">
        <v>16771</v>
      </c>
      <c r="Y82" s="145" t="n">
        <v>23845</v>
      </c>
      <c r="Z82" s="145" t="n">
        <v>5868</v>
      </c>
      <c r="AA82" s="145" t="n">
        <v>12713</v>
      </c>
      <c r="AB82" s="145" t="n">
        <v>19514</v>
      </c>
      <c r="AC82" s="145" t="n">
        <v>26692</v>
      </c>
      <c r="AD82" s="145" t="n">
        <v>7165</v>
      </c>
      <c r="AE82" s="145" t="n">
        <v>15212</v>
      </c>
      <c r="AF82" s="145" t="n">
        <v>22708</v>
      </c>
      <c r="AG82" s="145" t="n">
        <v>30637</v>
      </c>
      <c r="AH82" s="145" t="n">
        <v>7549</v>
      </c>
      <c r="AI82" s="145" t="n">
        <v>15511</v>
      </c>
      <c r="AJ82" s="145" t="n">
        <v>23228</v>
      </c>
      <c r="AK82" s="145" t="n">
        <v>31868</v>
      </c>
      <c r="AL82" s="145" t="n">
        <v>8034</v>
      </c>
      <c r="AM82" s="145" t="n">
        <v>17723</v>
      </c>
      <c r="AN82" s="145" t="n">
        <v>28183</v>
      </c>
      <c r="AO82" s="145" t="n">
        <v>38393</v>
      </c>
      <c r="AP82" s="145" t="n">
        <v>10827</v>
      </c>
      <c r="AQ82" s="145" t="n">
        <v>22963</v>
      </c>
      <c r="AR82" s="145" t="n">
        <v>36347</v>
      </c>
      <c r="AS82" s="145" t="n">
        <v>49801</v>
      </c>
      <c r="AT82" s="145" t="n">
        <v>13516</v>
      </c>
      <c r="AU82" s="145" t="n">
        <v>28052</v>
      </c>
      <c r="AV82" s="145" t="n">
        <v>41531</v>
      </c>
      <c r="AW82" s="145" t="n">
        <v>57815</v>
      </c>
      <c r="AX82" s="145" t="n">
        <v>19275</v>
      </c>
      <c r="AY82" s="145" t="n">
        <v>39938</v>
      </c>
      <c r="AZ82" s="145" t="n">
        <v>58907</v>
      </c>
      <c r="BA82" s="145" t="n">
        <v>77745</v>
      </c>
      <c r="BB82" s="145" t="n">
        <v>18683</v>
      </c>
      <c r="BC82" s="145" t="n">
        <v>36009</v>
      </c>
      <c r="BD82" s="145" t="n">
        <v>53341</v>
      </c>
      <c r="BE82" s="145" t="n">
        <v>70583</v>
      </c>
      <c r="BF82" s="145" t="n">
        <v>18883</v>
      </c>
      <c r="BG82" s="145" t="n">
        <v>38076</v>
      </c>
      <c r="BH82" s="145" t="n">
        <v>58764</v>
      </c>
      <c r="BI82" s="145" t="n">
        <v>78180</v>
      </c>
      <c r="BJ82" s="145" t="n">
        <v>20374</v>
      </c>
      <c r="BK82" s="145" t="n">
        <v>39384</v>
      </c>
      <c r="BL82" s="145" t="n">
        <v>58767</v>
      </c>
      <c r="BM82" s="145" t="n">
        <v>76643</v>
      </c>
      <c r="BN82" s="145" t="n">
        <v>21088</v>
      </c>
      <c r="BO82" s="145" t="n">
        <v>41275</v>
      </c>
      <c r="BP82" s="145" t="n">
        <v>63518</v>
      </c>
      <c r="BQ82" s="145" t="n">
        <v>85679</v>
      </c>
      <c r="BR82" s="145" t="n">
        <v>22998</v>
      </c>
      <c r="BS82" t="n">
        <v>22487</v>
      </c>
      <c r="BT82" t="inlineStr">
        <is>
          <t>IPGP-Financial-Data-Workbook-2024-Q2.xlsx|Income Statement|10|93</t>
        </is>
      </c>
    </row>
    <row r="83">
      <c r="A83" s="33" t="inlineStr">
        <is>
          <t>Research and development</t>
        </is>
      </c>
      <c r="B83" s="145" t="n"/>
      <c r="C83" s="145" t="n"/>
      <c r="D83" s="145" t="n"/>
      <c r="E83" s="145" t="n"/>
      <c r="F83" s="145" t="n"/>
      <c r="G83" s="145" t="n"/>
      <c r="H83" s="145" t="n"/>
      <c r="I83" s="145" t="n"/>
      <c r="J83" s="145" t="n"/>
      <c r="K83" s="145" t="n"/>
      <c r="L83" s="145" t="n"/>
      <c r="M83" s="145" t="n"/>
      <c r="N83" s="145" t="n">
        <v>4158</v>
      </c>
      <c r="O83" s="145" t="n">
        <v>8887</v>
      </c>
      <c r="P83" s="145" t="n">
        <v>13868</v>
      </c>
      <c r="Q83" s="145" t="n">
        <v>19160</v>
      </c>
      <c r="R83" s="145" t="n">
        <v>5731</v>
      </c>
      <c r="S83" s="145" t="n">
        <v>12341</v>
      </c>
      <c r="T83" s="145" t="n">
        <v>18842</v>
      </c>
      <c r="U83" s="145" t="n">
        <v>25422</v>
      </c>
      <c r="V83" s="145" t="n">
        <v>7140</v>
      </c>
      <c r="W83" s="145" t="n">
        <v>14369</v>
      </c>
      <c r="X83" s="145" t="n">
        <v>22131</v>
      </c>
      <c r="Y83" s="145" t="n">
        <v>31401</v>
      </c>
      <c r="Z83" s="145" t="n">
        <v>8798</v>
      </c>
      <c r="AA83" s="145" t="n">
        <v>19281</v>
      </c>
      <c r="AB83" s="145" t="n">
        <v>30782</v>
      </c>
      <c r="AC83" s="145" t="n">
        <v>41660</v>
      </c>
      <c r="AD83" s="145" t="n">
        <v>12784</v>
      </c>
      <c r="AE83" s="145" t="n">
        <v>26146</v>
      </c>
      <c r="AF83" s="145" t="n">
        <v>39593</v>
      </c>
      <c r="AG83" s="145" t="n">
        <v>53403</v>
      </c>
      <c r="AH83" s="145" t="n">
        <v>14230</v>
      </c>
      <c r="AI83" s="145" t="n">
        <v>29344</v>
      </c>
      <c r="AJ83" s="145" t="n">
        <v>45565</v>
      </c>
      <c r="AK83" s="145" t="n">
        <v>63334</v>
      </c>
      <c r="AL83" s="145" t="n">
        <v>17489</v>
      </c>
      <c r="AM83" s="145" t="n">
        <v>35901</v>
      </c>
      <c r="AN83" s="145" t="n">
        <v>56444</v>
      </c>
      <c r="AO83" s="145" t="n">
        <v>78552</v>
      </c>
      <c r="AP83" s="145" t="n">
        <v>22780</v>
      </c>
      <c r="AQ83" s="145" t="n">
        <v>48740</v>
      </c>
      <c r="AR83" s="145" t="n">
        <v>74281</v>
      </c>
      <c r="AS83" s="145" t="n">
        <v>100870</v>
      </c>
      <c r="AT83" s="145" t="n">
        <v>28546</v>
      </c>
      <c r="AU83" s="145" t="n">
        <v>60359</v>
      </c>
      <c r="AV83" s="145" t="n">
        <v>91268</v>
      </c>
      <c r="AW83" s="145" t="n">
        <v>122769</v>
      </c>
      <c r="AX83" s="145" t="n">
        <v>32496</v>
      </c>
      <c r="AY83" s="145" t="n">
        <v>67368</v>
      </c>
      <c r="AZ83" s="145" t="n">
        <v>99528</v>
      </c>
      <c r="BA83" s="145" t="n">
        <v>129997</v>
      </c>
      <c r="BB83" s="145" t="n">
        <v>31838</v>
      </c>
      <c r="BC83" s="145" t="n">
        <v>63422</v>
      </c>
      <c r="BD83" s="145" t="n">
        <v>95132</v>
      </c>
      <c r="BE83" s="145" t="n">
        <v>126898</v>
      </c>
      <c r="BF83" s="145" t="n">
        <v>33339</v>
      </c>
      <c r="BG83" s="145" t="n">
        <v>68530</v>
      </c>
      <c r="BH83" s="145" t="n">
        <v>102807</v>
      </c>
      <c r="BI83" s="145" t="n">
        <v>139573</v>
      </c>
      <c r="BJ83" s="145" t="n">
        <v>33450</v>
      </c>
      <c r="BK83" s="145" t="n">
        <v>64058</v>
      </c>
      <c r="BL83" s="145" t="n">
        <v>89494</v>
      </c>
      <c r="BM83" s="145" t="n">
        <v>116114</v>
      </c>
      <c r="BN83" s="145" t="n">
        <v>22770</v>
      </c>
      <c r="BO83" s="145" t="n">
        <v>46282</v>
      </c>
      <c r="BP83" s="145" t="n">
        <v>70990</v>
      </c>
      <c r="BQ83" s="145" t="n">
        <v>98704</v>
      </c>
      <c r="BR83" s="145" t="n">
        <v>29381</v>
      </c>
      <c r="BS83" t="n">
        <v>27487</v>
      </c>
      <c r="BT83" t="inlineStr">
        <is>
          <t>IPGP-Financial-Data-Workbook-2024-Q2.xlsx|Income Statement|11|93</t>
        </is>
      </c>
    </row>
    <row r="84">
      <c r="A84" s="33" t="inlineStr">
        <is>
          <t>General and administrative</t>
        </is>
      </c>
      <c r="B84" s="145" t="n"/>
      <c r="C84" s="145" t="n"/>
      <c r="D84" s="145" t="n"/>
      <c r="E84" s="145" t="n"/>
      <c r="F84" s="145" t="n"/>
      <c r="G84" s="145" t="n"/>
      <c r="H84" s="145" t="n"/>
      <c r="I84" s="145" t="n"/>
      <c r="J84" s="145" t="n"/>
      <c r="K84" s="145" t="n"/>
      <c r="L84" s="145" t="n"/>
      <c r="M84" s="145" t="n"/>
      <c r="N84" s="145" t="n">
        <v>6828</v>
      </c>
      <c r="O84" s="145" t="n">
        <v>14212</v>
      </c>
      <c r="P84" s="145" t="n">
        <v>22012</v>
      </c>
      <c r="Q84" s="145" t="n">
        <v>28645</v>
      </c>
      <c r="R84" s="145" t="n">
        <v>8169</v>
      </c>
      <c r="S84" s="145" t="n">
        <v>16502</v>
      </c>
      <c r="T84" s="145" t="n">
        <v>27499</v>
      </c>
      <c r="U84" s="145" t="n">
        <v>37442</v>
      </c>
      <c r="V84" s="145" t="n">
        <v>9949</v>
      </c>
      <c r="W84" s="145" t="n">
        <v>18685</v>
      </c>
      <c r="X84" s="145" t="n">
        <v>29294</v>
      </c>
      <c r="Y84" s="145" t="n">
        <v>39231</v>
      </c>
      <c r="Z84" s="145" t="n">
        <v>11810</v>
      </c>
      <c r="AA84" s="145" t="n">
        <v>24639</v>
      </c>
      <c r="AB84" s="145" t="n">
        <v>37814</v>
      </c>
      <c r="AC84" s="145" t="n">
        <v>50863</v>
      </c>
      <c r="AD84" s="145" t="n">
        <v>12916</v>
      </c>
      <c r="AE84" s="145" t="n">
        <v>26040</v>
      </c>
      <c r="AF84" s="145" t="n">
        <v>40212</v>
      </c>
      <c r="AG84" s="145" t="n">
        <v>55338</v>
      </c>
      <c r="AH84" s="145" t="n">
        <v>12778</v>
      </c>
      <c r="AI84" s="145" t="n">
        <v>27795</v>
      </c>
      <c r="AJ84" s="145" t="n">
        <v>42474</v>
      </c>
      <c r="AK84" s="145" t="n">
        <v>57192</v>
      </c>
      <c r="AL84" s="145" t="n">
        <v>13901</v>
      </c>
      <c r="AM84" s="145" t="n">
        <v>30052</v>
      </c>
      <c r="AN84" s="145" t="n">
        <v>46849</v>
      </c>
      <c r="AO84" s="145" t="n">
        <v>66486</v>
      </c>
      <c r="AP84" s="145" t="n">
        <v>17726</v>
      </c>
      <c r="AQ84" s="145" t="n">
        <v>37601</v>
      </c>
      <c r="AR84" s="145" t="n">
        <v>59092</v>
      </c>
      <c r="AS84" s="145" t="n">
        <v>80668</v>
      </c>
      <c r="AT84" s="145" t="n">
        <v>25495</v>
      </c>
      <c r="AU84" s="145" t="n">
        <v>49612</v>
      </c>
      <c r="AV84" s="145" t="n">
        <v>74857</v>
      </c>
      <c r="AW84" s="145" t="n">
        <v>102429</v>
      </c>
      <c r="AX84" s="145" t="n">
        <v>27212</v>
      </c>
      <c r="AY84" s="145" t="n">
        <v>55750</v>
      </c>
      <c r="AZ84" s="145" t="n">
        <v>82526</v>
      </c>
      <c r="BA84" s="145" t="n">
        <v>107597</v>
      </c>
      <c r="BB84" s="145" t="n">
        <v>27124</v>
      </c>
      <c r="BC84" s="145" t="n">
        <v>53523</v>
      </c>
      <c r="BD84" s="145" t="n">
        <v>82561</v>
      </c>
      <c r="BE84" s="145" t="n">
        <v>110005</v>
      </c>
      <c r="BF84" s="145" t="n">
        <v>30092</v>
      </c>
      <c r="BG84" s="145" t="n">
        <v>61158</v>
      </c>
      <c r="BH84" s="145" t="n">
        <v>93715</v>
      </c>
      <c r="BI84" s="145" t="n">
        <v>125882</v>
      </c>
      <c r="BJ84" s="145" t="n">
        <v>30664</v>
      </c>
      <c r="BK84" s="145" t="n">
        <v>64075</v>
      </c>
      <c r="BL84" s="145" t="n">
        <v>97888</v>
      </c>
      <c r="BM84" s="145" t="n">
        <v>131253</v>
      </c>
      <c r="BN84" s="145" t="n">
        <v>30128</v>
      </c>
      <c r="BO84" s="145" t="n">
        <v>59788</v>
      </c>
      <c r="BP84" s="145" t="n">
        <v>90746</v>
      </c>
      <c r="BQ84" s="145" t="n">
        <v>125749</v>
      </c>
      <c r="BR84" s="145" t="n">
        <v>31158</v>
      </c>
      <c r="BS84" t="n">
        <v>31602</v>
      </c>
      <c r="BT84" t="inlineStr">
        <is>
          <t>IPGP-Financial-Data-Workbook-2024-Q2.xlsx|Income Statement|12|93</t>
        </is>
      </c>
    </row>
    <row r="85">
      <c r="A85" s="33" t="inlineStr">
        <is>
          <t>Loss (gain) on foreign exchange and others</t>
        </is>
      </c>
      <c r="B85" s="145" t="n"/>
      <c r="C85" s="145" t="n"/>
      <c r="D85" s="145" t="n"/>
      <c r="E85" s="145" t="n"/>
      <c r="F85" s="145" t="n"/>
      <c r="G85" s="145" t="n"/>
      <c r="H85" s="145" t="n"/>
      <c r="I85" s="145" t="n"/>
      <c r="J85" s="145" t="n"/>
      <c r="K85" s="145" t="n"/>
      <c r="L85" s="145" t="n"/>
      <c r="M85" s="145" t="n"/>
      <c r="N85" s="145" t="n">
        <v>-108</v>
      </c>
      <c r="O85" s="145" t="n">
        <v>-2403</v>
      </c>
      <c r="P85" s="145" t="n">
        <v>-325</v>
      </c>
      <c r="Q85" s="145" t="n">
        <v>-848</v>
      </c>
      <c r="R85" s="145" t="n">
        <v>720</v>
      </c>
      <c r="S85" s="145" t="n">
        <v>514</v>
      </c>
      <c r="T85" s="145" t="n">
        <v>-1413</v>
      </c>
      <c r="U85" s="145" t="n">
        <v>-2862</v>
      </c>
      <c r="V85" s="145" t="n">
        <v>1286</v>
      </c>
      <c r="W85" s="145" t="n">
        <v>-2068</v>
      </c>
      <c r="X85" s="145" t="n">
        <v>-272</v>
      </c>
      <c r="Y85" s="145" t="n">
        <v>1362</v>
      </c>
      <c r="Z85" s="145" t="n">
        <v>-481</v>
      </c>
      <c r="AA85" s="145" t="n">
        <v>-591</v>
      </c>
      <c r="AB85" s="145" t="n">
        <v>972</v>
      </c>
      <c r="AC85" s="145" t="n">
        <v>2536</v>
      </c>
      <c r="AD85" s="145" t="n">
        <v>-1370</v>
      </c>
      <c r="AE85" s="145" t="n">
        <v>-425</v>
      </c>
      <c r="AF85" s="145" t="n">
        <v>-4039</v>
      </c>
      <c r="AG85" s="145" t="n">
        <v>-6618</v>
      </c>
      <c r="AH85" s="145" t="n">
        <v>-8752</v>
      </c>
      <c r="AI85" s="145" t="n">
        <v>-5585</v>
      </c>
      <c r="AJ85" s="145" t="n">
        <v>-460</v>
      </c>
      <c r="AK85" s="145" t="n">
        <v>-2560</v>
      </c>
      <c r="AL85" s="145" t="n">
        <v>4967</v>
      </c>
      <c r="AM85" s="145" t="n">
        <v>3411</v>
      </c>
      <c r="AN85" s="145" t="n">
        <v>6316</v>
      </c>
      <c r="AO85" s="145" t="n">
        <v>4496</v>
      </c>
      <c r="AP85" s="145" t="n">
        <v>4453</v>
      </c>
      <c r="AQ85" s="145" t="n">
        <v>11636</v>
      </c>
      <c r="AR85" s="145" t="n">
        <v>15553</v>
      </c>
      <c r="AS85" s="145" t="n">
        <v>14460</v>
      </c>
      <c r="AT85" s="145" t="n">
        <v>-5295</v>
      </c>
      <c r="AU85" s="145" t="n">
        <v>-3177</v>
      </c>
      <c r="AV85" s="145" t="n">
        <v>-1489</v>
      </c>
      <c r="AW85" s="145" t="n">
        <v>-6150</v>
      </c>
      <c r="AX85" s="145" t="n">
        <v>1613</v>
      </c>
      <c r="AY85" s="145" t="n">
        <v>6687</v>
      </c>
      <c r="AZ85" s="145" t="n">
        <v>7495</v>
      </c>
      <c r="BA85" s="346">
        <f>12827+37120+7130</f>
        <v/>
      </c>
      <c r="BB85" s="145" t="n">
        <v>-19565</v>
      </c>
      <c r="BC85" s="145">
        <f>-6799+1165</f>
        <v/>
      </c>
      <c r="BD85" s="145">
        <f>-18101+1177+44589</f>
        <v/>
      </c>
      <c r="BE85" s="346">
        <f>-12915+44589+1177</f>
        <v/>
      </c>
      <c r="BF85" s="145" t="n">
        <v>-7165</v>
      </c>
      <c r="BG85" s="145" t="n">
        <v>-4339</v>
      </c>
      <c r="BH85" s="145" t="n">
        <v>-7973</v>
      </c>
      <c r="BI85" s="145" t="n">
        <v>-15120</v>
      </c>
      <c r="BJ85" s="145" t="n">
        <v>-5810</v>
      </c>
      <c r="BK85" s="145" t="n">
        <v>11830</v>
      </c>
      <c r="BL85" s="145">
        <f>11289+919-21748</f>
        <v/>
      </c>
      <c r="BM85" s="145">
        <f>4103+9697+79949-31846</f>
        <v/>
      </c>
      <c r="BN85" s="145">
        <f>-2655+181</f>
        <v/>
      </c>
      <c r="BO85" s="145">
        <f>-1349+1144</f>
        <v/>
      </c>
      <c r="BP85" s="145">
        <f>-1798-357+1237</f>
        <v/>
      </c>
      <c r="BQ85" s="145">
        <f>1237-288-1356</f>
        <v/>
      </c>
      <c r="BR85" s="145">
        <f>-6776+1675</f>
        <v/>
      </c>
      <c r="BS85" t="n">
        <v>3244</v>
      </c>
      <c r="BT85" t="inlineStr">
        <is>
          <t>IPGP-Financial-Data-Workbook-2024-Q2.xlsx|Income Statement|17|93</t>
        </is>
      </c>
    </row>
    <row r="86">
      <c r="A86" s="74" t="inlineStr">
        <is>
          <t>Total operating expenses</t>
        </is>
      </c>
      <c r="B86" s="145" t="n"/>
      <c r="C86" s="145" t="n"/>
      <c r="D86" s="145" t="n"/>
      <c r="E86" s="145" t="n"/>
      <c r="F86" s="145" t="n"/>
      <c r="G86" s="145" t="n"/>
      <c r="H86" s="145" t="n"/>
      <c r="I86" s="145" t="n"/>
      <c r="J86" s="145" t="n"/>
      <c r="K86" s="145" t="n"/>
      <c r="L86" s="145" t="n"/>
      <c r="M86" s="145" t="n"/>
      <c r="N86" s="145" t="n">
        <v>15216</v>
      </c>
      <c r="O86" s="145" t="n">
        <v>29966</v>
      </c>
      <c r="P86" s="145" t="n">
        <v>49352</v>
      </c>
      <c r="Q86" s="145" t="n">
        <v>66057</v>
      </c>
      <c r="R86" s="145" t="n">
        <v>19568</v>
      </c>
      <c r="S86" s="145" t="n">
        <v>40152</v>
      </c>
      <c r="T86" s="145" t="n">
        <v>61379</v>
      </c>
      <c r="U86" s="145" t="n">
        <v>81733</v>
      </c>
      <c r="V86" s="145" t="n">
        <v>23507</v>
      </c>
      <c r="W86" s="145" t="n">
        <v>41972</v>
      </c>
      <c r="X86" s="145" t="n">
        <v>67924</v>
      </c>
      <c r="Y86" s="145" t="n">
        <v>95839</v>
      </c>
      <c r="Z86" s="145" t="n">
        <v>25995</v>
      </c>
      <c r="AA86" s="145" t="n">
        <v>56042</v>
      </c>
      <c r="AB86" s="145" t="n">
        <v>89082</v>
      </c>
      <c r="AC86" s="145" t="n">
        <v>121751</v>
      </c>
      <c r="AD86" s="145" t="n">
        <v>31495</v>
      </c>
      <c r="AE86" s="145" t="n">
        <v>66973</v>
      </c>
      <c r="AF86" s="145" t="n">
        <v>98474</v>
      </c>
      <c r="AG86" s="145" t="n">
        <v>132760</v>
      </c>
      <c r="AH86" s="145" t="n">
        <v>25805</v>
      </c>
      <c r="AI86" s="145" t="n">
        <v>67065</v>
      </c>
      <c r="AJ86" s="145" t="n">
        <v>110807</v>
      </c>
      <c r="AK86" s="145" t="n">
        <v>149834</v>
      </c>
      <c r="AL86" s="145" t="n">
        <v>44391</v>
      </c>
      <c r="AM86" s="145" t="n">
        <v>87087</v>
      </c>
      <c r="AN86" s="145" t="n">
        <v>137792</v>
      </c>
      <c r="AO86" s="145" t="n">
        <v>187927</v>
      </c>
      <c r="AP86" s="145" t="n">
        <v>55786</v>
      </c>
      <c r="AQ86" s="145" t="n">
        <v>120940</v>
      </c>
      <c r="AR86" s="145" t="n">
        <v>185273</v>
      </c>
      <c r="AS86" s="145" t="n">
        <v>245799</v>
      </c>
      <c r="AT86" s="145" t="n">
        <v>62262</v>
      </c>
      <c r="AU86" s="145" t="n">
        <v>134846</v>
      </c>
      <c r="AV86" s="145" t="n">
        <v>206167</v>
      </c>
      <c r="AW86" s="145" t="n">
        <v>276863</v>
      </c>
      <c r="AX86" s="145" t="n">
        <v>80596</v>
      </c>
      <c r="AY86" s="145" t="n">
        <v>169743</v>
      </c>
      <c r="AZ86" s="145" t="n">
        <v>248456</v>
      </c>
      <c r="BA86" s="145" t="n">
        <v>372416</v>
      </c>
      <c r="BB86" s="145" t="n">
        <v>58080</v>
      </c>
      <c r="BC86" s="145" t="n">
        <v>147320</v>
      </c>
      <c r="BD86" s="145" t="n">
        <v>258699</v>
      </c>
      <c r="BE86" s="145" t="n">
        <v>340337</v>
      </c>
      <c r="BF86" s="145" t="n">
        <v>75149</v>
      </c>
      <c r="BG86" s="145" t="n">
        <v>163425</v>
      </c>
      <c r="BH86" s="145" t="n">
        <v>247313</v>
      </c>
      <c r="BI86" s="145" t="n">
        <v>328515</v>
      </c>
      <c r="BJ86" s="145" t="n">
        <v>78678</v>
      </c>
      <c r="BK86" s="145" t="n">
        <v>179347</v>
      </c>
      <c r="BL86" s="145" t="n">
        <v>236609</v>
      </c>
      <c r="BM86" s="145" t="n">
        <v>385913</v>
      </c>
      <c r="BN86" s="145" t="n">
        <v>71512</v>
      </c>
      <c r="BO86" s="145" t="n">
        <v>147140</v>
      </c>
      <c r="BP86" s="145" t="n">
        <v>224336</v>
      </c>
      <c r="BQ86" s="145" t="n">
        <v>309725</v>
      </c>
      <c r="BR86" s="145" t="n">
        <v>78436</v>
      </c>
      <c r="BS86" t="n">
        <v>84146</v>
      </c>
      <c r="BT86" t="inlineStr">
        <is>
          <t>IPGP-Financial-Data-Workbook-2024-Q2.xlsx|Income Statement|18|93</t>
        </is>
      </c>
    </row>
    <row r="87">
      <c r="A87" s="22" t="inlineStr">
        <is>
          <t>Operating Income</t>
        </is>
      </c>
      <c r="B87" s="133" t="n"/>
      <c r="C87" s="133" t="n"/>
      <c r="D87" s="133" t="n"/>
      <c r="E87" s="133" t="n"/>
      <c r="F87" s="133" t="n"/>
      <c r="G87" s="133" t="n"/>
      <c r="H87" s="133" t="n"/>
      <c r="I87" s="133" t="n"/>
      <c r="J87" s="133" t="n"/>
      <c r="K87" s="133" t="n"/>
      <c r="L87" s="133" t="n"/>
      <c r="M87" s="133" t="n"/>
      <c r="N87" s="133" t="n">
        <v>5331</v>
      </c>
      <c r="O87" s="133" t="n">
        <v>21042</v>
      </c>
      <c r="P87" s="133" t="n">
        <v>41587</v>
      </c>
      <c r="Q87" s="133" t="n">
        <v>80401</v>
      </c>
      <c r="R87" s="133" t="n">
        <v>34098</v>
      </c>
      <c r="S87" s="133" t="n">
        <v>80220</v>
      </c>
      <c r="T87" s="133" t="n">
        <v>129452</v>
      </c>
      <c r="U87" s="133" t="n">
        <v>175522</v>
      </c>
      <c r="V87" s="133" t="n">
        <v>45177</v>
      </c>
      <c r="W87" s="133" t="n">
        <v>101622</v>
      </c>
      <c r="X87" s="133" t="n">
        <v>161629</v>
      </c>
      <c r="Y87" s="133" t="n">
        <v>208888</v>
      </c>
      <c r="Z87" s="133" t="n">
        <v>49646</v>
      </c>
      <c r="AA87" s="133" t="n">
        <v>109521</v>
      </c>
      <c r="AB87" s="133" t="n">
        <v>169294</v>
      </c>
      <c r="AC87" s="133" t="n">
        <v>218147</v>
      </c>
      <c r="AD87" s="133" t="n">
        <v>57789</v>
      </c>
      <c r="AE87" s="133" t="n">
        <v>126538</v>
      </c>
      <c r="AF87" s="133" t="n">
        <v>204127</v>
      </c>
      <c r="AG87" s="133" t="n">
        <v>283758</v>
      </c>
      <c r="AH87" s="133" t="n">
        <v>82022</v>
      </c>
      <c r="AI87" s="133" t="n">
        <v>169465</v>
      </c>
      <c r="AJ87" s="133" t="n">
        <v>259027</v>
      </c>
      <c r="AK87" s="133" t="n">
        <v>342043</v>
      </c>
      <c r="AL87" s="133" t="n">
        <v>70019</v>
      </c>
      <c r="AM87" s="133" t="n">
        <v>165027</v>
      </c>
      <c r="AN87" s="133" t="n">
        <v>259113</v>
      </c>
      <c r="AO87" s="133" t="n">
        <v>364313</v>
      </c>
      <c r="AP87" s="133" t="n">
        <v>101481</v>
      </c>
      <c r="AQ87" s="133" t="n">
        <v>242623</v>
      </c>
      <c r="AR87" s="133" t="n">
        <v>402845</v>
      </c>
      <c r="AS87" s="133" t="n">
        <v>551112</v>
      </c>
      <c r="AT87" s="133" t="n">
        <v>141100</v>
      </c>
      <c r="AU87" s="133" t="n">
        <v>303491</v>
      </c>
      <c r="AV87" s="133" t="n">
        <v>427353</v>
      </c>
      <c r="AW87" s="133" t="n">
        <v>523405</v>
      </c>
      <c r="AX87" s="133" t="n">
        <v>68315</v>
      </c>
      <c r="AY87" s="133" t="n">
        <v>159405</v>
      </c>
      <c r="AZ87" s="133" t="n">
        <v>233550</v>
      </c>
      <c r="BA87" s="133" t="n">
        <v>233793</v>
      </c>
      <c r="BB87" s="133" t="n">
        <v>44796</v>
      </c>
      <c r="BC87" s="133" t="n">
        <v>92005</v>
      </c>
      <c r="BD87" s="133" t="n">
        <v>133418</v>
      </c>
      <c r="BE87" s="133" t="n">
        <v>198659</v>
      </c>
      <c r="BF87" s="133" t="n">
        <v>88842</v>
      </c>
      <c r="BG87" s="133" t="n">
        <v>181094</v>
      </c>
      <c r="BH87" s="133" t="n">
        <v>283080</v>
      </c>
      <c r="BI87" s="133" t="n">
        <v>367883</v>
      </c>
      <c r="BJ87" s="133" t="n">
        <v>93143</v>
      </c>
      <c r="BK87" s="133" t="n">
        <v>164818</v>
      </c>
      <c r="BL87" s="133" t="n">
        <v>257980</v>
      </c>
      <c r="BM87" s="133" t="n">
        <v>169500</v>
      </c>
      <c r="BN87" s="133" t="n">
        <v>75426</v>
      </c>
      <c r="BO87" s="133" t="n">
        <v>147489</v>
      </c>
      <c r="BP87" s="133" t="n">
        <v>203195</v>
      </c>
      <c r="BQ87" s="133" t="n">
        <v>231973</v>
      </c>
      <c r="BR87" s="133" t="n">
        <v>19100</v>
      </c>
      <c r="BS87" t="n">
        <v>12040</v>
      </c>
      <c r="BT87" t="inlineStr">
        <is>
          <t>IPGP-Financial-Data-Workbook-2024-Q2.xlsx|Income Statement|20|93</t>
        </is>
      </c>
    </row>
    <row r="88">
      <c r="A88" s="33" t="inlineStr">
        <is>
          <t>Interest income (expense), net</t>
        </is>
      </c>
      <c r="B88" s="145" t="n"/>
      <c r="C88" s="145" t="n"/>
      <c r="D88" s="145" t="n"/>
      <c r="E88" s="145" t="n"/>
      <c r="F88" s="145" t="n"/>
      <c r="G88" s="145" t="n"/>
      <c r="H88" s="145" t="n"/>
      <c r="I88" s="145" t="n"/>
      <c r="J88" s="145" t="n"/>
      <c r="K88" s="145" t="n"/>
      <c r="L88" s="145" t="n"/>
      <c r="M88" s="145" t="n"/>
      <c r="N88" s="145" t="n">
        <v>-208</v>
      </c>
      <c r="O88" s="145" t="n">
        <v>-399</v>
      </c>
      <c r="P88" s="145" t="n">
        <v>-749</v>
      </c>
      <c r="Q88" s="145" t="n">
        <v>-1188</v>
      </c>
      <c r="R88" s="145" t="n">
        <v>-206</v>
      </c>
      <c r="S88" s="145" t="n">
        <v>-376</v>
      </c>
      <c r="T88" s="145" t="n">
        <v>-585</v>
      </c>
      <c r="U88" s="145" t="n">
        <v>-681</v>
      </c>
      <c r="V88" s="145" t="n">
        <v>-129</v>
      </c>
      <c r="W88" s="145" t="n">
        <v>486</v>
      </c>
      <c r="X88" s="145" t="n">
        <v>541</v>
      </c>
      <c r="Y88" s="145" t="n">
        <v>319</v>
      </c>
      <c r="Z88" s="145" t="n">
        <v>-53</v>
      </c>
      <c r="AA88" s="145" t="n">
        <v>-88</v>
      </c>
      <c r="AB88" s="145" t="n">
        <v>-25</v>
      </c>
      <c r="AC88" s="145" t="n">
        <v>-1</v>
      </c>
      <c r="AD88" s="145" t="n">
        <v>-139</v>
      </c>
      <c r="AE88" s="145" t="n">
        <v>-139</v>
      </c>
      <c r="AF88" s="145" t="n">
        <v>-143</v>
      </c>
      <c r="AG88" s="145" t="n">
        <v>-77</v>
      </c>
      <c r="AH88" s="145" t="n">
        <v>-184</v>
      </c>
      <c r="AI88" s="145" t="n">
        <v>-296</v>
      </c>
      <c r="AJ88" s="145" t="n">
        <v>-335</v>
      </c>
      <c r="AK88" s="145" t="n">
        <v>-301</v>
      </c>
      <c r="AL88" s="145" t="n">
        <v>192</v>
      </c>
      <c r="AM88" s="145" t="n">
        <v>462</v>
      </c>
      <c r="AN88" s="145" t="n">
        <v>835</v>
      </c>
      <c r="AO88" s="145" t="n">
        <v>1304</v>
      </c>
      <c r="AP88" s="145" t="n">
        <v>308</v>
      </c>
      <c r="AQ88" s="145" t="n">
        <v>776</v>
      </c>
      <c r="AR88" s="145" t="n">
        <v>651</v>
      </c>
      <c r="AS88" s="145" t="n">
        <v>737</v>
      </c>
      <c r="AT88" s="145" t="n">
        <v>311</v>
      </c>
      <c r="AU88" s="145" t="n">
        <v>1040</v>
      </c>
      <c r="AV88" s="145" t="n">
        <v>4925</v>
      </c>
      <c r="AW88" s="145" t="n">
        <v>9057</v>
      </c>
      <c r="AX88" s="145" t="n">
        <v>3952</v>
      </c>
      <c r="AY88" s="145" t="n">
        <v>8003</v>
      </c>
      <c r="AZ88" s="145" t="n">
        <v>11737</v>
      </c>
      <c r="BA88" s="145" t="n">
        <v>14238</v>
      </c>
      <c r="BB88" s="145" t="n">
        <v>3073</v>
      </c>
      <c r="BC88" s="145" t="n">
        <v>4929</v>
      </c>
      <c r="BD88" s="145" t="n">
        <v>6097</v>
      </c>
      <c r="BE88" s="145" t="n">
        <v>6270</v>
      </c>
      <c r="BF88" s="145" t="n">
        <v>-495</v>
      </c>
      <c r="BG88" s="145" t="n">
        <v>-902</v>
      </c>
      <c r="BH88" s="145" t="n">
        <v>-1190</v>
      </c>
      <c r="BI88" s="145" t="n">
        <v>-1839</v>
      </c>
      <c r="BJ88" s="145" t="n">
        <v>-70</v>
      </c>
      <c r="BK88" s="145" t="n">
        <v>1107</v>
      </c>
      <c r="BL88" s="145" t="n">
        <v>4732</v>
      </c>
      <c r="BM88" s="145" t="n">
        <v>12620</v>
      </c>
      <c r="BN88" s="145" t="n">
        <v>7533</v>
      </c>
      <c r="BO88" s="145" t="n">
        <v>16797</v>
      </c>
      <c r="BP88" s="145" t="n">
        <v>28366</v>
      </c>
      <c r="BQ88" s="145" t="n">
        <v>41735</v>
      </c>
      <c r="BR88" s="145" t="n">
        <v>14177</v>
      </c>
      <c r="BS88" t="n">
        <v>12778</v>
      </c>
      <c r="BT88" t="inlineStr">
        <is>
          <t>IPGP-Financial-Data-Workbook-2024-Q2.xlsx|Income Statement|23|93</t>
        </is>
      </c>
    </row>
    <row r="89">
      <c r="A89" s="33" t="inlineStr">
        <is>
          <t>Other income (expense), net</t>
        </is>
      </c>
      <c r="B89" s="145" t="n"/>
      <c r="C89" s="145" t="n"/>
      <c r="D89" s="145" t="n"/>
      <c r="E89" s="145" t="n"/>
      <c r="F89" s="145" t="n"/>
      <c r="G89" s="145" t="n"/>
      <c r="H89" s="145" t="n"/>
      <c r="I89" s="145" t="n"/>
      <c r="J89" s="145" t="n"/>
      <c r="K89" s="145" t="n"/>
      <c r="L89" s="145" t="n"/>
      <c r="M89" s="145" t="n"/>
      <c r="N89" s="145" t="n">
        <v>-66</v>
      </c>
      <c r="O89" s="145" t="n">
        <v>-92</v>
      </c>
      <c r="P89" s="145" t="n">
        <v>-414</v>
      </c>
      <c r="Q89" s="145" t="n">
        <v>39</v>
      </c>
      <c r="R89" s="145" t="n">
        <v>8</v>
      </c>
      <c r="S89" s="145" t="n">
        <v>-610</v>
      </c>
      <c r="T89" s="145" t="n">
        <v>-465</v>
      </c>
      <c r="U89" s="145" t="n">
        <v>-257</v>
      </c>
      <c r="V89" s="145" t="n">
        <v>-1094</v>
      </c>
      <c r="W89" s="145" t="n">
        <v>-1186</v>
      </c>
      <c r="X89" s="145" t="n">
        <v>-981</v>
      </c>
      <c r="Y89" s="145" t="n">
        <v>8</v>
      </c>
      <c r="Z89" s="145" t="n">
        <v>70</v>
      </c>
      <c r="AA89" s="145" t="n">
        <v>-169</v>
      </c>
      <c r="AB89" s="145" t="n">
        <v>49</v>
      </c>
      <c r="AC89" s="145" t="n">
        <v>155</v>
      </c>
      <c r="AD89" s="145" t="n">
        <v>334</v>
      </c>
      <c r="AE89" s="145" t="n">
        <v>573</v>
      </c>
      <c r="AF89" s="145" t="n">
        <v>735</v>
      </c>
      <c r="AG89" s="145" t="n">
        <v>793</v>
      </c>
      <c r="AH89" s="145" t="n">
        <v>85</v>
      </c>
      <c r="AI89" s="145" t="n">
        <v>246</v>
      </c>
      <c r="AJ89" s="145" t="n">
        <v>378</v>
      </c>
      <c r="AK89" s="145" t="n">
        <v>-125</v>
      </c>
      <c r="AL89" s="145" t="n">
        <v>7</v>
      </c>
      <c r="AM89" s="145" t="n">
        <v>148</v>
      </c>
      <c r="AN89" s="145" t="n">
        <v>342</v>
      </c>
      <c r="AO89" s="145" t="n">
        <v>948</v>
      </c>
      <c r="AP89" s="145" t="n">
        <v>-529</v>
      </c>
      <c r="AQ89" s="145" t="n">
        <v>-506</v>
      </c>
      <c r="AR89" s="145" t="n">
        <v>-47</v>
      </c>
      <c r="AS89" s="145" t="n">
        <v>22</v>
      </c>
      <c r="AT89" s="145" t="n">
        <v>443</v>
      </c>
      <c r="AU89" s="145" t="n">
        <v>829</v>
      </c>
      <c r="AV89" s="145" t="n">
        <v>1252</v>
      </c>
      <c r="AW89" s="145" t="n">
        <v>1933</v>
      </c>
      <c r="AX89" s="145" t="n">
        <v>-9</v>
      </c>
      <c r="AY89" s="145" t="n">
        <v>649</v>
      </c>
      <c r="AZ89" s="145" t="n">
        <v>129</v>
      </c>
      <c r="BA89" s="145" t="n">
        <v>345</v>
      </c>
      <c r="BB89" s="145" t="n">
        <v>191</v>
      </c>
      <c r="BC89" s="145" t="n">
        <v>640</v>
      </c>
      <c r="BD89" s="145" t="n">
        <v>581</v>
      </c>
      <c r="BE89" s="145" t="n">
        <v>763</v>
      </c>
      <c r="BF89" s="145" t="n">
        <v>253</v>
      </c>
      <c r="BG89" s="145" t="n">
        <v>281</v>
      </c>
      <c r="BH89" s="145" t="n">
        <v>70</v>
      </c>
      <c r="BI89" s="145" t="n">
        <v>437</v>
      </c>
      <c r="BJ89" s="145" t="n">
        <v>-236</v>
      </c>
      <c r="BK89" s="145" t="n">
        <v>382</v>
      </c>
      <c r="BL89" s="145" t="n">
        <v>683</v>
      </c>
      <c r="BM89" s="145" t="n">
        <v>1231</v>
      </c>
      <c r="BN89" s="145" t="n">
        <v>331</v>
      </c>
      <c r="BO89" s="145" t="n">
        <v>616</v>
      </c>
      <c r="BP89" s="145" t="n">
        <v>1161</v>
      </c>
      <c r="BQ89" s="145" t="n">
        <v>1167</v>
      </c>
      <c r="BR89" s="145" t="n">
        <v>325</v>
      </c>
      <c r="BS89" t="n">
        <v>194</v>
      </c>
      <c r="BT89" t="inlineStr">
        <is>
          <t>IPGP-Financial-Data-Workbook-2024-Q2.xlsx|Income Statement|24|93</t>
        </is>
      </c>
    </row>
    <row r="90">
      <c r="A90" s="74" t="inlineStr">
        <is>
          <t>Total other income (expense), net</t>
        </is>
      </c>
      <c r="B90" s="145" t="n"/>
      <c r="C90" s="145" t="n"/>
      <c r="D90" s="145" t="n"/>
      <c r="E90" s="145" t="n"/>
      <c r="F90" s="145" t="n"/>
      <c r="G90" s="145" t="n"/>
      <c r="H90" s="145" t="n"/>
      <c r="I90" s="145" t="n"/>
      <c r="J90" s="145" t="n"/>
      <c r="K90" s="145" t="n"/>
      <c r="L90" s="145" t="n"/>
      <c r="M90" s="145" t="n"/>
      <c r="N90" s="145" t="n">
        <v>-274</v>
      </c>
      <c r="O90" s="145" t="n">
        <v>-491</v>
      </c>
      <c r="P90" s="145" t="n">
        <v>-1163</v>
      </c>
      <c r="Q90" s="145" t="n">
        <v>-1149</v>
      </c>
      <c r="R90" s="145" t="n">
        <v>-198</v>
      </c>
      <c r="S90" s="145" t="n">
        <v>-986</v>
      </c>
      <c r="T90" s="145" t="n">
        <v>-1050</v>
      </c>
      <c r="U90" s="145" t="n">
        <v>-938</v>
      </c>
      <c r="V90" s="145" t="n">
        <v>-1223</v>
      </c>
      <c r="W90" s="145" t="n">
        <v>-700</v>
      </c>
      <c r="X90" s="145" t="n">
        <v>-440</v>
      </c>
      <c r="Y90" s="145" t="n">
        <v>327</v>
      </c>
      <c r="Z90" s="145" t="n">
        <v>17</v>
      </c>
      <c r="AA90" s="145" t="n">
        <v>-257</v>
      </c>
      <c r="AB90" s="145" t="n">
        <v>24</v>
      </c>
      <c r="AC90" s="145" t="n">
        <v>154</v>
      </c>
      <c r="AD90" s="145" t="n">
        <v>195</v>
      </c>
      <c r="AE90" s="145" t="n">
        <v>434</v>
      </c>
      <c r="AF90" s="145" t="n">
        <v>592</v>
      </c>
      <c r="AG90" s="145" t="n">
        <v>716</v>
      </c>
      <c r="AH90" s="145" t="n">
        <v>-99</v>
      </c>
      <c r="AI90" s="145" t="n">
        <v>-50</v>
      </c>
      <c r="AJ90" s="145" t="n">
        <v>43</v>
      </c>
      <c r="AK90" s="145" t="n">
        <v>-426</v>
      </c>
      <c r="AL90" s="145" t="n">
        <v>199</v>
      </c>
      <c r="AM90" s="145" t="n">
        <v>610</v>
      </c>
      <c r="AN90" s="145" t="n">
        <v>1177</v>
      </c>
      <c r="AO90" s="145" t="n">
        <v>2252</v>
      </c>
      <c r="AP90" s="145" t="n">
        <v>-221</v>
      </c>
      <c r="AQ90" s="145" t="n">
        <v>270</v>
      </c>
      <c r="AR90" s="145" t="n">
        <v>604</v>
      </c>
      <c r="AS90" s="145" t="n">
        <v>759</v>
      </c>
      <c r="AT90" s="145" t="n">
        <v>754</v>
      </c>
      <c r="AU90" s="145" t="n">
        <v>1869</v>
      </c>
      <c r="AV90" s="145" t="n">
        <v>6177</v>
      </c>
      <c r="AW90" s="145" t="n">
        <v>10990</v>
      </c>
      <c r="AX90" s="145" t="n">
        <v>3943</v>
      </c>
      <c r="AY90" s="145" t="n">
        <v>8652</v>
      </c>
      <c r="AZ90" s="145" t="n">
        <v>11866</v>
      </c>
      <c r="BA90" s="145" t="n">
        <v>14583</v>
      </c>
      <c r="BB90" s="145" t="n">
        <v>3264</v>
      </c>
      <c r="BC90" s="145" t="n">
        <v>5569</v>
      </c>
      <c r="BD90" s="145" t="n">
        <v>6678</v>
      </c>
      <c r="BE90" s="145" t="n">
        <v>7033</v>
      </c>
      <c r="BF90" s="145" t="n">
        <v>-242</v>
      </c>
      <c r="BG90" s="145" t="n">
        <v>-621</v>
      </c>
      <c r="BH90" s="145" t="n">
        <v>-1120</v>
      </c>
      <c r="BI90" s="145" t="n">
        <v>-1402</v>
      </c>
      <c r="BJ90" s="145" t="n">
        <v>-306</v>
      </c>
      <c r="BK90" s="145" t="n">
        <v>1489</v>
      </c>
      <c r="BL90" s="145" t="n">
        <v>5415</v>
      </c>
      <c r="BM90" s="145" t="n">
        <v>13851</v>
      </c>
      <c r="BN90" s="145" t="n">
        <v>7864</v>
      </c>
      <c r="BO90" s="145" t="n">
        <v>17413</v>
      </c>
      <c r="BP90" s="145" t="n">
        <v>29527</v>
      </c>
      <c r="BQ90" s="145" t="n">
        <v>42902</v>
      </c>
      <c r="BR90" s="145" t="n">
        <v>14502</v>
      </c>
      <c r="BS90" t="n">
        <v>12972</v>
      </c>
      <c r="BT90" t="inlineStr">
        <is>
          <t>IPGP-Financial-Data-Workbook-2024-Q2.xlsx|Income Statement|25|93</t>
        </is>
      </c>
    </row>
    <row r="91">
      <c r="A91" s="40" t="inlineStr">
        <is>
          <t>Income before provision for income taxes</t>
        </is>
      </c>
      <c r="B91" s="133" t="n"/>
      <c r="C91" s="133" t="n"/>
      <c r="D91" s="133" t="n"/>
      <c r="E91" s="133" t="n"/>
      <c r="F91" s="133" t="n"/>
      <c r="G91" s="133" t="n"/>
      <c r="H91" s="133" t="n"/>
      <c r="I91" s="133" t="n"/>
      <c r="J91" s="133" t="n"/>
      <c r="K91" s="133" t="n"/>
      <c r="L91" s="133" t="n"/>
      <c r="M91" s="133" t="n"/>
      <c r="N91" s="133" t="n">
        <v>5057</v>
      </c>
      <c r="O91" s="133" t="n">
        <v>20551</v>
      </c>
      <c r="P91" s="133" t="n">
        <v>40424</v>
      </c>
      <c r="Q91" s="133" t="n">
        <v>79252</v>
      </c>
      <c r="R91" s="133" t="n">
        <v>33900</v>
      </c>
      <c r="S91" s="133" t="n">
        <v>79234</v>
      </c>
      <c r="T91" s="133" t="n">
        <v>128402</v>
      </c>
      <c r="U91" s="133" t="n">
        <v>174584</v>
      </c>
      <c r="V91" s="133" t="n">
        <v>43954</v>
      </c>
      <c r="W91" s="133" t="n">
        <v>100922</v>
      </c>
      <c r="X91" s="133" t="n">
        <v>161189</v>
      </c>
      <c r="Y91" s="133" t="n">
        <v>209215</v>
      </c>
      <c r="Z91" s="133" t="n">
        <v>49663</v>
      </c>
      <c r="AA91" s="133" t="n">
        <v>109264</v>
      </c>
      <c r="AB91" s="133" t="n">
        <v>169318</v>
      </c>
      <c r="AC91" s="133" t="n">
        <v>218301</v>
      </c>
      <c r="AD91" s="133" t="n">
        <v>57984</v>
      </c>
      <c r="AE91" s="133" t="n">
        <v>126972</v>
      </c>
      <c r="AF91" s="133" t="n">
        <v>204719</v>
      </c>
      <c r="AG91" s="133" t="n">
        <v>284474</v>
      </c>
      <c r="AH91" s="133" t="n">
        <v>81923</v>
      </c>
      <c r="AI91" s="133" t="n">
        <v>169415</v>
      </c>
      <c r="AJ91" s="133" t="n">
        <v>259070</v>
      </c>
      <c r="AK91" s="133" t="n">
        <v>341617</v>
      </c>
      <c r="AL91" s="133" t="n">
        <v>70218</v>
      </c>
      <c r="AM91" s="133" t="n">
        <v>165637</v>
      </c>
      <c r="AN91" s="133" t="n">
        <v>260290</v>
      </c>
      <c r="AO91" s="133" t="n">
        <v>366565</v>
      </c>
      <c r="AP91" s="133" t="n">
        <v>101260</v>
      </c>
      <c r="AQ91" s="133" t="n">
        <v>242893</v>
      </c>
      <c r="AR91" s="133" t="n">
        <v>403449</v>
      </c>
      <c r="AS91" s="133" t="n">
        <v>551871</v>
      </c>
      <c r="AT91" s="133" t="n">
        <v>141854</v>
      </c>
      <c r="AU91" s="133" t="n">
        <v>305360</v>
      </c>
      <c r="AV91" s="133" t="n">
        <v>433530</v>
      </c>
      <c r="AW91" s="133" t="n">
        <v>534395</v>
      </c>
      <c r="AX91" s="133" t="n">
        <v>72258</v>
      </c>
      <c r="AY91" s="133" t="n">
        <v>168057</v>
      </c>
      <c r="AZ91" s="133" t="n">
        <v>245416</v>
      </c>
      <c r="BA91" s="133" t="n">
        <v>248376</v>
      </c>
      <c r="BB91" s="133" t="n">
        <v>48060</v>
      </c>
      <c r="BC91" s="133" t="n">
        <v>97574</v>
      </c>
      <c r="BD91" s="133" t="n">
        <v>140096</v>
      </c>
      <c r="BE91" s="133" t="n">
        <v>205692</v>
      </c>
      <c r="BF91" s="133" t="n">
        <v>88600</v>
      </c>
      <c r="BG91" s="133" t="n">
        <v>180473</v>
      </c>
      <c r="BH91" s="133" t="n">
        <v>281960</v>
      </c>
      <c r="BI91" s="133" t="n">
        <v>366481</v>
      </c>
      <c r="BJ91" s="133" t="n">
        <v>92837</v>
      </c>
      <c r="BK91" s="133" t="n">
        <v>166307</v>
      </c>
      <c r="BL91" s="133" t="n">
        <v>263395</v>
      </c>
      <c r="BM91" s="133" t="n">
        <v>183351</v>
      </c>
      <c r="BN91" s="133" t="n">
        <v>83290</v>
      </c>
      <c r="BO91" s="133" t="n">
        <v>164902</v>
      </c>
      <c r="BP91" s="133" t="n">
        <v>232722</v>
      </c>
      <c r="BQ91" s="133" t="n">
        <v>274875</v>
      </c>
      <c r="BR91" s="133" t="n">
        <v>33602</v>
      </c>
      <c r="BS91" t="n">
        <v>25012</v>
      </c>
      <c r="BT91" t="inlineStr">
        <is>
          <t>IPGP-Financial-Data-Workbook-2024-Q2.xlsx|Income Statement|27|93</t>
        </is>
      </c>
    </row>
    <row r="92">
      <c r="A92" s="74" t="inlineStr">
        <is>
          <t>Provision for income taxes</t>
        </is>
      </c>
      <c r="B92" s="145" t="n"/>
      <c r="C92" s="145" t="n"/>
      <c r="D92" s="145" t="n"/>
      <c r="E92" s="145" t="n"/>
      <c r="F92" s="145" t="n"/>
      <c r="G92" s="145" t="n"/>
      <c r="H92" s="145" t="n"/>
      <c r="I92" s="145" t="n"/>
      <c r="J92" s="145" t="n"/>
      <c r="K92" s="145" t="n"/>
      <c r="L92" s="145" t="n"/>
      <c r="M92" s="145" t="n"/>
      <c r="N92" s="145" t="n">
        <v>-1633</v>
      </c>
      <c r="O92" s="145" t="n">
        <v>-6782</v>
      </c>
      <c r="P92" s="145" t="n">
        <v>-13340</v>
      </c>
      <c r="Q92" s="145" t="n">
        <v>-24900</v>
      </c>
      <c r="R92" s="145" t="n">
        <v>-10522</v>
      </c>
      <c r="S92" s="145" t="n">
        <v>-24349</v>
      </c>
      <c r="T92" s="145" t="n">
        <v>-39248</v>
      </c>
      <c r="U92" s="145" t="n">
        <v>-53575</v>
      </c>
      <c r="V92" s="145" t="n">
        <v>-13406</v>
      </c>
      <c r="W92" s="145" t="n">
        <v>-30525</v>
      </c>
      <c r="X92" s="145" t="n">
        <v>-48357</v>
      </c>
      <c r="Y92" s="145" t="n">
        <v>-61471</v>
      </c>
      <c r="Z92" s="145" t="n">
        <v>-14536</v>
      </c>
      <c r="AA92" s="145" t="n">
        <v>-32417</v>
      </c>
      <c r="AB92" s="145" t="n">
        <v>-50133</v>
      </c>
      <c r="AC92" s="145" t="n">
        <v>-62521</v>
      </c>
      <c r="AD92" s="145" t="n">
        <v>-17453</v>
      </c>
      <c r="AE92" s="145" t="n">
        <v>-38158</v>
      </c>
      <c r="AF92" s="145" t="n">
        <v>-60705</v>
      </c>
      <c r="AG92" s="145" t="n">
        <v>-84029</v>
      </c>
      <c r="AH92" s="145" t="n">
        <v>-24577</v>
      </c>
      <c r="AI92" s="145" t="n">
        <v>-50825</v>
      </c>
      <c r="AJ92" s="145" t="n">
        <v>-77721</v>
      </c>
      <c r="AK92" s="145" t="n">
        <v>-99590</v>
      </c>
      <c r="AL92" s="145" t="n">
        <v>-20890</v>
      </c>
      <c r="AM92" s="145" t="n">
        <v>-49277</v>
      </c>
      <c r="AN92" s="145" t="n">
        <v>-74703</v>
      </c>
      <c r="AO92" s="145" t="n">
        <v>-105849</v>
      </c>
      <c r="AP92" s="145" t="n">
        <v>-26328</v>
      </c>
      <c r="AQ92" s="145" t="n">
        <v>-63858</v>
      </c>
      <c r="AR92" s="145" t="n">
        <v>-108817</v>
      </c>
      <c r="AS92" s="145" t="n">
        <v>-204283</v>
      </c>
      <c r="AT92" s="145" t="n">
        <v>-35520</v>
      </c>
      <c r="AU92" s="145" t="n">
        <v>-77409</v>
      </c>
      <c r="AV92" s="145" t="n">
        <v>-104827</v>
      </c>
      <c r="AW92" s="145" t="n">
        <v>-130226</v>
      </c>
      <c r="AX92" s="145" t="n">
        <v>-17342</v>
      </c>
      <c r="AY92" s="145" t="n">
        <v>-40620</v>
      </c>
      <c r="AZ92" s="145" t="n">
        <v>-60852</v>
      </c>
      <c r="BA92" s="145" t="n">
        <v>-68115</v>
      </c>
      <c r="BB92" s="145">
        <f>-11294</f>
        <v/>
      </c>
      <c r="BC92" s="145" t="n">
        <v>-22442</v>
      </c>
      <c r="BD92" s="145" t="n">
        <v>-29434</v>
      </c>
      <c r="BE92" s="145" t="n">
        <v>-45354</v>
      </c>
      <c r="BF92" s="145" t="n">
        <v>-20378</v>
      </c>
      <c r="BG92" s="145" t="n">
        <v>-42574</v>
      </c>
      <c r="BH92" s="145" t="n">
        <v>-69362</v>
      </c>
      <c r="BI92" s="145" t="n">
        <v>-88615</v>
      </c>
      <c r="BJ92" s="145" t="n">
        <v>-23209</v>
      </c>
      <c r="BK92" s="145" t="n">
        <v>-39348</v>
      </c>
      <c r="BL92" s="145" t="n">
        <v>-59738</v>
      </c>
      <c r="BM92" s="145" t="n">
        <v>-72589</v>
      </c>
      <c r="BN92" s="145" t="n">
        <v>-23155</v>
      </c>
      <c r="BO92" s="145" t="n">
        <v>-42446</v>
      </c>
      <c r="BP92" s="145" t="n">
        <v>-55272</v>
      </c>
      <c r="BQ92" s="145" t="n">
        <v>-55997</v>
      </c>
      <c r="BR92" s="145" t="n">
        <v>-9503</v>
      </c>
      <c r="BS92" t="n">
        <v>4858</v>
      </c>
      <c r="BT92" t="inlineStr">
        <is>
          <t>IPGP-Financial-Data-Workbook-2024-Q2.xlsx|Income Statement|28|93</t>
        </is>
      </c>
    </row>
    <row r="93">
      <c r="A93" s="40" t="inlineStr">
        <is>
          <t>Net income</t>
        </is>
      </c>
      <c r="B93" s="133" t="n"/>
      <c r="C93" s="133" t="n"/>
      <c r="D93" s="133" t="n"/>
      <c r="E93" s="133" t="n"/>
      <c r="F93" s="133" t="n"/>
      <c r="G93" s="133" t="n"/>
      <c r="H93" s="133" t="n"/>
      <c r="I93" s="133" t="n"/>
      <c r="J93" s="133" t="n"/>
      <c r="K93" s="133" t="n"/>
      <c r="L93" s="133" t="n"/>
      <c r="M93" s="133" t="n"/>
      <c r="N93" s="133" t="n">
        <v>3424</v>
      </c>
      <c r="O93" s="133" t="n">
        <v>13769</v>
      </c>
      <c r="P93" s="133" t="n">
        <v>27084</v>
      </c>
      <c r="Q93" s="133" t="n">
        <v>54352</v>
      </c>
      <c r="R93" s="133" t="n">
        <v>23378</v>
      </c>
      <c r="S93" s="133" t="n">
        <v>54885</v>
      </c>
      <c r="T93" s="133" t="n">
        <v>89154</v>
      </c>
      <c r="U93" s="133" t="n">
        <v>121009</v>
      </c>
      <c r="V93" s="133" t="n">
        <v>30548</v>
      </c>
      <c r="W93" s="133" t="n">
        <v>70397</v>
      </c>
      <c r="X93" s="133" t="n">
        <v>112832</v>
      </c>
      <c r="Y93" s="133" t="n">
        <v>147744</v>
      </c>
      <c r="Z93" s="133" t="n">
        <v>35127</v>
      </c>
      <c r="AA93" s="133" t="n">
        <v>76847</v>
      </c>
      <c r="AB93" s="133" t="n">
        <v>119185</v>
      </c>
      <c r="AC93" s="133" t="n">
        <v>155780</v>
      </c>
      <c r="AD93" s="133" t="n">
        <v>40531</v>
      </c>
      <c r="AE93" s="133" t="n">
        <v>88814</v>
      </c>
      <c r="AF93" s="133" t="n">
        <v>144014</v>
      </c>
      <c r="AG93" s="133" t="n">
        <v>200445</v>
      </c>
      <c r="AH93" s="133" t="n">
        <v>57346</v>
      </c>
      <c r="AI93" s="133" t="n">
        <v>118590</v>
      </c>
      <c r="AJ93" s="133" t="n">
        <v>181349</v>
      </c>
      <c r="AK93" s="133" t="n">
        <v>242027</v>
      </c>
      <c r="AL93" s="133" t="n">
        <v>49328</v>
      </c>
      <c r="AM93" s="133" t="n">
        <v>116360</v>
      </c>
      <c r="AN93" s="133" t="n">
        <v>185587</v>
      </c>
      <c r="AO93" s="133" t="n">
        <v>260716</v>
      </c>
      <c r="AP93" s="133" t="n">
        <v>74932</v>
      </c>
      <c r="AQ93" s="133" t="n">
        <v>179035</v>
      </c>
      <c r="AR93" s="133" t="n">
        <v>294632</v>
      </c>
      <c r="AS93" s="133" t="n">
        <v>347588</v>
      </c>
      <c r="AT93" s="133" t="n">
        <v>106334</v>
      </c>
      <c r="AU93" s="133" t="n">
        <v>227951</v>
      </c>
      <c r="AV93" s="133" t="n">
        <v>328703</v>
      </c>
      <c r="AW93" s="133" t="n">
        <v>404169</v>
      </c>
      <c r="AX93" s="133" t="n">
        <v>54916</v>
      </c>
      <c r="AY93" s="133" t="n">
        <v>127437</v>
      </c>
      <c r="AZ93" s="133" t="n">
        <v>184564</v>
      </c>
      <c r="BA93" s="133" t="n">
        <v>180261</v>
      </c>
      <c r="BB93" s="133" t="n">
        <v>36766</v>
      </c>
      <c r="BC93" s="133" t="n">
        <v>75132</v>
      </c>
      <c r="BD93" s="133" t="n">
        <v>110662</v>
      </c>
      <c r="BE93" s="133" t="n">
        <v>160338</v>
      </c>
      <c r="BF93" s="133" t="n">
        <v>68222</v>
      </c>
      <c r="BG93" s="133" t="n">
        <v>137899</v>
      </c>
      <c r="BH93" s="133" t="n">
        <v>212598</v>
      </c>
      <c r="BI93" s="133" t="n">
        <v>277866</v>
      </c>
      <c r="BJ93" s="133" t="n">
        <v>69628</v>
      </c>
      <c r="BK93" s="133" t="n">
        <v>126959</v>
      </c>
      <c r="BL93" s="133" t="n">
        <v>203657</v>
      </c>
      <c r="BM93" s="133" t="n">
        <v>110762</v>
      </c>
      <c r="BN93" s="133" t="n">
        <v>60135</v>
      </c>
      <c r="BO93" s="133" t="n">
        <v>122456</v>
      </c>
      <c r="BP93" s="133" t="n">
        <v>177450</v>
      </c>
      <c r="BQ93" s="133" t="n">
        <v>218878</v>
      </c>
      <c r="BR93" s="133" t="n">
        <v>24099</v>
      </c>
      <c r="BS93" t="n">
        <v>20154</v>
      </c>
      <c r="BT93" t="inlineStr">
        <is>
          <t>IPGP-Financial-Data-Workbook-2024-Q2.xlsx|Income Statement|30|93</t>
        </is>
      </c>
    </row>
    <row r="94">
      <c r="A94" s="74" t="inlineStr">
        <is>
          <t>Less: Net loss attributable to noncontrolling interests</t>
        </is>
      </c>
      <c r="B94" s="145" t="n"/>
      <c r="C94" s="145" t="n"/>
      <c r="D94" s="145" t="n"/>
      <c r="E94" s="145" t="n"/>
      <c r="F94" s="145" t="n"/>
      <c r="G94" s="145" t="n"/>
      <c r="H94" s="145" t="n"/>
      <c r="I94" s="145" t="n"/>
      <c r="J94" s="145" t="n"/>
      <c r="K94" s="145" t="n"/>
      <c r="L94" s="145" t="n"/>
      <c r="M94" s="145" t="n"/>
      <c r="N94" s="145" t="n">
        <v>27</v>
      </c>
      <c r="O94" s="145" t="n">
        <v>66</v>
      </c>
      <c r="P94" s="145" t="n">
        <v>155</v>
      </c>
      <c r="Q94" s="145" t="n">
        <v>361</v>
      </c>
      <c r="R94" s="145" t="n">
        <v>310</v>
      </c>
      <c r="S94" s="145" t="n">
        <v>1081</v>
      </c>
      <c r="T94" s="145" t="n">
        <v>2481</v>
      </c>
      <c r="U94" s="145" t="n">
        <v>3250</v>
      </c>
      <c r="V94" s="145" t="n">
        <v>633</v>
      </c>
      <c r="W94" s="145" t="n">
        <v>2740</v>
      </c>
      <c r="X94" s="145" t="n">
        <v>2740</v>
      </c>
      <c r="Y94" s="145" t="n">
        <v>2740</v>
      </c>
      <c r="Z94" s="145" t="n">
        <v>0</v>
      </c>
      <c r="AA94" s="145" t="n">
        <v>0</v>
      </c>
      <c r="AB94" s="145" t="n">
        <v>0</v>
      </c>
      <c r="AC94" s="145" t="n">
        <v>0</v>
      </c>
      <c r="AD94" s="145" t="n">
        <v>0</v>
      </c>
      <c r="AE94" s="145" t="n">
        <v>0</v>
      </c>
      <c r="AF94" s="145" t="n">
        <v>0</v>
      </c>
      <c r="AG94" s="145" t="n">
        <v>0</v>
      </c>
      <c r="AH94" s="145" t="n">
        <v>-13</v>
      </c>
      <c r="AI94" s="145" t="n">
        <v>-68</v>
      </c>
      <c r="AJ94" s="145" t="n">
        <v>-101</v>
      </c>
      <c r="AK94" s="145" t="n">
        <v>-127</v>
      </c>
      <c r="AL94" s="145" t="n">
        <v>2</v>
      </c>
      <c r="AM94" s="145" t="n">
        <v>-25</v>
      </c>
      <c r="AN94" s="145" t="n">
        <v>-33</v>
      </c>
      <c r="AO94" s="145" t="n">
        <v>-36</v>
      </c>
      <c r="AP94" s="145" t="n">
        <v>-13</v>
      </c>
      <c r="AQ94" s="145" t="n">
        <v>-26</v>
      </c>
      <c r="AR94" s="145" t="n">
        <v>-26</v>
      </c>
      <c r="AS94" s="145" t="n">
        <v>-26</v>
      </c>
      <c r="AT94" s="145" t="n">
        <v>0</v>
      </c>
      <c r="AU94" s="145" t="n">
        <v>0</v>
      </c>
      <c r="AV94" s="145" t="n">
        <v>235</v>
      </c>
      <c r="AW94" s="145" t="n">
        <v>142</v>
      </c>
      <c r="AX94" s="145" t="n">
        <v>-243</v>
      </c>
      <c r="AY94" s="145" t="n">
        <v>6</v>
      </c>
      <c r="AZ94" s="145" t="n">
        <v>-120</v>
      </c>
      <c r="BA94" s="145" t="n">
        <v>27</v>
      </c>
      <c r="BB94" s="145" t="n">
        <v>363</v>
      </c>
      <c r="BC94" s="145" t="n">
        <v>503</v>
      </c>
      <c r="BD94" s="145" t="n">
        <v>429</v>
      </c>
      <c r="BE94" s="145" t="n">
        <v>766</v>
      </c>
      <c r="BF94" s="145" t="n">
        <v>95</v>
      </c>
      <c r="BG94" s="145" t="n">
        <v>-28</v>
      </c>
      <c r="BH94" s="145" t="n">
        <v>-731</v>
      </c>
      <c r="BI94" s="145" t="n">
        <v>-550</v>
      </c>
      <c r="BJ94" s="145" t="n">
        <v>56</v>
      </c>
      <c r="BK94" s="145" t="n">
        <v>419</v>
      </c>
      <c r="BL94" s="145" t="n">
        <v>853</v>
      </c>
      <c r="BM94" s="145" t="n">
        <v>853</v>
      </c>
      <c r="BN94" s="145" t="n">
        <v>0</v>
      </c>
      <c r="BO94" s="145" t="n"/>
      <c r="BP94" s="145" t="n">
        <v>0</v>
      </c>
      <c r="BQ94" s="145" t="n"/>
      <c r="BR94" s="145" t="n"/>
    </row>
    <row r="95">
      <c r="A95" s="22" t="inlineStr">
        <is>
          <t>Net income attributable to IPG Photonics Corporation</t>
        </is>
      </c>
      <c r="B95" s="133" t="n"/>
      <c r="C95" s="133" t="n"/>
      <c r="D95" s="133" t="n"/>
      <c r="E95" s="133" t="n"/>
      <c r="F95" s="133" t="n"/>
      <c r="G95" s="133" t="n"/>
      <c r="H95" s="133" t="n"/>
      <c r="I95" s="133" t="n"/>
      <c r="J95" s="133" t="n"/>
      <c r="K95" s="133" t="n"/>
      <c r="L95" s="133" t="n"/>
      <c r="M95" s="133" t="n"/>
      <c r="N95" s="133" t="n">
        <v>3397</v>
      </c>
      <c r="O95" s="133" t="n">
        <v>13703</v>
      </c>
      <c r="P95" s="133" t="n">
        <v>26929</v>
      </c>
      <c r="Q95" s="133" t="n">
        <v>53991</v>
      </c>
      <c r="R95" s="133" t="n">
        <v>23068</v>
      </c>
      <c r="S95" s="133" t="n">
        <v>53804</v>
      </c>
      <c r="T95" s="133" t="n">
        <v>86673</v>
      </c>
      <c r="U95" s="133" t="n">
        <v>117759</v>
      </c>
      <c r="V95" s="133" t="n">
        <v>29915</v>
      </c>
      <c r="W95" s="133" t="n">
        <v>67657</v>
      </c>
      <c r="X95" s="133" t="n">
        <v>110092</v>
      </c>
      <c r="Y95" s="133" t="n">
        <v>145004</v>
      </c>
      <c r="Z95" s="147">
        <f>Z93-Z94</f>
        <v/>
      </c>
      <c r="AA95" s="147">
        <f>AA93-AA94</f>
        <v/>
      </c>
      <c r="AB95" s="147">
        <f>AB93-AB94</f>
        <v/>
      </c>
      <c r="AC95" s="133" t="n">
        <v>155780</v>
      </c>
      <c r="AD95" s="133" t="n">
        <v>40531</v>
      </c>
      <c r="AE95" s="133" t="n">
        <v>88814</v>
      </c>
      <c r="AF95" s="133" t="n">
        <v>144014</v>
      </c>
      <c r="AG95" s="133" t="n">
        <v>200445</v>
      </c>
      <c r="AH95" s="133" t="n">
        <v>57359</v>
      </c>
      <c r="AI95" s="133" t="n">
        <v>118658</v>
      </c>
      <c r="AJ95" s="133" t="n">
        <v>181450</v>
      </c>
      <c r="AK95" s="133" t="n">
        <v>242154</v>
      </c>
      <c r="AL95" s="133" t="n">
        <v>49326</v>
      </c>
      <c r="AM95" s="133" t="n">
        <v>116385</v>
      </c>
      <c r="AN95" s="133" t="n">
        <v>185620</v>
      </c>
      <c r="AO95" s="133" t="n">
        <v>260752</v>
      </c>
      <c r="AP95" s="133" t="n">
        <v>74945</v>
      </c>
      <c r="AQ95" s="133" t="n">
        <v>179061</v>
      </c>
      <c r="AR95" s="133" t="n">
        <v>294658</v>
      </c>
      <c r="AS95" s="133" t="n">
        <v>347614</v>
      </c>
      <c r="AT95" s="133" t="n">
        <v>106334</v>
      </c>
      <c r="AU95" s="133" t="n">
        <v>227951</v>
      </c>
      <c r="AV95" s="133" t="n">
        <v>328468</v>
      </c>
      <c r="AW95" s="133" t="n">
        <v>404027</v>
      </c>
      <c r="AX95" s="133" t="n">
        <v>55159</v>
      </c>
      <c r="AY95" s="133" t="n">
        <v>127431</v>
      </c>
      <c r="AZ95" s="133" t="n">
        <v>184684</v>
      </c>
      <c r="BA95" s="133" t="n">
        <v>180234</v>
      </c>
      <c r="BB95" s="133" t="n">
        <v>36403</v>
      </c>
      <c r="BC95" s="133" t="n">
        <v>74629</v>
      </c>
      <c r="BD95" s="133" t="n">
        <v>110233</v>
      </c>
      <c r="BE95" s="133" t="n">
        <v>159572</v>
      </c>
      <c r="BF95" s="133" t="n">
        <v>68127</v>
      </c>
      <c r="BG95" s="133" t="n">
        <v>137927</v>
      </c>
      <c r="BH95" s="133" t="n">
        <v>213329</v>
      </c>
      <c r="BI95" s="133" t="n">
        <v>278416</v>
      </c>
      <c r="BJ95" s="133" t="n">
        <v>69572</v>
      </c>
      <c r="BK95" s="133" t="n">
        <v>126540</v>
      </c>
      <c r="BL95" s="133" t="n">
        <v>202804</v>
      </c>
      <c r="BM95" s="133" t="n">
        <v>109909</v>
      </c>
      <c r="BN95" s="133" t="n">
        <v>60135</v>
      </c>
      <c r="BO95" s="133" t="n">
        <v>122456</v>
      </c>
      <c r="BP95" s="133" t="n">
        <v>177450</v>
      </c>
      <c r="BQ95" s="133" t="n">
        <v>218878</v>
      </c>
      <c r="BR95" s="133" t="n">
        <v>24099</v>
      </c>
      <c r="BS95" t="n">
        <v>20154</v>
      </c>
      <c r="BT95" t="inlineStr">
        <is>
          <t>IPGP-Financial-Data-Workbook-2024-Q2.xlsx|Income Statement|33|93</t>
        </is>
      </c>
    </row>
    <row r="96">
      <c r="A96" s="22" t="inlineStr">
        <is>
          <t>Net income attributable to IPG Photonics Corporation per share</t>
        </is>
      </c>
      <c r="B96" s="145" t="n"/>
      <c r="C96" s="145" t="n"/>
      <c r="D96" s="145" t="n"/>
      <c r="E96" s="145" t="n"/>
      <c r="F96" s="145" t="n"/>
      <c r="G96" s="145" t="n"/>
      <c r="H96" s="145" t="n"/>
      <c r="I96" s="145" t="n"/>
      <c r="J96" s="145" t="n"/>
      <c r="K96" s="145" t="n"/>
      <c r="L96" s="145" t="n"/>
      <c r="M96" s="145" t="n"/>
      <c r="N96" s="145" t="n"/>
      <c r="O96" s="145" t="n"/>
      <c r="P96" s="145" t="n"/>
      <c r="Q96" s="145" t="n"/>
      <c r="R96" s="145" t="n"/>
      <c r="S96" s="145" t="n"/>
      <c r="T96" s="145" t="n"/>
      <c r="U96" s="145" t="n"/>
      <c r="V96" s="145" t="n"/>
      <c r="W96" s="145" t="n"/>
      <c r="X96" s="145" t="n"/>
      <c r="Y96" s="145" t="n"/>
      <c r="Z96" s="145" t="n"/>
      <c r="AA96" s="145" t="n"/>
      <c r="AB96" s="145" t="n"/>
      <c r="AC96" s="145" t="n"/>
      <c r="AD96" s="145" t="n"/>
      <c r="AE96" s="145" t="n"/>
      <c r="AF96" s="145" t="n"/>
      <c r="AG96" s="145" t="n"/>
      <c r="AH96" s="145" t="n"/>
      <c r="AI96" s="145" t="n"/>
      <c r="AJ96" s="145" t="n"/>
      <c r="AK96" s="145" t="n"/>
      <c r="AL96" s="145" t="n"/>
      <c r="AM96" s="145" t="n"/>
      <c r="AN96" s="145" t="n"/>
      <c r="AO96" s="145" t="n"/>
      <c r="AP96" s="145" t="n"/>
      <c r="AQ96" s="145" t="n"/>
      <c r="AR96" s="145" t="n"/>
      <c r="AS96" s="145" t="n"/>
      <c r="AT96" s="145" t="n"/>
      <c r="AU96" s="145" t="n"/>
      <c r="AV96" s="145" t="n"/>
      <c r="AW96" s="145" t="n"/>
      <c r="AX96" s="145" t="n"/>
      <c r="AY96" s="145" t="n"/>
      <c r="AZ96" s="145" t="n"/>
      <c r="BA96" s="145" t="n"/>
      <c r="BB96" s="145" t="n"/>
      <c r="BC96" s="145" t="n"/>
      <c r="BD96" s="145" t="n"/>
      <c r="BE96" s="145" t="n"/>
      <c r="BF96" s="145" t="n"/>
      <c r="BG96" s="145" t="n"/>
      <c r="BH96" s="145" t="n"/>
      <c r="BJ96" s="145" t="n"/>
      <c r="BN96" s="145" t="n"/>
      <c r="BO96" s="145" t="n"/>
      <c r="BR96" s="145" t="n"/>
    </row>
    <row r="97">
      <c r="A97" s="74" t="inlineStr">
        <is>
          <t>Basic</t>
        </is>
      </c>
      <c r="B97" s="670" t="n"/>
      <c r="C97" s="670" t="n"/>
      <c r="D97" s="670" t="n"/>
      <c r="E97" s="670" t="n"/>
      <c r="F97" s="670" t="n"/>
      <c r="G97" s="670" t="n"/>
      <c r="H97" s="670" t="n"/>
      <c r="I97" s="670" t="n"/>
      <c r="J97" s="670" t="n"/>
      <c r="K97" s="670" t="n"/>
      <c r="L97" s="670" t="n"/>
      <c r="M97" s="670" t="n"/>
      <c r="N97" s="670" t="n">
        <v>0.07000000000000001</v>
      </c>
      <c r="O97" s="670" t="n">
        <v>0.3</v>
      </c>
      <c r="P97" s="670" t="n">
        <v>0.58</v>
      </c>
      <c r="Q97" s="670" t="n">
        <v>1.16</v>
      </c>
      <c r="R97" s="670" t="n">
        <v>0.49</v>
      </c>
      <c r="S97" s="670" t="n">
        <v>1.14</v>
      </c>
      <c r="T97" s="670" t="n">
        <v>1.82</v>
      </c>
      <c r="U97" s="670" t="n">
        <v>2.48</v>
      </c>
      <c r="V97" s="670" t="n">
        <v>0.63</v>
      </c>
      <c r="W97" s="670" t="n">
        <v>1.37</v>
      </c>
      <c r="X97" s="670" t="n">
        <v>2.2</v>
      </c>
      <c r="Y97" s="670" t="n">
        <v>2.87</v>
      </c>
      <c r="Z97" s="670" t="n">
        <v>0.68</v>
      </c>
      <c r="AA97" s="670" t="n">
        <v>1.49</v>
      </c>
      <c r="AB97" s="670" t="n">
        <v>2.32</v>
      </c>
      <c r="AC97" s="670" t="n">
        <v>3.02</v>
      </c>
      <c r="AD97" s="670" t="n">
        <v>0.78</v>
      </c>
      <c r="AE97" s="670" t="n">
        <v>1.71</v>
      </c>
      <c r="AF97" s="670" t="n">
        <v>2.77</v>
      </c>
      <c r="AG97" s="670" t="n">
        <v>3.85</v>
      </c>
      <c r="AH97" s="670" t="n">
        <v>1.09</v>
      </c>
      <c r="AI97" s="670" t="n">
        <v>2.26</v>
      </c>
      <c r="AJ97" s="670" t="n">
        <v>3.45</v>
      </c>
      <c r="AK97" s="670" t="n">
        <v>4.6</v>
      </c>
      <c r="AL97" s="670" t="n">
        <v>0.93</v>
      </c>
      <c r="AM97" s="670" t="n">
        <v>2.2</v>
      </c>
      <c r="AN97" s="670" t="n">
        <v>3.5</v>
      </c>
      <c r="AO97" s="670" t="n">
        <v>4.91</v>
      </c>
      <c r="AP97" s="670" t="n">
        <v>1.4</v>
      </c>
      <c r="AQ97" s="670" t="n">
        <v>3.35</v>
      </c>
      <c r="AR97" s="670" t="n">
        <v>5.51</v>
      </c>
      <c r="AS97" s="670" t="n">
        <v>6.5</v>
      </c>
      <c r="AT97" s="670" t="n">
        <v>1.98</v>
      </c>
      <c r="AU97" s="670" t="n">
        <v>4.24</v>
      </c>
      <c r="AV97" s="670" t="n">
        <v>6.12</v>
      </c>
      <c r="AW97" s="670" t="n">
        <v>7.55</v>
      </c>
      <c r="AX97" s="670" t="n">
        <v>1.04</v>
      </c>
      <c r="AY97" s="670" t="n">
        <v>2.4</v>
      </c>
      <c r="AZ97" s="670" t="n">
        <v>3.48</v>
      </c>
      <c r="BA97" s="670" t="n">
        <v>3.4</v>
      </c>
      <c r="BB97" s="670" t="n">
        <v>0.6899999999999999</v>
      </c>
      <c r="BC97" s="670" t="n">
        <v>1.41</v>
      </c>
      <c r="BD97" s="670" t="n">
        <v>2.07</v>
      </c>
      <c r="BE97" s="670" t="n">
        <v>3</v>
      </c>
      <c r="BF97" s="670" t="n">
        <v>1.27</v>
      </c>
      <c r="BG97" s="670" t="n">
        <v>2.58</v>
      </c>
      <c r="BH97" s="670" t="n">
        <v>3.99</v>
      </c>
      <c r="BI97" s="670" t="n">
        <v>5.21</v>
      </c>
      <c r="BJ97" s="670" t="n">
        <v>1.32</v>
      </c>
      <c r="BK97" s="670" t="n">
        <v>2.42</v>
      </c>
      <c r="BL97" s="670" t="n">
        <v>3.94</v>
      </c>
      <c r="BM97" s="670" t="n">
        <v>2.17</v>
      </c>
      <c r="BN97" s="670" t="n">
        <v>1.26</v>
      </c>
      <c r="BO97" s="670" t="n">
        <v>2.58</v>
      </c>
      <c r="BP97" s="670" t="n">
        <v>3.75</v>
      </c>
      <c r="BQ97" s="670" t="n">
        <v>4.64</v>
      </c>
      <c r="BR97" s="670" t="n">
        <v>0.52</v>
      </c>
      <c r="BS97" s="843" t="n">
        <v>0.45</v>
      </c>
      <c r="BT97" t="inlineStr">
        <is>
          <t>IPGP-Financial-Data-Workbook-2024-Q2.xlsx|Income Statement|36|93</t>
        </is>
      </c>
    </row>
    <row r="98">
      <c r="A98" s="74" t="inlineStr">
        <is>
          <t>Diluted</t>
        </is>
      </c>
      <c r="B98" s="670" t="n"/>
      <c r="C98" s="670" t="n"/>
      <c r="D98" s="670" t="n"/>
      <c r="E98" s="670" t="n"/>
      <c r="F98" s="670" t="n"/>
      <c r="G98" s="670" t="n"/>
      <c r="H98" s="670" t="n"/>
      <c r="I98" s="670" t="n"/>
      <c r="J98" s="670" t="n"/>
      <c r="K98" s="670" t="n"/>
      <c r="L98" s="670" t="n"/>
      <c r="M98" s="670" t="n"/>
      <c r="N98" s="670" t="n">
        <v>0.07000000000000001</v>
      </c>
      <c r="O98" s="670" t="n">
        <v>0.29</v>
      </c>
      <c r="P98" s="670" t="n">
        <v>0.57</v>
      </c>
      <c r="Q98" s="670" t="n">
        <v>1.13</v>
      </c>
      <c r="R98" s="670" t="n">
        <v>0.47</v>
      </c>
      <c r="S98" s="670" t="n">
        <v>1.11</v>
      </c>
      <c r="T98" s="670" t="n">
        <v>1.77</v>
      </c>
      <c r="U98" s="670" t="n">
        <v>2.41</v>
      </c>
      <c r="V98" s="670" t="n">
        <v>0.61</v>
      </c>
      <c r="W98" s="670" t="n">
        <v>1.34</v>
      </c>
      <c r="X98" s="670" t="n">
        <v>2.16</v>
      </c>
      <c r="Y98" s="670" t="n">
        <v>2.81</v>
      </c>
      <c r="Z98" s="670" t="n">
        <v>0.67</v>
      </c>
      <c r="AA98" s="670" t="n">
        <v>1.47</v>
      </c>
      <c r="AB98" s="670" t="n">
        <v>2.28</v>
      </c>
      <c r="AC98" s="670" t="n">
        <v>2.97</v>
      </c>
      <c r="AD98" s="670" t="n">
        <v>0.77</v>
      </c>
      <c r="AE98" s="670" t="n">
        <v>1.68</v>
      </c>
      <c r="AF98" s="670" t="n">
        <v>2.73</v>
      </c>
      <c r="AG98" s="670" t="n">
        <v>3.79</v>
      </c>
      <c r="AH98" s="670" t="n">
        <v>1.08</v>
      </c>
      <c r="AI98" s="670" t="n">
        <v>2.22</v>
      </c>
      <c r="AJ98" s="670" t="n">
        <v>3.4</v>
      </c>
      <c r="AK98" s="670" t="n">
        <v>4.53</v>
      </c>
      <c r="AL98" s="670" t="n">
        <v>0.92</v>
      </c>
      <c r="AM98" s="670" t="n">
        <v>2.17</v>
      </c>
      <c r="AN98" s="670" t="n">
        <v>3.45</v>
      </c>
      <c r="AO98" s="670" t="n">
        <v>4.85</v>
      </c>
      <c r="AP98" s="670" t="n">
        <v>1.38</v>
      </c>
      <c r="AQ98" s="670" t="n">
        <v>3.29</v>
      </c>
      <c r="AR98" s="670" t="n">
        <v>5.4</v>
      </c>
      <c r="AS98" s="670" t="n">
        <v>6.36</v>
      </c>
      <c r="AT98" s="670" t="n">
        <v>1.93</v>
      </c>
      <c r="AU98" s="670" t="n">
        <v>4.14</v>
      </c>
      <c r="AV98" s="670" t="n">
        <v>5.97</v>
      </c>
      <c r="AW98" s="670" t="n">
        <v>7.38</v>
      </c>
      <c r="AX98" s="670" t="n">
        <v>1.02</v>
      </c>
      <c r="AY98" s="670" t="n">
        <v>2.36</v>
      </c>
      <c r="AZ98" s="670" t="n">
        <v>3.43</v>
      </c>
      <c r="BA98" s="670" t="n">
        <v>3.35</v>
      </c>
      <c r="BB98" s="670" t="n">
        <v>0.68</v>
      </c>
      <c r="BC98" s="670" t="n">
        <v>1.39</v>
      </c>
      <c r="BD98" s="670" t="n">
        <v>2.0535</v>
      </c>
      <c r="BE98" s="670" t="n">
        <v>2.97</v>
      </c>
      <c r="BF98" s="670" t="n">
        <v>1.26</v>
      </c>
      <c r="BG98" s="670" t="n">
        <v>2.55</v>
      </c>
      <c r="BH98" s="670" t="n">
        <v>3.95</v>
      </c>
      <c r="BI98" s="670" t="n">
        <v>5.16</v>
      </c>
      <c r="BJ98" s="670" t="n">
        <v>1.31</v>
      </c>
      <c r="BK98" s="670" t="n">
        <v>2.41</v>
      </c>
      <c r="BL98" s="670" t="n">
        <v>3.93</v>
      </c>
      <c r="BM98" s="670" t="n">
        <v>2.16</v>
      </c>
      <c r="BN98" s="670" t="n">
        <v>1.26</v>
      </c>
      <c r="BO98" s="670" t="n">
        <v>2.57</v>
      </c>
      <c r="BP98" s="670" t="n">
        <v>3.73</v>
      </c>
      <c r="BQ98" s="670" t="n">
        <v>4.63</v>
      </c>
      <c r="BR98" s="670" t="n">
        <v>0.52</v>
      </c>
      <c r="BS98" s="843" t="n">
        <v>0.45</v>
      </c>
      <c r="BT98" t="inlineStr">
        <is>
          <t>IPGP-Financial-Data-Workbook-2024-Q2.xlsx|Income Statement|37|93</t>
        </is>
      </c>
    </row>
    <row r="99">
      <c r="A99" s="22" t="inlineStr">
        <is>
          <t>Weighted average share outstanding</t>
        </is>
      </c>
      <c r="B99" s="145" t="n"/>
      <c r="C99" s="145" t="n"/>
      <c r="D99" s="145" t="n"/>
      <c r="E99" s="145" t="n"/>
      <c r="F99" s="145" t="n"/>
      <c r="G99" s="145" t="n"/>
      <c r="H99" s="145" t="n"/>
      <c r="I99" s="145" t="n"/>
      <c r="J99" s="145" t="n"/>
      <c r="K99" s="145" t="n"/>
      <c r="L99" s="145" t="n"/>
      <c r="M99" s="145" t="n"/>
      <c r="N99" s="145" t="n"/>
      <c r="O99" s="145" t="n"/>
      <c r="P99" s="145" t="n"/>
      <c r="Q99" s="145" t="n"/>
      <c r="R99" s="145" t="n"/>
      <c r="S99" s="145" t="n"/>
      <c r="T99" s="145" t="n"/>
      <c r="U99" s="145" t="n"/>
      <c r="V99" s="145" t="n"/>
      <c r="W99" s="145" t="n"/>
      <c r="X99" s="145" t="n"/>
      <c r="Y99" s="145" t="n"/>
      <c r="Z99" s="145" t="n"/>
      <c r="AA99" s="145" t="n"/>
      <c r="AB99" s="145" t="n"/>
      <c r="AC99" s="145" t="n"/>
      <c r="AD99" s="145" t="n"/>
      <c r="AE99" s="145" t="n"/>
      <c r="AF99" s="145" t="n"/>
      <c r="AG99" s="145" t="n"/>
      <c r="AH99" s="145" t="n"/>
      <c r="AI99" s="145" t="n"/>
      <c r="AJ99" s="145" t="n"/>
      <c r="AK99" s="145" t="n"/>
      <c r="AL99" s="145" t="n"/>
      <c r="AM99" s="145" t="n"/>
      <c r="AN99" s="145" t="n"/>
      <c r="AO99" s="145" t="n"/>
      <c r="AP99" s="145" t="n"/>
      <c r="AQ99" s="145" t="n"/>
      <c r="AR99" s="145" t="n"/>
      <c r="AS99" s="145" t="n"/>
      <c r="AT99" s="145" t="n"/>
      <c r="AU99" s="145" t="n"/>
      <c r="AV99" s="145" t="n"/>
      <c r="AW99" s="145" t="n"/>
      <c r="AX99" s="145" t="n"/>
      <c r="AY99" s="145" t="n"/>
      <c r="AZ99" s="145" t="n"/>
      <c r="BA99" s="145" t="n"/>
      <c r="BB99" s="145" t="n"/>
      <c r="BC99" s="145" t="n"/>
      <c r="BD99" s="145" t="n"/>
      <c r="BE99" s="145" t="n"/>
      <c r="BF99" s="145" t="n"/>
      <c r="BG99" s="145" t="n"/>
      <c r="BH99" s="145" t="n"/>
      <c r="BI99" s="145" t="n"/>
      <c r="BJ99" s="145" t="n"/>
      <c r="BK99" s="145" t="n"/>
      <c r="BL99" s="145" t="n"/>
      <c r="BM99" s="145" t="n"/>
      <c r="BN99" s="145" t="n"/>
      <c r="BO99" s="145" t="n"/>
      <c r="BP99" s="145" t="n"/>
      <c r="BQ99" s="145" t="n"/>
    </row>
    <row r="100">
      <c r="A100" s="74" t="inlineStr">
        <is>
          <t>Basic</t>
        </is>
      </c>
      <c r="B100" s="145" t="n"/>
      <c r="C100" s="145" t="n"/>
      <c r="D100" s="145" t="n"/>
      <c r="E100" s="145" t="n"/>
      <c r="F100" s="145" t="n"/>
      <c r="G100" s="145" t="n"/>
      <c r="H100" s="145" t="n"/>
      <c r="I100" s="145" t="n"/>
      <c r="J100" s="145" t="n"/>
      <c r="K100" s="145" t="n"/>
      <c r="L100" s="145" t="n"/>
      <c r="M100" s="145" t="n"/>
      <c r="N100" s="145" t="n">
        <v>46098</v>
      </c>
      <c r="O100" s="145" t="n">
        <v>46159</v>
      </c>
      <c r="P100" s="145" t="n">
        <v>46285</v>
      </c>
      <c r="Q100" s="145" t="n">
        <v>46424</v>
      </c>
      <c r="R100" s="145" t="n">
        <v>47099</v>
      </c>
      <c r="S100" s="145" t="n">
        <v>47205</v>
      </c>
      <c r="T100" s="145" t="n">
        <v>47298</v>
      </c>
      <c r="U100" s="145" t="n">
        <v>47365</v>
      </c>
      <c r="V100" s="145" t="n">
        <v>48446</v>
      </c>
      <c r="W100" s="145" t="n">
        <v>49717</v>
      </c>
      <c r="X100" s="145" t="n">
        <v>50204</v>
      </c>
      <c r="Y100" s="145" t="n">
        <v>50477</v>
      </c>
      <c r="Z100" s="145" t="n">
        <v>51407</v>
      </c>
      <c r="AA100" s="145" t="n">
        <v>51435</v>
      </c>
      <c r="AB100" s="145" t="n">
        <v>51474</v>
      </c>
      <c r="AC100" s="145" t="n">
        <v>51548</v>
      </c>
      <c r="AD100" s="145" t="n">
        <v>51970</v>
      </c>
      <c r="AE100" s="145" t="n">
        <v>52019</v>
      </c>
      <c r="AF100" s="145" t="n">
        <v>52060</v>
      </c>
      <c r="AG100" s="145" t="n">
        <v>52104</v>
      </c>
      <c r="AH100" s="145" t="n">
        <v>52486</v>
      </c>
      <c r="AI100" s="145" t="n">
        <v>52572</v>
      </c>
      <c r="AJ100" s="145" t="n">
        <v>52628</v>
      </c>
      <c r="AK100" s="145" t="n">
        <v>52676</v>
      </c>
      <c r="AL100" s="145" t="n">
        <v>52898</v>
      </c>
      <c r="AM100" s="145" t="n">
        <v>52981</v>
      </c>
      <c r="AN100" s="145" t="n">
        <v>53039</v>
      </c>
      <c r="AO100" s="145" t="n">
        <v>53068</v>
      </c>
      <c r="AP100" s="145" t="n">
        <v>53368</v>
      </c>
      <c r="AQ100" s="145" t="n">
        <v>53403</v>
      </c>
      <c r="AR100" s="145" t="n">
        <v>53453</v>
      </c>
      <c r="AS100" s="145" t="n">
        <v>53495</v>
      </c>
      <c r="AT100" s="145" t="n">
        <v>53694</v>
      </c>
      <c r="AU100" s="145" t="n">
        <v>53703</v>
      </c>
      <c r="AV100" s="145" t="n">
        <v>53677</v>
      </c>
      <c r="AW100" s="145" t="n">
        <v>53522</v>
      </c>
      <c r="AX100" s="145" t="n">
        <v>53001</v>
      </c>
      <c r="AY100" s="145" t="n">
        <v>53076</v>
      </c>
      <c r="AZ100" s="145" t="n">
        <v>53073</v>
      </c>
      <c r="BA100" s="145" t="n">
        <v>53061</v>
      </c>
      <c r="BB100" s="145" t="n">
        <v>53075</v>
      </c>
      <c r="BC100" s="145" t="n">
        <v>53083</v>
      </c>
      <c r="BD100" s="145" t="n">
        <v>53136</v>
      </c>
      <c r="BE100" s="145" t="n">
        <v>53186</v>
      </c>
      <c r="BF100" s="145" t="n">
        <v>53541</v>
      </c>
      <c r="BG100" s="145" t="n">
        <v>53548</v>
      </c>
      <c r="BH100" s="145" t="n">
        <v>53501</v>
      </c>
      <c r="BI100" s="145" t="n">
        <v>53410</v>
      </c>
      <c r="BJ100" s="145" t="n">
        <v>52810</v>
      </c>
      <c r="BK100" s="145" t="n">
        <v>52111</v>
      </c>
      <c r="BL100" s="145" t="n">
        <v>51449</v>
      </c>
      <c r="BM100" s="145" t="n">
        <v>50761</v>
      </c>
      <c r="BN100" s="145" t="n">
        <v>47542</v>
      </c>
      <c r="BO100" s="145" t="n">
        <v>47429</v>
      </c>
      <c r="BP100" s="145" t="n">
        <v>47364</v>
      </c>
      <c r="BQ100" s="145" t="n">
        <v>47154</v>
      </c>
      <c r="BR100" s="145" t="n">
        <v>45960</v>
      </c>
      <c r="BS100" t="n">
        <v>44918</v>
      </c>
      <c r="BT100" t="inlineStr">
        <is>
          <t>IPGP-Financial-Data-Workbook-2024-Q2.xlsx|Income Statement|40|93</t>
        </is>
      </c>
    </row>
    <row r="101">
      <c r="A101" s="74" t="inlineStr">
        <is>
          <t>Diluted</t>
        </is>
      </c>
      <c r="B101" s="145" t="n"/>
      <c r="C101" s="145" t="n"/>
      <c r="D101" s="145" t="n"/>
      <c r="E101" s="145" t="n"/>
      <c r="F101" s="145" t="n"/>
      <c r="G101" s="145" t="n"/>
      <c r="H101" s="145" t="n"/>
      <c r="I101" s="145" t="n"/>
      <c r="J101" s="145" t="n"/>
      <c r="K101" s="145" t="n"/>
      <c r="L101" s="145" t="n"/>
      <c r="M101" s="145" t="n"/>
      <c r="N101" s="145" t="n">
        <v>47191</v>
      </c>
      <c r="O101" s="145" t="n">
        <v>47262</v>
      </c>
      <c r="P101" s="145" t="n">
        <v>47410</v>
      </c>
      <c r="Q101" s="145" t="n">
        <v>47594</v>
      </c>
      <c r="R101" s="145" t="n">
        <v>48690</v>
      </c>
      <c r="S101" s="145" t="n">
        <v>48650</v>
      </c>
      <c r="T101" s="145" t="n">
        <v>48684</v>
      </c>
      <c r="U101" s="145" t="n">
        <v>48685</v>
      </c>
      <c r="V101" s="145" t="n">
        <v>49582</v>
      </c>
      <c r="W101" s="145" t="n">
        <v>50826</v>
      </c>
      <c r="X101" s="145" t="n">
        <v>51281</v>
      </c>
      <c r="Y101" s="145" t="n">
        <v>51536</v>
      </c>
      <c r="Z101" s="145" t="n">
        <v>52350</v>
      </c>
      <c r="AA101" s="145" t="n">
        <v>52357</v>
      </c>
      <c r="AB101" s="145" t="n">
        <v>52346</v>
      </c>
      <c r="AC101" s="145" t="n">
        <v>52375</v>
      </c>
      <c r="AD101" s="145" t="n">
        <v>52724</v>
      </c>
      <c r="AE101" s="145" t="n">
        <v>52747</v>
      </c>
      <c r="AF101" s="145" t="n">
        <v>52780</v>
      </c>
      <c r="AG101" s="145" t="n">
        <v>52824</v>
      </c>
      <c r="AH101" s="145" t="n">
        <v>53267</v>
      </c>
      <c r="AI101" s="145" t="n">
        <v>53355</v>
      </c>
      <c r="AJ101" s="145" t="n">
        <v>53390</v>
      </c>
      <c r="AK101" s="145" t="n">
        <v>53427</v>
      </c>
      <c r="AL101" s="145" t="n">
        <v>53621</v>
      </c>
      <c r="AM101" s="145" t="n">
        <v>53705</v>
      </c>
      <c r="AN101" s="145" t="n">
        <v>53752</v>
      </c>
      <c r="AO101" s="145" t="n">
        <v>53797</v>
      </c>
      <c r="AP101" s="145" t="n">
        <v>54370</v>
      </c>
      <c r="AQ101" s="145" t="n">
        <v>54450</v>
      </c>
      <c r="AR101" s="145" t="n">
        <v>54570</v>
      </c>
      <c r="AS101" s="145" t="n">
        <v>54699</v>
      </c>
      <c r="AT101" s="145" t="n">
        <v>55182</v>
      </c>
      <c r="AU101" s="145" t="n">
        <v>55111</v>
      </c>
      <c r="AV101" s="145" t="n">
        <v>54995</v>
      </c>
      <c r="AW101" s="145" t="n">
        <v>54726</v>
      </c>
      <c r="AX101" s="145" t="n">
        <v>53874</v>
      </c>
      <c r="AY101" s="145" t="n">
        <v>53915</v>
      </c>
      <c r="AZ101" s="145" t="n">
        <v>53864</v>
      </c>
      <c r="BA101" s="145" t="n">
        <v>53839</v>
      </c>
      <c r="BB101" s="145" t="n">
        <v>53676</v>
      </c>
      <c r="BC101" s="145" t="n">
        <v>53628</v>
      </c>
      <c r="BD101" s="145" t="n">
        <v>53691</v>
      </c>
      <c r="BE101" s="145" t="n">
        <v>53785</v>
      </c>
      <c r="BF101" s="145" t="n">
        <v>54201</v>
      </c>
      <c r="BG101" s="145" t="n">
        <v>54145</v>
      </c>
      <c r="BH101" s="145" t="n">
        <v>54053</v>
      </c>
      <c r="BI101" s="145" t="n">
        <v>53930</v>
      </c>
      <c r="BJ101" s="145" t="n">
        <v>53100</v>
      </c>
      <c r="BK101" s="145" t="n">
        <v>52311</v>
      </c>
      <c r="BL101" s="145" t="n">
        <v>51626</v>
      </c>
      <c r="BM101" s="145" t="n">
        <v>50925</v>
      </c>
      <c r="BN101" s="145" t="n">
        <v>47776</v>
      </c>
      <c r="BO101" s="145" t="n">
        <v>47618</v>
      </c>
      <c r="BP101" s="145" t="n">
        <v>47536</v>
      </c>
      <c r="BQ101" s="145" t="n">
        <v>47320</v>
      </c>
      <c r="BR101" s="145" t="n">
        <v>46175</v>
      </c>
      <c r="BS101" t="n">
        <v>45012</v>
      </c>
      <c r="BT101" t="inlineStr">
        <is>
          <t>IPGP-Financial-Data-Workbook-2024-Q2.xlsx|Income Statement|41|93</t>
        </is>
      </c>
    </row>
    <row r="102">
      <c r="A102" s="74" t="n"/>
      <c r="B102" s="145" t="n"/>
      <c r="C102" s="145" t="n"/>
      <c r="D102" s="145" t="n"/>
      <c r="E102" s="145" t="n"/>
      <c r="F102" s="145" t="n"/>
      <c r="G102" s="145" t="n"/>
      <c r="H102" s="145" t="n"/>
      <c r="I102" s="145" t="n"/>
      <c r="J102" s="145" t="n"/>
      <c r="K102" s="145" t="n"/>
      <c r="L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c r="AG102" s="145" t="n"/>
      <c r="AH102" s="145" t="n"/>
      <c r="AI102" s="145" t="n"/>
      <c r="AJ102" s="145" t="n"/>
      <c r="AK102" s="145" t="n"/>
      <c r="AL102" s="145" t="n"/>
      <c r="AM102" s="145" t="n"/>
      <c r="AN102" s="145" t="n"/>
      <c r="AO102" s="145" t="n"/>
      <c r="AP102" s="145" t="n"/>
      <c r="AQ102" s="145" t="n"/>
      <c r="AR102" s="145" t="n"/>
      <c r="AS102" s="145" t="n"/>
      <c r="AT102" s="145" t="n"/>
      <c r="AU102" s="145" t="n"/>
      <c r="AV102" s="145" t="n"/>
      <c r="AW102" s="145" t="n"/>
      <c r="AX102" s="145" t="n"/>
      <c r="AY102" s="145" t="n"/>
      <c r="AZ102" s="145" t="n"/>
      <c r="BA102" s="145" t="n"/>
      <c r="BB102" s="145" t="n"/>
      <c r="BC102" s="145" t="n"/>
      <c r="BD102" s="145" t="n"/>
      <c r="BE102" s="145" t="n"/>
      <c r="BF102" s="145" t="n"/>
      <c r="BG102" s="145" t="n"/>
      <c r="BH102" s="145" t="n"/>
      <c r="BJ102" s="145" t="n"/>
      <c r="BN102" s="145" t="n"/>
      <c r="BO102" s="145" t="n"/>
    </row>
    <row r="103">
      <c r="A103" s="22" t="inlineStr">
        <is>
          <t>Net income</t>
        </is>
      </c>
      <c r="B103" s="133" t="n"/>
      <c r="C103" s="133" t="n"/>
      <c r="D103" s="133" t="n"/>
      <c r="E103" s="133" t="n"/>
      <c r="F103" s="133" t="n"/>
      <c r="G103" s="133" t="n"/>
      <c r="H103" s="133" t="n"/>
      <c r="I103" s="133" t="n"/>
      <c r="J103" s="133" t="n"/>
      <c r="K103" s="133" t="n"/>
      <c r="L103" s="133" t="n"/>
      <c r="M103" s="133" t="n"/>
      <c r="N103" s="133" t="n">
        <v>3424</v>
      </c>
      <c r="O103" s="133" t="n">
        <v>13769</v>
      </c>
      <c r="P103" s="133" t="n">
        <v>27084</v>
      </c>
      <c r="Q103" s="133" t="n">
        <v>54352</v>
      </c>
      <c r="R103" s="133" t="n">
        <v>23378</v>
      </c>
      <c r="S103" s="133" t="n">
        <v>54885</v>
      </c>
      <c r="T103" s="133" t="n">
        <v>89154</v>
      </c>
      <c r="U103" s="133" t="n">
        <v>121009</v>
      </c>
      <c r="V103" s="133" t="n">
        <v>30548</v>
      </c>
      <c r="W103" s="133" t="n">
        <v>70397</v>
      </c>
      <c r="X103" s="133" t="n">
        <v>112832</v>
      </c>
      <c r="Y103" s="133" t="n">
        <v>147744</v>
      </c>
      <c r="Z103" s="133" t="n">
        <v>35127</v>
      </c>
      <c r="AA103" s="133" t="n">
        <v>76847</v>
      </c>
      <c r="AB103" s="133" t="n">
        <v>119185</v>
      </c>
      <c r="AC103" s="133" t="n">
        <v>155780</v>
      </c>
      <c r="AD103" s="133" t="n">
        <v>40531</v>
      </c>
      <c r="AE103" s="133" t="n">
        <v>88814</v>
      </c>
      <c r="AF103" s="133" t="n">
        <v>144014</v>
      </c>
      <c r="AG103" s="133" t="n">
        <v>200445</v>
      </c>
      <c r="AH103" s="133" t="n">
        <v>57346</v>
      </c>
      <c r="AI103" s="133" t="n">
        <v>118590</v>
      </c>
      <c r="AJ103" s="133" t="n">
        <v>181349</v>
      </c>
      <c r="AK103" s="133" t="n">
        <v>242027</v>
      </c>
      <c r="AL103" s="133" t="n">
        <v>49328</v>
      </c>
      <c r="AM103" s="133" t="n">
        <v>116360</v>
      </c>
      <c r="AN103" s="133" t="n">
        <v>185587</v>
      </c>
      <c r="AO103" s="133" t="n">
        <v>260716</v>
      </c>
      <c r="AP103" s="133" t="n">
        <v>74932</v>
      </c>
      <c r="AQ103" s="133" t="n">
        <v>179035</v>
      </c>
      <c r="AR103" s="133" t="n">
        <v>294632</v>
      </c>
      <c r="AS103" s="133" t="n">
        <v>347588</v>
      </c>
      <c r="AT103" s="133" t="n">
        <v>106334</v>
      </c>
      <c r="AU103" s="659" t="n"/>
      <c r="AV103" s="659" t="n"/>
      <c r="AW103" s="659" t="n"/>
      <c r="AX103" s="659" t="n"/>
      <c r="AY103" s="659" t="n"/>
      <c r="AZ103" s="659" t="n"/>
      <c r="BA103" s="659" t="n"/>
      <c r="BB103" s="659" t="n"/>
      <c r="BC103" s="659" t="n"/>
      <c r="BD103" s="659" t="n"/>
      <c r="BE103" s="659" t="n"/>
      <c r="BF103" s="659" t="n"/>
      <c r="BG103" s="659" t="n"/>
      <c r="BH103" s="659" t="n"/>
      <c r="BI103" s="659" t="n"/>
      <c r="BJ103" s="659" t="n"/>
      <c r="BK103" s="659" t="n"/>
      <c r="BL103" s="659" t="n"/>
      <c r="BM103" s="659" t="n"/>
      <c r="BN103" s="659" t="n"/>
      <c r="BO103" s="659" t="n"/>
      <c r="BP103" s="659" t="n"/>
      <c r="BQ103" s="659" t="n"/>
    </row>
    <row r="104">
      <c r="A104" s="33" t="inlineStr">
        <is>
          <t>Translation adjustments</t>
        </is>
      </c>
      <c r="B104" s="145" t="n"/>
      <c r="C104" s="145" t="n"/>
      <c r="D104" s="145" t="n"/>
      <c r="E104" s="145" t="n"/>
      <c r="F104" s="145" t="n"/>
      <c r="G104" s="145" t="n"/>
      <c r="H104" s="145" t="n"/>
      <c r="I104" s="145" t="n"/>
      <c r="J104" s="145" t="n"/>
      <c r="K104" s="145" t="n"/>
      <c r="L104" s="145" t="n"/>
      <c r="M104" s="145" t="n"/>
      <c r="N104" s="145" t="n">
        <v>-8452</v>
      </c>
      <c r="O104" s="145" t="n">
        <v>-20664</v>
      </c>
      <c r="P104" s="145" t="n">
        <v>-7162</v>
      </c>
      <c r="Q104" s="145" t="n">
        <v>-10662</v>
      </c>
      <c r="R104" s="145">
        <f>13599-634</f>
        <v/>
      </c>
      <c r="S104" s="145" t="n">
        <v>17335</v>
      </c>
      <c r="T104" s="145" t="n">
        <v>-5324</v>
      </c>
      <c r="U104" s="145" t="n">
        <v>-15167</v>
      </c>
      <c r="V104" s="145" t="n">
        <v>15043</v>
      </c>
      <c r="W104" s="145" t="n">
        <v>-6803</v>
      </c>
      <c r="X104" s="145" t="n">
        <v>3676</v>
      </c>
      <c r="Y104" s="145" t="n">
        <v>11225</v>
      </c>
      <c r="Z104" s="145" t="n">
        <v>-9628</v>
      </c>
      <c r="AA104" s="145" t="n">
        <v>-13986</v>
      </c>
      <c r="AB104" s="145" t="n">
        <v>-2094</v>
      </c>
      <c r="AC104" s="145" t="n">
        <v>1125</v>
      </c>
      <c r="AD104" s="145" t="n">
        <v>-12666</v>
      </c>
      <c r="AE104" s="145" t="n">
        <v>-5983</v>
      </c>
      <c r="AF104" s="145" t="n">
        <v>-52901</v>
      </c>
      <c r="AG104" s="145" t="n">
        <v>-110734</v>
      </c>
      <c r="AH104" s="145" t="n">
        <v>-38319</v>
      </c>
      <c r="AI104" s="145" t="n">
        <v>-27094</v>
      </c>
      <c r="AJ104" s="145" t="n">
        <v>-43634</v>
      </c>
      <c r="AK104" s="145" t="n">
        <v>-69314</v>
      </c>
      <c r="AL104" s="145" t="n">
        <v>28495</v>
      </c>
      <c r="AM104" s="145" t="n">
        <v>24880</v>
      </c>
      <c r="AN104" s="145" t="n">
        <v>32948</v>
      </c>
      <c r="AO104" s="145" t="n">
        <v>3163</v>
      </c>
      <c r="AP104" s="145" t="n">
        <v>26699</v>
      </c>
      <c r="AQ104" s="145" t="n">
        <v>59221</v>
      </c>
      <c r="AR104" s="145" t="n">
        <v>89076</v>
      </c>
      <c r="AS104" s="145" t="n">
        <v>100999</v>
      </c>
      <c r="AT104" s="145" t="n">
        <v>26638</v>
      </c>
      <c r="AU104" s="346" t="n"/>
      <c r="AV104" s="346" t="n"/>
      <c r="AW104" s="346" t="n"/>
      <c r="AX104" s="346" t="n"/>
      <c r="AY104" s="346" t="n"/>
      <c r="AZ104" s="346" t="n"/>
      <c r="BA104" s="346" t="n"/>
      <c r="BB104" s="346" t="n"/>
      <c r="BC104" s="346" t="n"/>
      <c r="BD104" s="346" t="n"/>
      <c r="BE104" s="346" t="n"/>
      <c r="BF104" s="346" t="n"/>
      <c r="BG104" s="346" t="n"/>
      <c r="BH104" s="346" t="n"/>
      <c r="BI104" s="346" t="n"/>
      <c r="BJ104" s="346" t="n"/>
      <c r="BK104" s="346" t="n"/>
      <c r="BL104" s="346" t="n"/>
      <c r="BM104" s="346" t="n"/>
      <c r="BN104" s="346" t="n"/>
      <c r="BO104" s="346" t="n"/>
      <c r="BP104" s="346" t="n"/>
      <c r="BQ104" s="346" t="n"/>
    </row>
    <row r="105">
      <c r="A105" s="33" t="inlineStr">
        <is>
          <t>Change in carrying value of auction rate securities</t>
        </is>
      </c>
      <c r="B105" s="145" t="n"/>
      <c r="C105" s="145" t="n"/>
      <c r="D105" s="145" t="n"/>
      <c r="E105" s="145" t="n"/>
      <c r="F105" s="145" t="n"/>
      <c r="G105" s="145" t="n"/>
      <c r="H105" s="145" t="n"/>
      <c r="I105" s="145" t="n"/>
      <c r="J105" s="145" t="n"/>
      <c r="K105" s="145" t="n"/>
      <c r="L105" s="145" t="n"/>
      <c r="M105" s="145" t="n"/>
      <c r="N105" s="145" t="n">
        <v>0</v>
      </c>
      <c r="O105" s="145" t="n">
        <v>0</v>
      </c>
      <c r="P105" s="145" t="n">
        <v>0</v>
      </c>
      <c r="Q105" s="145" t="n">
        <v>-27</v>
      </c>
      <c r="R105" s="145" t="n">
        <v>0</v>
      </c>
      <c r="S105" s="145" t="n">
        <v>0</v>
      </c>
      <c r="T105" s="145" t="n">
        <v>363</v>
      </c>
      <c r="U105" s="145" t="n">
        <v>232</v>
      </c>
      <c r="V105" s="145" t="n">
        <v>0</v>
      </c>
      <c r="W105" s="145" t="n">
        <v>0</v>
      </c>
      <c r="X105" s="145" t="n">
        <v>0</v>
      </c>
      <c r="Y105" s="145" t="n">
        <v>0</v>
      </c>
      <c r="Z105" s="145" t="n">
        <v>0</v>
      </c>
      <c r="AA105" s="145" t="n">
        <v>0</v>
      </c>
      <c r="AB105" s="145" t="n">
        <v>0</v>
      </c>
      <c r="AC105" s="145" t="n">
        <v>0</v>
      </c>
      <c r="AD105" s="145" t="n">
        <v>0</v>
      </c>
      <c r="AE105" s="145" t="n">
        <v>0</v>
      </c>
      <c r="AF105" s="145" t="n">
        <v>0</v>
      </c>
      <c r="AG105" s="145" t="n">
        <v>0</v>
      </c>
      <c r="AH105" s="145" t="n">
        <v>0</v>
      </c>
      <c r="AI105" s="145" t="n">
        <v>0</v>
      </c>
      <c r="AJ105" s="145" t="n">
        <v>0</v>
      </c>
      <c r="AK105" s="145" t="n">
        <v>0</v>
      </c>
      <c r="AL105" s="145" t="n">
        <v>0</v>
      </c>
      <c r="AM105" s="145" t="n">
        <v>0</v>
      </c>
      <c r="AN105" s="145" t="n">
        <v>0</v>
      </c>
      <c r="AO105" s="145" t="n">
        <v>0</v>
      </c>
      <c r="AP105" s="145" t="n">
        <v>0</v>
      </c>
      <c r="AQ105" s="145" t="n">
        <v>0</v>
      </c>
      <c r="AR105" s="145" t="n">
        <v>0</v>
      </c>
      <c r="AS105" s="145" t="n">
        <v>-58</v>
      </c>
      <c r="AT105" s="145" t="n"/>
      <c r="AU105" s="346" t="n"/>
      <c r="AV105" s="346" t="n"/>
      <c r="AW105" s="346" t="n"/>
      <c r="AX105" s="346" t="n"/>
      <c r="AY105" s="346" t="n"/>
      <c r="AZ105" s="346" t="n"/>
      <c r="BA105" s="346" t="n"/>
      <c r="BB105" s="346" t="n"/>
      <c r="BC105" s="346" t="n"/>
      <c r="BD105" s="346" t="n"/>
      <c r="BE105" s="346" t="n"/>
      <c r="BF105" s="346" t="n"/>
      <c r="BG105" s="346" t="n"/>
      <c r="BH105" s="346" t="n"/>
      <c r="BI105" s="346" t="n"/>
      <c r="BJ105" s="346" t="n"/>
      <c r="BK105" s="346" t="n"/>
      <c r="BL105" s="346" t="n"/>
      <c r="BM105" s="346" t="n"/>
      <c r="BN105" s="346" t="n"/>
      <c r="BO105" s="346" t="n"/>
      <c r="BP105" s="346" t="n"/>
      <c r="BQ105" s="346" t="n"/>
    </row>
    <row r="106">
      <c r="A106" s="33" t="inlineStr">
        <is>
          <t>Unrealized gain on derivatives</t>
        </is>
      </c>
      <c r="B106" s="145" t="n"/>
      <c r="C106" s="145" t="n"/>
      <c r="D106" s="145" t="n"/>
      <c r="E106" s="145" t="n"/>
      <c r="F106" s="145" t="n"/>
      <c r="G106" s="145" t="n"/>
      <c r="H106" s="145" t="n"/>
      <c r="I106" s="145" t="n"/>
      <c r="J106" s="145" t="n"/>
      <c r="K106" s="145" t="n"/>
      <c r="L106" s="145" t="n"/>
      <c r="M106" s="145" t="n"/>
      <c r="N106" s="145" t="n">
        <v>-72</v>
      </c>
      <c r="O106" s="145" t="n">
        <v>-182</v>
      </c>
      <c r="P106" s="145" t="n">
        <v>-232</v>
      </c>
      <c r="Q106" s="145" t="n">
        <v>0</v>
      </c>
      <c r="R106" s="145" t="n">
        <v>115</v>
      </c>
      <c r="S106" s="145" t="n">
        <v>13</v>
      </c>
      <c r="T106" s="145" t="n">
        <v>-111</v>
      </c>
      <c r="U106" s="145" t="n">
        <v>-42</v>
      </c>
      <c r="V106" s="145" t="n">
        <v>57</v>
      </c>
      <c r="W106" s="145" t="n">
        <v>106</v>
      </c>
      <c r="X106" s="145" t="n">
        <v>130</v>
      </c>
      <c r="Y106" s="145" t="n">
        <v>241</v>
      </c>
      <c r="Z106" s="145" t="n">
        <v>83</v>
      </c>
      <c r="AA106" s="145" t="n">
        <v>174</v>
      </c>
      <c r="AB106" s="145" t="n">
        <v>227</v>
      </c>
      <c r="AC106" s="145" t="n">
        <v>268</v>
      </c>
      <c r="AD106" s="145" t="n">
        <v>39</v>
      </c>
      <c r="AE106" s="145" t="n">
        <v>83</v>
      </c>
      <c r="AF106" s="145" t="n">
        <v>128</v>
      </c>
      <c r="AG106" s="145" t="n">
        <v>172</v>
      </c>
      <c r="AH106" s="145" t="n">
        <v>43</v>
      </c>
      <c r="AI106" s="145" t="n">
        <v>95</v>
      </c>
      <c r="AJ106" s="145" t="n">
        <v>95</v>
      </c>
      <c r="AK106" s="145" t="n">
        <v>95</v>
      </c>
      <c r="AL106" s="145" t="n">
        <v>0</v>
      </c>
      <c r="AM106" s="145" t="n">
        <v>151</v>
      </c>
      <c r="AN106" s="145" t="n">
        <v>104</v>
      </c>
      <c r="AO106" s="145" t="n">
        <v>49</v>
      </c>
      <c r="AP106" s="145" t="n">
        <v>-16</v>
      </c>
      <c r="AQ106" s="145" t="n">
        <v>-46</v>
      </c>
      <c r="AR106" s="145" t="n">
        <v>-35</v>
      </c>
      <c r="AS106" s="145" t="n">
        <v>-240</v>
      </c>
      <c r="AT106" s="145" t="n">
        <v>2</v>
      </c>
      <c r="AU106" s="346" t="n"/>
      <c r="AV106" s="346" t="n"/>
      <c r="AW106" s="346" t="n"/>
      <c r="AX106" s="346" t="n"/>
      <c r="AY106" s="346" t="n"/>
      <c r="AZ106" s="346" t="n"/>
      <c r="BA106" s="346" t="n"/>
      <c r="BB106" s="346" t="n"/>
      <c r="BC106" s="346" t="n"/>
      <c r="BD106" s="346" t="n"/>
      <c r="BE106" s="346" t="n"/>
      <c r="BF106" s="346" t="n"/>
      <c r="BG106" s="346" t="n"/>
      <c r="BH106" s="346" t="n"/>
      <c r="BI106" s="346" t="n"/>
      <c r="BJ106" s="346" t="n"/>
      <c r="BK106" s="346" t="n"/>
      <c r="BL106" s="346" t="n"/>
      <c r="BM106" s="346" t="n"/>
      <c r="BN106" s="346" t="n"/>
      <c r="BO106" s="346" t="n"/>
      <c r="BP106" s="346" t="n"/>
      <c r="BQ106" s="346" t="n"/>
    </row>
    <row r="107">
      <c r="A107" s="33" t="inlineStr">
        <is>
          <t>Unrealized loss on available-for-sale investments</t>
        </is>
      </c>
      <c r="B107" s="145" t="n"/>
      <c r="C107" s="145" t="n"/>
      <c r="D107" s="145" t="n"/>
      <c r="E107" s="145" t="n"/>
      <c r="F107" s="145" t="n"/>
      <c r="G107" s="145" t="n"/>
      <c r="H107" s="145" t="n"/>
      <c r="I107" s="145" t="n"/>
      <c r="J107" s="145" t="n"/>
      <c r="K107" s="145" t="n"/>
      <c r="L107" s="145" t="n"/>
      <c r="M107" s="145" t="n"/>
      <c r="N107" s="145" t="n">
        <v>0</v>
      </c>
      <c r="O107" s="145" t="n">
        <v>0</v>
      </c>
      <c r="P107" s="145" t="n">
        <v>0</v>
      </c>
      <c r="Q107" s="145" t="n">
        <v>0</v>
      </c>
      <c r="R107" s="145" t="n">
        <v>0</v>
      </c>
      <c r="S107" s="145" t="n">
        <v>0</v>
      </c>
      <c r="T107" s="145" t="n">
        <v>0</v>
      </c>
      <c r="U107" s="145" t="n">
        <v>0</v>
      </c>
      <c r="V107" s="145" t="n">
        <v>0</v>
      </c>
      <c r="W107" s="145" t="n">
        <v>0</v>
      </c>
      <c r="X107" s="145" t="n">
        <v>0</v>
      </c>
      <c r="Y107" s="145" t="n">
        <v>0</v>
      </c>
      <c r="Z107" s="145" t="n">
        <v>0</v>
      </c>
      <c r="AA107" s="145" t="n">
        <v>0</v>
      </c>
      <c r="AB107" s="145" t="n">
        <v>0</v>
      </c>
      <c r="AC107" s="145" t="n">
        <v>0</v>
      </c>
      <c r="AD107" s="145" t="n">
        <v>0</v>
      </c>
      <c r="AE107" s="145" t="n">
        <v>0</v>
      </c>
      <c r="AF107" s="145" t="n">
        <v>0</v>
      </c>
      <c r="AG107" s="145" t="n">
        <v>0</v>
      </c>
      <c r="AH107" s="145" t="n">
        <v>0</v>
      </c>
      <c r="AI107" s="145" t="n">
        <v>0</v>
      </c>
      <c r="AJ107" s="145" t="n">
        <v>0</v>
      </c>
      <c r="AK107" s="145" t="n">
        <v>0</v>
      </c>
      <c r="AL107" s="145" t="n">
        <v>0</v>
      </c>
      <c r="AM107" s="145" t="n">
        <v>0</v>
      </c>
      <c r="AN107" s="145" t="n">
        <v>0</v>
      </c>
      <c r="AO107" s="145" t="n">
        <v>-298</v>
      </c>
      <c r="AP107" s="145" t="n">
        <v>298</v>
      </c>
      <c r="AQ107" s="145" t="n">
        <v>298</v>
      </c>
      <c r="AR107" s="145" t="n">
        <v>298</v>
      </c>
      <c r="AS107" s="145" t="n">
        <v>538</v>
      </c>
      <c r="AT107" s="145" t="n">
        <v>10</v>
      </c>
      <c r="AU107" s="346" t="n"/>
      <c r="AV107" s="346" t="n"/>
      <c r="AW107" s="346" t="n"/>
      <c r="AX107" s="346" t="n"/>
      <c r="AY107" s="346" t="n"/>
      <c r="AZ107" s="346" t="n"/>
      <c r="BA107" s="346" t="n"/>
      <c r="BB107" s="346" t="n"/>
      <c r="BC107" s="346" t="n"/>
      <c r="BD107" s="346" t="n"/>
      <c r="BE107" s="346" t="n"/>
      <c r="BF107" s="346" t="n"/>
      <c r="BG107" s="346" t="n"/>
      <c r="BH107" s="346" t="n"/>
      <c r="BI107" s="346" t="n"/>
      <c r="BJ107" s="346" t="n"/>
      <c r="BK107" s="346" t="n"/>
      <c r="BL107" s="346" t="n"/>
      <c r="BM107" s="346" t="n"/>
      <c r="BN107" s="346" t="n"/>
      <c r="BO107" s="346" t="n"/>
      <c r="BP107" s="346" t="n"/>
      <c r="BQ107" s="346" t="n"/>
    </row>
    <row r="108">
      <c r="A108" s="74" t="inlineStr">
        <is>
          <t>Total other comprehensive income (loss), net of tax</t>
        </is>
      </c>
      <c r="B108" s="145" t="n"/>
      <c r="C108" s="145" t="n"/>
      <c r="D108" s="145" t="n"/>
      <c r="E108" s="145" t="n"/>
      <c r="F108" s="145" t="n"/>
      <c r="G108" s="145" t="n"/>
      <c r="H108" s="145" t="n"/>
      <c r="I108" s="145" t="n"/>
      <c r="J108" s="145" t="n"/>
      <c r="K108" s="145" t="n"/>
      <c r="L108" s="145" t="n"/>
      <c r="M108" s="145" t="n"/>
      <c r="N108" s="143">
        <f>SUM(N104:N107)</f>
        <v/>
      </c>
      <c r="O108" s="143">
        <f>SUM(O104:O107)</f>
        <v/>
      </c>
      <c r="P108" s="143">
        <f>SUM(P104:P107)</f>
        <v/>
      </c>
      <c r="Q108" s="145" t="n">
        <v>-10689</v>
      </c>
      <c r="R108" s="143">
        <f>SUM(R104:R107)</f>
        <v/>
      </c>
      <c r="S108" s="145" t="n">
        <v>17348</v>
      </c>
      <c r="T108" s="145" t="n">
        <v>-5072</v>
      </c>
      <c r="U108" s="145" t="n">
        <v>-14977</v>
      </c>
      <c r="V108" s="145" t="n">
        <v>15100</v>
      </c>
      <c r="W108" s="145" t="n">
        <v>-6697</v>
      </c>
      <c r="X108" s="145" t="n">
        <v>3806</v>
      </c>
      <c r="Y108" s="145" t="n">
        <v>11466</v>
      </c>
      <c r="Z108" s="145" t="n">
        <v>-9545</v>
      </c>
      <c r="AA108" s="145" t="n">
        <v>-13812</v>
      </c>
      <c r="AB108" s="145" t="n">
        <v>-1867</v>
      </c>
      <c r="AC108" s="145" t="n">
        <v>1393</v>
      </c>
      <c r="AD108" s="145" t="n">
        <v>-12627</v>
      </c>
      <c r="AE108" s="145" t="n">
        <v>-5900</v>
      </c>
      <c r="AF108" s="145" t="n">
        <v>-52773</v>
      </c>
      <c r="AG108" s="145" t="n">
        <v>-110562</v>
      </c>
      <c r="AH108" s="145" t="n">
        <v>-38276</v>
      </c>
      <c r="AI108" s="145" t="n">
        <v>-26999</v>
      </c>
      <c r="AJ108" s="145" t="n">
        <v>-43539</v>
      </c>
      <c r="AK108" s="145" t="n">
        <v>-69219</v>
      </c>
      <c r="AL108" s="145" t="n">
        <v>28495</v>
      </c>
      <c r="AM108" s="145" t="n">
        <v>25031</v>
      </c>
      <c r="AN108" s="145" t="n">
        <v>33052</v>
      </c>
      <c r="AO108" s="145" t="n">
        <v>2914</v>
      </c>
      <c r="AP108" s="145" t="n">
        <v>26981</v>
      </c>
      <c r="AQ108" s="145" t="n">
        <v>59473</v>
      </c>
      <c r="AR108" s="145" t="n">
        <v>89339</v>
      </c>
      <c r="AS108" s="145" t="n">
        <v>101239</v>
      </c>
      <c r="AT108" s="145" t="n">
        <v>26650</v>
      </c>
      <c r="AU108" s="346" t="n"/>
      <c r="AV108" s="346" t="n"/>
      <c r="AW108" s="346" t="n"/>
      <c r="AX108" s="346" t="n"/>
      <c r="AY108" s="346" t="n"/>
      <c r="AZ108" s="346" t="n"/>
      <c r="BA108" s="346" t="n"/>
      <c r="BB108" s="346" t="n"/>
      <c r="BC108" s="346" t="n"/>
      <c r="BD108" s="346" t="n"/>
      <c r="BE108" s="346" t="n"/>
      <c r="BF108" s="346" t="n"/>
      <c r="BG108" s="346" t="n"/>
      <c r="BH108" s="346" t="n"/>
      <c r="BI108" s="346" t="n"/>
      <c r="BJ108" s="346" t="n"/>
      <c r="BK108" s="346" t="n"/>
      <c r="BL108" s="346" t="n"/>
      <c r="BM108" s="346" t="n"/>
      <c r="BN108" s="346" t="n"/>
      <c r="BO108" s="346" t="n"/>
      <c r="BP108" s="346" t="n"/>
      <c r="BQ108" s="346" t="n"/>
    </row>
    <row r="109">
      <c r="A109" s="40" t="inlineStr">
        <is>
          <t>Comprehensive income</t>
        </is>
      </c>
      <c r="B109" s="133" t="n"/>
      <c r="C109" s="133" t="n"/>
      <c r="D109" s="133" t="n"/>
      <c r="E109" s="133" t="n"/>
      <c r="F109" s="133" t="n"/>
      <c r="G109" s="133" t="n"/>
      <c r="H109" s="133" t="n"/>
      <c r="I109" s="133" t="n"/>
      <c r="J109" s="133" t="n"/>
      <c r="K109" s="133" t="n"/>
      <c r="L109" s="133" t="n"/>
      <c r="M109" s="133" t="n"/>
      <c r="N109" s="133" t="n">
        <v>-5100</v>
      </c>
      <c r="O109" s="133" t="n">
        <v>-7077</v>
      </c>
      <c r="P109" s="133" t="n">
        <v>19690</v>
      </c>
      <c r="Q109" s="133" t="n">
        <v>43663</v>
      </c>
      <c r="R109" s="133" t="n">
        <v>36458</v>
      </c>
      <c r="S109" s="133" t="n">
        <v>72233</v>
      </c>
      <c r="T109" s="133" t="n">
        <v>84082</v>
      </c>
      <c r="U109" s="133" t="n">
        <v>106032</v>
      </c>
      <c r="V109" s="133" t="n">
        <v>45648</v>
      </c>
      <c r="W109" s="133" t="n">
        <v>63700</v>
      </c>
      <c r="X109" s="133" t="n">
        <v>116638</v>
      </c>
      <c r="Y109" s="133" t="n">
        <v>159210</v>
      </c>
      <c r="Z109" s="133" t="n">
        <v>25582</v>
      </c>
      <c r="AA109" s="133" t="n">
        <v>63035</v>
      </c>
      <c r="AB109" s="133" t="n">
        <v>117318</v>
      </c>
      <c r="AC109" s="133" t="n">
        <v>157173</v>
      </c>
      <c r="AD109" s="133" t="n">
        <v>27904</v>
      </c>
      <c r="AE109" s="133" t="n">
        <v>82914</v>
      </c>
      <c r="AF109" s="133" t="n">
        <v>91241</v>
      </c>
      <c r="AG109" s="133" t="n">
        <v>89883</v>
      </c>
      <c r="AH109" s="133" t="n">
        <v>19070</v>
      </c>
      <c r="AI109" s="133" t="n">
        <v>91591</v>
      </c>
      <c r="AJ109" s="133" t="n">
        <v>137810</v>
      </c>
      <c r="AK109" s="133" t="n">
        <v>172808</v>
      </c>
      <c r="AL109" s="133" t="n">
        <v>77823</v>
      </c>
      <c r="AM109" s="133" t="n">
        <v>141391</v>
      </c>
      <c r="AN109" s="133" t="n">
        <v>218639</v>
      </c>
      <c r="AO109" s="133" t="n">
        <v>263630</v>
      </c>
      <c r="AP109" s="133" t="n">
        <v>101913</v>
      </c>
      <c r="AQ109" s="133" t="n">
        <v>238508</v>
      </c>
      <c r="AR109" s="133" t="n">
        <v>383971</v>
      </c>
      <c r="AS109" s="133" t="n">
        <v>448827</v>
      </c>
      <c r="AT109" s="133" t="n">
        <v>132984</v>
      </c>
      <c r="AU109" s="659" t="n"/>
      <c r="AV109" s="659" t="n"/>
      <c r="AW109" s="659" t="n"/>
      <c r="AX109" s="659" t="n"/>
      <c r="AY109" s="659" t="n"/>
      <c r="AZ109" s="659" t="n"/>
      <c r="BA109" s="659" t="n"/>
      <c r="BB109" s="659" t="n"/>
      <c r="BC109" s="659" t="n"/>
      <c r="BD109" s="659" t="n"/>
      <c r="BE109" s="659" t="n"/>
      <c r="BF109" s="659" t="n"/>
      <c r="BG109" s="659" t="n"/>
      <c r="BH109" s="659" t="n"/>
      <c r="BI109" s="659" t="n"/>
      <c r="BJ109" s="659" t="n"/>
      <c r="BK109" s="659" t="n"/>
      <c r="BL109" s="659" t="n"/>
      <c r="BM109" s="659" t="n"/>
      <c r="BN109" s="659" t="n"/>
      <c r="BO109" s="659" t="n"/>
      <c r="BP109" s="659" t="n"/>
      <c r="BQ109" s="659" t="n"/>
    </row>
    <row r="110">
      <c r="A110" s="74" t="inlineStr">
        <is>
          <t>Comprehensive (loss) income attributable to noncontrolling interest</t>
        </is>
      </c>
      <c r="B110" s="145" t="n"/>
      <c r="C110" s="145" t="n"/>
      <c r="D110" s="145" t="n"/>
      <c r="E110" s="145" t="n"/>
      <c r="F110" s="145" t="n"/>
      <c r="G110" s="145" t="n"/>
      <c r="H110" s="145" t="n"/>
      <c r="I110" s="145" t="n"/>
      <c r="J110" s="145" t="n"/>
      <c r="K110" s="145" t="n"/>
      <c r="L110" s="145" t="n"/>
      <c r="M110" s="145" t="n"/>
      <c r="N110" s="145" t="n">
        <v>0</v>
      </c>
      <c r="O110" s="145" t="n">
        <v>0</v>
      </c>
      <c r="P110" s="145" t="n">
        <v>0</v>
      </c>
      <c r="Q110" s="145" t="n">
        <v>-32</v>
      </c>
      <c r="R110" s="145" t="n">
        <v>0</v>
      </c>
      <c r="S110" s="145" t="n">
        <v>2239</v>
      </c>
      <c r="T110" s="145" t="n">
        <v>666</v>
      </c>
      <c r="U110" s="145" t="n">
        <v>1183</v>
      </c>
      <c r="V110" s="145" t="n">
        <v>2765</v>
      </c>
      <c r="W110" s="145" t="n">
        <v>1908</v>
      </c>
      <c r="X110" s="145" t="n">
        <v>1908</v>
      </c>
      <c r="Y110" s="145" t="n">
        <v>1908</v>
      </c>
      <c r="Z110" s="145" t="n">
        <v>0</v>
      </c>
      <c r="AA110" s="145" t="n">
        <v>0</v>
      </c>
      <c r="AB110" s="145" t="n">
        <v>0</v>
      </c>
      <c r="AC110" s="145" t="n">
        <v>0</v>
      </c>
      <c r="AD110" s="145" t="n">
        <v>0</v>
      </c>
      <c r="AE110" s="145" t="n">
        <v>0</v>
      </c>
      <c r="AF110" s="145" t="n">
        <v>0</v>
      </c>
      <c r="AG110" s="145" t="n">
        <v>0</v>
      </c>
      <c r="AH110" s="145" t="n">
        <v>-13</v>
      </c>
      <c r="AI110" s="145" t="n">
        <v>-68</v>
      </c>
      <c r="AJ110" s="145" t="n">
        <v>-351</v>
      </c>
      <c r="AK110" s="145" t="n">
        <v>-442</v>
      </c>
      <c r="AL110" s="145" t="n">
        <v>5</v>
      </c>
      <c r="AM110" s="145" t="n">
        <v>-13</v>
      </c>
      <c r="AN110" s="145" t="n">
        <v>-17</v>
      </c>
      <c r="AO110" s="145" t="n">
        <v>-21</v>
      </c>
      <c r="AP110" s="145" t="n">
        <v>11</v>
      </c>
      <c r="AQ110" s="145" t="n">
        <v>-26</v>
      </c>
      <c r="AR110" s="145" t="n">
        <v>-26</v>
      </c>
      <c r="AS110" s="145" t="n">
        <v>31</v>
      </c>
      <c r="AT110" s="145" t="n">
        <v>0</v>
      </c>
      <c r="AU110" s="346" t="n"/>
      <c r="AV110" s="346" t="n"/>
      <c r="AW110" s="346" t="n"/>
      <c r="AX110" s="346" t="n"/>
      <c r="AY110" s="346" t="n"/>
      <c r="AZ110" s="346" t="n"/>
      <c r="BA110" s="346" t="n"/>
      <c r="BB110" s="346" t="n"/>
      <c r="BC110" s="346" t="n"/>
      <c r="BD110" s="346" t="n"/>
      <c r="BE110" s="346" t="n"/>
      <c r="BF110" s="346" t="n"/>
      <c r="BG110" s="346" t="n"/>
      <c r="BH110" s="346" t="n"/>
      <c r="BI110" s="346" t="n"/>
      <c r="BJ110" s="346" t="n"/>
      <c r="BK110" s="346" t="n"/>
      <c r="BL110" s="346" t="n"/>
      <c r="BM110" s="346" t="n"/>
      <c r="BN110" s="346" t="n"/>
      <c r="BO110" s="346" t="n"/>
      <c r="BP110" s="346" t="n"/>
      <c r="BQ110" s="346" t="n"/>
    </row>
    <row r="111">
      <c r="A111" s="40" t="inlineStr">
        <is>
          <t>Comprehensive income attributable to IPG Photonics Corporation</t>
        </is>
      </c>
      <c r="B111" s="133" t="n"/>
      <c r="C111" s="133" t="n"/>
      <c r="D111" s="133" t="n"/>
      <c r="E111" s="133" t="n"/>
      <c r="F111" s="133" t="n"/>
      <c r="G111" s="133" t="n"/>
      <c r="H111" s="133" t="n"/>
      <c r="I111" s="133" t="n"/>
      <c r="J111" s="133" t="n"/>
      <c r="K111" s="133" t="n"/>
      <c r="L111" s="133" t="n"/>
      <c r="M111" s="133" t="n"/>
      <c r="N111" s="147">
        <f>N109+N110</f>
        <v/>
      </c>
      <c r="O111" s="147">
        <f>O109+O110</f>
        <v/>
      </c>
      <c r="P111" s="147">
        <f>P109+P110</f>
        <v/>
      </c>
      <c r="Q111" s="133" t="n">
        <v>43695</v>
      </c>
      <c r="R111" s="147">
        <f>R109+R110</f>
        <v/>
      </c>
      <c r="S111" s="133" t="n">
        <v>69994</v>
      </c>
      <c r="T111" s="133" t="n">
        <v>83416</v>
      </c>
      <c r="U111" s="133" t="n">
        <v>104849</v>
      </c>
      <c r="V111" s="133" t="n">
        <v>42883</v>
      </c>
      <c r="W111" s="133" t="n">
        <v>61792</v>
      </c>
      <c r="X111" s="133" t="n">
        <v>114730</v>
      </c>
      <c r="Y111" s="133" t="n">
        <v>157302</v>
      </c>
      <c r="Z111" s="147">
        <f>Z109-Z110</f>
        <v/>
      </c>
      <c r="AA111" s="147">
        <f>AA109-AA110</f>
        <v/>
      </c>
      <c r="AB111" s="147">
        <f>AB109-AB110</f>
        <v/>
      </c>
      <c r="AC111" s="133" t="n">
        <v>157173</v>
      </c>
      <c r="AD111" s="133" t="n">
        <v>27904</v>
      </c>
      <c r="AE111" s="133" t="n">
        <v>82914</v>
      </c>
      <c r="AF111" s="133" t="n">
        <v>91241</v>
      </c>
      <c r="AG111" s="133" t="n">
        <v>89883</v>
      </c>
      <c r="AH111" s="133" t="n">
        <v>19083</v>
      </c>
      <c r="AI111" s="133" t="n">
        <v>91659</v>
      </c>
      <c r="AJ111" s="133" t="n">
        <v>138161</v>
      </c>
      <c r="AK111" s="133" t="n">
        <v>173250</v>
      </c>
      <c r="AL111" s="133" t="n">
        <v>77818</v>
      </c>
      <c r="AM111" s="133" t="n">
        <v>141404</v>
      </c>
      <c r="AN111" s="133" t="n">
        <v>218656</v>
      </c>
      <c r="AO111" s="133" t="n">
        <v>263651</v>
      </c>
      <c r="AP111" s="133" t="n">
        <v>101902</v>
      </c>
      <c r="AQ111" s="133" t="n">
        <v>238534</v>
      </c>
      <c r="AR111" s="133" t="n">
        <v>383997</v>
      </c>
      <c r="AS111" s="133" t="n">
        <v>448796</v>
      </c>
      <c r="AT111" s="133" t="n">
        <v>132984</v>
      </c>
      <c r="AU111" s="659" t="n"/>
      <c r="AV111" s="659" t="n"/>
      <c r="AW111" s="659" t="n"/>
      <c r="AX111" s="659" t="n"/>
      <c r="AY111" s="659" t="n"/>
      <c r="AZ111" s="659" t="n"/>
      <c r="BA111" s="659" t="n"/>
      <c r="BB111" s="659" t="n"/>
      <c r="BC111" s="659" t="n"/>
      <c r="BD111" s="659" t="n"/>
      <c r="BE111" s="659" t="n"/>
      <c r="BF111" s="659" t="n"/>
      <c r="BG111" s="659" t="n"/>
      <c r="BH111" s="659" t="n"/>
      <c r="BI111" s="659" t="n"/>
      <c r="BJ111" s="659" t="n"/>
      <c r="BK111" s="659" t="n"/>
      <c r="BL111" s="659" t="n"/>
      <c r="BM111" s="659" t="n"/>
      <c r="BN111" s="659" t="n"/>
      <c r="BO111" s="659" t="n"/>
      <c r="BP111" s="659" t="n"/>
      <c r="BQ111" s="659" t="n"/>
    </row>
    <row r="112">
      <c r="A112" s="40" t="n"/>
      <c r="B112" s="145" t="n"/>
      <c r="C112" s="145" t="n"/>
      <c r="D112" s="145" t="n"/>
      <c r="E112" s="145" t="n"/>
      <c r="F112" s="145" t="n"/>
      <c r="G112" s="145" t="n"/>
      <c r="H112" s="145" t="n"/>
      <c r="I112" s="145" t="n"/>
      <c r="J112" s="145" t="n"/>
      <c r="K112" s="145" t="n"/>
      <c r="L112" s="145" t="n"/>
      <c r="M112" s="145" t="n"/>
      <c r="N112" s="145" t="n"/>
      <c r="O112" s="145" t="n"/>
      <c r="P112" s="145" t="n"/>
      <c r="Q112" s="145" t="n"/>
      <c r="R112" s="145" t="n"/>
      <c r="S112" s="145" t="n"/>
      <c r="T112" s="145" t="n"/>
      <c r="U112" s="145" t="n"/>
      <c r="V112" s="145" t="n"/>
      <c r="W112" s="145" t="n"/>
      <c r="X112" s="145" t="n"/>
      <c r="Y112" s="145" t="n"/>
      <c r="Z112" s="145" t="n"/>
      <c r="AA112" s="145" t="n"/>
      <c r="AB112" s="145" t="n"/>
      <c r="AC112" s="145" t="n"/>
      <c r="AD112" s="145" t="n"/>
      <c r="AE112" s="145" t="n"/>
      <c r="AF112" s="145" t="n"/>
      <c r="AG112" s="145" t="n"/>
      <c r="AH112" s="145" t="n"/>
      <c r="AI112" s="145" t="n"/>
      <c r="AJ112" s="145" t="n"/>
      <c r="AK112" s="145" t="n"/>
      <c r="AL112" s="145" t="n"/>
      <c r="AM112" s="145" t="n"/>
      <c r="AN112" s="145" t="n"/>
      <c r="AO112" s="145" t="n"/>
      <c r="AP112" s="145" t="n"/>
      <c r="AQ112" s="145" t="n"/>
      <c r="AR112" s="145" t="n"/>
      <c r="AS112" s="145" t="n"/>
      <c r="AT112" s="145" t="n"/>
      <c r="AU112" s="145" t="n"/>
      <c r="AV112" s="145" t="n"/>
      <c r="AW112" s="145" t="n"/>
      <c r="AX112" s="145" t="n"/>
      <c r="AY112" s="145" t="n"/>
      <c r="AZ112" s="145" t="n"/>
      <c r="BA112" s="145" t="n"/>
      <c r="BB112" s="145" t="n"/>
      <c r="BC112" s="145" t="n"/>
      <c r="BD112" s="145" t="n"/>
      <c r="BE112" s="145" t="n"/>
      <c r="BF112" s="145" t="n"/>
      <c r="BG112" s="145" t="n"/>
      <c r="BH112" s="145" t="n"/>
      <c r="BJ112" s="145" t="n"/>
    </row>
    <row r="113">
      <c r="A113" s="455" t="inlineStr">
        <is>
          <t>Check</t>
        </is>
      </c>
      <c r="B113" s="400" t="n"/>
      <c r="C113" s="400" t="n"/>
      <c r="D113" s="400" t="n"/>
      <c r="E113" s="400" t="n"/>
      <c r="F113" s="400" t="n"/>
      <c r="G113" s="400" t="n"/>
      <c r="H113" s="400" t="n"/>
      <c r="I113" s="400" t="n"/>
      <c r="J113" s="400" t="n"/>
      <c r="K113" s="400" t="n"/>
      <c r="L113" s="400" t="n"/>
      <c r="M113" s="400" t="n"/>
      <c r="N113" s="400">
        <f>N79-N80-SUM(N82:N85)-N87</f>
        <v/>
      </c>
      <c r="O113" s="400">
        <f>O79-O80-SUM(O82:O85)-O87</f>
        <v/>
      </c>
      <c r="P113" s="400">
        <f>P79-P80-SUM(P82:P85)-P87</f>
        <v/>
      </c>
      <c r="Q113" s="400">
        <f>Q79-Q80-SUM(Q82:Q85)-Q87</f>
        <v/>
      </c>
      <c r="R113" s="400">
        <f>R79-R80-SUM(R82:R85)-R87</f>
        <v/>
      </c>
      <c r="S113" s="400">
        <f>S79-S80-SUM(S82:S85)-S87</f>
        <v/>
      </c>
      <c r="T113" s="400">
        <f>T79-T80-SUM(T82:T85)-T87</f>
        <v/>
      </c>
      <c r="U113" s="400">
        <f>U79-U80-SUM(U82:U85)-U87</f>
        <v/>
      </c>
      <c r="V113" s="400">
        <f>V79-V80-SUM(V82:V85)-V87</f>
        <v/>
      </c>
      <c r="W113" s="400">
        <f>W79-W80-SUM(W82:W85)-W87</f>
        <v/>
      </c>
      <c r="X113" s="400">
        <f>X79-X80-SUM(X82:X85)-X87</f>
        <v/>
      </c>
      <c r="Y113" s="400">
        <f>Y79-Y80-SUM(Y82:Y85)-Y87</f>
        <v/>
      </c>
      <c r="Z113" s="400">
        <f>Z79-Z80-SUM(Z82:Z85)-Z87</f>
        <v/>
      </c>
      <c r="AA113" s="400">
        <f>AA79-AA80-SUM(AA82:AA85)-AA87</f>
        <v/>
      </c>
      <c r="AB113" s="400">
        <f>AB79-AB80-SUM(AB82:AB85)-AB87</f>
        <v/>
      </c>
      <c r="AC113" s="400">
        <f>AC79-AC80-SUM(AC82:AC85)-AC87</f>
        <v/>
      </c>
      <c r="AD113" s="400">
        <f>AD79-AD80-SUM(AD82:AD85)-AD87</f>
        <v/>
      </c>
      <c r="AE113" s="400">
        <f>AE79-AE80-SUM(AE82:AE85)-AE87</f>
        <v/>
      </c>
      <c r="AF113" s="400">
        <f>AF79-AF80-SUM(AF82:AF85)-AF87</f>
        <v/>
      </c>
      <c r="AG113" s="400">
        <f>AG79-AG80-SUM(AG82:AG85)-AG87</f>
        <v/>
      </c>
      <c r="AH113" s="400">
        <f>AH79-AH80-SUM(AH82:AH85)-AH87</f>
        <v/>
      </c>
      <c r="AI113" s="400">
        <f>AI79-AI80-SUM(AI82:AI85)-AI87</f>
        <v/>
      </c>
      <c r="AJ113" s="400">
        <f>AJ79-AJ80-SUM(AJ82:AJ85)-AJ87</f>
        <v/>
      </c>
      <c r="AK113" s="400">
        <f>AK79-AK80-SUM(AK82:AK85)-AK87</f>
        <v/>
      </c>
      <c r="AL113" s="400">
        <f>AL79-AL80-SUM(AL82:AL85)-AL87</f>
        <v/>
      </c>
      <c r="AM113" s="400">
        <f>AM79-AM80-SUM(AM82:AM85)-AM87</f>
        <v/>
      </c>
      <c r="AN113" s="400">
        <f>AN79-AN80-SUM(AN82:AN85)-AN87</f>
        <v/>
      </c>
      <c r="AO113" s="400">
        <f>AO79-AO80-SUM(AO82:AO85)-AO87</f>
        <v/>
      </c>
      <c r="AP113" s="400">
        <f>AP79-AP80-SUM(AP82:AP85)-AP87</f>
        <v/>
      </c>
      <c r="AQ113" s="400">
        <f>AQ79-AQ80-SUM(AQ82:AQ85)-AQ87</f>
        <v/>
      </c>
      <c r="AR113" s="400">
        <f>AR79-AR80-SUM(AR82:AR85)-AR87</f>
        <v/>
      </c>
      <c r="AS113" s="400">
        <f>AS79-AS80-SUM(AS82:AS85)-AS87</f>
        <v/>
      </c>
      <c r="AT113" s="400">
        <f>AT79-AT80-SUM(AT82:AT85)-AT87</f>
        <v/>
      </c>
      <c r="AU113" s="400">
        <f>AU79-AU80-SUM(AU82:AU85)-AU87</f>
        <v/>
      </c>
      <c r="AV113" s="400">
        <f>AV79-AV80-SUM(AV82:AV85)-AV87</f>
        <v/>
      </c>
      <c r="AW113" s="400">
        <f>AW79-AW80-SUM(AW82:AW85)-AW87</f>
        <v/>
      </c>
      <c r="AX113" s="400">
        <f>AX79-AX80-SUM(AX82:AX85)-AX87</f>
        <v/>
      </c>
      <c r="AY113" s="400">
        <f>AY79-AY80-SUM(AY82:AY85)-AY87</f>
        <v/>
      </c>
      <c r="AZ113" s="400">
        <f>AZ79-AZ80-SUM(AZ82:AZ85)-AZ87</f>
        <v/>
      </c>
      <c r="BA113" s="400">
        <f>BA79-BA80-SUM(BA82:BA85)-BA87</f>
        <v/>
      </c>
      <c r="BB113" s="400">
        <f>BB79-BB80-SUM(BB82:BB85)-BB87</f>
        <v/>
      </c>
      <c r="BC113" s="400">
        <f>BC79-BC80-SUM(BC82:BC85)-BC87</f>
        <v/>
      </c>
      <c r="BD113" s="400">
        <f>BD79-BD80-SUM(BD82:BD85)-BD87</f>
        <v/>
      </c>
      <c r="BE113" s="400">
        <f>BE79-BE80-SUM(BE82:BE85)-BE87</f>
        <v/>
      </c>
      <c r="BF113" s="400">
        <f>BF79-BF80-SUM(BF82:BF85)-BF87</f>
        <v/>
      </c>
      <c r="BG113" s="400">
        <f>BG79-BG80-SUM(BG82:BG85)-BG87</f>
        <v/>
      </c>
      <c r="BH113" s="400">
        <f>BH79-BH80-SUM(BH82:BH85)-BH87</f>
        <v/>
      </c>
      <c r="BI113" s="400">
        <f>BI79-BI80-SUM(BI82:BI85)-BI87</f>
        <v/>
      </c>
      <c r="BJ113" s="400">
        <f>BJ79-BJ80-SUM(BJ82:BJ85)-BJ87</f>
        <v/>
      </c>
      <c r="BK113" s="400">
        <f>BK79-BK80-SUM(BK82:BK85)-BK87</f>
        <v/>
      </c>
      <c r="BL113" s="400">
        <f>BL79-BL80-SUM(BL82:BL85)-BL87</f>
        <v/>
      </c>
      <c r="BM113" s="400">
        <f>BM79-BM80-SUM(BM82:BM85)-BM87</f>
        <v/>
      </c>
      <c r="BN113" s="400">
        <f>BN79-BN80-SUM(BN82:BN85)-BN87</f>
        <v/>
      </c>
      <c r="BO113" s="400">
        <f>BO79-BO80-SUM(BO82:BO85)-BO87</f>
        <v/>
      </c>
      <c r="BP113" s="400">
        <f>BP79-BP80-SUM(BP82:BP85)-BP87</f>
        <v/>
      </c>
      <c r="BQ113" s="400">
        <f>BQ79-BQ80-SUM(BQ82:BQ85)-BQ87</f>
        <v/>
      </c>
      <c r="BR113" s="400">
        <f>BR79-BR80-SUM(BR82:BR85)-BR87</f>
        <v/>
      </c>
      <c r="BS113" t="n">
        <v>0</v>
      </c>
      <c r="BT113" t="inlineStr">
        <is>
          <t>IPGP-Financial-Data-Workbook-2024-Q2.xlsx|Income Statement|32|93</t>
        </is>
      </c>
    </row>
    <row r="114">
      <c r="A114" s="455">
        <f>A113</f>
        <v/>
      </c>
      <c r="B114" s="400" t="n"/>
      <c r="C114" s="400" t="n"/>
      <c r="D114" s="400" t="n"/>
      <c r="E114" s="400" t="n"/>
      <c r="F114" s="400" t="n"/>
      <c r="G114" s="400" t="n"/>
      <c r="H114" s="400" t="n"/>
      <c r="I114" s="400" t="n"/>
      <c r="J114" s="400" t="n"/>
      <c r="K114" s="400" t="n"/>
      <c r="L114" s="400" t="n"/>
      <c r="M114" s="400" t="n"/>
      <c r="N114" s="400">
        <f>N87+SUM(N88:N89)+N92-N94-N95</f>
        <v/>
      </c>
      <c r="O114" s="400">
        <f>O87+SUM(O88:O89)+O92-O94-O95</f>
        <v/>
      </c>
      <c r="P114" s="400">
        <f>P87+SUM(P88:P89)+P92-P94-P95</f>
        <v/>
      </c>
      <c r="Q114" s="400">
        <f>Q87+SUM(Q88:Q89)+Q92-Q94-Q95</f>
        <v/>
      </c>
      <c r="R114" s="400">
        <f>R87+SUM(R88:R89)+R92-R94-R95</f>
        <v/>
      </c>
      <c r="S114" s="400">
        <f>S87+SUM(S88:S89)+S92-S94-S95</f>
        <v/>
      </c>
      <c r="T114" s="400">
        <f>T87+SUM(T88:T89)+T92-T94-T95</f>
        <v/>
      </c>
      <c r="U114" s="400">
        <f>U87+SUM(U88:U89)+U92-U94-U95</f>
        <v/>
      </c>
      <c r="V114" s="400">
        <f>V87+SUM(V88:V89)+V92-V94-V95</f>
        <v/>
      </c>
      <c r="W114" s="400">
        <f>W87+SUM(W88:W89)+W92-W94-W95</f>
        <v/>
      </c>
      <c r="X114" s="400">
        <f>X87+SUM(X88:X89)+X92-X94-X95</f>
        <v/>
      </c>
      <c r="Y114" s="400">
        <f>Y87+SUM(Y88:Y89)+Y92-Y94-Y95</f>
        <v/>
      </c>
      <c r="Z114" s="400">
        <f>Z87+SUM(Z88:Z89)+Z92-Z94-Z95</f>
        <v/>
      </c>
      <c r="AA114" s="400">
        <f>AA87+SUM(AA88:AA89)+AA92-AA94-AA95</f>
        <v/>
      </c>
      <c r="AB114" s="400">
        <f>AB87+SUM(AB88:AB89)+AB92-AB94-AB95</f>
        <v/>
      </c>
      <c r="AC114" s="400">
        <f>AC87+SUM(AC88:AC89)+AC92-AC94-AC95</f>
        <v/>
      </c>
      <c r="AD114" s="400">
        <f>AD87+SUM(AD88:AD89)+AD92-AD94-AD95</f>
        <v/>
      </c>
      <c r="AE114" s="400">
        <f>AE87+SUM(AE88:AE89)+AE92-AE94-AE95</f>
        <v/>
      </c>
      <c r="AF114" s="400">
        <f>AF87+SUM(AF88:AF89)+AF92-AF94-AF95</f>
        <v/>
      </c>
      <c r="AG114" s="400">
        <f>AG87+SUM(AG88:AG89)+AG92-AG94-AG95</f>
        <v/>
      </c>
      <c r="AH114" s="400">
        <f>AH87+SUM(AH88:AH89)+AH92-AH94-AH95</f>
        <v/>
      </c>
      <c r="AI114" s="400">
        <f>AI87+SUM(AI88:AI89)+AI92-AI94-AI95</f>
        <v/>
      </c>
      <c r="AJ114" s="400">
        <f>AJ87+SUM(AJ88:AJ89)+AJ92-AJ94-AJ95</f>
        <v/>
      </c>
      <c r="AK114" s="400">
        <f>AK87+SUM(AK88:AK89)+AK92-AK94-AK95</f>
        <v/>
      </c>
      <c r="AL114" s="400">
        <f>AL87+SUM(AL88:AL89)+AL92-AL94-AL95</f>
        <v/>
      </c>
      <c r="AM114" s="400">
        <f>AM87+SUM(AM88:AM89)+AM92-AM94-AM95</f>
        <v/>
      </c>
      <c r="AN114" s="400">
        <f>AN87+SUM(AN88:AN89)+AN92-AN94-AN95</f>
        <v/>
      </c>
      <c r="AO114" s="400">
        <f>AO87+SUM(AO88:AO89)+AO92-AO94-AO95</f>
        <v/>
      </c>
      <c r="AP114" s="400">
        <f>AP87+SUM(AP88:AP89)+AP92-AP94-AP95</f>
        <v/>
      </c>
      <c r="AQ114" s="400">
        <f>AQ87+SUM(AQ88:AQ89)+AQ92-AQ94-AQ95</f>
        <v/>
      </c>
      <c r="AR114" s="400">
        <f>AR87+SUM(AR88:AR89)+AR92-AR94-AR95</f>
        <v/>
      </c>
      <c r="AS114" s="400">
        <f>AS87+SUM(AS88:AS89)+AS92-AS94-AS95</f>
        <v/>
      </c>
      <c r="AT114" s="400">
        <f>AT87+SUM(AT88:AT89)+AT92-AT94-AT95</f>
        <v/>
      </c>
      <c r="AU114" s="400">
        <f>AU87+SUM(AU88:AU89)+AU92-AU94-AU95</f>
        <v/>
      </c>
      <c r="AV114" s="400">
        <f>AV87+SUM(AV88:AV89)+AV92-AV94-AV95</f>
        <v/>
      </c>
      <c r="AW114" s="400">
        <f>AW87+SUM(AW88:AW89)+AW92-AW94-AW95</f>
        <v/>
      </c>
      <c r="AX114" s="400">
        <f>AX87+SUM(AX88:AX89)+AX92-AX94-AX95</f>
        <v/>
      </c>
      <c r="AY114" s="400">
        <f>AY87+SUM(AY88:AY89)+AY92-AY94-AY95</f>
        <v/>
      </c>
      <c r="AZ114" s="400">
        <f>AZ87+SUM(AZ88:AZ89)+AZ92-AZ94-AZ95</f>
        <v/>
      </c>
      <c r="BA114" s="400">
        <f>BA87+SUM(BA88:BA89)+BA92-BA94-BA95</f>
        <v/>
      </c>
      <c r="BB114" s="400">
        <f>BB87+SUM(BB88:BB89)+BB92-BB94-BB95</f>
        <v/>
      </c>
      <c r="BC114" s="400">
        <f>BC87+SUM(BC88:BC89)+BC92-BC94-BC95</f>
        <v/>
      </c>
      <c r="BD114" s="400">
        <f>BD87+SUM(BD88:BD89)+BD92-BD94-BD95</f>
        <v/>
      </c>
      <c r="BE114" s="400">
        <f>BE87+SUM(BE88:BE89)+BE92-BE94-BE95</f>
        <v/>
      </c>
      <c r="BF114" s="400">
        <f>BF87+SUM(BF88:BF89)+BF92-BF94-BF95</f>
        <v/>
      </c>
      <c r="BG114" s="400">
        <f>BG87+SUM(BG88:BG89)+BG92-BG94-BG95</f>
        <v/>
      </c>
      <c r="BH114" s="400">
        <f>BH87+SUM(BH88:BH89)+BH92-BH94-BH95</f>
        <v/>
      </c>
      <c r="BI114" s="400">
        <f>BI87+SUM(BI88:BI89)+BI92-BI94-BI95</f>
        <v/>
      </c>
      <c r="BJ114" s="400">
        <f>BJ87+SUM(BJ88:BJ89)+BJ92-BJ94-BJ95</f>
        <v/>
      </c>
      <c r="BK114" s="400">
        <f>BK87+SUM(BK88:BK89)+BK92-BK94-BK95</f>
        <v/>
      </c>
      <c r="BL114" s="400">
        <f>BL87+SUM(BL88:BL89)+BL92-BL94-BL95</f>
        <v/>
      </c>
      <c r="BM114" s="400">
        <f>BM87+SUM(BM88:BM89)+BM92-BM94-BM95</f>
        <v/>
      </c>
      <c r="BN114" s="400">
        <f>BN87+SUM(BN88:BN89)+BN92-BN94-BN95</f>
        <v/>
      </c>
      <c r="BO114" s="400">
        <f>BO87+SUM(BO88:BO89)+BO92-BO94-BO95</f>
        <v/>
      </c>
      <c r="BP114" s="400">
        <f>BP87+SUM(BP88:BP89)+BP92-BP94-BP95</f>
        <v/>
      </c>
      <c r="BQ114" s="400">
        <f>BQ87+SUM(BQ88:BQ89)+BQ92-BQ94-BQ95</f>
        <v/>
      </c>
      <c r="BR114" s="400">
        <f>BR87+SUM(BR88:BR89)+BR92-BR94-BR95</f>
        <v/>
      </c>
      <c r="BS114" t="n">
        <v>0</v>
      </c>
      <c r="BT114" t="inlineStr">
        <is>
          <t>IPGP-Financial-Data-Workbook-2024-Q2.xlsx|Balance Sheet|27|93</t>
        </is>
      </c>
    </row>
    <row r="115">
      <c r="A115" s="455">
        <f>A114</f>
        <v/>
      </c>
      <c r="B115" s="400" t="n"/>
      <c r="C115" s="400" t="n"/>
      <c r="D115" s="400" t="n"/>
      <c r="E115" s="400" t="n"/>
      <c r="F115" s="400" t="n"/>
      <c r="G115" s="400" t="n"/>
      <c r="H115" s="400" t="n"/>
      <c r="I115" s="400" t="n"/>
      <c r="J115" s="400" t="n"/>
      <c r="K115" s="400" t="n"/>
      <c r="L115" s="400" t="n"/>
      <c r="M115" s="400" t="n"/>
      <c r="N115" s="400">
        <f>ROUND(N95/N100-N97,2)</f>
        <v/>
      </c>
      <c r="O115" s="400">
        <f>ROUND(O95/O100-O97,2)</f>
        <v/>
      </c>
      <c r="P115" s="400">
        <f>ROUND(P95/P100-P97,2)</f>
        <v/>
      </c>
      <c r="Q115" s="400">
        <f>ROUND(Q95/Q100-Q97,2)</f>
        <v/>
      </c>
      <c r="R115" s="400">
        <f>ROUND(R95/R100-R97,2)</f>
        <v/>
      </c>
      <c r="S115" s="400">
        <f>ROUND(S95/S100-S97,2)</f>
        <v/>
      </c>
      <c r="T115" s="400">
        <f>ROUND(T95/T100-T97,2)</f>
        <v/>
      </c>
      <c r="U115" s="400">
        <f>ROUND(U95/U100-U97,2)</f>
        <v/>
      </c>
      <c r="V115" s="400">
        <f>ROUND(V95/V100-V97,2)</f>
        <v/>
      </c>
      <c r="W115" s="400">
        <f>ROUND(W95/W100-W97,2)</f>
        <v/>
      </c>
      <c r="X115" s="400">
        <f>ROUND(X95/X100-X97,2)</f>
        <v/>
      </c>
      <c r="Y115" s="400">
        <f>ROUND(Y95/Y100-Y97,2)</f>
        <v/>
      </c>
      <c r="Z115" s="400">
        <f>ROUND(Z95/Z100-Z97,2)</f>
        <v/>
      </c>
      <c r="AA115" s="400">
        <f>ROUND(AA95/AA100-AA97,2)</f>
        <v/>
      </c>
      <c r="AB115" s="400">
        <f>ROUND(AB95/AB100-AB97,2)</f>
        <v/>
      </c>
      <c r="AC115" s="400">
        <f>ROUND(AC95/AC100-AC97,2)</f>
        <v/>
      </c>
      <c r="AD115" s="400">
        <f>ROUND(AD95/AD100-AD97,2)</f>
        <v/>
      </c>
      <c r="AE115" s="400">
        <f>ROUND(AE95/AE100-AE97,2)</f>
        <v/>
      </c>
      <c r="AF115" s="400">
        <f>ROUND(AF95/AF100-AF97,2)</f>
        <v/>
      </c>
      <c r="AG115" s="400">
        <f>ROUND(AG95/AG100-AG97,2)</f>
        <v/>
      </c>
      <c r="AH115" s="400">
        <f>ROUND(AH95/AH100-AH97,2)</f>
        <v/>
      </c>
      <c r="AI115" s="400">
        <f>ROUND(AI95/AI100-AI97,2)</f>
        <v/>
      </c>
      <c r="AJ115" s="400">
        <f>ROUND(AJ95/AJ100-AJ97,2)</f>
        <v/>
      </c>
      <c r="AK115" s="400">
        <f>ROUND(AK95/AK100-AK97,2)</f>
        <v/>
      </c>
      <c r="AL115" s="400">
        <f>ROUND(AL95/AL100-AL97,2)</f>
        <v/>
      </c>
      <c r="AM115" s="400">
        <f>ROUND(AM95/AM100-AM97,2)</f>
        <v/>
      </c>
      <c r="AN115" s="400">
        <f>ROUND(AN95/AN100-AN97,2)</f>
        <v/>
      </c>
      <c r="AO115" s="400">
        <f>ROUND(AO95/AO100-AO97,2)</f>
        <v/>
      </c>
      <c r="AP115" s="400">
        <f>ROUND(AP95/AP100-AP97,2)</f>
        <v/>
      </c>
      <c r="AQ115" s="400">
        <f>ROUND(AQ95/AQ100-AQ97,2)</f>
        <v/>
      </c>
      <c r="AR115" s="400">
        <f>ROUND(AR95/AR100-AR97,2)</f>
        <v/>
      </c>
      <c r="AS115" s="400">
        <f>ROUND(AS95/AS100-AS97,2)</f>
        <v/>
      </c>
      <c r="AT115" s="400">
        <f>ROUND(AT95/AT100-AT97,2)</f>
        <v/>
      </c>
      <c r="AU115" s="400">
        <f>ROUND(AU95/AU100-AU97,2)</f>
        <v/>
      </c>
      <c r="AV115" s="400">
        <f>ROUND(AV95/AV100-AV97,2)</f>
        <v/>
      </c>
      <c r="AW115" s="400">
        <f>ROUND(AW95/AW100-AW97,2)</f>
        <v/>
      </c>
      <c r="AX115" s="400">
        <f>ROUND(AX95/AX100-AX97,2)</f>
        <v/>
      </c>
      <c r="AY115" s="400">
        <f>ROUND(AY95/AY100-AY97,2)</f>
        <v/>
      </c>
      <c r="AZ115" s="400">
        <f>ROUND(AZ95/AZ100-AZ97,2)</f>
        <v/>
      </c>
      <c r="BA115" s="400">
        <f>ROUND(BA95/BA100-BA97,2)</f>
        <v/>
      </c>
      <c r="BB115" s="400">
        <f>ROUND(BB95/BB100-BB97,2)</f>
        <v/>
      </c>
      <c r="BC115" s="400">
        <f>ROUND(BC95/BC100-BC97,2)</f>
        <v/>
      </c>
      <c r="BD115" s="400">
        <f>ROUND(BD95/BD100-BD97,2)</f>
        <v/>
      </c>
      <c r="BE115" s="400">
        <f>ROUND(BE95/BE100-BE97,2)</f>
        <v/>
      </c>
      <c r="BF115" s="400">
        <f>ROUND(BF95/BF100-BF97,2)</f>
        <v/>
      </c>
      <c r="BG115" s="400">
        <f>ROUND(BG95/BG100-BG97,2)</f>
        <v/>
      </c>
      <c r="BH115" s="400">
        <f>ROUND(BH95/BH100-BH97,2)</f>
        <v/>
      </c>
      <c r="BI115" s="400">
        <f>ROUND(BI95/BI100-BI97,2)</f>
        <v/>
      </c>
      <c r="BJ115" s="400">
        <f>ROUND(BJ95/BJ100-BJ97,2)</f>
        <v/>
      </c>
      <c r="BK115" s="400">
        <f>ROUND(BK95/BK100-BK97,2)</f>
        <v/>
      </c>
      <c r="BL115" s="400">
        <f>ROUND(BL95/BL100-BL97,2)</f>
        <v/>
      </c>
      <c r="BM115" s="400">
        <f>ROUND(BM95/BM100-BM97,2)</f>
        <v/>
      </c>
      <c r="BN115" s="400">
        <f>ROUND(BN95/BN100-BN97,2)</f>
        <v/>
      </c>
      <c r="BO115" s="400">
        <f>ROUND(BO95/BO100-BO97,2)</f>
        <v/>
      </c>
      <c r="BP115" s="400">
        <f>ROUND(BP95/BP100-BP97,2)</f>
        <v/>
      </c>
      <c r="BQ115" s="400">
        <f>ROUND(BQ95/BQ100-BQ97,2)</f>
        <v/>
      </c>
      <c r="BR115" s="400">
        <f>ROUND(BR95/BR100-BR97,2)</f>
        <v/>
      </c>
      <c r="BS115" t="n">
        <v>0</v>
      </c>
      <c r="BT115" t="inlineStr">
        <is>
          <t>IPGP-Financial-Data-Workbook-2024-Q2.xlsx|Balance Sheet|28|93</t>
        </is>
      </c>
    </row>
    <row r="116">
      <c r="A116" s="455">
        <f>A115</f>
        <v/>
      </c>
      <c r="B116" s="400" t="n"/>
      <c r="C116" s="400" t="n"/>
      <c r="D116" s="400" t="n"/>
      <c r="E116" s="400" t="n"/>
      <c r="F116" s="400" t="n"/>
      <c r="G116" s="400" t="n"/>
      <c r="H116" s="400" t="n"/>
      <c r="I116" s="400" t="n"/>
      <c r="J116" s="400" t="n"/>
      <c r="K116" s="400" t="n"/>
      <c r="L116" s="400" t="n"/>
      <c r="M116" s="400" t="n"/>
      <c r="N116" s="400">
        <f>N103+SUM(N104:N107)-N110-N111</f>
        <v/>
      </c>
      <c r="O116" s="400">
        <f>O103+SUM(O104:O107)-O110-O111</f>
        <v/>
      </c>
      <c r="P116" s="400">
        <f>P103+SUM(P104:P107)-P110-P111</f>
        <v/>
      </c>
      <c r="Q116" s="400">
        <f>Q103+SUM(Q104:Q107)-Q110-Q111</f>
        <v/>
      </c>
      <c r="R116" s="400">
        <f>R103+SUM(R104:R107)-R110-R111</f>
        <v/>
      </c>
      <c r="S116" s="400">
        <f>S103+SUM(S104:S107)-S110-S111</f>
        <v/>
      </c>
      <c r="T116" s="400">
        <f>T103+SUM(T104:T107)-T110-T111</f>
        <v/>
      </c>
      <c r="U116" s="400">
        <f>U103+SUM(U104:U107)-U110-U111</f>
        <v/>
      </c>
      <c r="V116" s="400">
        <f>V103+SUM(V104:V107)-V110-V111</f>
        <v/>
      </c>
      <c r="W116" s="400">
        <f>W103+SUM(W104:W107)-W110-W111</f>
        <v/>
      </c>
      <c r="X116" s="400">
        <f>X103+SUM(X104:X107)-X110-X111</f>
        <v/>
      </c>
      <c r="Y116" s="400">
        <f>Y103+SUM(Y104:Y107)-Y110-Y111</f>
        <v/>
      </c>
      <c r="Z116" s="400">
        <f>Z103+SUM(Z104:Z107)-Z110-Z111</f>
        <v/>
      </c>
      <c r="AA116" s="400">
        <f>AA103+SUM(AA104:AA107)-AA110-AA111</f>
        <v/>
      </c>
      <c r="AB116" s="400">
        <f>AB103+SUM(AB104:AB107)-AB110-AB111</f>
        <v/>
      </c>
      <c r="AC116" s="400">
        <f>AC103+SUM(AC104:AC107)-AC110-AC111</f>
        <v/>
      </c>
      <c r="AD116" s="400">
        <f>AD103+SUM(AD104:AD107)-AD110-AD111</f>
        <v/>
      </c>
      <c r="AE116" s="400">
        <f>AE103+SUM(AE104:AE107)-AE110-AE111</f>
        <v/>
      </c>
      <c r="AF116" s="400">
        <f>AF103+SUM(AF104:AF107)-AF110-AF111</f>
        <v/>
      </c>
      <c r="AG116" s="400">
        <f>AG103+SUM(AG104:AG107)-AG110-AG111</f>
        <v/>
      </c>
      <c r="AH116" s="400">
        <f>AH103+SUM(AH104:AH107)-AH110-AH111</f>
        <v/>
      </c>
      <c r="AI116" s="400">
        <f>AI103+SUM(AI104:AI107)-AI110-AI111</f>
        <v/>
      </c>
      <c r="AJ116" s="400">
        <f>AJ103+SUM(AJ104:AJ107)-AJ110-AJ111</f>
        <v/>
      </c>
      <c r="AK116" s="400">
        <f>AK103+SUM(AK104:AK107)-AK110-AK111</f>
        <v/>
      </c>
      <c r="AL116" s="400">
        <f>AL103+SUM(AL104:AL107)-AL110-AL111</f>
        <v/>
      </c>
      <c r="AM116" s="400">
        <f>AM103+SUM(AM104:AM107)-AM110-AM111</f>
        <v/>
      </c>
      <c r="AN116" s="400">
        <f>AN103+SUM(AN104:AN107)-AN110-AN111</f>
        <v/>
      </c>
      <c r="AO116" s="400">
        <f>AO103+SUM(AO104:AO107)-AO110-AO111</f>
        <v/>
      </c>
      <c r="AP116" s="400">
        <f>AP103+SUM(AP104:AP107)-AP110-AP111</f>
        <v/>
      </c>
      <c r="AQ116" s="400">
        <f>AQ103+SUM(AQ104:AQ107)-AQ110-AQ111</f>
        <v/>
      </c>
      <c r="AR116" s="400">
        <f>AR103+SUM(AR104:AR107)-AR110-AR111</f>
        <v/>
      </c>
      <c r="AS116" s="400">
        <f>AS103+SUM(AS104:AS107)-AS110-AS111</f>
        <v/>
      </c>
      <c r="AT116" s="400">
        <f>AT103+SUM(AT104:AT107)-AT110-AT111</f>
        <v/>
      </c>
      <c r="AU116" s="400">
        <f>AU103+SUM(AU104:AU107)-AU110-AU111</f>
        <v/>
      </c>
      <c r="AV116" s="400">
        <f>AV103+SUM(AV104:AV107)-AV110-AV111</f>
        <v/>
      </c>
      <c r="AW116" s="400">
        <f>AW103+SUM(AW104:AW107)-AW110-AW111</f>
        <v/>
      </c>
      <c r="AX116" s="400">
        <f>AX103+SUM(AX104:AX107)-AX110-AX111</f>
        <v/>
      </c>
      <c r="AY116" s="400">
        <f>AY103+SUM(AY104:AY107)-AY110-AY111</f>
        <v/>
      </c>
      <c r="AZ116" s="400">
        <f>AZ103+SUM(AZ104:AZ107)-AZ110-AZ111</f>
        <v/>
      </c>
      <c r="BA116" s="400">
        <f>BA103+SUM(BA104:BA107)-BA110-BA111</f>
        <v/>
      </c>
      <c r="BB116" s="400">
        <f>BB103+SUM(BB104:BB107)-BB110-BB111</f>
        <v/>
      </c>
      <c r="BC116" s="400">
        <f>BC103+SUM(BC104:BC107)-BC110-BC111</f>
        <v/>
      </c>
      <c r="BD116" s="400">
        <f>BD103+SUM(BD104:BD107)-BD110-BD111</f>
        <v/>
      </c>
      <c r="BE116" s="400">
        <f>BE103+SUM(BE104:BE107)-BE110-BE111</f>
        <v/>
      </c>
      <c r="BF116" s="400">
        <f>BF103+SUM(BF104:BF107)-BF110-BF111</f>
        <v/>
      </c>
      <c r="BG116" s="400">
        <f>BG103+SUM(BG104:BG107)-BG110-BG111</f>
        <v/>
      </c>
      <c r="BH116" s="400">
        <f>BH103+SUM(BH104:BH107)-BH110-BH111</f>
        <v/>
      </c>
      <c r="BI116" s="400">
        <f>BI103+SUM(BI104:BI107)-BI110-BI111</f>
        <v/>
      </c>
      <c r="BJ116" s="400">
        <f>BJ103+SUM(BJ104:BJ107)-BJ110-BJ111</f>
        <v/>
      </c>
      <c r="BK116" s="400">
        <f>BK103+SUM(BK104:BK107)-BK110-BK111</f>
        <v/>
      </c>
      <c r="BL116" s="400">
        <f>BL103+SUM(BL104:BL107)-BL110-BL111</f>
        <v/>
      </c>
      <c r="BM116" s="400">
        <f>BM103+SUM(BM104:BM107)-BM110-BM111</f>
        <v/>
      </c>
      <c r="BN116" s="400">
        <f>BN103+SUM(BN104:BN107)-BN110-BN111</f>
        <v/>
      </c>
      <c r="BO116" s="400">
        <f>BO103+SUM(BO104:BO107)-BO110-BO111</f>
        <v/>
      </c>
      <c r="BP116" s="400">
        <f>BP103+SUM(BP104:BP107)-BP110-BP111</f>
        <v/>
      </c>
      <c r="BQ116" s="400">
        <f>BQ103+SUM(BQ104:BQ107)-BQ110-BQ111</f>
        <v/>
      </c>
      <c r="BR116" s="400">
        <f>BR103+SUM(BR104:BR107)-BR110-BR111</f>
        <v/>
      </c>
      <c r="BS116" t="n">
        <v>0</v>
      </c>
      <c r="BT116" t="inlineStr">
        <is>
          <t>IPGP-Financial-Data-Workbook-2024-Q2.xlsx|Balance Sheet|38|93</t>
        </is>
      </c>
    </row>
    <row r="117">
      <c r="A117" s="455" t="n"/>
      <c r="B117" s="400" t="n"/>
      <c r="C117" s="400" t="n"/>
      <c r="D117" s="400" t="n"/>
      <c r="E117" s="400" t="n"/>
      <c r="F117" s="400" t="n"/>
      <c r="G117" s="400" t="n"/>
      <c r="H117" s="400" t="n"/>
      <c r="I117" s="400" t="n"/>
      <c r="J117" s="400" t="n"/>
      <c r="K117" s="400" t="n"/>
      <c r="L117" s="400" t="n"/>
      <c r="M117" s="400" t="n"/>
      <c r="N117" s="400" t="n"/>
      <c r="O117" s="400" t="n"/>
      <c r="P117" s="400" t="n"/>
      <c r="Q117" s="400" t="n"/>
      <c r="R117" s="400" t="n"/>
      <c r="S117" s="400" t="n"/>
      <c r="T117" s="400" t="n"/>
      <c r="U117" s="400" t="n"/>
      <c r="V117" s="400" t="n"/>
      <c r="W117" s="400" t="n"/>
      <c r="X117" s="400" t="n"/>
      <c r="Y117" s="400" t="n"/>
      <c r="Z117" s="400" t="n"/>
      <c r="AA117" s="400" t="n"/>
      <c r="AB117" s="400" t="n"/>
      <c r="AC117" s="400" t="n"/>
      <c r="AD117" s="400" t="n"/>
      <c r="AE117" s="400" t="n"/>
      <c r="AF117" s="400" t="n"/>
      <c r="AG117" s="400" t="n"/>
      <c r="AH117" s="400" t="n"/>
      <c r="AI117" s="400" t="n"/>
      <c r="AJ117" s="400" t="n"/>
      <c r="AK117" s="400" t="n"/>
      <c r="AL117" s="400" t="n"/>
      <c r="AM117" s="400" t="n"/>
      <c r="AN117" s="400" t="n"/>
      <c r="AO117" s="400" t="n"/>
      <c r="AP117" s="400" t="n"/>
      <c r="AQ117" s="400" t="n"/>
      <c r="AR117" s="400" t="n"/>
      <c r="AS117" s="400" t="n"/>
    </row>
    <row r="118">
      <c r="A118" s="455" t="n"/>
      <c r="B118" s="400" t="n"/>
      <c r="C118" s="400" t="n"/>
      <c r="D118" s="400" t="n"/>
      <c r="E118" s="400" t="n"/>
      <c r="F118" s="400" t="n"/>
      <c r="G118" s="400" t="n"/>
      <c r="H118" s="400" t="n"/>
      <c r="I118" s="400" t="n"/>
      <c r="J118" s="400" t="n"/>
      <c r="K118" s="400" t="n"/>
      <c r="L118" s="400" t="n"/>
      <c r="M118" s="400" t="n"/>
      <c r="N118" s="400" t="n"/>
      <c r="O118" s="400" t="n"/>
      <c r="P118" s="400" t="n"/>
      <c r="Q118" s="400" t="n"/>
      <c r="R118" s="400" t="n"/>
      <c r="S118" s="400" t="n"/>
      <c r="T118" s="400" t="n"/>
      <c r="U118" s="400" t="n"/>
      <c r="V118" s="400" t="n"/>
      <c r="W118" s="400" t="n"/>
      <c r="X118" s="400" t="n"/>
      <c r="Y118" s="400" t="n"/>
      <c r="Z118" s="400" t="n"/>
      <c r="AA118" s="400" t="n"/>
      <c r="AB118" s="400" t="n"/>
      <c r="AC118" s="400" t="n"/>
      <c r="AD118" s="400" t="n"/>
      <c r="AE118" s="400" t="n"/>
      <c r="AF118" s="400" t="n"/>
      <c r="AG118" s="400" t="n"/>
      <c r="AH118" s="400" t="n"/>
      <c r="AI118" s="400" t="n"/>
      <c r="AJ118" s="400" t="n"/>
      <c r="AK118" s="400" t="n"/>
      <c r="AL118" s="400" t="n"/>
      <c r="AM118" s="400" t="n"/>
      <c r="AN118" s="400" t="n"/>
      <c r="AO118" s="400" t="n"/>
      <c r="AP118" s="400" t="n"/>
      <c r="AQ118" s="400" t="n"/>
      <c r="AR118" s="400" t="n"/>
      <c r="AS118" s="400" t="n"/>
    </row>
    <row r="119">
      <c r="A119" s="455" t="n"/>
      <c r="B119" s="400" t="n"/>
      <c r="C119" s="400" t="n"/>
      <c r="D119" s="400" t="n"/>
      <c r="E119" s="400" t="n"/>
      <c r="F119" s="400" t="n"/>
      <c r="G119" s="400" t="n"/>
      <c r="H119" s="400" t="n"/>
      <c r="I119" s="400" t="n"/>
      <c r="J119" s="400" t="n"/>
      <c r="K119" s="400" t="n"/>
      <c r="L119" s="400" t="n"/>
      <c r="M119" s="400" t="n"/>
      <c r="N119" s="400" t="n"/>
      <c r="O119" s="400" t="n"/>
      <c r="P119" s="400" t="n"/>
      <c r="Q119" s="400" t="n"/>
      <c r="R119" s="400" t="n"/>
      <c r="S119" s="400" t="n"/>
      <c r="T119" s="400" t="n"/>
      <c r="U119" s="400" t="n"/>
      <c r="V119" s="400" t="n"/>
      <c r="W119" s="400" t="n"/>
      <c r="X119" s="400" t="n"/>
      <c r="Y119" s="400" t="n"/>
      <c r="Z119" s="400" t="n"/>
      <c r="AA119" s="400" t="n"/>
      <c r="AB119" s="400" t="n"/>
      <c r="AC119" s="400" t="n"/>
      <c r="AD119" s="400" t="n"/>
      <c r="AE119" s="400" t="n"/>
      <c r="AF119" s="400" t="n"/>
      <c r="AG119" s="400" t="n"/>
      <c r="AH119" s="400" t="n"/>
      <c r="AI119" s="400" t="n"/>
      <c r="AJ119" s="400" t="n"/>
      <c r="AK119" s="400" t="n"/>
      <c r="AL119" s="400" t="n"/>
      <c r="AM119" s="400" t="n"/>
      <c r="AN119" s="400" t="n"/>
      <c r="AO119" s="400" t="n"/>
      <c r="AP119" s="400" t="n"/>
      <c r="AQ119" s="400" t="n"/>
      <c r="AR119" s="400" t="n"/>
      <c r="AS119" s="400" t="n"/>
    </row>
    <row r="120">
      <c r="B120" s="145" t="n"/>
      <c r="C120" s="145" t="n"/>
      <c r="D120" s="145" t="n"/>
      <c r="E120" s="145" t="n"/>
      <c r="F120" s="145" t="n"/>
      <c r="G120" s="145" t="n"/>
      <c r="H120" s="145" t="n"/>
      <c r="I120" s="145" t="n"/>
      <c r="J120" s="145" t="n"/>
      <c r="K120" s="145" t="n"/>
      <c r="L120" s="145" t="n"/>
      <c r="M120" s="145" t="n"/>
      <c r="N120" s="145" t="n"/>
      <c r="O120" s="145" t="n"/>
      <c r="P120" s="145" t="n"/>
      <c r="Q120" s="145" t="n"/>
      <c r="R120" s="145" t="n"/>
      <c r="S120" s="145" t="n"/>
      <c r="T120" s="145" t="n"/>
      <c r="U120" s="145" t="n"/>
      <c r="V120" s="145" t="n"/>
      <c r="W120" s="145" t="n"/>
      <c r="X120" s="145" t="n"/>
      <c r="Y120" s="145" t="n"/>
      <c r="Z120" s="145" t="n"/>
      <c r="AA120" s="145" t="n"/>
      <c r="AB120" s="145" t="n"/>
      <c r="AC120" s="145" t="n"/>
      <c r="AD120" s="145" t="n"/>
      <c r="AE120" s="145" t="n"/>
      <c r="AF120" s="145" t="n"/>
    </row>
    <row r="121">
      <c r="A121" s="81" t="inlineStr">
        <is>
          <t>CONSOLIDATED BALANCE SHEET (in '000 USD)</t>
        </is>
      </c>
      <c r="B121" s="145" t="n"/>
      <c r="C121" s="145" t="n"/>
      <c r="D121" s="145" t="n"/>
      <c r="E121" s="145" t="n"/>
      <c r="F121" s="145" t="n"/>
      <c r="G121" s="145" t="n"/>
      <c r="H121" s="145" t="n"/>
      <c r="I121" s="145" t="n"/>
      <c r="J121" s="145" t="n"/>
      <c r="K121" s="145" t="n"/>
      <c r="L121" s="145" t="n"/>
      <c r="M121" s="145" t="n"/>
      <c r="N121" s="145" t="n"/>
      <c r="O121" s="145" t="n"/>
      <c r="P121" s="145" t="n"/>
      <c r="Q121" s="145" t="n"/>
      <c r="R121" s="145" t="n"/>
      <c r="S121" s="145" t="n"/>
      <c r="T121" s="145" t="n"/>
      <c r="U121" s="145" t="n"/>
      <c r="V121" s="145" t="n"/>
      <c r="W121" s="145" t="n"/>
      <c r="X121" s="145" t="n"/>
      <c r="Y121" s="145" t="n"/>
      <c r="Z121" s="145" t="n"/>
      <c r="AA121" s="145" t="n"/>
      <c r="AB121" s="145" t="n"/>
      <c r="AC121" s="145" t="n"/>
      <c r="AD121" s="145" t="n"/>
      <c r="AE121" s="145" t="n"/>
    </row>
    <row r="122">
      <c r="B122" s="145" t="n"/>
      <c r="C122" s="145" t="n"/>
      <c r="D122" s="145" t="n"/>
      <c r="E122" s="145" t="n"/>
      <c r="F122" s="145" t="n"/>
      <c r="G122" s="145" t="n"/>
      <c r="H122" s="145" t="n"/>
      <c r="I122" s="145" t="n"/>
      <c r="J122" s="145" t="n"/>
      <c r="K122" s="145" t="n"/>
      <c r="L122" s="145" t="n"/>
      <c r="M122" s="145" t="n"/>
      <c r="N122" s="145" t="n"/>
      <c r="O122" s="145" t="n"/>
      <c r="P122" s="145" t="n"/>
      <c r="Q122" s="145" t="n"/>
      <c r="R122" s="145" t="n"/>
      <c r="S122" s="145" t="n"/>
      <c r="T122" s="145" t="n"/>
      <c r="U122" s="145" t="n"/>
      <c r="V122" s="145" t="n"/>
      <c r="W122" s="145" t="n"/>
      <c r="X122" s="145" t="n"/>
      <c r="Y122" s="145" t="n"/>
      <c r="Z122" s="145" t="n"/>
      <c r="AA122" s="145" t="n"/>
      <c r="AB122" s="145" t="n"/>
      <c r="AC122" s="145" t="n"/>
      <c r="AD122" s="145" t="n"/>
      <c r="AE122" s="145" t="n"/>
    </row>
    <row r="123">
      <c r="A123" s="74" t="inlineStr">
        <is>
          <t>Cash and cash equivalents</t>
        </is>
      </c>
      <c r="B123" s="145" t="n"/>
      <c r="C123" s="145" t="n"/>
      <c r="D123" s="145" t="n"/>
      <c r="E123" s="145" t="n"/>
      <c r="F123" s="145" t="n"/>
      <c r="G123" s="145" t="n"/>
      <c r="H123" s="145" t="n"/>
      <c r="I123" s="145" t="n"/>
      <c r="J123" s="145" t="n"/>
      <c r="K123" s="145" t="n"/>
      <c r="L123" s="145" t="n"/>
      <c r="M123" s="145" t="n"/>
      <c r="N123" s="145" t="n">
        <v>84407</v>
      </c>
      <c r="O123" s="145" t="n">
        <v>90655</v>
      </c>
      <c r="P123" s="145" t="n">
        <v>96630</v>
      </c>
      <c r="Q123" s="145" t="n">
        <v>147860</v>
      </c>
      <c r="R123" s="145" t="n">
        <v>160618</v>
      </c>
      <c r="S123" s="145" t="n">
        <v>188196</v>
      </c>
      <c r="T123" s="145" t="n">
        <v>196586</v>
      </c>
      <c r="U123" s="145" t="n">
        <v>180234</v>
      </c>
      <c r="V123" s="145" t="n">
        <v>377071</v>
      </c>
      <c r="W123" s="145" t="n">
        <v>345578</v>
      </c>
      <c r="X123" s="145" t="n">
        <v>372569</v>
      </c>
      <c r="Y123" s="145" t="n">
        <v>384053</v>
      </c>
      <c r="Z123" s="145" t="n">
        <v>355715</v>
      </c>
      <c r="AA123" s="145" t="n">
        <v>369484</v>
      </c>
      <c r="AB123" s="145" t="n">
        <v>398355</v>
      </c>
      <c r="AC123" s="145" t="n">
        <v>448776</v>
      </c>
      <c r="AD123" s="145" t="n">
        <v>480609</v>
      </c>
      <c r="AE123" s="145" t="n">
        <v>483432</v>
      </c>
      <c r="AF123" s="145" t="n">
        <v>487518</v>
      </c>
      <c r="AG123" s="145" t="n">
        <v>522150</v>
      </c>
      <c r="AH123" s="145" t="n">
        <v>541474</v>
      </c>
      <c r="AI123" s="145" t="n">
        <v>571508</v>
      </c>
      <c r="AJ123" s="145" t="n">
        <v>651220</v>
      </c>
      <c r="AK123" s="145" t="n">
        <v>582532</v>
      </c>
      <c r="AL123" s="145" t="n">
        <v>613692</v>
      </c>
      <c r="AM123" s="145" t="n">
        <v>587286</v>
      </c>
      <c r="AN123" s="145" t="n">
        <v>645558</v>
      </c>
      <c r="AO123" s="145" t="n">
        <v>623855</v>
      </c>
      <c r="AP123" s="145" t="n">
        <v>697778</v>
      </c>
      <c r="AQ123" s="145" t="n">
        <v>808111</v>
      </c>
      <c r="AR123" s="145" t="n">
        <v>880267</v>
      </c>
      <c r="AS123" s="145" t="n">
        <v>909900</v>
      </c>
      <c r="AT123" s="145" t="n">
        <v>969123</v>
      </c>
      <c r="AU123" s="145" t="n">
        <v>816792</v>
      </c>
      <c r="AV123" s="145" t="n">
        <v>647606</v>
      </c>
      <c r="AW123" s="145" t="n">
        <v>544358</v>
      </c>
      <c r="AX123" s="145" t="n">
        <v>548938</v>
      </c>
      <c r="AY123" s="145" t="n">
        <v>530013</v>
      </c>
      <c r="AZ123" s="145" t="n">
        <v>580329</v>
      </c>
      <c r="BA123" s="145" t="n">
        <v>680070</v>
      </c>
      <c r="BB123" s="145" t="n">
        <v>570058</v>
      </c>
      <c r="BC123" s="145" t="n">
        <v>747859</v>
      </c>
      <c r="BD123" s="145" t="n">
        <v>763920</v>
      </c>
      <c r="BE123" s="145" t="n">
        <v>876231</v>
      </c>
      <c r="BF123" s="145" t="n">
        <v>896741</v>
      </c>
      <c r="BG123" s="145" t="n">
        <v>754199</v>
      </c>
      <c r="BH123" s="145" t="n">
        <v>794904</v>
      </c>
      <c r="BI123" s="145" t="n">
        <v>709105</v>
      </c>
      <c r="BJ123" s="145" t="n">
        <v>642517</v>
      </c>
      <c r="BK123" s="145" t="n">
        <v>771788</v>
      </c>
      <c r="BL123" s="145" t="n">
        <v>869274</v>
      </c>
      <c r="BM123" s="145" t="n">
        <v>698209</v>
      </c>
      <c r="BN123" s="145" t="n">
        <v>521137</v>
      </c>
      <c r="BO123" s="145" t="n">
        <v>573071</v>
      </c>
      <c r="BP123" s="145" t="n">
        <v>528284</v>
      </c>
      <c r="BQ123" s="145" t="n">
        <v>514674</v>
      </c>
      <c r="BR123" s="145" t="n">
        <v>496452</v>
      </c>
      <c r="BS123" t="n">
        <v>720540</v>
      </c>
      <c r="BT123" t="inlineStr">
        <is>
          <t>IPGP-Financial-Data-Workbook-2024-Q2.xlsx|Balance Sheet|7|93</t>
        </is>
      </c>
    </row>
    <row r="124">
      <c r="A124" s="74" t="inlineStr">
        <is>
          <t>Short-term investments</t>
        </is>
      </c>
      <c r="B124" s="145" t="n"/>
      <c r="C124" s="145" t="n"/>
      <c r="D124" s="145" t="n"/>
      <c r="E124" s="145" t="n"/>
      <c r="F124" s="145" t="n"/>
      <c r="G124" s="145" t="n"/>
      <c r="H124" s="145" t="n"/>
      <c r="I124" s="145" t="n"/>
      <c r="J124" s="145" t="n"/>
      <c r="K124" s="145" t="n"/>
      <c r="L124" s="145" t="n"/>
      <c r="M124" s="145" t="n"/>
      <c r="N124" s="145" t="n">
        <v>0</v>
      </c>
      <c r="O124" s="145" t="n">
        <v>0</v>
      </c>
      <c r="P124" s="145" t="n">
        <v>0</v>
      </c>
      <c r="Q124" s="145" t="n">
        <v>0</v>
      </c>
      <c r="R124" s="145" t="n">
        <v>0</v>
      </c>
      <c r="S124" s="145" t="n">
        <v>0</v>
      </c>
      <c r="T124" s="145" t="n">
        <v>0</v>
      </c>
      <c r="U124" s="145" t="n">
        <v>25451</v>
      </c>
      <c r="V124" s="145" t="n">
        <v>18451</v>
      </c>
      <c r="W124" s="145" t="n">
        <v>9765</v>
      </c>
      <c r="X124" s="145" t="n">
        <v>0</v>
      </c>
      <c r="Y124" s="145" t="n">
        <v>0</v>
      </c>
      <c r="Z124" s="145" t="n">
        <v>0</v>
      </c>
      <c r="AA124" s="145" t="n">
        <v>0</v>
      </c>
      <c r="AB124" s="145" t="n">
        <v>0</v>
      </c>
      <c r="AC124" s="145" t="n">
        <v>0</v>
      </c>
      <c r="AD124" s="145" t="n">
        <v>0</v>
      </c>
      <c r="AE124" s="145" t="n">
        <v>0</v>
      </c>
      <c r="AF124" s="145" t="n">
        <v>0</v>
      </c>
      <c r="AG124" s="145" t="n">
        <v>0</v>
      </c>
      <c r="AH124" s="145" t="n">
        <v>0</v>
      </c>
      <c r="AI124" s="145" t="n">
        <v>0</v>
      </c>
      <c r="AJ124" s="145" t="n">
        <v>0</v>
      </c>
      <c r="AK124" s="145" t="n">
        <v>106584</v>
      </c>
      <c r="AL124" s="145" t="n">
        <v>126273</v>
      </c>
      <c r="AM124" s="145" t="n">
        <v>126794</v>
      </c>
      <c r="AN124" s="145" t="n">
        <v>126970</v>
      </c>
      <c r="AO124" s="145" t="n">
        <v>206779</v>
      </c>
      <c r="AP124" s="145" t="n">
        <v>165025</v>
      </c>
      <c r="AQ124" s="145" t="n">
        <v>122304</v>
      </c>
      <c r="AR124" s="145" t="n">
        <v>165655</v>
      </c>
      <c r="AS124" s="145" t="n">
        <v>206257</v>
      </c>
      <c r="AT124" s="145" t="n">
        <v>206786</v>
      </c>
      <c r="AU124" s="145" t="n">
        <v>308970</v>
      </c>
      <c r="AV124" s="145" t="n">
        <v>474422</v>
      </c>
      <c r="AW124" s="145" t="n">
        <v>500432</v>
      </c>
      <c r="AX124" s="145" t="n">
        <v>481139</v>
      </c>
      <c r="AY124" s="145" t="n">
        <v>512816</v>
      </c>
      <c r="AZ124" s="145" t="n">
        <v>498508</v>
      </c>
      <c r="BA124" s="145" t="n">
        <v>502546</v>
      </c>
      <c r="BB124" s="145" t="n">
        <v>625085</v>
      </c>
      <c r="BC124" s="145" t="n">
        <v>501040</v>
      </c>
      <c r="BD124" s="145" t="n">
        <v>537696</v>
      </c>
      <c r="BE124" s="145" t="n">
        <v>514835</v>
      </c>
      <c r="BF124" s="145" t="n">
        <v>548196</v>
      </c>
      <c r="BG124" s="145" t="n">
        <v>743210</v>
      </c>
      <c r="BH124" s="145" t="n">
        <v>724103</v>
      </c>
      <c r="BI124" s="145" t="n">
        <v>805400</v>
      </c>
      <c r="BJ124" s="145" t="n">
        <v>774161</v>
      </c>
      <c r="BK124" s="145" t="n">
        <v>462865</v>
      </c>
      <c r="BL124" s="145" t="n">
        <v>365409</v>
      </c>
      <c r="BM124" s="145" t="n">
        <v>479374</v>
      </c>
      <c r="BN124" s="145" t="n">
        <v>548473</v>
      </c>
      <c r="BO124" s="145" t="n">
        <v>523341</v>
      </c>
      <c r="BP124" s="145" t="n">
        <v>605207</v>
      </c>
      <c r="BQ124" s="145" t="n">
        <v>662807</v>
      </c>
      <c r="BR124" s="145" t="n">
        <v>643655</v>
      </c>
      <c r="BS124" t="n">
        <v>343363</v>
      </c>
      <c r="BT124" t="inlineStr">
        <is>
          <t>IPGP-Financial-Data-Workbook-2024-Q2.xlsx|Balance Sheet|8|93</t>
        </is>
      </c>
    </row>
    <row r="125">
      <c r="A125" s="74" t="inlineStr">
        <is>
          <t>Accounts receivable, net</t>
        </is>
      </c>
      <c r="B125" s="145" t="n"/>
      <c r="C125" s="145" t="n"/>
      <c r="D125" s="145" t="n"/>
      <c r="E125" s="145" t="n"/>
      <c r="F125" s="145" t="n"/>
      <c r="G125" s="145" t="n"/>
      <c r="H125" s="145" t="n"/>
      <c r="I125" s="145" t="n"/>
      <c r="J125" s="145" t="n"/>
      <c r="K125" s="145" t="n"/>
      <c r="L125" s="145" t="n"/>
      <c r="M125" s="145" t="n"/>
      <c r="N125" s="145" t="n">
        <v>30078</v>
      </c>
      <c r="O125" s="145" t="n">
        <v>39907</v>
      </c>
      <c r="P125" s="145" t="n">
        <v>53720</v>
      </c>
      <c r="Q125" s="145" t="n">
        <v>55399</v>
      </c>
      <c r="R125" s="145" t="n">
        <v>57970</v>
      </c>
      <c r="S125" s="145" t="n">
        <v>73284</v>
      </c>
      <c r="T125" s="145" t="n">
        <v>80361</v>
      </c>
      <c r="U125" s="145" t="n">
        <v>75755</v>
      </c>
      <c r="V125" s="145" t="n">
        <v>88426</v>
      </c>
      <c r="W125" s="145" t="n">
        <v>86132</v>
      </c>
      <c r="X125" s="145" t="n">
        <v>110649</v>
      </c>
      <c r="Y125" s="145" t="n">
        <v>96630</v>
      </c>
      <c r="Z125" s="145" t="n">
        <v>102793</v>
      </c>
      <c r="AA125" s="145" t="n">
        <v>114498</v>
      </c>
      <c r="AB125" s="145" t="n">
        <v>120640</v>
      </c>
      <c r="AC125" s="145" t="n">
        <v>103803</v>
      </c>
      <c r="AD125" s="145" t="n">
        <v>107598</v>
      </c>
      <c r="AE125" s="145" t="n">
        <v>124144</v>
      </c>
      <c r="AF125" s="145" t="n">
        <v>136629</v>
      </c>
      <c r="AG125" s="145" t="n">
        <v>143109</v>
      </c>
      <c r="AH125" s="145" t="n">
        <v>149781</v>
      </c>
      <c r="AI125" s="145" t="n">
        <v>169828</v>
      </c>
      <c r="AJ125" s="145" t="n">
        <v>154814</v>
      </c>
      <c r="AK125" s="145" t="n">
        <v>150479</v>
      </c>
      <c r="AL125" s="145" t="n">
        <v>146505</v>
      </c>
      <c r="AM125" s="145" t="n">
        <v>151476</v>
      </c>
      <c r="AN125" s="145" t="n">
        <v>162725</v>
      </c>
      <c r="AO125" s="145" t="n">
        <v>155901</v>
      </c>
      <c r="AP125" s="145" t="n">
        <v>180226</v>
      </c>
      <c r="AQ125" s="145" t="n">
        <v>237332</v>
      </c>
      <c r="AR125" s="145" t="n">
        <v>226756</v>
      </c>
      <c r="AS125" s="145" t="n">
        <v>237278</v>
      </c>
      <c r="AT125" s="145" t="n">
        <v>235477</v>
      </c>
      <c r="AU125" s="145" t="n">
        <v>242128</v>
      </c>
      <c r="AV125" s="145" t="n">
        <v>251613</v>
      </c>
      <c r="AW125" s="145" t="n">
        <v>255509</v>
      </c>
      <c r="AX125" s="145" t="n">
        <v>231850</v>
      </c>
      <c r="AY125" s="145" t="n">
        <v>273697</v>
      </c>
      <c r="AZ125" s="145" t="n">
        <v>252926</v>
      </c>
      <c r="BA125" s="145" t="n">
        <v>238479</v>
      </c>
      <c r="BB125" s="145" t="n">
        <v>200646</v>
      </c>
      <c r="BC125" s="145" t="n">
        <v>203568</v>
      </c>
      <c r="BD125" s="145" t="n">
        <v>240352</v>
      </c>
      <c r="BE125" s="145" t="n">
        <v>264321</v>
      </c>
      <c r="BF125" s="145" t="n">
        <v>252877</v>
      </c>
      <c r="BG125" s="145" t="n">
        <v>250669</v>
      </c>
      <c r="BH125" s="145" t="n">
        <v>272699</v>
      </c>
      <c r="BI125" s="145" t="n">
        <v>262121</v>
      </c>
      <c r="BJ125" s="145" t="n">
        <v>257464</v>
      </c>
      <c r="BK125" s="145" t="n">
        <v>246877</v>
      </c>
      <c r="BL125" s="145" t="n">
        <v>195194</v>
      </c>
      <c r="BM125" s="145" t="n">
        <v>211347</v>
      </c>
      <c r="BN125" s="145" t="n">
        <v>236575</v>
      </c>
      <c r="BO125" s="145" t="n">
        <v>231125</v>
      </c>
      <c r="BP125" s="145" t="n">
        <v>229597</v>
      </c>
      <c r="BQ125" s="145" t="n">
        <v>219053</v>
      </c>
      <c r="BR125" s="145" t="n">
        <v>184012</v>
      </c>
      <c r="BS125" t="n">
        <v>176153</v>
      </c>
      <c r="BT125" t="inlineStr">
        <is>
          <t>IPGP-Financial-Data-Workbook-2024-Q2.xlsx|Balance Sheet|9|93</t>
        </is>
      </c>
    </row>
    <row r="126">
      <c r="A126" s="74" t="inlineStr">
        <is>
          <t>Inventories</t>
        </is>
      </c>
      <c r="B126" s="145" t="n"/>
      <c r="C126" s="145" t="n"/>
      <c r="D126" s="145" t="n"/>
      <c r="E126" s="145" t="n"/>
      <c r="F126" s="145" t="n"/>
      <c r="G126" s="145" t="n"/>
      <c r="H126" s="145" t="n"/>
      <c r="I126" s="145" t="n"/>
      <c r="J126" s="145" t="n"/>
      <c r="K126" s="145" t="n"/>
      <c r="L126" s="145" t="n"/>
      <c r="M126" s="145" t="n"/>
      <c r="N126" s="145" t="n">
        <v>52135</v>
      </c>
      <c r="O126" s="145" t="n">
        <v>54029</v>
      </c>
      <c r="P126" s="145" t="n">
        <v>64898</v>
      </c>
      <c r="Q126" s="145" t="n">
        <v>72470</v>
      </c>
      <c r="R126" s="145" t="n">
        <v>88698</v>
      </c>
      <c r="S126" s="145" t="n">
        <v>109273</v>
      </c>
      <c r="T126" s="145" t="n">
        <v>117276</v>
      </c>
      <c r="U126" s="145" t="n">
        <v>116978</v>
      </c>
      <c r="V126" s="145" t="n">
        <v>123430</v>
      </c>
      <c r="W126" s="145" t="n">
        <v>121979</v>
      </c>
      <c r="X126" s="145" t="n">
        <v>135121</v>
      </c>
      <c r="Y126" s="145" t="n">
        <v>139618</v>
      </c>
      <c r="Z126" s="145" t="n">
        <v>142096</v>
      </c>
      <c r="AA126" s="145" t="n">
        <v>154093</v>
      </c>
      <c r="AB126" s="145" t="n">
        <v>171268</v>
      </c>
      <c r="AC126" s="145" t="n">
        <v>172700</v>
      </c>
      <c r="AD126" s="145" t="n">
        <v>170556</v>
      </c>
      <c r="AE126" s="145" t="n">
        <v>178925</v>
      </c>
      <c r="AF126" s="145" t="n">
        <v>179476</v>
      </c>
      <c r="AG126" s="145" t="n">
        <v>171009</v>
      </c>
      <c r="AH126" s="145" t="n">
        <v>174140</v>
      </c>
      <c r="AI126" s="145" t="n">
        <v>190848</v>
      </c>
      <c r="AJ126" s="145" t="n">
        <v>197635</v>
      </c>
      <c r="AK126" s="145" t="n">
        <v>203738</v>
      </c>
      <c r="AL126" s="145" t="n">
        <v>226907</v>
      </c>
      <c r="AM126" s="145" t="n">
        <v>241282</v>
      </c>
      <c r="AN126" s="145" t="n">
        <v>242370</v>
      </c>
      <c r="AO126" s="145" t="n">
        <v>239010</v>
      </c>
      <c r="AP126" s="145" t="n">
        <v>261893</v>
      </c>
      <c r="AQ126" s="145" t="n">
        <v>260661</v>
      </c>
      <c r="AR126" s="145" t="n">
        <v>282495</v>
      </c>
      <c r="AS126" s="145" t="n">
        <v>307712</v>
      </c>
      <c r="AT126" s="145" t="n">
        <v>356375</v>
      </c>
      <c r="AU126" s="145" t="n">
        <v>376019</v>
      </c>
      <c r="AV126" s="145" t="n">
        <v>397409</v>
      </c>
      <c r="AW126" s="145" t="n">
        <v>403579</v>
      </c>
      <c r="AX126" s="145" t="n">
        <v>417817</v>
      </c>
      <c r="AY126" s="145" t="n">
        <v>425996</v>
      </c>
      <c r="AZ126" s="145" t="n">
        <v>417163</v>
      </c>
      <c r="BA126" s="145" t="n">
        <v>380790</v>
      </c>
      <c r="BB126" s="145" t="n">
        <v>363383</v>
      </c>
      <c r="BC126" s="145" t="n">
        <v>367166</v>
      </c>
      <c r="BD126" s="145" t="n">
        <v>370344</v>
      </c>
      <c r="BE126" s="145" t="n">
        <v>364993</v>
      </c>
      <c r="BF126" s="145" t="n">
        <v>368149</v>
      </c>
      <c r="BG126" s="145" t="n">
        <v>404547</v>
      </c>
      <c r="BH126" s="145" t="n">
        <v>435070</v>
      </c>
      <c r="BI126" s="145" t="n">
        <v>460747</v>
      </c>
      <c r="BJ126" s="145" t="n">
        <v>484971</v>
      </c>
      <c r="BK126" s="145" t="n">
        <v>556747</v>
      </c>
      <c r="BL126" s="145" t="n">
        <v>555537</v>
      </c>
      <c r="BM126" s="145" t="n">
        <v>509363</v>
      </c>
      <c r="BN126" s="145" t="n">
        <v>506149</v>
      </c>
      <c r="BO126" s="145" t="n">
        <v>491301</v>
      </c>
      <c r="BP126" s="145" t="n">
        <v>479829</v>
      </c>
      <c r="BQ126" s="145" t="n">
        <v>453874</v>
      </c>
      <c r="BR126" s="145" t="n">
        <v>431899</v>
      </c>
      <c r="BS126" t="n">
        <v>400839</v>
      </c>
      <c r="BT126" t="inlineStr">
        <is>
          <t>IPGP-Financial-Data-Workbook-2024-Q2.xlsx|Balance Sheet|10|93</t>
        </is>
      </c>
    </row>
    <row r="127">
      <c r="A127" s="74" t="inlineStr">
        <is>
          <t>Prepaid income taxes</t>
        </is>
      </c>
      <c r="B127" s="145" t="n"/>
      <c r="C127" s="145" t="n"/>
      <c r="D127" s="145" t="n"/>
      <c r="E127" s="145" t="n"/>
      <c r="F127" s="145" t="n"/>
      <c r="G127" s="145" t="n"/>
      <c r="H127" s="145" t="n"/>
      <c r="I127" s="145" t="n"/>
      <c r="J127" s="145" t="n"/>
      <c r="K127" s="145" t="n"/>
      <c r="L127" s="145" t="n"/>
      <c r="M127" s="145" t="n"/>
      <c r="N127" s="145" t="n">
        <v>3193</v>
      </c>
      <c r="O127" s="145" t="n">
        <v>2960</v>
      </c>
      <c r="P127" s="145" t="n">
        <v>5199</v>
      </c>
      <c r="Q127" s="145" t="n">
        <v>2663</v>
      </c>
      <c r="R127" s="145" t="n">
        <v>2376</v>
      </c>
      <c r="S127" s="145" t="n">
        <v>4419</v>
      </c>
      <c r="T127" s="145" t="n">
        <v>14494</v>
      </c>
      <c r="U127" s="145" t="n">
        <v>13285</v>
      </c>
      <c r="V127" s="145" t="n">
        <v>14434</v>
      </c>
      <c r="W127" s="145" t="n">
        <v>13946</v>
      </c>
      <c r="X127" s="145" t="n">
        <v>13968</v>
      </c>
      <c r="Y127" s="145" t="n">
        <v>13071</v>
      </c>
      <c r="Z127" s="145" t="n">
        <v>14397</v>
      </c>
      <c r="AA127" s="145" t="n">
        <v>16146</v>
      </c>
      <c r="AB127" s="145" t="n">
        <v>17326</v>
      </c>
      <c r="AC127" s="145" t="n">
        <v>15996</v>
      </c>
      <c r="AD127" s="145" t="n">
        <v>17977</v>
      </c>
      <c r="AE127" s="145" t="n">
        <v>19706</v>
      </c>
      <c r="AF127" s="145" t="n">
        <v>20940</v>
      </c>
      <c r="AG127" s="145" t="n">
        <v>20967</v>
      </c>
      <c r="AH127" s="145" t="n">
        <v>25712</v>
      </c>
      <c r="AI127" s="145" t="n">
        <v>27822</v>
      </c>
      <c r="AJ127" s="145" t="n">
        <v>32571</v>
      </c>
      <c r="AK127" s="145" t="n">
        <v>33692</v>
      </c>
      <c r="AL127" s="145" t="n">
        <v>37159</v>
      </c>
      <c r="AM127" s="145" t="n">
        <v>32890</v>
      </c>
      <c r="AN127" s="145" t="n">
        <v>35342</v>
      </c>
      <c r="AO127" s="145" t="n">
        <v>34128</v>
      </c>
      <c r="AP127" s="145" t="n">
        <v>41959</v>
      </c>
      <c r="AQ127" s="145" t="n">
        <v>37912</v>
      </c>
      <c r="AR127" s="145" t="n">
        <v>40639</v>
      </c>
      <c r="AS127" s="145" t="n">
        <v>44944</v>
      </c>
      <c r="AT127" s="145" t="n">
        <v>42430</v>
      </c>
      <c r="AU127" s="145" t="n">
        <v>40215</v>
      </c>
      <c r="AV127" s="145" t="n">
        <v>61222</v>
      </c>
      <c r="AW127" s="145" t="n">
        <v>43782</v>
      </c>
      <c r="AX127" s="145" t="n">
        <v>50961</v>
      </c>
      <c r="AY127" s="145" t="n">
        <v>49885</v>
      </c>
      <c r="AZ127" s="145" t="n">
        <v>50693</v>
      </c>
      <c r="BA127" s="145" t="n">
        <v>38873</v>
      </c>
      <c r="BB127" s="145" t="n">
        <v>50840</v>
      </c>
      <c r="BC127" s="145" t="n">
        <v>62778</v>
      </c>
      <c r="BD127" s="145" t="n">
        <v>60436</v>
      </c>
      <c r="BE127" s="145" t="n">
        <v>69893</v>
      </c>
      <c r="BF127" s="145" t="n">
        <v>70421</v>
      </c>
      <c r="BG127" s="145" t="n">
        <v>64810</v>
      </c>
      <c r="BH127" s="145" t="n">
        <v>34482</v>
      </c>
      <c r="BI127" s="145" t="n">
        <v>36990</v>
      </c>
      <c r="BJ127" s="145" t="n">
        <v>40888</v>
      </c>
      <c r="BK127" s="145" t="n">
        <v>52912</v>
      </c>
      <c r="BL127" s="145" t="n">
        <v>49496</v>
      </c>
      <c r="BM127" s="145" t="n">
        <v>40934</v>
      </c>
      <c r="BN127" s="145" t="n">
        <v>47054</v>
      </c>
      <c r="BO127" s="145" t="n">
        <v>50748</v>
      </c>
      <c r="BP127" s="145" t="n">
        <v>32538</v>
      </c>
      <c r="BQ127" s="145" t="n">
        <v>26038</v>
      </c>
      <c r="BR127" s="145" t="n">
        <v>24530</v>
      </c>
      <c r="BS127" t="n">
        <v>30208</v>
      </c>
      <c r="BT127" t="inlineStr">
        <is>
          <t>IPGP-Financial-Data-Workbook-2024-Q2.xlsx|Balance Sheet|14|93</t>
        </is>
      </c>
    </row>
    <row r="128">
      <c r="A128" s="74" t="inlineStr">
        <is>
          <t>Prepaid expenses and others</t>
        </is>
      </c>
      <c r="B128" s="145" t="n"/>
      <c r="C128" s="145" t="n"/>
      <c r="D128" s="145" t="n"/>
      <c r="E128" s="145" t="n"/>
      <c r="F128" s="145" t="n"/>
      <c r="G128" s="145" t="n"/>
      <c r="H128" s="145" t="n"/>
      <c r="I128" s="145" t="n"/>
      <c r="J128" s="145" t="n"/>
      <c r="K128" s="145" t="n"/>
      <c r="L128" s="145" t="n"/>
      <c r="M128" s="145" t="n"/>
      <c r="N128" s="145" t="n">
        <v>6095</v>
      </c>
      <c r="O128" s="145" t="n">
        <v>7191</v>
      </c>
      <c r="P128" s="145" t="n">
        <v>10792</v>
      </c>
      <c r="Q128" s="145" t="n">
        <v>13816</v>
      </c>
      <c r="R128" s="145" t="n">
        <v>17834</v>
      </c>
      <c r="S128" s="145" t="n">
        <v>17179</v>
      </c>
      <c r="T128" s="145" t="n">
        <v>13532</v>
      </c>
      <c r="U128" s="145" t="n">
        <v>11855</v>
      </c>
      <c r="V128" s="145" t="n">
        <v>14251</v>
      </c>
      <c r="W128" s="145" t="n">
        <v>14516</v>
      </c>
      <c r="X128" s="145" t="n">
        <v>18296</v>
      </c>
      <c r="Y128" s="145" t="n">
        <v>18639</v>
      </c>
      <c r="Z128" s="145" t="n">
        <v>23265</v>
      </c>
      <c r="AA128" s="145" t="n">
        <v>25942</v>
      </c>
      <c r="AB128" s="145" t="n">
        <v>30072</v>
      </c>
      <c r="AC128" s="145" t="n">
        <v>30836</v>
      </c>
      <c r="AD128" s="145" t="n">
        <v>33118</v>
      </c>
      <c r="AE128" s="145" t="n">
        <v>32634</v>
      </c>
      <c r="AF128" s="145" t="n">
        <v>23464</v>
      </c>
      <c r="AG128" s="145" t="n">
        <v>21295</v>
      </c>
      <c r="AH128" s="145" t="n">
        <v>23785</v>
      </c>
      <c r="AI128" s="145" t="n">
        <v>24241</v>
      </c>
      <c r="AJ128" s="145" t="n">
        <v>23221</v>
      </c>
      <c r="AK128" s="145" t="n">
        <v>25564</v>
      </c>
      <c r="AL128" s="145" t="n">
        <v>24577</v>
      </c>
      <c r="AM128" s="145" t="n">
        <v>33042</v>
      </c>
      <c r="AN128" s="145" t="n">
        <v>38913</v>
      </c>
      <c r="AO128" s="145" t="n">
        <v>41289</v>
      </c>
      <c r="AP128" s="145" t="n">
        <v>44133</v>
      </c>
      <c r="AQ128" s="145" t="n">
        <v>44454</v>
      </c>
      <c r="AR128" s="145" t="n">
        <v>46727</v>
      </c>
      <c r="AS128" s="145" t="n">
        <v>47919</v>
      </c>
      <c r="AT128" s="145" t="n">
        <v>54695</v>
      </c>
      <c r="AU128" s="145" t="n">
        <v>51911</v>
      </c>
      <c r="AV128" s="145" t="n">
        <v>50013</v>
      </c>
      <c r="AW128" s="145" t="n">
        <v>57764</v>
      </c>
      <c r="AX128" s="145" t="n">
        <v>61389</v>
      </c>
      <c r="AY128" s="145" t="n">
        <v>70675</v>
      </c>
      <c r="AZ128" s="145" t="n">
        <v>65896</v>
      </c>
      <c r="BA128" s="145" t="n">
        <v>55876</v>
      </c>
      <c r="BB128" s="145" t="n">
        <v>64514</v>
      </c>
      <c r="BC128" s="145" t="n">
        <v>68115</v>
      </c>
      <c r="BD128" s="145" t="n">
        <v>58905</v>
      </c>
      <c r="BE128" s="145" t="n">
        <v>57804</v>
      </c>
      <c r="BF128" s="145" t="n">
        <v>65877</v>
      </c>
      <c r="BG128" s="145" t="n">
        <v>73157</v>
      </c>
      <c r="BH128" s="145" t="n">
        <v>63917</v>
      </c>
      <c r="BI128" s="145" t="n">
        <v>73320</v>
      </c>
      <c r="BJ128" s="145" t="n">
        <v>82833</v>
      </c>
      <c r="BK128" s="145" t="n">
        <v>79662</v>
      </c>
      <c r="BL128" s="145" t="n">
        <v>84177</v>
      </c>
      <c r="BM128" s="145" t="n">
        <v>47047</v>
      </c>
      <c r="BN128" s="145" t="n">
        <v>56199</v>
      </c>
      <c r="BO128" s="145" t="n">
        <v>54482</v>
      </c>
      <c r="BP128" s="145" t="n">
        <v>45005</v>
      </c>
      <c r="BQ128" s="145" t="n">
        <v>38208</v>
      </c>
      <c r="BR128" s="145" t="n">
        <v>49071</v>
      </c>
      <c r="BS128" t="n">
        <v>46849</v>
      </c>
      <c r="BT128" t="inlineStr">
        <is>
          <t>IPGP-Financial-Data-Workbook-2024-Q2.xlsx|Balance Sheet|15|93</t>
        </is>
      </c>
    </row>
    <row r="129">
      <c r="A129" s="74" t="inlineStr">
        <is>
          <t>Other current assets</t>
        </is>
      </c>
      <c r="B129" s="145" t="n"/>
      <c r="C129" s="145" t="n"/>
      <c r="D129" s="145" t="n"/>
      <c r="E129" s="145" t="n"/>
      <c r="F129" s="145" t="n"/>
      <c r="G129" s="145" t="n"/>
      <c r="H129" s="145" t="n"/>
      <c r="I129" s="145" t="n"/>
      <c r="J129" s="145" t="n"/>
      <c r="K129" s="145" t="n"/>
      <c r="L129" s="145" t="n"/>
      <c r="M129" s="145" t="n"/>
      <c r="N129" s="145" t="n">
        <v>9253</v>
      </c>
      <c r="O129" s="145" t="n">
        <v>10137</v>
      </c>
      <c r="P129" s="145" t="n">
        <v>8374</v>
      </c>
      <c r="Q129" s="145" t="n">
        <v>8593</v>
      </c>
      <c r="R129" s="145" t="n">
        <v>9314</v>
      </c>
      <c r="S129" s="145" t="n">
        <v>7449</v>
      </c>
      <c r="T129" s="145" t="n">
        <v>9363</v>
      </c>
      <c r="U129" s="145" t="n">
        <v>10899</v>
      </c>
      <c r="V129" s="145" t="n">
        <v>11615</v>
      </c>
      <c r="W129" s="145" t="n">
        <v>11041</v>
      </c>
      <c r="X129" s="145" t="n">
        <v>10503</v>
      </c>
      <c r="Y129" s="145" t="n">
        <v>12948</v>
      </c>
      <c r="Z129" s="145" t="n">
        <v>11105</v>
      </c>
      <c r="AA129" s="145" t="n">
        <v>11422</v>
      </c>
      <c r="AB129" s="145" t="n">
        <v>11547</v>
      </c>
      <c r="AC129" s="145" t="n">
        <v>14232</v>
      </c>
      <c r="AD129" s="145" t="n">
        <v>15275</v>
      </c>
      <c r="AE129" s="145" t="n">
        <v>15251</v>
      </c>
      <c r="AF129" s="145" t="n">
        <v>15227</v>
      </c>
      <c r="AG129" s="145" t="n">
        <v>15308</v>
      </c>
      <c r="AH129" s="145" t="n">
        <v>16136</v>
      </c>
      <c r="AI129" s="145" t="n">
        <v>18123</v>
      </c>
      <c r="AJ129" s="145" t="n">
        <v>18611</v>
      </c>
      <c r="AK129" s="145" t="n">
        <v>0</v>
      </c>
      <c r="AL129" s="145" t="n">
        <v>22526</v>
      </c>
      <c r="AM129" s="145" t="n">
        <v>24477</v>
      </c>
      <c r="AN129" s="145" t="n">
        <v>24620</v>
      </c>
      <c r="AO129" s="145" t="n">
        <v>0</v>
      </c>
      <c r="AP129" s="145" t="n">
        <v>0</v>
      </c>
      <c r="AQ129" s="145" t="n">
        <v>0</v>
      </c>
      <c r="AR129" s="145" t="n">
        <v>0</v>
      </c>
      <c r="AS129" s="145" t="n">
        <v>0</v>
      </c>
      <c r="AT129" s="145" t="n">
        <v>0</v>
      </c>
      <c r="AU129" s="145" t="n">
        <v>0</v>
      </c>
      <c r="AV129" s="145" t="n">
        <v>0</v>
      </c>
      <c r="AW129" s="145" t="n">
        <v>0</v>
      </c>
      <c r="AX129" s="145" t="n">
        <v>0</v>
      </c>
      <c r="AY129" s="145" t="n">
        <v>0</v>
      </c>
      <c r="AZ129" s="145" t="n">
        <v>0</v>
      </c>
      <c r="BA129" s="145" t="n">
        <v>0</v>
      </c>
      <c r="BB129" s="145" t="n"/>
      <c r="BC129" s="145" t="n">
        <v>0</v>
      </c>
      <c r="BD129" s="145" t="n">
        <v>0</v>
      </c>
      <c r="BE129" s="145" t="n">
        <v>0</v>
      </c>
      <c r="BF129" s="145" t="n">
        <v>0</v>
      </c>
      <c r="BG129" s="145" t="n">
        <v>0</v>
      </c>
      <c r="BH129" s="145" t="n">
        <v>0</v>
      </c>
      <c r="BI129" s="145" t="n">
        <v>0</v>
      </c>
      <c r="BJ129" s="145" t="n">
        <v>0</v>
      </c>
      <c r="BK129" s="145" t="n">
        <v>0</v>
      </c>
      <c r="BL129" s="145" t="n">
        <v>0</v>
      </c>
      <c r="BM129" s="145" t="n">
        <v>0</v>
      </c>
      <c r="BN129" s="145" t="n">
        <v>0</v>
      </c>
      <c r="BO129" s="145" t="n">
        <v>0</v>
      </c>
      <c r="BP129" s="145" t="n"/>
      <c r="BQ129" s="145" t="n">
        <v>0</v>
      </c>
      <c r="BR129" s="145" t="n"/>
    </row>
    <row r="130">
      <c r="A130" s="40" t="inlineStr">
        <is>
          <t>Total current assets</t>
        </is>
      </c>
      <c r="B130" s="133" t="n"/>
      <c r="C130" s="133" t="n"/>
      <c r="D130" s="133" t="n"/>
      <c r="E130" s="133" t="n"/>
      <c r="F130" s="133" t="n"/>
      <c r="G130" s="133" t="n"/>
      <c r="H130" s="133" t="n"/>
      <c r="I130" s="133" t="n"/>
      <c r="J130" s="133" t="n"/>
      <c r="K130" s="133" t="n"/>
      <c r="L130" s="133" t="n"/>
      <c r="M130" s="133" t="n"/>
      <c r="N130" s="133" t="n">
        <v>185161</v>
      </c>
      <c r="O130" s="133" t="n">
        <v>204879</v>
      </c>
      <c r="P130" s="133" t="n">
        <v>239613</v>
      </c>
      <c r="Q130" s="133" t="n">
        <v>300801</v>
      </c>
      <c r="R130" s="133" t="n">
        <v>336810</v>
      </c>
      <c r="S130" s="133" t="n">
        <v>399800</v>
      </c>
      <c r="T130" s="133" t="n">
        <v>431612</v>
      </c>
      <c r="U130" s="133" t="n">
        <v>434457</v>
      </c>
      <c r="V130" s="133" t="n">
        <v>647678</v>
      </c>
      <c r="W130" s="133" t="n">
        <v>602957</v>
      </c>
      <c r="X130" s="133" t="n">
        <v>661106</v>
      </c>
      <c r="Y130" s="133" t="n">
        <v>664959</v>
      </c>
      <c r="Z130" s="133" t="n">
        <v>649371</v>
      </c>
      <c r="AA130" s="133" t="n">
        <v>691585</v>
      </c>
      <c r="AB130" s="133" t="n">
        <v>749208</v>
      </c>
      <c r="AC130" s="133" t="n">
        <v>786343</v>
      </c>
      <c r="AD130" s="133" t="n">
        <v>825133</v>
      </c>
      <c r="AE130" s="133" t="n">
        <v>854092</v>
      </c>
      <c r="AF130" s="133" t="n">
        <v>863254</v>
      </c>
      <c r="AG130" s="133" t="n">
        <v>893838</v>
      </c>
      <c r="AH130" s="133" t="n">
        <v>931028</v>
      </c>
      <c r="AI130" s="133" t="n">
        <v>1002370</v>
      </c>
      <c r="AJ130" s="133" t="n">
        <v>1078072</v>
      </c>
      <c r="AK130" s="133" t="n">
        <v>1102589</v>
      </c>
      <c r="AL130" s="133" t="n">
        <v>1197639</v>
      </c>
      <c r="AM130" s="133" t="n">
        <v>1197247</v>
      </c>
      <c r="AN130" s="133" t="n">
        <v>1276498</v>
      </c>
      <c r="AO130" s="133" t="n">
        <v>1300962</v>
      </c>
      <c r="AP130" s="133" t="n">
        <v>1391014</v>
      </c>
      <c r="AQ130" s="133" t="n">
        <v>1510774</v>
      </c>
      <c r="AR130" s="133" t="n">
        <v>1642539</v>
      </c>
      <c r="AS130" s="133" t="n">
        <v>1754010</v>
      </c>
      <c r="AT130" s="133" t="n">
        <v>1864886</v>
      </c>
      <c r="AU130" s="133" t="n">
        <v>1836035</v>
      </c>
      <c r="AV130" s="133" t="n">
        <v>1882285</v>
      </c>
      <c r="AW130" s="133" t="n">
        <v>1805424</v>
      </c>
      <c r="AX130" s="133" t="n">
        <v>1792094</v>
      </c>
      <c r="AY130" s="133" t="n">
        <v>1863082</v>
      </c>
      <c r="AZ130" s="133" t="n">
        <v>1865515</v>
      </c>
      <c r="BA130" s="133" t="n">
        <v>1896634</v>
      </c>
      <c r="BB130" s="133" t="n">
        <v>1874526</v>
      </c>
      <c r="BC130" s="133" t="n">
        <v>1950526</v>
      </c>
      <c r="BD130" s="133" t="n">
        <v>2031653</v>
      </c>
      <c r="BE130" s="133" t="n">
        <v>2148077</v>
      </c>
      <c r="BF130" s="133" t="n">
        <v>2202261</v>
      </c>
      <c r="BG130" s="133" t="n">
        <v>2290592</v>
      </c>
      <c r="BH130" s="133" t="n">
        <v>2325175</v>
      </c>
      <c r="BI130" s="133" t="n">
        <v>2347683</v>
      </c>
      <c r="BJ130" s="133" t="n">
        <v>2282834</v>
      </c>
      <c r="BK130" s="133" t="n">
        <v>2170851</v>
      </c>
      <c r="BL130" s="133" t="n">
        <v>2119087</v>
      </c>
      <c r="BM130" s="133" t="n">
        <v>1986274</v>
      </c>
      <c r="BN130" s="133" t="n">
        <v>1915587</v>
      </c>
      <c r="BO130" s="133" t="n">
        <v>1924068</v>
      </c>
      <c r="BP130" s="133" t="n">
        <v>1920460</v>
      </c>
      <c r="BQ130" s="133" t="n">
        <v>1914654</v>
      </c>
      <c r="BR130" s="133" t="n">
        <v>1829619</v>
      </c>
      <c r="BS130" t="n">
        <v>1717952</v>
      </c>
      <c r="BT130" t="inlineStr">
        <is>
          <t>IPGP-Financial-Data-Workbook-2024-Q2.xlsx|Balance Sheet|16|93</t>
        </is>
      </c>
    </row>
    <row r="131">
      <c r="A131" s="74" t="inlineStr">
        <is>
          <t>Deferred income taxes, net</t>
        </is>
      </c>
      <c r="B131" s="145" t="n"/>
      <c r="C131" s="145" t="n"/>
      <c r="D131" s="145" t="n"/>
      <c r="E131" s="145" t="n"/>
      <c r="F131" s="145" t="n"/>
      <c r="G131" s="145" t="n"/>
      <c r="H131" s="145" t="n"/>
      <c r="I131" s="145" t="n"/>
      <c r="J131" s="145" t="n"/>
      <c r="K131" s="145" t="n"/>
      <c r="L131" s="145" t="n"/>
      <c r="M131" s="145" t="n"/>
      <c r="N131" s="145" t="n">
        <v>4548</v>
      </c>
      <c r="O131" s="145" t="n">
        <v>5326</v>
      </c>
      <c r="P131" s="145" t="n">
        <v>6017</v>
      </c>
      <c r="Q131" s="145" t="n">
        <v>4489</v>
      </c>
      <c r="R131" s="145" t="n">
        <v>4485</v>
      </c>
      <c r="S131" s="145" t="n">
        <v>4267</v>
      </c>
      <c r="T131" s="145" t="n">
        <v>4763</v>
      </c>
      <c r="U131" s="145" t="n">
        <v>4830</v>
      </c>
      <c r="V131" s="145" t="n">
        <v>5321</v>
      </c>
      <c r="W131" s="145" t="n">
        <v>6660</v>
      </c>
      <c r="X131" s="145" t="n">
        <v>4419</v>
      </c>
      <c r="Y131" s="145" t="n">
        <v>2107</v>
      </c>
      <c r="Z131" s="145" t="n">
        <v>2344</v>
      </c>
      <c r="AA131" s="145" t="n">
        <v>3402</v>
      </c>
      <c r="AB131" s="145" t="n">
        <v>6100</v>
      </c>
      <c r="AC131" s="145" t="n">
        <v>455</v>
      </c>
      <c r="AD131" s="145" t="n">
        <v>6014</v>
      </c>
      <c r="AE131" s="145" t="n">
        <v>8139</v>
      </c>
      <c r="AF131" s="145" t="n">
        <v>455</v>
      </c>
      <c r="AG131" s="145" t="n">
        <v>5438</v>
      </c>
      <c r="AH131" s="145" t="n">
        <v>5868</v>
      </c>
      <c r="AI131" s="145" t="n">
        <v>7495</v>
      </c>
      <c r="AJ131" s="145" t="n">
        <v>9237</v>
      </c>
      <c r="AK131" s="145" t="n">
        <v>29732</v>
      </c>
      <c r="AL131" s="145" t="n">
        <v>11889</v>
      </c>
      <c r="AM131" s="145">
        <f>13438</f>
        <v/>
      </c>
      <c r="AN131" s="145">
        <f>15371</f>
        <v/>
      </c>
      <c r="AO131" s="145" t="n">
        <v>42442</v>
      </c>
      <c r="AP131" s="145" t="n">
        <v>47048</v>
      </c>
      <c r="AQ131" s="145" t="n">
        <v>47843</v>
      </c>
      <c r="AR131" s="145" t="n">
        <v>40547</v>
      </c>
      <c r="AS131" s="145" t="n">
        <v>26976</v>
      </c>
      <c r="AT131" s="145" t="n">
        <v>24940</v>
      </c>
      <c r="AU131" s="145" t="n">
        <v>27818</v>
      </c>
      <c r="AV131" s="145" t="n">
        <v>19995</v>
      </c>
      <c r="AW131" s="145" t="n">
        <v>19165</v>
      </c>
      <c r="AX131" s="145" t="n">
        <v>17438</v>
      </c>
      <c r="AY131" s="145" t="n">
        <v>20833</v>
      </c>
      <c r="AZ131" s="145" t="n">
        <v>23415</v>
      </c>
      <c r="BA131" s="145" t="n">
        <v>31395</v>
      </c>
      <c r="BB131" s="145" t="n">
        <v>32801</v>
      </c>
      <c r="BC131" s="145" t="n">
        <v>30544</v>
      </c>
      <c r="BD131" s="145" t="n">
        <v>38616</v>
      </c>
      <c r="BE131" s="145" t="n">
        <v>43197</v>
      </c>
      <c r="BF131" s="145" t="n">
        <v>41276</v>
      </c>
      <c r="BG131" s="145" t="n">
        <v>45751</v>
      </c>
      <c r="BH131" s="145" t="n">
        <v>49008</v>
      </c>
      <c r="BI131" s="145" t="n">
        <v>47761</v>
      </c>
      <c r="BJ131" s="145" t="n">
        <v>49942</v>
      </c>
      <c r="BK131" s="145" t="n">
        <v>60563</v>
      </c>
      <c r="BL131" s="145" t="n">
        <v>69323</v>
      </c>
      <c r="BM131" s="145" t="n">
        <v>75152</v>
      </c>
      <c r="BN131" s="145" t="n">
        <v>59089</v>
      </c>
      <c r="BO131" s="145" t="n">
        <v>69644</v>
      </c>
      <c r="BP131" s="145" t="n">
        <v>79583</v>
      </c>
      <c r="BQ131" s="145" t="n">
        <v>88788</v>
      </c>
      <c r="BR131" s="145" t="n">
        <v>84452</v>
      </c>
      <c r="BS131" t="n">
        <v>88865</v>
      </c>
      <c r="BT131" t="inlineStr">
        <is>
          <t>IPGP-Financial-Data-Workbook-2024-Q2.xlsx|Balance Sheet|18|93</t>
        </is>
      </c>
    </row>
    <row r="132">
      <c r="A132" s="74" t="inlineStr">
        <is>
          <t>Goodwill</t>
        </is>
      </c>
      <c r="B132" s="145" t="n"/>
      <c r="C132" s="145" t="n"/>
      <c r="D132" s="145" t="n"/>
      <c r="E132" s="145" t="n"/>
      <c r="F132" s="145" t="n"/>
      <c r="G132" s="145" t="n"/>
      <c r="H132" s="145" t="n"/>
      <c r="I132" s="145" t="n"/>
      <c r="J132" s="145" t="n"/>
      <c r="K132" s="145" t="n"/>
      <c r="L132" s="145" t="n"/>
      <c r="M132" s="145" t="n"/>
      <c r="N132" s="145" t="n">
        <v>0</v>
      </c>
      <c r="O132" s="145" t="n">
        <v>0</v>
      </c>
      <c r="P132" s="145" t="n">
        <v>0</v>
      </c>
      <c r="Q132" s="145" t="n">
        <v>0</v>
      </c>
      <c r="R132" s="145" t="n">
        <v>0</v>
      </c>
      <c r="S132" s="145" t="n">
        <v>0</v>
      </c>
      <c r="T132" s="145" t="n">
        <v>0</v>
      </c>
      <c r="U132" s="145" t="n">
        <v>0</v>
      </c>
      <c r="V132" s="145" t="n">
        <v>0</v>
      </c>
      <c r="W132" s="145" t="n">
        <v>0</v>
      </c>
      <c r="X132" s="145" t="n">
        <v>3113</v>
      </c>
      <c r="Y132" s="145" t="n">
        <v>2898</v>
      </c>
      <c r="Z132" s="145" t="n">
        <v>3258</v>
      </c>
      <c r="AA132" s="145" t="n">
        <v>455</v>
      </c>
      <c r="AB132" s="145" t="n">
        <v>455</v>
      </c>
      <c r="AC132" s="145" t="n">
        <v>4799</v>
      </c>
      <c r="AD132" s="145" t="n">
        <v>455</v>
      </c>
      <c r="AE132" s="145" t="n">
        <v>455</v>
      </c>
      <c r="AF132" s="145" t="n">
        <v>9674</v>
      </c>
      <c r="AG132" s="145" t="n">
        <v>455</v>
      </c>
      <c r="AH132" s="145" t="n">
        <v>519</v>
      </c>
      <c r="AI132" s="145" t="n">
        <v>516</v>
      </c>
      <c r="AJ132" s="145" t="n">
        <v>508</v>
      </c>
      <c r="AK132" s="145" t="n">
        <v>505</v>
      </c>
      <c r="AL132" s="145" t="n">
        <v>502</v>
      </c>
      <c r="AM132" s="145" t="n">
        <v>20461</v>
      </c>
      <c r="AN132" s="145" t="n">
        <v>20142</v>
      </c>
      <c r="AO132" s="145" t="n">
        <v>19828</v>
      </c>
      <c r="AP132" s="145" t="n">
        <v>19831</v>
      </c>
      <c r="AQ132" s="145" t="n">
        <v>28728</v>
      </c>
      <c r="AR132" s="145" t="n">
        <v>51143</v>
      </c>
      <c r="AS132" s="145" t="n">
        <v>55831</v>
      </c>
      <c r="AT132" s="145" t="n">
        <v>55705</v>
      </c>
      <c r="AU132" s="145" t="n">
        <v>59616</v>
      </c>
      <c r="AV132" s="145" t="n">
        <v>56769</v>
      </c>
      <c r="AW132" s="145" t="n">
        <v>100722</v>
      </c>
      <c r="AX132" s="145" t="n">
        <v>110349</v>
      </c>
      <c r="AY132" s="145" t="n">
        <v>110868</v>
      </c>
      <c r="AZ132" s="145" t="n">
        <v>109954</v>
      </c>
      <c r="BA132" s="145" t="n">
        <v>82092</v>
      </c>
      <c r="BB132" s="145" t="n">
        <v>81627</v>
      </c>
      <c r="BC132" s="145" t="n">
        <v>81911</v>
      </c>
      <c r="BD132" s="145" t="n">
        <v>37731</v>
      </c>
      <c r="BE132" s="145" t="n">
        <v>41366</v>
      </c>
      <c r="BF132" s="145" t="n">
        <v>38764</v>
      </c>
      <c r="BG132" s="145" t="n">
        <v>39000</v>
      </c>
      <c r="BH132" s="145" t="n">
        <v>38705</v>
      </c>
      <c r="BI132" s="145" t="n">
        <v>38609</v>
      </c>
      <c r="BJ132" s="145" t="n">
        <v>39741</v>
      </c>
      <c r="BK132" s="145" t="n">
        <v>39285</v>
      </c>
      <c r="BL132" s="145" t="n">
        <v>37963</v>
      </c>
      <c r="BM132" s="145" t="n">
        <v>38325</v>
      </c>
      <c r="BN132" s="145" t="n">
        <v>38388</v>
      </c>
      <c r="BO132" s="145" t="n">
        <v>38494</v>
      </c>
      <c r="BP132" s="145" t="n">
        <v>38265</v>
      </c>
      <c r="BQ132" s="145" t="n">
        <v>38540</v>
      </c>
      <c r="BR132" s="145" t="n">
        <v>38351</v>
      </c>
      <c r="BS132" t="n">
        <v>38278</v>
      </c>
      <c r="BT132" t="inlineStr">
        <is>
          <t>IPGP-Financial-Data-Workbook-2024-Q2.xlsx|Balance Sheet|19|93</t>
        </is>
      </c>
    </row>
    <row r="133">
      <c r="A133" s="74" t="inlineStr">
        <is>
          <t>Intangible assets, net</t>
        </is>
      </c>
      <c r="B133" s="145" t="n"/>
      <c r="C133" s="145" t="n"/>
      <c r="D133" s="145" t="n"/>
      <c r="E133" s="145" t="n"/>
      <c r="F133" s="145" t="n"/>
      <c r="G133" s="145" t="n"/>
      <c r="H133" s="145" t="n"/>
      <c r="I133" s="145" t="n"/>
      <c r="J133" s="145" t="n"/>
      <c r="K133" s="145" t="n"/>
      <c r="L133" s="145" t="n"/>
      <c r="M133" s="145" t="n"/>
      <c r="N133" s="145" t="n">
        <v>0</v>
      </c>
      <c r="O133" s="145" t="n">
        <v>0</v>
      </c>
      <c r="P133" s="145" t="n">
        <v>0</v>
      </c>
      <c r="Q133" s="145" t="n">
        <v>7131</v>
      </c>
      <c r="R133" s="145" t="n">
        <v>8104</v>
      </c>
      <c r="S133" s="145" t="n">
        <v>7736</v>
      </c>
      <c r="T133" s="145" t="n">
        <v>6954</v>
      </c>
      <c r="U133" s="145" t="n">
        <v>6157</v>
      </c>
      <c r="V133" s="145" t="n">
        <v>5727</v>
      </c>
      <c r="W133" s="145" t="n">
        <v>4946</v>
      </c>
      <c r="X133" s="145" t="n">
        <v>7875</v>
      </c>
      <c r="Y133" s="145" t="n">
        <v>7510</v>
      </c>
      <c r="Z133" s="145" t="n">
        <v>11412</v>
      </c>
      <c r="AA133" s="145" t="n">
        <v>10956</v>
      </c>
      <c r="AB133" s="145" t="n">
        <v>10131</v>
      </c>
      <c r="AC133" s="145" t="n">
        <v>9564</v>
      </c>
      <c r="AD133" s="145" t="n">
        <v>9018</v>
      </c>
      <c r="AE133" s="145" t="n">
        <v>8472</v>
      </c>
      <c r="AF133" s="145" t="n">
        <v>9847</v>
      </c>
      <c r="AG133" s="145" t="n">
        <v>9227</v>
      </c>
      <c r="AH133" s="145" t="n">
        <v>14913</v>
      </c>
      <c r="AI133" s="145" t="n">
        <v>14013</v>
      </c>
      <c r="AJ133" s="145" t="n">
        <v>12744</v>
      </c>
      <c r="AK133" s="145" t="n">
        <v>11904</v>
      </c>
      <c r="AL133" s="145" t="n">
        <v>11066</v>
      </c>
      <c r="AM133" s="145" t="n">
        <v>29396</v>
      </c>
      <c r="AN133" s="145" t="n">
        <v>28372</v>
      </c>
      <c r="AO133" s="145" t="n">
        <v>28789</v>
      </c>
      <c r="AP133" s="145" t="n">
        <v>27892</v>
      </c>
      <c r="AQ133" s="145" t="n">
        <v>32294</v>
      </c>
      <c r="AR133" s="145" t="n">
        <v>49669</v>
      </c>
      <c r="AS133" s="145" t="n">
        <v>51223</v>
      </c>
      <c r="AT133" s="145" t="n">
        <v>49284</v>
      </c>
      <c r="AU133" s="145" t="n">
        <v>47249</v>
      </c>
      <c r="AV133" s="145" t="n">
        <v>45844</v>
      </c>
      <c r="AW133" s="145" t="n">
        <v>87139</v>
      </c>
      <c r="AX133" s="145" t="n">
        <v>93280</v>
      </c>
      <c r="AY133" s="145" t="n">
        <v>89906</v>
      </c>
      <c r="AZ133" s="145" t="n">
        <v>85561</v>
      </c>
      <c r="BA133" s="145" t="n">
        <v>74271</v>
      </c>
      <c r="BB133" s="145" t="n">
        <v>70832</v>
      </c>
      <c r="BC133" s="145" t="n">
        <v>67995</v>
      </c>
      <c r="BD133" s="145" t="n">
        <v>64999</v>
      </c>
      <c r="BE133" s="145" t="n">
        <v>62114</v>
      </c>
      <c r="BF133" s="145" t="n">
        <v>61768</v>
      </c>
      <c r="BG133" s="145" t="n">
        <v>59070</v>
      </c>
      <c r="BH133" s="145" t="n">
        <v>55786</v>
      </c>
      <c r="BI133" s="145" t="n">
        <v>52678</v>
      </c>
      <c r="BJ133" s="145" t="n">
        <v>50017</v>
      </c>
      <c r="BK133" s="145" t="n">
        <v>46866</v>
      </c>
      <c r="BL133" s="145" t="n">
        <v>36171</v>
      </c>
      <c r="BM133" s="145" t="n">
        <v>34120</v>
      </c>
      <c r="BN133" s="145" t="n">
        <v>32104</v>
      </c>
      <c r="BO133" s="145" t="n">
        <v>30086</v>
      </c>
      <c r="BP133" s="145" t="n">
        <v>28056</v>
      </c>
      <c r="BQ133" s="145" t="n">
        <v>26234</v>
      </c>
      <c r="BR133" s="145" t="n">
        <v>24802</v>
      </c>
      <c r="BS133" t="n">
        <v>23423</v>
      </c>
      <c r="BT133" t="inlineStr">
        <is>
          <t>IPGP-Financial-Data-Workbook-2024-Q2.xlsx|Balance Sheet|20|93</t>
        </is>
      </c>
    </row>
    <row r="134">
      <c r="A134" s="74" t="inlineStr">
        <is>
          <t>Property, plant and equipment, net</t>
        </is>
      </c>
      <c r="B134" s="145" t="n"/>
      <c r="C134" s="145" t="n"/>
      <c r="D134" s="145" t="n"/>
      <c r="E134" s="145" t="n"/>
      <c r="F134" s="145" t="n"/>
      <c r="G134" s="145" t="n"/>
      <c r="H134" s="145" t="n"/>
      <c r="I134" s="145" t="n"/>
      <c r="J134" s="145" t="n"/>
      <c r="K134" s="145" t="n"/>
      <c r="L134" s="145" t="n"/>
      <c r="M134" s="145" t="n"/>
      <c r="N134" s="145" t="n">
        <v>109639</v>
      </c>
      <c r="O134" s="145" t="n">
        <v>106106</v>
      </c>
      <c r="P134" s="145" t="n">
        <v>111847</v>
      </c>
      <c r="Q134" s="145" t="n">
        <v>120683</v>
      </c>
      <c r="R134" s="145" t="n">
        <v>131300</v>
      </c>
      <c r="S134" s="145" t="n">
        <v>141902</v>
      </c>
      <c r="T134" s="145" t="n">
        <v>143339</v>
      </c>
      <c r="U134" s="145" t="n">
        <v>155202</v>
      </c>
      <c r="V134" s="145" t="n">
        <v>169876</v>
      </c>
      <c r="W134" s="145" t="n">
        <v>177441</v>
      </c>
      <c r="X134" s="145" t="n">
        <v>195153</v>
      </c>
      <c r="Y134" s="145" t="n">
        <v>210563</v>
      </c>
      <c r="Z134" s="145" t="n">
        <v>218995</v>
      </c>
      <c r="AA134" s="145" t="n">
        <v>225195</v>
      </c>
      <c r="AB134" s="145" t="n">
        <v>236507</v>
      </c>
      <c r="AC134" s="145" t="n">
        <v>252245</v>
      </c>
      <c r="AD134" s="145" t="n">
        <v>249361</v>
      </c>
      <c r="AE134" s="145" t="n">
        <v>268122</v>
      </c>
      <c r="AF134" s="145" t="n">
        <v>271286</v>
      </c>
      <c r="AG134" s="145" t="n">
        <v>275082</v>
      </c>
      <c r="AH134" s="145" t="n">
        <v>274145</v>
      </c>
      <c r="AI134" s="145" t="n">
        <v>288553</v>
      </c>
      <c r="AJ134" s="145" t="n">
        <v>286514</v>
      </c>
      <c r="AK134" s="145" t="n">
        <v>288604</v>
      </c>
      <c r="AL134" s="145" t="n">
        <v>309206</v>
      </c>
      <c r="AM134" s="145" t="n">
        <v>350432</v>
      </c>
      <c r="AN134" s="145" t="n">
        <v>367474</v>
      </c>
      <c r="AO134" s="145" t="n">
        <v>379375</v>
      </c>
      <c r="AP134" s="145" t="n">
        <v>395858</v>
      </c>
      <c r="AQ134" s="145" t="n">
        <v>389853</v>
      </c>
      <c r="AR134" s="145" t="n">
        <v>441494</v>
      </c>
      <c r="AS134" s="145" t="n">
        <v>460206</v>
      </c>
      <c r="AT134" s="145" t="n">
        <v>479058</v>
      </c>
      <c r="AU134" s="145" t="n">
        <v>514767</v>
      </c>
      <c r="AV134" s="145" t="n">
        <v>529163</v>
      </c>
      <c r="AW134" s="145" t="n">
        <v>543068</v>
      </c>
      <c r="AX134" s="145" t="n">
        <v>570756</v>
      </c>
      <c r="AY134" s="145" t="n">
        <v>600977</v>
      </c>
      <c r="AZ134" s="145" t="n">
        <v>596138</v>
      </c>
      <c r="BA134" s="145" t="n">
        <v>600852</v>
      </c>
      <c r="BB134" s="145" t="n">
        <v>580980</v>
      </c>
      <c r="BC134" s="145" t="n">
        <v>585644</v>
      </c>
      <c r="BD134" s="145" t="n">
        <v>576398</v>
      </c>
      <c r="BE134" s="145" t="n">
        <v>597527</v>
      </c>
      <c r="BF134" s="145" t="n">
        <v>600911</v>
      </c>
      <c r="BG134" s="145" t="n">
        <v>612420</v>
      </c>
      <c r="BH134" s="145" t="n">
        <v>624576</v>
      </c>
      <c r="BI134" s="145" t="n">
        <v>635302</v>
      </c>
      <c r="BJ134" s="145" t="n">
        <v>625366</v>
      </c>
      <c r="BK134" s="145" t="n">
        <v>680321</v>
      </c>
      <c r="BL134" s="145" t="n">
        <v>661510</v>
      </c>
      <c r="BM134" s="145" t="n">
        <v>580561</v>
      </c>
      <c r="BN134" s="145" t="n">
        <v>594273</v>
      </c>
      <c r="BO134" s="145" t="n">
        <v>609344</v>
      </c>
      <c r="BP134" s="145" t="n">
        <v>581970</v>
      </c>
      <c r="BQ134" s="145" t="n">
        <v>602257</v>
      </c>
      <c r="BR134" s="145" t="n">
        <v>585751</v>
      </c>
      <c r="BS134" t="n">
        <v>593136</v>
      </c>
      <c r="BT134" t="inlineStr">
        <is>
          <t>IPGP-Financial-Data-Workbook-2024-Q2.xlsx|Balance Sheet|21|93</t>
        </is>
      </c>
    </row>
    <row r="135">
      <c r="A135" s="74" t="inlineStr">
        <is>
          <t>Other non-current assets</t>
        </is>
      </c>
      <c r="B135" s="145" t="n"/>
      <c r="C135" s="145" t="n"/>
      <c r="D135" s="145" t="n"/>
      <c r="E135" s="145" t="n"/>
      <c r="F135" s="145" t="n"/>
      <c r="G135" s="145" t="n"/>
      <c r="H135" s="145" t="n"/>
      <c r="I135" s="145" t="n"/>
      <c r="J135" s="145" t="n"/>
      <c r="K135" s="145" t="n"/>
      <c r="L135" s="145" t="n"/>
      <c r="M135" s="145" t="n"/>
      <c r="N135" s="145" t="n">
        <v>15859</v>
      </c>
      <c r="O135" s="145" t="n">
        <v>17413</v>
      </c>
      <c r="P135" s="145" t="n">
        <v>16499</v>
      </c>
      <c r="Q135" s="145" t="n">
        <v>8751</v>
      </c>
      <c r="R135" s="145" t="n">
        <v>8868</v>
      </c>
      <c r="S135" s="145" t="n">
        <v>7676</v>
      </c>
      <c r="T135" s="145" t="n">
        <v>9656</v>
      </c>
      <c r="U135" s="145" t="n">
        <v>7486</v>
      </c>
      <c r="V135" s="145" t="n">
        <v>6303</v>
      </c>
      <c r="W135" s="145" t="n">
        <v>6010</v>
      </c>
      <c r="X135" s="145" t="n">
        <v>6719</v>
      </c>
      <c r="Y135" s="145" t="n">
        <v>7461</v>
      </c>
      <c r="Z135" s="145" t="n">
        <v>6878</v>
      </c>
      <c r="AA135" s="145" t="n">
        <v>7662</v>
      </c>
      <c r="AB135" s="145" t="n">
        <v>7395</v>
      </c>
      <c r="AC135" s="145" t="n">
        <v>7810</v>
      </c>
      <c r="AD135" s="145" t="n">
        <v>7032</v>
      </c>
      <c r="AE135" s="145" t="n">
        <v>19106</v>
      </c>
      <c r="AF135" s="145" t="n">
        <v>30872</v>
      </c>
      <c r="AG135" s="145" t="n">
        <v>26847</v>
      </c>
      <c r="AH135" s="145" t="n">
        <v>22787</v>
      </c>
      <c r="AI135" s="145" t="n">
        <v>21594</v>
      </c>
      <c r="AJ135" s="145" t="n">
        <v>21131</v>
      </c>
      <c r="AK135" s="145" t="n">
        <v>20095</v>
      </c>
      <c r="AL135" s="145" t="n">
        <v>19798</v>
      </c>
      <c r="AM135" s="145" t="n">
        <v>18333</v>
      </c>
      <c r="AN135" s="145" t="n">
        <v>19441</v>
      </c>
      <c r="AO135" s="145" t="n">
        <v>18603</v>
      </c>
      <c r="AP135" s="145" t="n">
        <v>20930</v>
      </c>
      <c r="AQ135" s="145" t="n">
        <v>21050</v>
      </c>
      <c r="AR135" s="145" t="n">
        <v>20673</v>
      </c>
      <c r="AS135" s="145" t="n">
        <v>19009</v>
      </c>
      <c r="AT135" s="145" t="n">
        <v>24134</v>
      </c>
      <c r="AU135" s="145" t="n">
        <v>44993</v>
      </c>
      <c r="AV135" s="145" t="n">
        <v>28043</v>
      </c>
      <c r="AW135" s="145" t="n">
        <v>18932</v>
      </c>
      <c r="AX135" s="145" t="n">
        <v>41954</v>
      </c>
      <c r="AY135" s="145" t="n">
        <v>51750</v>
      </c>
      <c r="AZ135" s="145" t="n">
        <v>50321</v>
      </c>
      <c r="BA135" s="145" t="n">
        <v>45192</v>
      </c>
      <c r="BB135" s="145" t="n">
        <v>39368</v>
      </c>
      <c r="BC135" s="145" t="n">
        <v>42116</v>
      </c>
      <c r="BD135" s="145" t="n">
        <v>45535</v>
      </c>
      <c r="BE135" s="145" t="n">
        <v>43419</v>
      </c>
      <c r="BF135" s="145" t="n">
        <v>37971</v>
      </c>
      <c r="BG135" s="145" t="n">
        <v>39679</v>
      </c>
      <c r="BH135" s="145" t="n">
        <v>50660</v>
      </c>
      <c r="BI135" s="145" t="n">
        <v>48507</v>
      </c>
      <c r="BJ135" s="145" t="n">
        <v>50569</v>
      </c>
      <c r="BK135" s="145" t="n">
        <v>50883</v>
      </c>
      <c r="BL135" s="145" t="n">
        <v>38466</v>
      </c>
      <c r="BM135" s="145" t="n">
        <v>28848</v>
      </c>
      <c r="BN135" s="145" t="n">
        <v>31715</v>
      </c>
      <c r="BO135" s="145" t="n">
        <v>24781</v>
      </c>
      <c r="BP135" s="145" t="n">
        <v>24530</v>
      </c>
      <c r="BQ135" s="145" t="n">
        <v>28425</v>
      </c>
      <c r="BR135" s="145" t="n">
        <v>35461</v>
      </c>
      <c r="BS135" t="n">
        <v>33777</v>
      </c>
      <c r="BT135" t="inlineStr">
        <is>
          <t>IPGP-Financial-Data-Workbook-2024-Q2.xlsx|Balance Sheet|22|93</t>
        </is>
      </c>
    </row>
    <row r="136">
      <c r="A136" s="22" t="inlineStr">
        <is>
          <t>Total assets</t>
        </is>
      </c>
      <c r="B136" s="133" t="n"/>
      <c r="C136" s="133" t="n"/>
      <c r="D136" s="133" t="n"/>
      <c r="E136" s="133" t="n"/>
      <c r="F136" s="133" t="n"/>
      <c r="G136" s="133" t="n"/>
      <c r="H136" s="133" t="n"/>
      <c r="I136" s="133" t="n"/>
      <c r="J136" s="133" t="n"/>
      <c r="K136" s="133" t="n"/>
      <c r="L136" s="133" t="n"/>
      <c r="M136" s="133" t="n"/>
      <c r="N136" s="133" t="n">
        <v>315207</v>
      </c>
      <c r="O136" s="133" t="n">
        <v>333724</v>
      </c>
      <c r="P136" s="133" t="n">
        <v>373976</v>
      </c>
      <c r="Q136" s="133" t="n">
        <v>441855</v>
      </c>
      <c r="R136" s="133" t="n">
        <v>489567</v>
      </c>
      <c r="S136" s="133" t="n">
        <v>561381</v>
      </c>
      <c r="T136" s="133" t="n">
        <v>596324</v>
      </c>
      <c r="U136" s="133" t="n">
        <v>608132</v>
      </c>
      <c r="V136" s="133" t="n">
        <v>834905</v>
      </c>
      <c r="W136" s="133" t="n">
        <v>798014</v>
      </c>
      <c r="X136" s="133" t="n">
        <v>878385</v>
      </c>
      <c r="Y136" s="133" t="n">
        <v>895498</v>
      </c>
      <c r="Z136" s="133" t="n">
        <v>892258</v>
      </c>
      <c r="AA136" s="133" t="n">
        <v>939255</v>
      </c>
      <c r="AB136" s="133" t="n">
        <v>1009796</v>
      </c>
      <c r="AC136" s="133" t="n">
        <v>1061216</v>
      </c>
      <c r="AD136" s="133" t="n">
        <v>1097013</v>
      </c>
      <c r="AE136" s="133" t="n">
        <v>1158386</v>
      </c>
      <c r="AF136" s="133" t="n">
        <v>1185388</v>
      </c>
      <c r="AG136" s="133" t="n">
        <v>1210887</v>
      </c>
      <c r="AH136" s="133" t="n">
        <v>1249260</v>
      </c>
      <c r="AI136" s="133" t="n">
        <v>1334541</v>
      </c>
      <c r="AJ136" s="133" t="n">
        <v>1408206</v>
      </c>
      <c r="AK136" s="133" t="n">
        <v>1453429</v>
      </c>
      <c r="AL136" s="133" t="n">
        <v>1550100</v>
      </c>
      <c r="AM136" s="133" t="n">
        <v>1629307</v>
      </c>
      <c r="AN136" s="133" t="n">
        <v>1727298</v>
      </c>
      <c r="AO136" s="133" t="n">
        <v>1789999</v>
      </c>
      <c r="AP136" s="133" t="n">
        <v>1902573</v>
      </c>
      <c r="AQ136" s="133" t="n">
        <v>2030542</v>
      </c>
      <c r="AR136" s="133" t="n">
        <v>2246065</v>
      </c>
      <c r="AS136" s="133" t="n">
        <v>2367255</v>
      </c>
      <c r="AT136" s="133" t="n">
        <v>2498007</v>
      </c>
      <c r="AU136" s="133" t="n">
        <v>2530478</v>
      </c>
      <c r="AV136" s="133" t="n">
        <v>2562099</v>
      </c>
      <c r="AW136" s="133" t="n">
        <v>2574450</v>
      </c>
      <c r="AX136" s="133" t="n">
        <v>2625871</v>
      </c>
      <c r="AY136" s="133" t="n">
        <v>2737416</v>
      </c>
      <c r="AZ136" s="133" t="n">
        <v>2730904</v>
      </c>
      <c r="BA136" s="133" t="n">
        <v>2730436</v>
      </c>
      <c r="BB136" s="133" t="n">
        <v>2680134</v>
      </c>
      <c r="BC136" s="133" t="n">
        <v>2758736</v>
      </c>
      <c r="BD136" s="133" t="n">
        <v>2794932</v>
      </c>
      <c r="BE136" s="133" t="n">
        <v>2935700</v>
      </c>
      <c r="BF136" s="133" t="n">
        <v>2982951</v>
      </c>
      <c r="BG136" s="133" t="n">
        <v>3086512</v>
      </c>
      <c r="BH136" s="133" t="n">
        <v>3143910</v>
      </c>
      <c r="BI136" s="133" t="n">
        <v>3170540</v>
      </c>
      <c r="BJ136" s="133" t="n">
        <v>3098469</v>
      </c>
      <c r="BK136" s="133" t="n">
        <v>3048769</v>
      </c>
      <c r="BL136" s="133" t="n">
        <v>2962520</v>
      </c>
      <c r="BM136" s="133" t="n">
        <v>2743280</v>
      </c>
      <c r="BN136" s="133" t="n">
        <v>2671156</v>
      </c>
      <c r="BO136" s="133" t="n">
        <v>2696417</v>
      </c>
      <c r="BP136" s="133" t="n">
        <v>2672864</v>
      </c>
      <c r="BQ136" s="133" t="n">
        <v>2698898</v>
      </c>
      <c r="BR136" s="133" t="n">
        <v>2598436</v>
      </c>
      <c r="BS136" t="n">
        <v>2495431</v>
      </c>
      <c r="BT136" t="inlineStr">
        <is>
          <t>IPGP-Financial-Data-Workbook-2024-Q2.xlsx|Balance Sheet|23|93</t>
        </is>
      </c>
    </row>
    <row r="137">
      <c r="A137" s="455" t="n"/>
      <c r="B137" s="672" t="n"/>
      <c r="C137" s="672" t="n"/>
      <c r="D137" s="672" t="n"/>
      <c r="E137" s="672" t="n"/>
      <c r="F137" s="672" t="n"/>
      <c r="G137" s="672" t="n"/>
      <c r="H137" s="672" t="n"/>
      <c r="I137" s="672" t="n"/>
      <c r="J137" s="672" t="n"/>
      <c r="K137" s="672" t="n"/>
      <c r="L137" s="672" t="n"/>
      <c r="M137" s="672" t="n"/>
      <c r="N137" s="672" t="n"/>
      <c r="O137" s="672" t="n"/>
      <c r="P137" s="672" t="n"/>
      <c r="Q137" s="672" t="n"/>
      <c r="R137" s="672" t="n"/>
      <c r="S137" s="672" t="n"/>
      <c r="T137" s="672" t="n"/>
      <c r="U137" s="672" t="n"/>
      <c r="V137" s="672" t="n"/>
      <c r="W137" s="672" t="n"/>
      <c r="X137" s="672" t="n"/>
      <c r="Y137" s="672" t="n"/>
      <c r="Z137" s="672" t="n"/>
      <c r="AA137" s="672" t="n"/>
      <c r="AB137" s="672" t="n"/>
      <c r="AC137" s="672" t="n"/>
      <c r="AD137" s="672" t="n"/>
      <c r="AE137" s="672" t="n"/>
      <c r="AF137" s="672" t="n"/>
      <c r="AG137" s="672" t="n"/>
      <c r="AH137" s="672" t="n"/>
      <c r="AI137" s="672" t="n"/>
      <c r="AJ137" s="672" t="n"/>
      <c r="AK137" s="672" t="n"/>
      <c r="AL137" s="672" t="n"/>
      <c r="AM137" s="672" t="n"/>
      <c r="AN137" s="672" t="n"/>
      <c r="AO137" s="672" t="n"/>
      <c r="AP137" s="672" t="n"/>
      <c r="AQ137" s="672" t="n"/>
      <c r="AR137" s="672" t="n"/>
      <c r="AS137" s="672" t="n"/>
      <c r="AT137" s="672" t="n"/>
      <c r="AU137" s="672" t="n"/>
      <c r="AV137" s="672" t="n"/>
      <c r="AW137" s="672" t="n"/>
      <c r="AX137" s="672" t="n"/>
      <c r="AY137" s="672" t="n"/>
      <c r="AZ137" s="672" t="n"/>
      <c r="BA137" s="672" t="n"/>
      <c r="BB137" s="672" t="n"/>
      <c r="BC137" s="672" t="n"/>
      <c r="BD137" s="672" t="n"/>
      <c r="BE137" s="672" t="n"/>
      <c r="BF137" s="672" t="n"/>
      <c r="BG137" s="672" t="n"/>
      <c r="BH137" s="672" t="n"/>
      <c r="BI137" s="672" t="n"/>
      <c r="BJ137" s="672" t="n"/>
      <c r="BK137" s="672" t="n"/>
      <c r="BL137" s="672" t="n"/>
      <c r="BM137" s="672" t="n"/>
      <c r="BN137" s="672" t="n"/>
      <c r="BO137" s="672" t="n"/>
      <c r="BP137" s="672" t="n"/>
      <c r="BQ137" s="672" t="n"/>
      <c r="BR137" s="672" t="n"/>
    </row>
    <row r="138">
      <c r="A138" s="74" t="inlineStr">
        <is>
          <t>Current portion of long-term debt</t>
        </is>
      </c>
      <c r="B138" s="145" t="n"/>
      <c r="C138" s="145" t="n"/>
      <c r="D138" s="145" t="n"/>
      <c r="E138" s="145" t="n"/>
      <c r="F138" s="145" t="n"/>
      <c r="G138" s="145" t="n"/>
      <c r="H138" s="145" t="n"/>
      <c r="I138" s="145" t="n"/>
      <c r="J138" s="145" t="n"/>
      <c r="K138" s="145" t="n"/>
      <c r="L138" s="145" t="n"/>
      <c r="M138" s="145" t="n"/>
      <c r="N138" s="145" t="n">
        <v>1333</v>
      </c>
      <c r="O138" s="145" t="n">
        <v>1333</v>
      </c>
      <c r="P138" s="145" t="n">
        <v>1333</v>
      </c>
      <c r="Q138" s="145" t="n">
        <v>1333</v>
      </c>
      <c r="R138" s="145" t="n">
        <v>1531</v>
      </c>
      <c r="S138" s="145" t="n">
        <v>1586</v>
      </c>
      <c r="T138" s="145" t="n">
        <v>1546</v>
      </c>
      <c r="U138" s="145" t="n">
        <v>1613</v>
      </c>
      <c r="V138" s="145" t="n">
        <v>1575</v>
      </c>
      <c r="W138" s="145" t="n">
        <v>1580</v>
      </c>
      <c r="X138" s="145" t="n">
        <v>1572</v>
      </c>
      <c r="Y138" s="145" t="n">
        <v>1505</v>
      </c>
      <c r="Z138" s="145" t="n">
        <v>1529</v>
      </c>
      <c r="AA138" s="145" t="n">
        <v>1333</v>
      </c>
      <c r="AB138" s="145" t="n">
        <v>1333</v>
      </c>
      <c r="AC138" s="145" t="n">
        <v>1333</v>
      </c>
      <c r="AD138" s="145" t="n">
        <v>1333</v>
      </c>
      <c r="AE138" s="145" t="n">
        <v>12000</v>
      </c>
      <c r="AF138" s="145" t="n">
        <v>11667</v>
      </c>
      <c r="AG138" s="145" t="n">
        <v>13333</v>
      </c>
      <c r="AH138" s="145" t="n">
        <v>13000</v>
      </c>
      <c r="AI138" s="145" t="n">
        <v>2000</v>
      </c>
      <c r="AJ138" s="145" t="n">
        <v>2000</v>
      </c>
      <c r="AK138" s="145" t="n">
        <v>2000</v>
      </c>
      <c r="AL138" s="145" t="n">
        <v>2000</v>
      </c>
      <c r="AM138" s="145" t="n">
        <v>3188</v>
      </c>
      <c r="AN138" s="145" t="n">
        <v>3188</v>
      </c>
      <c r="AO138" s="145" t="n">
        <v>3188</v>
      </c>
      <c r="AP138" s="145" t="n">
        <v>3188</v>
      </c>
      <c r="AQ138" s="145" t="n">
        <v>1188</v>
      </c>
      <c r="AR138" s="145" t="n">
        <v>3576</v>
      </c>
      <c r="AS138" s="145" t="n">
        <v>3604</v>
      </c>
      <c r="AT138" s="145" t="n">
        <v>3604</v>
      </c>
      <c r="AU138" s="145" t="n">
        <v>3637</v>
      </c>
      <c r="AV138" s="145" t="n">
        <v>3654</v>
      </c>
      <c r="AW138" s="145" t="n">
        <v>3671</v>
      </c>
      <c r="AX138" s="145" t="n">
        <v>3688</v>
      </c>
      <c r="AY138" s="145" t="n">
        <v>3705</v>
      </c>
      <c r="AZ138" s="145" t="n">
        <v>3722</v>
      </c>
      <c r="BA138" s="145" t="n">
        <v>3740</v>
      </c>
      <c r="BB138" s="145" t="n">
        <v>3757</v>
      </c>
      <c r="BC138" s="145" t="n">
        <v>3775</v>
      </c>
      <c r="BD138" s="145" t="n">
        <v>3792</v>
      </c>
      <c r="BE138" s="145" t="n">
        <v>3810</v>
      </c>
      <c r="BF138" s="145" t="n">
        <v>3828</v>
      </c>
      <c r="BG138" s="145" t="n">
        <v>3846</v>
      </c>
      <c r="BH138" s="145" t="n">
        <v>18788</v>
      </c>
      <c r="BI138" s="145" t="n">
        <v>18126</v>
      </c>
      <c r="BJ138" s="145" t="n">
        <v>17459</v>
      </c>
      <c r="BK138" s="145" t="n">
        <v>32225</v>
      </c>
      <c r="BL138" s="145" t="n">
        <v>16328</v>
      </c>
      <c r="BM138" s="145" t="n">
        <v>16031</v>
      </c>
      <c r="BN138" s="145" t="n">
        <v>15734</v>
      </c>
      <c r="BO138" s="145" t="n">
        <v>0</v>
      </c>
      <c r="BP138" s="145" t="n"/>
      <c r="BQ138" s="145" t="n"/>
      <c r="BR138" s="145" t="n"/>
    </row>
    <row r="139">
      <c r="A139" s="74" t="inlineStr">
        <is>
          <t>Accounts payable</t>
        </is>
      </c>
      <c r="B139" s="145" t="n"/>
      <c r="C139" s="145" t="n"/>
      <c r="D139" s="145" t="n"/>
      <c r="E139" s="145" t="n"/>
      <c r="F139" s="145" t="n"/>
      <c r="G139" s="145" t="n"/>
      <c r="H139" s="145" t="n"/>
      <c r="I139" s="145" t="n"/>
      <c r="J139" s="145" t="n"/>
      <c r="K139" s="145" t="n"/>
      <c r="L139" s="145" t="n"/>
      <c r="M139" s="145" t="n"/>
      <c r="N139" s="145" t="n">
        <v>5824</v>
      </c>
      <c r="O139" s="145" t="n">
        <v>10427</v>
      </c>
      <c r="P139" s="145" t="n">
        <v>10663</v>
      </c>
      <c r="Q139" s="145" t="n">
        <v>9510</v>
      </c>
      <c r="R139" s="145" t="n">
        <v>12526</v>
      </c>
      <c r="S139" s="145" t="n">
        <v>14884</v>
      </c>
      <c r="T139" s="145" t="n">
        <v>15241</v>
      </c>
      <c r="U139" s="145" t="n">
        <v>11122</v>
      </c>
      <c r="V139" s="145" t="n">
        <v>13488</v>
      </c>
      <c r="W139" s="145" t="n">
        <v>13200</v>
      </c>
      <c r="X139" s="145" t="n">
        <v>14291</v>
      </c>
      <c r="Y139" s="145" t="n">
        <v>17783</v>
      </c>
      <c r="Z139" s="145" t="n">
        <v>14575</v>
      </c>
      <c r="AA139" s="145" t="n">
        <v>18525</v>
      </c>
      <c r="AB139" s="145" t="n">
        <v>14293</v>
      </c>
      <c r="AC139" s="145" t="n">
        <v>18787</v>
      </c>
      <c r="AD139" s="145" t="n">
        <v>18620</v>
      </c>
      <c r="AE139" s="145" t="n">
        <v>15059</v>
      </c>
      <c r="AF139" s="145" t="n">
        <v>18969</v>
      </c>
      <c r="AG139" s="145" t="n">
        <v>17141</v>
      </c>
      <c r="AH139" s="145" t="n">
        <v>15916</v>
      </c>
      <c r="AI139" s="145" t="n">
        <v>21537</v>
      </c>
      <c r="AJ139" s="145" t="n">
        <v>20862</v>
      </c>
      <c r="AK139" s="145" t="n">
        <v>26314</v>
      </c>
      <c r="AL139" s="145" t="n">
        <v>20277</v>
      </c>
      <c r="AM139" s="145" t="n">
        <v>20414</v>
      </c>
      <c r="AN139" s="145" t="n">
        <v>17899</v>
      </c>
      <c r="AO139" s="145" t="n">
        <v>28048</v>
      </c>
      <c r="AP139" s="145" t="n">
        <v>25388</v>
      </c>
      <c r="AQ139" s="145" t="n">
        <v>28996</v>
      </c>
      <c r="AR139" s="145" t="n">
        <v>34271</v>
      </c>
      <c r="AS139" s="145" t="n">
        <v>35109</v>
      </c>
      <c r="AT139" s="145" t="n">
        <v>33369</v>
      </c>
      <c r="AU139" s="145" t="n">
        <v>42989</v>
      </c>
      <c r="AV139" s="145" t="n">
        <v>29494</v>
      </c>
      <c r="AW139" s="145" t="n">
        <v>36303</v>
      </c>
      <c r="AX139" s="145" t="n">
        <v>39970</v>
      </c>
      <c r="AY139" s="145" t="n">
        <v>38016</v>
      </c>
      <c r="AZ139" s="145" t="n">
        <v>30466</v>
      </c>
      <c r="BA139" s="145" t="n">
        <v>27329</v>
      </c>
      <c r="BB139" s="145" t="n">
        <v>39648</v>
      </c>
      <c r="BC139" s="145" t="n">
        <v>42261</v>
      </c>
      <c r="BD139" s="145" t="n">
        <v>37375</v>
      </c>
      <c r="BE139" s="145" t="n">
        <v>25748</v>
      </c>
      <c r="BF139" s="145" t="n">
        <v>44704</v>
      </c>
      <c r="BG139" s="145" t="n">
        <v>50714</v>
      </c>
      <c r="BH139" s="145" t="n">
        <v>52428</v>
      </c>
      <c r="BI139" s="145" t="n">
        <v>55839</v>
      </c>
      <c r="BJ139" s="145" t="n">
        <v>46481</v>
      </c>
      <c r="BK139" s="145" t="n">
        <v>57276</v>
      </c>
      <c r="BL139" s="145" t="n">
        <v>55072</v>
      </c>
      <c r="BM139" s="145" t="n">
        <v>46233</v>
      </c>
      <c r="BN139" s="145" t="n">
        <v>40902</v>
      </c>
      <c r="BO139" s="145" t="n">
        <v>37418</v>
      </c>
      <c r="BP139" s="145" t="n">
        <v>33126</v>
      </c>
      <c r="BQ139" s="145" t="n">
        <v>28618</v>
      </c>
      <c r="BR139" s="145" t="n">
        <v>26675</v>
      </c>
      <c r="BS139" t="n">
        <v>26232</v>
      </c>
      <c r="BT139" t="inlineStr">
        <is>
          <t>IPGP-Financial-Data-Workbook-2024-Q2.xlsx|Balance Sheet|29|93</t>
        </is>
      </c>
    </row>
    <row r="140">
      <c r="A140" s="74" t="inlineStr">
        <is>
          <t>Accrued expenses and other liabilities</t>
        </is>
      </c>
      <c r="B140" s="145" t="n"/>
      <c r="C140" s="145" t="n"/>
      <c r="D140" s="145" t="n"/>
      <c r="E140" s="145" t="n"/>
      <c r="F140" s="145" t="n"/>
      <c r="G140" s="145" t="n"/>
      <c r="H140" s="145" t="n"/>
      <c r="I140" s="145" t="n"/>
      <c r="J140" s="145" t="n"/>
      <c r="K140" s="145" t="n"/>
      <c r="L140" s="145" t="n"/>
      <c r="M140" s="145" t="n"/>
      <c r="N140" s="145" t="n">
        <v>25316</v>
      </c>
      <c r="O140" s="145" t="n">
        <v>35287</v>
      </c>
      <c r="P140" s="145" t="n">
        <v>41726</v>
      </c>
      <c r="Q140" s="145" t="n">
        <v>50105</v>
      </c>
      <c r="R140" s="145" t="n">
        <v>47512</v>
      </c>
      <c r="S140" s="145" t="n">
        <v>50732</v>
      </c>
      <c r="T140" s="145" t="n">
        <v>51248</v>
      </c>
      <c r="U140" s="145" t="n">
        <v>47285</v>
      </c>
      <c r="V140" s="145" t="n">
        <v>44014</v>
      </c>
      <c r="W140" s="145" t="n">
        <v>46225</v>
      </c>
      <c r="X140" s="145" t="n">
        <v>55733</v>
      </c>
      <c r="Y140" s="145" t="n">
        <v>51451</v>
      </c>
      <c r="Z140" s="145" t="n">
        <v>50138</v>
      </c>
      <c r="AA140" s="145" t="n">
        <v>53450</v>
      </c>
      <c r="AB140" s="145" t="n">
        <v>59553</v>
      </c>
      <c r="AC140" s="145" t="n">
        <v>59336</v>
      </c>
      <c r="AD140" s="145" t="n">
        <v>63867</v>
      </c>
      <c r="AE140" s="145" t="n">
        <v>63379</v>
      </c>
      <c r="AF140" s="145" t="n">
        <v>66862</v>
      </c>
      <c r="AG140" s="145" t="n">
        <v>64057</v>
      </c>
      <c r="AH140" s="145" t="n">
        <v>62209</v>
      </c>
      <c r="AI140" s="145" t="n">
        <v>68274</v>
      </c>
      <c r="AJ140" s="145" t="n">
        <v>76913</v>
      </c>
      <c r="AK140" s="145" t="n">
        <v>75667</v>
      </c>
      <c r="AL140" s="145" t="n">
        <v>70987</v>
      </c>
      <c r="AM140" s="145" t="n">
        <v>80534</v>
      </c>
      <c r="AN140" s="145" t="n">
        <v>96376</v>
      </c>
      <c r="AO140" s="145" t="n">
        <v>102485</v>
      </c>
      <c r="AP140" s="145" t="n">
        <v>105737</v>
      </c>
      <c r="AQ140" s="145" t="n">
        <v>116499</v>
      </c>
      <c r="AR140" s="145" t="n">
        <v>134284</v>
      </c>
      <c r="AS140" s="145" t="n">
        <v>144417</v>
      </c>
      <c r="AT140" s="145" t="n">
        <v>135750</v>
      </c>
      <c r="AU140" s="145" t="n">
        <v>134314</v>
      </c>
      <c r="AV140" s="145" t="n">
        <v>137060</v>
      </c>
      <c r="AW140" s="145" t="n">
        <v>154640</v>
      </c>
      <c r="AX140" s="145" t="n">
        <v>153151</v>
      </c>
      <c r="AY140" s="145" t="n">
        <v>161209</v>
      </c>
      <c r="AZ140" s="145" t="n">
        <v>151431</v>
      </c>
      <c r="BA140" s="145" t="n">
        <v>149782</v>
      </c>
      <c r="BB140" s="145">
        <f>45679+62499+24057+16436</f>
        <v/>
      </c>
      <c r="BC140" s="145" t="n">
        <v>148226</v>
      </c>
      <c r="BD140" s="145">
        <f>57265+57034+23971+18202</f>
        <v/>
      </c>
      <c r="BE140" s="145" t="n">
        <v>176740</v>
      </c>
      <c r="BF140" s="145" t="n">
        <v>162775</v>
      </c>
      <c r="BG140" s="145" t="n">
        <v>192164</v>
      </c>
      <c r="BH140" s="145" t="n">
        <v>208915</v>
      </c>
      <c r="BI140" s="145">
        <f>94857+89659+26204</f>
        <v/>
      </c>
      <c r="BJ140" s="145">
        <f>62287+94418+26815</f>
        <v/>
      </c>
      <c r="BK140" s="145">
        <f>75212+87155+27331</f>
        <v/>
      </c>
      <c r="BL140" s="145">
        <f>73324+81868+26800</f>
        <v/>
      </c>
      <c r="BM140" s="145">
        <f>78251+80068+28504</f>
        <v/>
      </c>
      <c r="BN140" s="145">
        <f>60311+82903+28813</f>
        <v/>
      </c>
      <c r="BO140" s="145" t="n">
        <v>184156</v>
      </c>
      <c r="BP140" s="145" t="n">
        <v>174517</v>
      </c>
      <c r="BQ140" s="145" t="n">
        <v>181350</v>
      </c>
      <c r="BR140" s="145" t="n">
        <v>163011</v>
      </c>
      <c r="BS140" t="n">
        <v>60722</v>
      </c>
      <c r="BT140" t="inlineStr">
        <is>
          <t>IPGP-Financial-Data-Workbook-2024-Q2.xlsx|Balance Sheet|30|93</t>
        </is>
      </c>
    </row>
    <row r="141">
      <c r="A141" s="74" t="inlineStr">
        <is>
          <t>Income taxes payable</t>
        </is>
      </c>
      <c r="B141" s="145" t="n"/>
      <c r="C141" s="145" t="n"/>
      <c r="D141" s="145" t="n"/>
      <c r="E141" s="145" t="n"/>
      <c r="F141" s="145" t="n"/>
      <c r="G141" s="145" t="n"/>
      <c r="H141" s="145" t="n"/>
      <c r="I141" s="145" t="n"/>
      <c r="J141" s="145" t="n"/>
      <c r="K141" s="145" t="n"/>
      <c r="L141" s="145" t="n"/>
      <c r="M141" s="145" t="n"/>
      <c r="N141" s="145" t="n">
        <v>4236</v>
      </c>
      <c r="O141" s="145" t="n">
        <v>7408</v>
      </c>
      <c r="P141" s="145" t="n">
        <v>10025</v>
      </c>
      <c r="Q141" s="145" t="n">
        <v>11594</v>
      </c>
      <c r="R141" s="145" t="n">
        <v>7688</v>
      </c>
      <c r="S141" s="145" t="n">
        <v>7555</v>
      </c>
      <c r="T141" s="145" t="n">
        <v>29029</v>
      </c>
      <c r="U141" s="145" t="n">
        <v>21230</v>
      </c>
      <c r="V141" s="145" t="n">
        <v>24720</v>
      </c>
      <c r="W141" s="145" t="n">
        <v>31191</v>
      </c>
      <c r="X141" s="145" t="n">
        <v>37604</v>
      </c>
      <c r="Y141" s="145" t="n">
        <v>42443</v>
      </c>
      <c r="Z141" s="145" t="n">
        <v>9191</v>
      </c>
      <c r="AA141" s="145" t="n">
        <v>17861</v>
      </c>
      <c r="AB141" s="145" t="n">
        <v>27031</v>
      </c>
      <c r="AC141" s="145" t="n">
        <v>15218</v>
      </c>
      <c r="AD141" s="145" t="n">
        <v>14054</v>
      </c>
      <c r="AE141" s="145" t="n">
        <v>16823</v>
      </c>
      <c r="AF141" s="145" t="n">
        <v>25088</v>
      </c>
      <c r="AG141" s="145" t="n">
        <v>21672</v>
      </c>
      <c r="AH141" s="145" t="n">
        <v>25606</v>
      </c>
      <c r="AI141" s="145" t="n">
        <v>28690</v>
      </c>
      <c r="AJ141" s="145" t="n">
        <v>45084</v>
      </c>
      <c r="AK141" s="145" t="n">
        <v>37809</v>
      </c>
      <c r="AL141" s="145" t="n">
        <v>53656</v>
      </c>
      <c r="AM141" s="145" t="n">
        <v>26688</v>
      </c>
      <c r="AN141" s="145" t="n">
        <v>34117</v>
      </c>
      <c r="AO141" s="145" t="n">
        <v>24554</v>
      </c>
      <c r="AP141" s="145" t="n">
        <v>23423</v>
      </c>
      <c r="AQ141" s="145" t="n">
        <v>10102</v>
      </c>
      <c r="AR141" s="145" t="n">
        <v>10060</v>
      </c>
      <c r="AS141" s="145" t="n">
        <v>15773</v>
      </c>
      <c r="AT141" s="145" t="n">
        <v>22820</v>
      </c>
      <c r="AU141" s="145" t="n">
        <v>29339</v>
      </c>
      <c r="AV141" s="145" t="n">
        <v>47777</v>
      </c>
      <c r="AW141" s="145" t="n">
        <v>51161</v>
      </c>
      <c r="AX141" s="145" t="n">
        <v>13007</v>
      </c>
      <c r="AY141" s="145" t="n">
        <v>19298</v>
      </c>
      <c r="AZ141" s="145" t="n">
        <v>19944</v>
      </c>
      <c r="BA141" s="145" t="n">
        <v>11053</v>
      </c>
      <c r="BB141" s="145" t="n">
        <v>3356</v>
      </c>
      <c r="BC141" s="145" t="n">
        <v>1024</v>
      </c>
      <c r="BD141" s="145" t="n">
        <v>3806</v>
      </c>
      <c r="BE141" s="145" t="n">
        <v>8280</v>
      </c>
      <c r="BF141" s="145" t="n">
        <v>3446</v>
      </c>
      <c r="BG141" s="145" t="n">
        <v>9181</v>
      </c>
      <c r="BH141" s="145" t="n">
        <v>12709</v>
      </c>
      <c r="BI141" s="145" t="n">
        <v>8642</v>
      </c>
      <c r="BJ141" s="145" t="n">
        <v>12317</v>
      </c>
      <c r="BK141" s="145" t="n">
        <v>15588</v>
      </c>
      <c r="BL141" s="145" t="n">
        <v>24752</v>
      </c>
      <c r="BM141" s="145" t="n">
        <v>9618</v>
      </c>
      <c r="BN141" s="145" t="n">
        <v>3100</v>
      </c>
      <c r="BO141" s="145" t="n">
        <v>6613</v>
      </c>
      <c r="BP141" s="145" t="n">
        <v>12066</v>
      </c>
      <c r="BQ141" s="145" t="n">
        <v>4893</v>
      </c>
      <c r="BR141" s="145" t="n">
        <v>2441</v>
      </c>
      <c r="BS141" t="n">
        <v>3022</v>
      </c>
      <c r="BT141" t="inlineStr">
        <is>
          <t>IPGP-Financial-Data-Workbook-2024-Q2.xlsx|Balance Sheet|34|93</t>
        </is>
      </c>
    </row>
    <row r="142">
      <c r="A142" s="74" t="inlineStr">
        <is>
          <t>Other current liabilities</t>
        </is>
      </c>
      <c r="B142" s="145" t="n"/>
      <c r="C142" s="145" t="n"/>
      <c r="D142" s="145" t="n"/>
      <c r="E142" s="145" t="n"/>
      <c r="F142" s="145" t="n"/>
      <c r="G142" s="145" t="n"/>
      <c r="H142" s="145" t="n"/>
      <c r="I142" s="145" t="n"/>
      <c r="J142" s="145" t="n"/>
      <c r="K142" s="145" t="n"/>
      <c r="L142" s="145" t="n"/>
      <c r="M142" s="145" t="n"/>
      <c r="N142" s="145">
        <f>7098+322</f>
        <v/>
      </c>
      <c r="O142" s="145">
        <f>6300+2572</f>
        <v/>
      </c>
      <c r="P142" s="145">
        <f>4634+2167</f>
        <v/>
      </c>
      <c r="Q142" s="145">
        <f>6841+3387</f>
        <v/>
      </c>
      <c r="R142" s="145">
        <f>6587+7557</f>
        <v/>
      </c>
      <c r="S142" s="145">
        <f>7205+8866</f>
        <v/>
      </c>
      <c r="T142" s="145">
        <f>7731+5863</f>
        <v/>
      </c>
      <c r="U142" s="145">
        <f>7057+5405</f>
        <v/>
      </c>
      <c r="V142" s="145">
        <f>9652+9690</f>
        <v/>
      </c>
      <c r="W142" s="145">
        <f>4037+7545</f>
        <v/>
      </c>
      <c r="X142" s="145">
        <f>4900+7181</f>
        <v/>
      </c>
      <c r="Y142" s="145">
        <f>2442+9831</f>
        <v/>
      </c>
      <c r="Z142" s="145">
        <f>9802+2875</f>
        <v/>
      </c>
      <c r="AA142" s="145">
        <f>1822+2211</f>
        <v/>
      </c>
      <c r="AB142" s="145">
        <f>1547+2050</f>
        <v/>
      </c>
      <c r="AC142" s="145">
        <f>3296+2109</f>
        <v/>
      </c>
      <c r="AD142" s="145">
        <f>2300+3104</f>
        <v/>
      </c>
      <c r="AE142" s="145">
        <f>2724+3187</f>
        <v/>
      </c>
      <c r="AF142" s="145">
        <f>2276+3151</f>
        <v/>
      </c>
      <c r="AG142" s="145">
        <f>2631+3241</f>
        <v/>
      </c>
      <c r="AH142" s="145">
        <f>523+5876</f>
        <v/>
      </c>
      <c r="AI142" s="145">
        <f>1600+3670</f>
        <v/>
      </c>
      <c r="AJ142" s="145">
        <f>248+3743</f>
        <v/>
      </c>
      <c r="AK142" s="145" t="n">
        <v>0</v>
      </c>
      <c r="AL142" s="145" t="n">
        <v>0</v>
      </c>
      <c r="AM142" s="145" t="n">
        <v>0</v>
      </c>
      <c r="AN142" s="145" t="n">
        <v>0</v>
      </c>
      <c r="AO142" s="145" t="n">
        <v>0</v>
      </c>
      <c r="AP142" s="145" t="n">
        <v>0</v>
      </c>
      <c r="AQ142" s="145" t="n">
        <v>0</v>
      </c>
      <c r="AR142" s="145" t="n">
        <v>0</v>
      </c>
      <c r="AS142" s="145" t="n">
        <v>0</v>
      </c>
      <c r="AT142" s="145" t="n">
        <v>0</v>
      </c>
      <c r="AU142" s="145" t="n">
        <v>0</v>
      </c>
      <c r="AV142" s="145" t="n">
        <v>0</v>
      </c>
      <c r="AW142" s="145" t="n">
        <v>0</v>
      </c>
      <c r="AX142" s="145" t="n">
        <v>0</v>
      </c>
      <c r="AY142" s="145" t="n">
        <v>0</v>
      </c>
      <c r="AZ142" s="145" t="n">
        <v>0</v>
      </c>
      <c r="BA142" s="145" t="n">
        <v>0</v>
      </c>
      <c r="BB142" s="145" t="n"/>
      <c r="BC142" s="145" t="n">
        <v>0</v>
      </c>
      <c r="BD142" s="145" t="n">
        <v>0</v>
      </c>
      <c r="BE142" s="145" t="n">
        <v>0</v>
      </c>
      <c r="BF142" s="145" t="n">
        <v>0</v>
      </c>
      <c r="BG142" s="145" t="n">
        <v>0</v>
      </c>
      <c r="BH142" s="145" t="n">
        <v>0</v>
      </c>
      <c r="BI142" s="145" t="n">
        <v>20106</v>
      </c>
      <c r="BJ142" s="145" t="n">
        <v>20059</v>
      </c>
      <c r="BK142" s="145" t="n">
        <v>21115</v>
      </c>
      <c r="BL142" s="145" t="n">
        <v>17644</v>
      </c>
      <c r="BM142" s="145" t="n">
        <v>15941</v>
      </c>
      <c r="BN142" s="145" t="n">
        <v>17759</v>
      </c>
      <c r="BO142" s="145" t="n"/>
      <c r="BP142" s="145" t="n"/>
      <c r="BQ142" s="145" t="n"/>
      <c r="BR142" s="145" t="n"/>
    </row>
    <row r="143">
      <c r="A143" s="22" t="inlineStr">
        <is>
          <t>Total current liabilities</t>
        </is>
      </c>
      <c r="B143" s="133" t="n"/>
      <c r="C143" s="133" t="n"/>
      <c r="D143" s="133" t="n"/>
      <c r="E143" s="133" t="n"/>
      <c r="F143" s="133" t="n"/>
      <c r="G143" s="133" t="n"/>
      <c r="H143" s="133" t="n"/>
      <c r="I143" s="133" t="n"/>
      <c r="J143" s="133" t="n"/>
      <c r="K143" s="133" t="n"/>
      <c r="L143" s="133" t="n"/>
      <c r="M143" s="133" t="n"/>
      <c r="N143" s="133" t="n">
        <v>44129</v>
      </c>
      <c r="O143" s="133" t="n">
        <v>63327</v>
      </c>
      <c r="P143" s="133" t="n">
        <v>70548</v>
      </c>
      <c r="Q143" s="133" t="n">
        <v>82770</v>
      </c>
      <c r="R143" s="133" t="n">
        <v>83401</v>
      </c>
      <c r="S143" s="133" t="n">
        <v>90828</v>
      </c>
      <c r="T143" s="133" t="n">
        <v>110658</v>
      </c>
      <c r="U143" s="133" t="n">
        <v>93712</v>
      </c>
      <c r="V143" s="133" t="n">
        <v>103139</v>
      </c>
      <c r="W143" s="133" t="n">
        <v>103778</v>
      </c>
      <c r="X143" s="133" t="n">
        <v>121281</v>
      </c>
      <c r="Y143" s="133" t="n">
        <v>125455</v>
      </c>
      <c r="Z143" s="133" t="n">
        <v>88110</v>
      </c>
      <c r="AA143" s="133" t="n">
        <v>95202</v>
      </c>
      <c r="AB143" s="133" t="n">
        <v>105807</v>
      </c>
      <c r="AC143" s="133" t="n">
        <v>100079</v>
      </c>
      <c r="AD143" s="133" t="n">
        <v>103278</v>
      </c>
      <c r="AE143" s="133" t="n">
        <v>113172</v>
      </c>
      <c r="AF143" s="133" t="n">
        <v>128013</v>
      </c>
      <c r="AG143" s="133" t="n">
        <v>122075</v>
      </c>
      <c r="AH143" s="133" t="n">
        <v>123130</v>
      </c>
      <c r="AI143" s="133" t="n">
        <v>125771</v>
      </c>
      <c r="AJ143" s="133" t="n">
        <v>148850</v>
      </c>
      <c r="AK143" s="133" t="n">
        <v>141790</v>
      </c>
      <c r="AL143" s="133">
        <f>150671-3751</f>
        <v/>
      </c>
      <c r="AM143" s="133">
        <f>134976-4152</f>
        <v/>
      </c>
      <c r="AN143" s="133">
        <f>155627-4047</f>
        <v/>
      </c>
      <c r="AO143" s="133" t="n">
        <v>158275</v>
      </c>
      <c r="AP143" s="133" t="n">
        <v>157736</v>
      </c>
      <c r="AQ143" s="133" t="n">
        <v>156785</v>
      </c>
      <c r="AR143" s="133" t="n">
        <v>182191</v>
      </c>
      <c r="AS143" s="133" t="n">
        <v>198903</v>
      </c>
      <c r="AT143" s="133" t="n">
        <v>195543</v>
      </c>
      <c r="AU143" s="133" t="n">
        <v>210279</v>
      </c>
      <c r="AV143" s="133" t="n">
        <v>217985</v>
      </c>
      <c r="AW143" s="133" t="n">
        <v>245775</v>
      </c>
      <c r="AX143" s="133" t="n">
        <v>209816</v>
      </c>
      <c r="AY143" s="133" t="n">
        <v>222228</v>
      </c>
      <c r="AZ143" s="133" t="n">
        <v>205563</v>
      </c>
      <c r="BA143" s="133" t="n">
        <v>191904</v>
      </c>
      <c r="BB143" s="133" t="n">
        <v>195432</v>
      </c>
      <c r="BC143" s="133" t="n">
        <v>195286</v>
      </c>
      <c r="BD143" s="133" t="n">
        <v>201445</v>
      </c>
      <c r="BE143" s="133" t="n">
        <v>214578</v>
      </c>
      <c r="BF143" s="133" t="n">
        <v>214753</v>
      </c>
      <c r="BG143" s="133" t="n">
        <v>255905</v>
      </c>
      <c r="BH143" s="133" t="n">
        <v>292840</v>
      </c>
      <c r="BI143" s="133" t="n">
        <v>313433</v>
      </c>
      <c r="BJ143" s="133" t="n">
        <v>279836</v>
      </c>
      <c r="BK143" s="133" t="n">
        <v>315902</v>
      </c>
      <c r="BL143" s="133" t="n">
        <v>295788</v>
      </c>
      <c r="BM143" s="133" t="n">
        <v>274646</v>
      </c>
      <c r="BN143" s="133" t="n">
        <v>249522</v>
      </c>
      <c r="BO143" s="133" t="n">
        <v>228187</v>
      </c>
      <c r="BP143" s="133" t="n">
        <v>219709</v>
      </c>
      <c r="BQ143" s="133" t="n">
        <v>214861</v>
      </c>
      <c r="BR143" s="133" t="n">
        <v>192127</v>
      </c>
      <c r="BS143" t="n">
        <v>190483</v>
      </c>
      <c r="BT143" t="inlineStr">
        <is>
          <t>IPGP-Financial-Data-Workbook-2024-Q2.xlsx|Balance Sheet|35|93</t>
        </is>
      </c>
    </row>
    <row r="144">
      <c r="A144" s="74" t="inlineStr">
        <is>
          <t>Deferred income taxes and other non-current liabilities</t>
        </is>
      </c>
      <c r="B144" s="145" t="n"/>
      <c r="C144" s="145" t="n"/>
      <c r="D144" s="145" t="n"/>
      <c r="E144" s="145" t="n"/>
      <c r="F144" s="145" t="n"/>
      <c r="G144" s="145" t="n"/>
      <c r="H144" s="145" t="n"/>
      <c r="I144" s="145" t="n"/>
      <c r="J144" s="145" t="n"/>
      <c r="K144" s="145" t="n"/>
      <c r="L144" s="145" t="n"/>
      <c r="M144" s="145" t="n"/>
      <c r="N144" s="145" t="n">
        <v>2293</v>
      </c>
      <c r="O144" s="145" t="n">
        <v>1425</v>
      </c>
      <c r="P144" s="145" t="n">
        <v>1594</v>
      </c>
      <c r="Q144" s="145">
        <f>1735+24903</f>
        <v/>
      </c>
      <c r="R144" s="145">
        <f>2766+25839</f>
        <v/>
      </c>
      <c r="S144" s="145">
        <f>4661+46730</f>
        <v/>
      </c>
      <c r="T144" s="145" t="n">
        <v>50407</v>
      </c>
      <c r="U144" s="145" t="n">
        <v>8961</v>
      </c>
      <c r="V144" s="145" t="n">
        <v>9881</v>
      </c>
      <c r="W144" s="145" t="n">
        <v>9834</v>
      </c>
      <c r="X144" s="145" t="n">
        <v>13191</v>
      </c>
      <c r="Y144" s="145" t="n">
        <v>13102</v>
      </c>
      <c r="Z144" s="145" t="n">
        <v>18398</v>
      </c>
      <c r="AA144" s="145" t="n">
        <v>16086</v>
      </c>
      <c r="AB144" s="145" t="n">
        <v>16635</v>
      </c>
      <c r="AC144" s="145" t="n">
        <v>21835</v>
      </c>
      <c r="AD144" s="145" t="n">
        <v>21419</v>
      </c>
      <c r="AE144" s="145" t="n">
        <v>21354</v>
      </c>
      <c r="AF144" s="145" t="n">
        <v>20672</v>
      </c>
      <c r="AG144" s="145" t="n">
        <v>22584</v>
      </c>
      <c r="AH144" s="145" t="n">
        <v>26444</v>
      </c>
      <c r="AI144" s="145" t="n">
        <v>26348</v>
      </c>
      <c r="AJ144" s="145" t="n">
        <v>25303</v>
      </c>
      <c r="AK144" s="145" t="n">
        <v>33307</v>
      </c>
      <c r="AL144" s="145">
        <f>35264+3751</f>
        <v/>
      </c>
      <c r="AM144" s="145">
        <f>31939+4152</f>
        <v/>
      </c>
      <c r="AN144" s="145">
        <f>30223+4047</f>
        <v/>
      </c>
      <c r="AO144" s="145" t="n">
        <v>36365</v>
      </c>
      <c r="AP144" s="145" t="n">
        <v>41726</v>
      </c>
      <c r="AQ144" s="145" t="n">
        <v>48025</v>
      </c>
      <c r="AR144" s="145" t="n">
        <v>58479</v>
      </c>
      <c r="AS144" s="145" t="n">
        <v>100652</v>
      </c>
      <c r="AT144" s="145" t="n">
        <v>112612</v>
      </c>
      <c r="AU144" s="145" t="n">
        <v>104491</v>
      </c>
      <c r="AV144" s="145" t="n">
        <v>94675</v>
      </c>
      <c r="AW144" s="145" t="n">
        <v>80734</v>
      </c>
      <c r="AX144" s="145" t="n">
        <v>106988</v>
      </c>
      <c r="AY144" s="145" t="n">
        <v>107981</v>
      </c>
      <c r="AZ144" s="145" t="n">
        <v>105772</v>
      </c>
      <c r="BA144" s="145" t="n">
        <v>98121</v>
      </c>
      <c r="BB144" s="145" t="n">
        <v>91750</v>
      </c>
      <c r="BC144" s="145" t="n">
        <v>90073</v>
      </c>
      <c r="BD144" s="145" t="n">
        <v>87296</v>
      </c>
      <c r="BE144" s="145" t="n">
        <v>92854</v>
      </c>
      <c r="BF144" s="145" t="n">
        <v>94335</v>
      </c>
      <c r="BG144" s="145" t="n">
        <v>92102</v>
      </c>
      <c r="BH144" s="145" t="n">
        <v>94897</v>
      </c>
      <c r="BI144" s="145" t="n">
        <v>93855</v>
      </c>
      <c r="BJ144" s="145" t="n">
        <v>94650</v>
      </c>
      <c r="BK144" s="145" t="n">
        <v>92516</v>
      </c>
      <c r="BL144" s="145" t="n">
        <v>86223</v>
      </c>
      <c r="BM144" s="145" t="n">
        <v>83274</v>
      </c>
      <c r="BN144" s="145" t="n">
        <v>83109</v>
      </c>
      <c r="BO144" s="145" t="n">
        <v>69680</v>
      </c>
      <c r="BP144" s="145" t="n">
        <v>69204</v>
      </c>
      <c r="BQ144" s="145" t="n">
        <v>68652</v>
      </c>
      <c r="BR144" s="145" t="n">
        <v>65589</v>
      </c>
      <c r="BS144" t="n">
        <v>51578</v>
      </c>
      <c r="BT144" t="inlineStr">
        <is>
          <t>IPGP-Financial-Data-Workbook-2024-Q2.xlsx|Balance Sheet|37|93</t>
        </is>
      </c>
    </row>
    <row r="145">
      <c r="A145" s="74" t="inlineStr">
        <is>
          <t>Long-term debt, net of current portion</t>
        </is>
      </c>
      <c r="B145" s="145" t="n"/>
      <c r="C145" s="145" t="n"/>
      <c r="D145" s="145" t="n"/>
      <c r="E145" s="145" t="n"/>
      <c r="F145" s="145" t="n"/>
      <c r="G145" s="145" t="n"/>
      <c r="H145" s="145" t="n"/>
      <c r="I145" s="145" t="n"/>
      <c r="J145" s="145" t="n"/>
      <c r="K145" s="145" t="n"/>
      <c r="L145" s="145" t="n"/>
      <c r="M145" s="145" t="n"/>
      <c r="N145" s="145" t="n">
        <v>16333</v>
      </c>
      <c r="O145" s="145" t="n">
        <v>16649</v>
      </c>
      <c r="P145" s="145" t="n">
        <v>16382</v>
      </c>
      <c r="Q145" s="145" t="n">
        <v>15644</v>
      </c>
      <c r="R145" s="145" t="n">
        <v>17112</v>
      </c>
      <c r="S145" s="145" t="n">
        <v>16758</v>
      </c>
      <c r="T145" s="145" t="n">
        <v>16296</v>
      </c>
      <c r="U145" s="145" t="n">
        <v>15726</v>
      </c>
      <c r="V145" s="145" t="n">
        <v>15132</v>
      </c>
      <c r="W145" s="145" t="n">
        <v>14671</v>
      </c>
      <c r="X145" s="145" t="n">
        <v>14341</v>
      </c>
      <c r="Y145" s="145" t="n">
        <v>14014</v>
      </c>
      <c r="Z145" s="145" t="n">
        <v>12525</v>
      </c>
      <c r="AA145" s="145" t="n">
        <v>12000</v>
      </c>
      <c r="AB145" s="145" t="n">
        <v>11667</v>
      </c>
      <c r="AC145" s="145" t="n">
        <v>11333</v>
      </c>
      <c r="AD145" s="145" t="n">
        <v>11000</v>
      </c>
      <c r="AE145" s="145" t="n">
        <v>0</v>
      </c>
      <c r="AF145" s="145" t="n">
        <v>0</v>
      </c>
      <c r="AG145" s="145" t="n">
        <v>19667</v>
      </c>
      <c r="AH145" s="145" t="n">
        <v>19167</v>
      </c>
      <c r="AI145" s="145" t="n">
        <v>18667</v>
      </c>
      <c r="AJ145" s="145" t="n">
        <v>18167</v>
      </c>
      <c r="AK145" s="145" t="n">
        <v>17667</v>
      </c>
      <c r="AL145" s="145" t="n">
        <v>17167</v>
      </c>
      <c r="AM145" s="145" t="n">
        <v>39229</v>
      </c>
      <c r="AN145" s="145" t="n">
        <v>38432</v>
      </c>
      <c r="AO145" s="145" t="n">
        <v>37635</v>
      </c>
      <c r="AP145" s="145" t="n">
        <v>36839</v>
      </c>
      <c r="AQ145" s="145" t="n">
        <v>21375</v>
      </c>
      <c r="AR145" s="145" t="n">
        <v>46296</v>
      </c>
      <c r="AS145" s="145" t="n">
        <v>45378</v>
      </c>
      <c r="AT145" s="145" t="n">
        <v>44483</v>
      </c>
      <c r="AU145" s="145" t="n">
        <v>43551</v>
      </c>
      <c r="AV145" s="145" t="n">
        <v>42631</v>
      </c>
      <c r="AW145" s="145" t="n">
        <v>41707</v>
      </c>
      <c r="AX145" s="145" t="n">
        <v>40779</v>
      </c>
      <c r="AY145" s="145" t="n">
        <v>39846</v>
      </c>
      <c r="AZ145" s="145" t="n">
        <v>38909</v>
      </c>
      <c r="BA145" s="145" t="n">
        <v>37968</v>
      </c>
      <c r="BB145" s="145" t="n">
        <v>37022</v>
      </c>
      <c r="BC145" s="145" t="n">
        <v>36071</v>
      </c>
      <c r="BD145" s="145" t="n">
        <v>35117</v>
      </c>
      <c r="BE145" s="145" t="n">
        <v>34157</v>
      </c>
      <c r="BF145" s="145" t="n">
        <v>33193</v>
      </c>
      <c r="BG145" s="145" t="n">
        <v>32225</v>
      </c>
      <c r="BH145" s="145" t="n">
        <v>16328</v>
      </c>
      <c r="BI145" s="145" t="n">
        <v>16031</v>
      </c>
      <c r="BJ145" s="145" t="n">
        <v>15734</v>
      </c>
      <c r="BK145" s="145" t="n">
        <v>0</v>
      </c>
      <c r="BL145" s="145" t="n">
        <v>0</v>
      </c>
      <c r="BM145" s="145" t="n">
        <v>0</v>
      </c>
      <c r="BN145" s="145" t="n">
        <v>0</v>
      </c>
      <c r="BO145" s="145" t="n">
        <v>0</v>
      </c>
      <c r="BP145" s="145" t="n"/>
      <c r="BQ145" s="145" t="n"/>
      <c r="BR145" s="145" t="n"/>
      <c r="BS145" t="n">
        <v>0</v>
      </c>
      <c r="BT145" t="inlineStr">
        <is>
          <t>IPGP-Financial-Data-Workbook-2024-Q2.xlsx|Balance Sheet|38|93</t>
        </is>
      </c>
    </row>
    <row r="146">
      <c r="A146" s="22" t="inlineStr">
        <is>
          <t>Total liabilities</t>
        </is>
      </c>
      <c r="B146" s="133" t="n"/>
      <c r="C146" s="133" t="n"/>
      <c r="D146" s="133" t="n"/>
      <c r="E146" s="133" t="n"/>
      <c r="F146" s="133" t="n"/>
      <c r="G146" s="133" t="n"/>
      <c r="H146" s="133" t="n"/>
      <c r="I146" s="133" t="n"/>
      <c r="J146" s="133" t="n"/>
      <c r="K146" s="133" t="n"/>
      <c r="L146" s="133" t="n"/>
      <c r="M146" s="133" t="n"/>
      <c r="N146" s="147">
        <f>SUM(N143:N145)</f>
        <v/>
      </c>
      <c r="O146" s="147">
        <f>SUM(O143:O145)</f>
        <v/>
      </c>
      <c r="P146" s="147">
        <f>SUM(P143:P145)</f>
        <v/>
      </c>
      <c r="Q146" s="133" t="n">
        <v>125052</v>
      </c>
      <c r="R146" s="133" t="n">
        <v>129118</v>
      </c>
      <c r="S146" s="133" t="n">
        <v>158977</v>
      </c>
      <c r="T146" s="133" t="n">
        <v>177361</v>
      </c>
      <c r="U146" s="133" t="n">
        <v>118399</v>
      </c>
      <c r="V146" s="133" t="n">
        <v>128152</v>
      </c>
      <c r="W146" s="133" t="n">
        <v>128283</v>
      </c>
      <c r="X146" s="133" t="n">
        <v>148813</v>
      </c>
      <c r="Y146" s="133" t="n">
        <v>152571</v>
      </c>
      <c r="Z146" s="133" t="n">
        <v>119033</v>
      </c>
      <c r="AA146" s="133" t="n">
        <v>123288</v>
      </c>
      <c r="AB146" s="133" t="n">
        <v>134109</v>
      </c>
      <c r="AC146" s="133" t="n">
        <v>133247</v>
      </c>
      <c r="AD146" s="133" t="n">
        <v>135697</v>
      </c>
      <c r="AE146" s="133" t="n">
        <v>134526</v>
      </c>
      <c r="AF146" s="133" t="n">
        <v>148685</v>
      </c>
      <c r="AG146" s="133" t="n">
        <v>164326</v>
      </c>
      <c r="AH146" s="133" t="n">
        <v>168741</v>
      </c>
      <c r="AI146" s="133" t="n">
        <v>170786</v>
      </c>
      <c r="AJ146" s="133" t="n">
        <v>192320</v>
      </c>
      <c r="AK146" s="133" t="n">
        <v>192764</v>
      </c>
      <c r="AL146" s="133" t="n">
        <v>203102</v>
      </c>
      <c r="AM146" s="133" t="n">
        <v>206144</v>
      </c>
      <c r="AN146" s="133" t="n">
        <v>224282</v>
      </c>
      <c r="AO146" s="133" t="n">
        <v>232275</v>
      </c>
      <c r="AP146" s="133" t="n">
        <v>236301</v>
      </c>
      <c r="AQ146" s="133" t="n">
        <v>226185</v>
      </c>
      <c r="AR146" s="133" t="n">
        <v>286966</v>
      </c>
      <c r="AS146" s="133" t="n">
        <v>344933</v>
      </c>
      <c r="AT146" s="133" t="n">
        <v>352638</v>
      </c>
      <c r="AU146" s="133" t="n">
        <v>358321</v>
      </c>
      <c r="AV146" s="133" t="n">
        <v>355291</v>
      </c>
      <c r="AW146" s="133" t="n">
        <v>368216</v>
      </c>
      <c r="AX146" s="133" t="n">
        <v>357583</v>
      </c>
      <c r="AY146" s="133" t="n">
        <v>370055</v>
      </c>
      <c r="AZ146" s="133" t="n">
        <v>350244</v>
      </c>
      <c r="BA146" s="133" t="n">
        <v>327993</v>
      </c>
      <c r="BB146" s="133" t="n">
        <v>324204</v>
      </c>
      <c r="BC146" s="133" t="n">
        <v>321430</v>
      </c>
      <c r="BD146" s="133" t="n">
        <v>323858</v>
      </c>
      <c r="BE146" s="133" t="n">
        <v>341589</v>
      </c>
      <c r="BF146" s="133" t="n">
        <v>342281</v>
      </c>
      <c r="BG146" s="133" t="n">
        <v>380232</v>
      </c>
      <c r="BH146" s="133" t="n">
        <v>404065</v>
      </c>
      <c r="BI146" s="133" t="n">
        <v>423319</v>
      </c>
      <c r="BJ146" s="133" t="n">
        <v>390220</v>
      </c>
      <c r="BK146" s="133" t="n">
        <v>408418</v>
      </c>
      <c r="BL146" s="133" t="n">
        <v>382011</v>
      </c>
      <c r="BM146" s="133" t="n">
        <v>357920</v>
      </c>
      <c r="BN146" s="133" t="n">
        <v>332631</v>
      </c>
      <c r="BO146" s="133" t="n">
        <v>297867</v>
      </c>
      <c r="BP146" s="133" t="n">
        <v>288913</v>
      </c>
      <c r="BQ146" s="133" t="n">
        <v>283513</v>
      </c>
      <c r="BR146" s="133" t="n">
        <v>257716</v>
      </c>
      <c r="BS146" t="n">
        <v>242061</v>
      </c>
      <c r="BT146" t="inlineStr">
        <is>
          <t>IPGP-Financial-Data-Workbook-2024-Q2.xlsx|Balance Sheet|39|93</t>
        </is>
      </c>
    </row>
    <row r="147">
      <c r="A147" s="22" t="n"/>
      <c r="B147" s="145" t="n"/>
      <c r="C147" s="145" t="n"/>
      <c r="D147" s="145" t="n"/>
      <c r="E147" s="145" t="n"/>
      <c r="F147" s="145" t="n"/>
      <c r="G147" s="145" t="n"/>
      <c r="H147" s="145" t="n"/>
      <c r="I147" s="145" t="n"/>
      <c r="J147" s="145" t="n"/>
      <c r="K147" s="145" t="n"/>
      <c r="L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c r="AG147" s="145" t="n"/>
      <c r="AH147" s="145" t="n"/>
      <c r="AI147" s="145" t="n"/>
      <c r="AJ147" s="145" t="n"/>
      <c r="AK147" s="145" t="n"/>
      <c r="AL147" s="145" t="n"/>
      <c r="AM147" s="145" t="n"/>
      <c r="AN147" s="145" t="n"/>
      <c r="AO147" s="145" t="n"/>
      <c r="AP147" s="145" t="n"/>
      <c r="AQ147" s="145" t="n"/>
      <c r="AR147" s="145" t="n"/>
      <c r="AS147" s="145" t="n"/>
      <c r="AT147" s="145" t="n"/>
      <c r="AU147" s="145" t="n"/>
      <c r="AV147" s="145" t="n"/>
      <c r="AW147" s="145" t="n"/>
      <c r="AX147" s="145" t="n"/>
      <c r="AY147" s="145" t="n"/>
      <c r="AZ147" s="145" t="n"/>
      <c r="BA147" s="145" t="n"/>
      <c r="BB147" s="145" t="n"/>
      <c r="BC147" s="145" t="n"/>
      <c r="BD147" s="145" t="n"/>
      <c r="BE147" s="145" t="n"/>
      <c r="BF147" s="145" t="n"/>
      <c r="BG147" s="145" t="n"/>
      <c r="BH147" s="145" t="n"/>
      <c r="BI147" s="145" t="n"/>
      <c r="BJ147" s="145" t="n"/>
      <c r="BK147" s="145" t="n"/>
      <c r="BL147" s="145" t="n"/>
      <c r="BM147" s="145" t="n"/>
      <c r="BN147" s="145" t="n"/>
      <c r="BO147" s="145" t="n"/>
      <c r="BP147" s="145" t="n"/>
      <c r="BQ147" s="145" t="n"/>
      <c r="BR147" s="145" t="n"/>
    </row>
    <row r="148">
      <c r="A148" s="33" t="inlineStr">
        <is>
          <t>IPG Photonics Corporation equity</t>
        </is>
      </c>
      <c r="B148" s="145" t="n"/>
      <c r="C148" s="145" t="n"/>
      <c r="D148" s="145" t="n"/>
      <c r="E148" s="145" t="n"/>
      <c r="F148" s="145" t="n"/>
      <c r="G148" s="145" t="n"/>
      <c r="H148" s="145" t="n"/>
      <c r="I148" s="145" t="n"/>
      <c r="J148" s="145" t="n"/>
      <c r="K148" s="145" t="n"/>
      <c r="L148" s="145" t="n"/>
      <c r="M148" s="145" t="n"/>
      <c r="N148" s="145" t="n">
        <v>5</v>
      </c>
      <c r="O148" s="145" t="n">
        <v>5</v>
      </c>
      <c r="P148" s="145" t="n">
        <v>5</v>
      </c>
      <c r="Q148" s="145" t="n">
        <v>5</v>
      </c>
      <c r="R148" s="145" t="n">
        <v>5</v>
      </c>
      <c r="S148" s="145" t="n">
        <v>5</v>
      </c>
      <c r="T148" s="145" t="n">
        <v>5</v>
      </c>
      <c r="U148" s="145" t="n">
        <v>5</v>
      </c>
      <c r="V148" s="145" t="n">
        <v>5</v>
      </c>
      <c r="W148" s="145" t="n">
        <v>5</v>
      </c>
      <c r="X148" s="145" t="n">
        <v>5</v>
      </c>
      <c r="Y148" s="145" t="n">
        <v>5</v>
      </c>
      <c r="Z148" s="145" t="n">
        <v>5</v>
      </c>
      <c r="AA148" s="145" t="n">
        <v>5</v>
      </c>
      <c r="AB148" s="145" t="n">
        <v>5</v>
      </c>
      <c r="AC148" s="145" t="n">
        <v>5</v>
      </c>
      <c r="AD148" s="145" t="n">
        <v>5</v>
      </c>
      <c r="AE148" s="145" t="n">
        <v>5</v>
      </c>
      <c r="AF148" s="145" t="n">
        <v>5</v>
      </c>
      <c r="AG148" s="145" t="n">
        <v>5</v>
      </c>
      <c r="AH148" s="145" t="n">
        <v>5</v>
      </c>
      <c r="AI148" s="145" t="n">
        <v>5</v>
      </c>
      <c r="AJ148" s="145" t="n">
        <v>5</v>
      </c>
      <c r="AK148" s="145" t="n">
        <v>5</v>
      </c>
      <c r="AL148" s="145" t="n">
        <v>5</v>
      </c>
      <c r="AM148" s="145" t="n">
        <v>5</v>
      </c>
      <c r="AN148" s="145" t="n">
        <v>5</v>
      </c>
      <c r="AO148" s="145" t="n">
        <v>5</v>
      </c>
      <c r="AP148" s="145" t="n">
        <v>5</v>
      </c>
      <c r="AQ148" s="145" t="n">
        <v>5</v>
      </c>
      <c r="AR148" s="145" t="n">
        <v>5</v>
      </c>
      <c r="AS148" s="145" t="n">
        <v>5</v>
      </c>
      <c r="AT148" s="145" t="n">
        <v>5</v>
      </c>
      <c r="AU148" s="145" t="n">
        <v>5</v>
      </c>
      <c r="AV148" s="145" t="n">
        <v>5</v>
      </c>
      <c r="AW148" s="145" t="n">
        <v>5</v>
      </c>
      <c r="AX148" s="145" t="n">
        <v>5</v>
      </c>
      <c r="AY148" s="145" t="n">
        <v>5</v>
      </c>
      <c r="AZ148" s="145" t="n">
        <v>5</v>
      </c>
      <c r="BA148" s="145" t="n">
        <v>5</v>
      </c>
      <c r="BB148" s="145" t="n">
        <v>6</v>
      </c>
      <c r="BC148" s="145" t="n">
        <v>6</v>
      </c>
      <c r="BD148" s="145" t="n">
        <v>6</v>
      </c>
      <c r="BE148" s="145" t="n">
        <v>6</v>
      </c>
      <c r="BF148" s="145" t="n">
        <v>6</v>
      </c>
      <c r="BG148" s="145" t="n">
        <v>6</v>
      </c>
      <c r="BH148" s="145" t="n">
        <v>6</v>
      </c>
      <c r="BI148" s="145" t="n">
        <v>6</v>
      </c>
      <c r="BJ148" s="145" t="n">
        <v>6</v>
      </c>
      <c r="BK148" s="145" t="n">
        <v>6</v>
      </c>
      <c r="BL148" s="145" t="n">
        <v>6</v>
      </c>
      <c r="BM148" s="145" t="n">
        <v>6</v>
      </c>
      <c r="BN148" s="145" t="n">
        <v>6</v>
      </c>
      <c r="BO148" s="145" t="n">
        <v>6</v>
      </c>
      <c r="BP148" s="145" t="n">
        <v>6</v>
      </c>
      <c r="BQ148" s="145" t="n">
        <v>6</v>
      </c>
      <c r="BR148" s="145" t="n">
        <v>6</v>
      </c>
    </row>
    <row r="149">
      <c r="A149" s="33" t="inlineStr">
        <is>
          <t>Treasury stock, at cost</t>
        </is>
      </c>
      <c r="B149" s="145" t="n"/>
      <c r="C149" s="145" t="n"/>
      <c r="D149" s="145" t="n"/>
      <c r="E149" s="145" t="n"/>
      <c r="F149" s="145" t="n"/>
      <c r="G149" s="145" t="n"/>
      <c r="H149" s="145" t="n"/>
      <c r="I149" s="145" t="n"/>
      <c r="J149" s="145" t="n"/>
      <c r="K149" s="145" t="n"/>
      <c r="L149" s="145" t="n"/>
      <c r="M149" s="145" t="n"/>
      <c r="N149" s="145" t="n">
        <v>0</v>
      </c>
      <c r="O149" s="145" t="n">
        <v>0</v>
      </c>
      <c r="P149" s="145" t="n">
        <v>0</v>
      </c>
      <c r="Q149" s="145" t="n">
        <v>0</v>
      </c>
      <c r="R149" s="145" t="n">
        <v>0</v>
      </c>
      <c r="S149" s="145" t="n">
        <v>0</v>
      </c>
      <c r="T149" s="145" t="n">
        <v>0</v>
      </c>
      <c r="U149" s="145" t="n">
        <v>0</v>
      </c>
      <c r="V149" s="145" t="n">
        <v>0</v>
      </c>
      <c r="W149" s="145" t="n">
        <v>0</v>
      </c>
      <c r="X149" s="145" t="n">
        <v>0</v>
      </c>
      <c r="Y149" s="145" t="n">
        <v>0</v>
      </c>
      <c r="Z149" s="145" t="n">
        <v>0</v>
      </c>
      <c r="AA149" s="145" t="n">
        <v>0</v>
      </c>
      <c r="AB149" s="145" t="n">
        <v>0</v>
      </c>
      <c r="AC149" s="145" t="n">
        <v>0</v>
      </c>
      <c r="AD149" s="145" t="n">
        <v>0</v>
      </c>
      <c r="AE149" s="145" t="n">
        <v>0</v>
      </c>
      <c r="AF149" s="145" t="n">
        <v>0</v>
      </c>
      <c r="AG149" s="145" t="n">
        <v>0</v>
      </c>
      <c r="AH149" s="145" t="n">
        <v>0</v>
      </c>
      <c r="AI149" s="145" t="n">
        <v>0</v>
      </c>
      <c r="AJ149" s="145" t="n">
        <v>0</v>
      </c>
      <c r="AK149" s="145" t="n">
        <v>0</v>
      </c>
      <c r="AL149" s="145" t="n">
        <v>0</v>
      </c>
      <c r="AM149" s="145" t="n">
        <v>0</v>
      </c>
      <c r="AN149" s="145" t="n">
        <v>-3483</v>
      </c>
      <c r="AO149" s="145" t="n">
        <v>-8946</v>
      </c>
      <c r="AP149" s="145" t="n">
        <v>-21485</v>
      </c>
      <c r="AQ149" s="145" t="n">
        <v>-33058</v>
      </c>
      <c r="AR149" s="145" t="n">
        <v>-35857</v>
      </c>
      <c r="AS149" s="145" t="n">
        <v>-48933</v>
      </c>
      <c r="AT149" s="145" t="n">
        <v>-69004</v>
      </c>
      <c r="AU149" s="145" t="n">
        <v>-99997</v>
      </c>
      <c r="AV149" s="145" t="n">
        <v>-160859</v>
      </c>
      <c r="AW149" s="145" t="n">
        <v>-224998</v>
      </c>
      <c r="AX149" s="145" t="n">
        <v>-224998</v>
      </c>
      <c r="AY149" s="145" t="n">
        <v>-227282</v>
      </c>
      <c r="AZ149" s="145" t="n">
        <v>-250919</v>
      </c>
      <c r="BA149" s="145" t="n">
        <v>-265730</v>
      </c>
      <c r="BB149" s="145" t="n">
        <v>-278446</v>
      </c>
      <c r="BC149" s="145" t="n">
        <v>-293960</v>
      </c>
      <c r="BD149" s="145" t="n">
        <v>-303614</v>
      </c>
      <c r="BE149" s="145" t="n">
        <v>-303614</v>
      </c>
      <c r="BF149" s="145" t="n">
        <v>-306662</v>
      </c>
      <c r="BG149" s="145" t="n">
        <v>-345345</v>
      </c>
      <c r="BH149" s="145" t="n">
        <v>-381685</v>
      </c>
      <c r="BI149" s="145" t="n">
        <v>-438503</v>
      </c>
      <c r="BJ149" s="145" t="n">
        <v>-517260</v>
      </c>
      <c r="BK149" s="145" t="n">
        <v>-750109</v>
      </c>
      <c r="BL149" s="145" t="n">
        <v>-821388</v>
      </c>
      <c r="BM149" s="145" t="n">
        <v>-938009</v>
      </c>
      <c r="BN149" s="145" t="n">
        <v>-1051103</v>
      </c>
      <c r="BO149" s="145" t="n">
        <v>-1051040</v>
      </c>
      <c r="BP149" s="145" t="n">
        <v>-1097537</v>
      </c>
      <c r="BQ149" s="145" t="n">
        <v>-1161505</v>
      </c>
      <c r="BR149" s="145" t="n">
        <v>-1251121</v>
      </c>
      <c r="BS149" t="n">
        <v>-1373525</v>
      </c>
      <c r="BT149" t="inlineStr">
        <is>
          <t>IPGP-Financial-Data-Workbook-2024-Q2.xlsx|Balance Sheet|45|93</t>
        </is>
      </c>
    </row>
    <row r="150">
      <c r="A150" s="33" t="inlineStr">
        <is>
          <t>Additional paid-in capital</t>
        </is>
      </c>
      <c r="B150" s="145" t="n"/>
      <c r="C150" s="145" t="n"/>
      <c r="D150" s="145" t="n"/>
      <c r="E150" s="145" t="n"/>
      <c r="F150" s="145" t="n"/>
      <c r="G150" s="145" t="n"/>
      <c r="H150" s="145" t="n"/>
      <c r="I150" s="145" t="n"/>
      <c r="J150" s="145" t="n"/>
      <c r="K150" s="145" t="n"/>
      <c r="L150" s="145" t="n"/>
      <c r="M150" s="145" t="n"/>
      <c r="N150" s="145" t="n">
        <v>294724</v>
      </c>
      <c r="O150" s="145" t="n">
        <v>296572</v>
      </c>
      <c r="P150" s="145" t="n">
        <v>302934</v>
      </c>
      <c r="Q150" s="145" t="n">
        <v>310218</v>
      </c>
      <c r="R150" s="145" t="n">
        <v>317709</v>
      </c>
      <c r="S150" s="145" t="n">
        <v>325783</v>
      </c>
      <c r="T150" s="145" t="n">
        <v>329416</v>
      </c>
      <c r="U150" s="145" t="n">
        <v>332585</v>
      </c>
      <c r="V150" s="145" t="n">
        <v>504243</v>
      </c>
      <c r="W150" s="145" t="n">
        <v>499951</v>
      </c>
      <c r="X150" s="145" t="n">
        <v>506854</v>
      </c>
      <c r="Y150" s="145" t="n">
        <v>511039</v>
      </c>
      <c r="Z150" s="145" t="n">
        <v>515755</v>
      </c>
      <c r="AA150" s="145" t="n">
        <v>521044</v>
      </c>
      <c r="AB150" s="145" t="n">
        <v>526481</v>
      </c>
      <c r="AC150" s="145" t="n">
        <v>538908</v>
      </c>
      <c r="AD150" s="145" t="n">
        <v>544351</v>
      </c>
      <c r="AE150" s="145" t="n">
        <v>551885</v>
      </c>
      <c r="AF150" s="145" t="n">
        <v>556401</v>
      </c>
      <c r="AG150" s="145" t="n">
        <v>567617</v>
      </c>
      <c r="AH150" s="145" t="n">
        <v>580926</v>
      </c>
      <c r="AI150" s="145" t="n">
        <v>591718</v>
      </c>
      <c r="AJ150" s="145" t="n">
        <v>597803</v>
      </c>
      <c r="AK150" s="145" t="n">
        <v>607649</v>
      </c>
      <c r="AL150" s="145" t="n">
        <v>616156</v>
      </c>
      <c r="AM150" s="145" t="n">
        <v>629694</v>
      </c>
      <c r="AN150" s="145" t="n">
        <v>635778</v>
      </c>
      <c r="AO150" s="145" t="n">
        <v>650974</v>
      </c>
      <c r="AP150" s="145" t="n">
        <v>668003</v>
      </c>
      <c r="AQ150" s="145" t="n">
        <v>681263</v>
      </c>
      <c r="AR150" s="145" t="n">
        <v>693337</v>
      </c>
      <c r="AS150" s="145" t="n">
        <v>704727</v>
      </c>
      <c r="AT150" s="145" t="n">
        <v>714255</v>
      </c>
      <c r="AU150" s="145" t="n">
        <v>729082</v>
      </c>
      <c r="AV150" s="145" t="n">
        <v>738285</v>
      </c>
      <c r="AW150" s="145" t="n">
        <v>744937</v>
      </c>
      <c r="AX150" s="145" t="n">
        <v>746926</v>
      </c>
      <c r="AY150" s="145" t="n">
        <v>761936</v>
      </c>
      <c r="AZ150" s="145" t="n">
        <v>772152</v>
      </c>
      <c r="BA150" s="145" t="n">
        <v>785636</v>
      </c>
      <c r="BB150" s="145" t="n">
        <v>788568</v>
      </c>
      <c r="BC150" s="145" t="n">
        <v>811559</v>
      </c>
      <c r="BD150" s="145" t="n">
        <v>828796</v>
      </c>
      <c r="BE150" s="145" t="n">
        <v>854301</v>
      </c>
      <c r="BF150" s="145" t="n">
        <v>868097</v>
      </c>
      <c r="BG150" s="145" t="n">
        <v>883546</v>
      </c>
      <c r="BH150" s="145" t="n">
        <v>894264</v>
      </c>
      <c r="BI150" s="145" t="n">
        <v>908423</v>
      </c>
      <c r="BJ150" s="145" t="n">
        <v>917693</v>
      </c>
      <c r="BK150" s="145" t="n">
        <v>930950</v>
      </c>
      <c r="BL150" s="145" t="n">
        <v>939040</v>
      </c>
      <c r="BM150" s="145" t="n">
        <v>951371</v>
      </c>
      <c r="BN150" s="145" t="n">
        <v>957103</v>
      </c>
      <c r="BO150" s="145" t="n">
        <v>969889</v>
      </c>
      <c r="BP150" s="145" t="n">
        <v>978331</v>
      </c>
      <c r="BQ150" s="145" t="n">
        <v>994020</v>
      </c>
      <c r="BR150" s="145" t="n">
        <v>1002600</v>
      </c>
      <c r="BS150" t="n">
        <v>1014094</v>
      </c>
      <c r="BT150" t="inlineStr">
        <is>
          <t>IPGP-Financial-Data-Workbook-2024-Q2.xlsx|Balance Sheet|46|93</t>
        </is>
      </c>
    </row>
    <row r="151">
      <c r="A151" s="33" t="inlineStr">
        <is>
          <t>Retained earnings</t>
        </is>
      </c>
      <c r="B151" s="145" t="n"/>
      <c r="C151" s="145" t="n"/>
      <c r="D151" s="145" t="n"/>
      <c r="E151" s="145" t="n"/>
      <c r="F151" s="145" t="n"/>
      <c r="G151" s="145" t="n"/>
      <c r="H151" s="145" t="n"/>
      <c r="I151" s="145" t="n"/>
      <c r="J151" s="145" t="n"/>
      <c r="K151" s="145" t="n"/>
      <c r="L151" s="145" t="n"/>
      <c r="M151" s="145" t="n"/>
      <c r="N151" s="145" t="n">
        <v>-45027</v>
      </c>
      <c r="O151" s="145" t="n">
        <v>-34721</v>
      </c>
      <c r="P151" s="145" t="n">
        <v>-21495</v>
      </c>
      <c r="Q151" s="145" t="n">
        <v>5567</v>
      </c>
      <c r="R151" s="145" t="n">
        <v>28635</v>
      </c>
      <c r="S151" s="145" t="n">
        <v>59371</v>
      </c>
      <c r="T151" s="145" t="n">
        <v>91753</v>
      </c>
      <c r="U151" s="145" t="n">
        <v>122833</v>
      </c>
      <c r="V151" s="145" t="n">
        <v>153241</v>
      </c>
      <c r="W151" s="145" t="n">
        <v>190983</v>
      </c>
      <c r="X151" s="145" t="n">
        <v>233418</v>
      </c>
      <c r="Y151" s="145" t="n">
        <v>234977</v>
      </c>
      <c r="Z151" s="145" t="n">
        <v>270104</v>
      </c>
      <c r="AA151" s="145" t="n">
        <v>311824</v>
      </c>
      <c r="AB151" s="145" t="n">
        <v>354162</v>
      </c>
      <c r="AC151" s="145" t="n">
        <v>390757</v>
      </c>
      <c r="AD151" s="145" t="n">
        <v>431288</v>
      </c>
      <c r="AE151" s="145" t="n">
        <v>479571</v>
      </c>
      <c r="AF151" s="145" t="n">
        <v>534771</v>
      </c>
      <c r="AG151" s="145" t="n">
        <v>591202</v>
      </c>
      <c r="AH151" s="145" t="n">
        <v>648561</v>
      </c>
      <c r="AI151" s="145" t="n">
        <v>709860</v>
      </c>
      <c r="AJ151" s="145" t="n">
        <v>772652</v>
      </c>
      <c r="AK151" s="145" t="n">
        <v>833356</v>
      </c>
      <c r="AL151" s="145" t="n">
        <v>882682</v>
      </c>
      <c r="AM151" s="145" t="n">
        <v>949741</v>
      </c>
      <c r="AN151" s="145" t="n">
        <v>1018976</v>
      </c>
      <c r="AO151" s="145" t="n">
        <v>1094108</v>
      </c>
      <c r="AP151" s="145" t="n">
        <v>1171198</v>
      </c>
      <c r="AQ151" s="145" t="n">
        <v>1275314</v>
      </c>
      <c r="AR151" s="145" t="n">
        <v>1390911</v>
      </c>
      <c r="AS151" s="145" t="n">
        <v>1443867</v>
      </c>
      <c r="AT151" s="145" t="n">
        <v>1550807</v>
      </c>
      <c r="AU151" s="145" t="n">
        <v>1672424</v>
      </c>
      <c r="AV151" s="145" t="n">
        <v>1772941</v>
      </c>
      <c r="AW151" s="145" t="n">
        <v>1848500</v>
      </c>
      <c r="AX151" s="145" t="n">
        <v>1903659</v>
      </c>
      <c r="AY151" s="145" t="n">
        <v>1975931</v>
      </c>
      <c r="AZ151" s="145" t="n">
        <v>2033184</v>
      </c>
      <c r="BA151" s="145" t="n">
        <v>2028734</v>
      </c>
      <c r="BB151" s="145" t="n">
        <v>2065022</v>
      </c>
      <c r="BC151" s="145" t="n">
        <v>2103248</v>
      </c>
      <c r="BD151" s="145" t="n">
        <v>2138852</v>
      </c>
      <c r="BE151" s="145" t="n">
        <v>2188191</v>
      </c>
      <c r="BF151" s="145" t="n">
        <v>2256318</v>
      </c>
      <c r="BG151" s="145" t="n">
        <v>2326118</v>
      </c>
      <c r="BH151" s="145" t="n">
        <v>2401520</v>
      </c>
      <c r="BI151" s="145" t="n">
        <v>2466607</v>
      </c>
      <c r="BJ151" s="145" t="n">
        <v>2536179</v>
      </c>
      <c r="BK151" s="145" t="n">
        <v>2593147</v>
      </c>
      <c r="BL151" s="145" t="n">
        <v>2669411</v>
      </c>
      <c r="BM151" s="145" t="n">
        <v>2576516</v>
      </c>
      <c r="BN151" s="145" t="n">
        <v>2636651</v>
      </c>
      <c r="BO151" s="145" t="n">
        <v>2698972</v>
      </c>
      <c r="BP151" s="145" t="n">
        <v>2753966</v>
      </c>
      <c r="BQ151" s="145" t="n">
        <v>2795394</v>
      </c>
      <c r="BR151" s="145" t="n">
        <v>2819493</v>
      </c>
      <c r="BS151" t="n">
        <v>2839647</v>
      </c>
      <c r="BT151" t="inlineStr">
        <is>
          <t>IPGP-Financial-Data-Workbook-2024-Q2.xlsx|Balance Sheet|48|93</t>
        </is>
      </c>
    </row>
    <row r="152">
      <c r="A152" s="33" t="inlineStr">
        <is>
          <t>Accumulated other comprehensive loss</t>
        </is>
      </c>
      <c r="B152" s="145" t="n"/>
      <c r="C152" s="145" t="n"/>
      <c r="D152" s="145" t="n"/>
      <c r="E152" s="145" t="n"/>
      <c r="F152" s="145" t="n"/>
      <c r="G152" s="145" t="n"/>
      <c r="H152" s="145" t="n"/>
      <c r="I152" s="145" t="n"/>
      <c r="J152" s="145" t="n"/>
      <c r="K152" s="145" t="n"/>
      <c r="L152" s="145" t="n"/>
      <c r="M152" s="145" t="n"/>
      <c r="N152" s="145" t="n">
        <v>2582</v>
      </c>
      <c r="O152" s="145" t="n">
        <v>-9740</v>
      </c>
      <c r="P152" s="145" t="n">
        <v>3712</v>
      </c>
      <c r="Q152" s="145" t="n">
        <v>810</v>
      </c>
      <c r="R152" s="145" t="n">
        <v>13890</v>
      </c>
      <c r="S152" s="145" t="n">
        <v>17000</v>
      </c>
      <c r="T152" s="145" t="n">
        <v>-2447</v>
      </c>
      <c r="U152" s="145" t="n">
        <v>-12100</v>
      </c>
      <c r="V152" s="145" t="n">
        <v>877</v>
      </c>
      <c r="W152" s="145" t="n">
        <v>-21208</v>
      </c>
      <c r="X152" s="145" t="n">
        <v>-10705</v>
      </c>
      <c r="Y152" s="145" t="n">
        <v>-3094</v>
      </c>
      <c r="Z152" s="145" t="n">
        <v>-12639</v>
      </c>
      <c r="AA152" s="145" t="n">
        <v>-16906</v>
      </c>
      <c r="AB152" s="145" t="n">
        <v>-4961</v>
      </c>
      <c r="AC152" s="145" t="n">
        <v>-1701</v>
      </c>
      <c r="AD152" s="145" t="n">
        <v>-14328</v>
      </c>
      <c r="AE152" s="145" t="n">
        <v>-7601</v>
      </c>
      <c r="AF152" s="145" t="n">
        <v>-54474</v>
      </c>
      <c r="AG152" s="145" t="n">
        <v>-112263</v>
      </c>
      <c r="AH152" s="145" t="n">
        <v>-150539</v>
      </c>
      <c r="AI152" s="145" t="n">
        <v>-139262</v>
      </c>
      <c r="AJ152" s="145" t="n">
        <v>-155802</v>
      </c>
      <c r="AK152" s="145" t="n">
        <v>-181482</v>
      </c>
      <c r="AL152" s="145" t="n">
        <v>-152987</v>
      </c>
      <c r="AM152" s="145" t="n">
        <v>-156451</v>
      </c>
      <c r="AN152" s="145" t="n">
        <v>-148430</v>
      </c>
      <c r="AO152" s="145" t="n">
        <v>-178583</v>
      </c>
      <c r="AP152" s="145" t="n">
        <v>-151626</v>
      </c>
      <c r="AQ152" s="145" t="n">
        <v>-119167</v>
      </c>
      <c r="AR152" s="145" t="n">
        <v>-89297</v>
      </c>
      <c r="AS152" s="145" t="n">
        <v>-77344</v>
      </c>
      <c r="AT152" s="145" t="n">
        <v>-50694</v>
      </c>
      <c r="AU152" s="145" t="n">
        <v>-129357</v>
      </c>
      <c r="AV152" s="145" t="n">
        <v>-144409</v>
      </c>
      <c r="AW152" s="145" t="n">
        <v>-162896</v>
      </c>
      <c r="AX152" s="145" t="n">
        <v>-157751</v>
      </c>
      <c r="AY152" s="145" t="n">
        <v>-143943</v>
      </c>
      <c r="AZ152" s="145" t="n">
        <v>-174311</v>
      </c>
      <c r="BA152" s="145" t="n">
        <v>-146919</v>
      </c>
      <c r="BB152" s="145" t="n">
        <v>-220081</v>
      </c>
      <c r="BC152" s="145" t="n">
        <v>-184501</v>
      </c>
      <c r="BD152" s="145" t="n">
        <v>-193827</v>
      </c>
      <c r="BE152" s="145" t="n">
        <v>-146065</v>
      </c>
      <c r="BF152" s="145" t="n">
        <v>-178257</v>
      </c>
      <c r="BG152" s="145" t="n">
        <v>-159407</v>
      </c>
      <c r="BH152" s="145" t="n">
        <v>-174753</v>
      </c>
      <c r="BI152" s="145" t="n">
        <v>-189951</v>
      </c>
      <c r="BJ152" s="145" t="n">
        <v>-229369</v>
      </c>
      <c r="BK152" s="145" t="n">
        <v>-134778</v>
      </c>
      <c r="BL152" s="145" t="n">
        <v>-206560</v>
      </c>
      <c r="BM152" s="145" t="n">
        <v>-204524</v>
      </c>
      <c r="BN152" s="145" t="n">
        <v>-204132</v>
      </c>
      <c r="BO152" s="145" t="n">
        <v>-219277</v>
      </c>
      <c r="BP152" s="145" t="n">
        <v>-250815</v>
      </c>
      <c r="BQ152" s="145" t="n">
        <v>-212530</v>
      </c>
      <c r="BR152" s="145" t="n">
        <v>-230258</v>
      </c>
      <c r="BS152" t="n">
        <v>-226852</v>
      </c>
      <c r="BT152" t="inlineStr">
        <is>
          <t>IPGP-Financial-Data-Workbook-2024-Q2.xlsx|Balance Sheet|49|93</t>
        </is>
      </c>
    </row>
    <row r="153">
      <c r="A153" s="74" t="inlineStr">
        <is>
          <t>Total IPG Photonics Corporation equity</t>
        </is>
      </c>
      <c r="B153" s="145" t="n"/>
      <c r="C153" s="145" t="n"/>
      <c r="D153" s="145" t="n"/>
      <c r="E153" s="145" t="n"/>
      <c r="F153" s="145" t="n"/>
      <c r="G153" s="145" t="n"/>
      <c r="H153" s="145" t="n"/>
      <c r="I153" s="145" t="n"/>
      <c r="J153" s="145" t="n"/>
      <c r="K153" s="145" t="n"/>
      <c r="L153" s="145" t="n"/>
      <c r="M153" s="145" t="n"/>
      <c r="N153" s="145" t="n">
        <v>252284</v>
      </c>
      <c r="O153" s="145" t="n">
        <v>252116</v>
      </c>
      <c r="P153" s="145" t="n">
        <v>285156</v>
      </c>
      <c r="Q153" s="145" t="n">
        <v>316600</v>
      </c>
      <c r="R153" s="145" t="n">
        <v>360239</v>
      </c>
      <c r="S153" s="145" t="n">
        <v>402159</v>
      </c>
      <c r="T153" s="145" t="n">
        <v>418727</v>
      </c>
      <c r="U153" s="145" t="n">
        <v>443323</v>
      </c>
      <c r="V153" s="145" t="n">
        <v>658366</v>
      </c>
      <c r="W153" s="145" t="n">
        <v>669731</v>
      </c>
      <c r="X153" s="145" t="n">
        <v>729572</v>
      </c>
      <c r="Y153" s="145" t="n">
        <v>742927</v>
      </c>
      <c r="Z153" s="145" t="n">
        <v>773225</v>
      </c>
      <c r="AA153" s="145" t="n">
        <v>815967</v>
      </c>
      <c r="AB153" s="145" t="n">
        <v>875687</v>
      </c>
      <c r="AC153" s="145" t="n">
        <v>927969</v>
      </c>
      <c r="AD153" s="145" t="n">
        <v>961316</v>
      </c>
      <c r="AE153" s="145" t="n">
        <v>1023860</v>
      </c>
      <c r="AF153" s="145" t="n">
        <v>1036703</v>
      </c>
      <c r="AG153" s="145" t="n">
        <v>1046561</v>
      </c>
      <c r="AH153" s="145" t="n">
        <v>1078953</v>
      </c>
      <c r="AI153" s="145" t="n">
        <v>1162321</v>
      </c>
      <c r="AJ153" s="145" t="n">
        <v>1214658</v>
      </c>
      <c r="AK153" s="145" t="n">
        <v>1259528</v>
      </c>
      <c r="AL153" s="145" t="n">
        <v>1345856</v>
      </c>
      <c r="AM153" s="145" t="n">
        <v>1422989</v>
      </c>
      <c r="AN153" s="145" t="n">
        <v>1502846</v>
      </c>
      <c r="AO153" s="145" t="n">
        <v>1557558</v>
      </c>
      <c r="AP153" s="145" t="n">
        <v>1666095</v>
      </c>
      <c r="AQ153" s="145" t="n">
        <v>1804357</v>
      </c>
      <c r="AR153" s="145" t="n">
        <v>1959099</v>
      </c>
      <c r="AS153" s="145" t="n">
        <v>2022322</v>
      </c>
      <c r="AT153" s="145" t="n">
        <v>2145369</v>
      </c>
      <c r="AU153" s="145" t="n">
        <v>2172157</v>
      </c>
      <c r="AV153" s="145" t="n">
        <v>2205963</v>
      </c>
      <c r="AW153" s="145" t="n">
        <v>2205548</v>
      </c>
      <c r="AX153" s="145" t="n">
        <v>2267841</v>
      </c>
      <c r="AY153" s="145" t="n">
        <v>2366647</v>
      </c>
      <c r="AZ153" s="145" t="n">
        <v>2380111</v>
      </c>
      <c r="BA153" s="145" t="n">
        <v>2401726</v>
      </c>
      <c r="BB153" s="145" t="n">
        <v>2355069</v>
      </c>
      <c r="BC153" s="145" t="n">
        <v>2436352</v>
      </c>
      <c r="BD153" s="145" t="n">
        <v>2470213</v>
      </c>
      <c r="BE153" s="145" t="n">
        <v>2592819</v>
      </c>
      <c r="BF153" s="145" t="n">
        <v>2639502</v>
      </c>
      <c r="BG153" s="145" t="n">
        <v>2704918</v>
      </c>
      <c r="BH153" s="145" t="n">
        <v>2739352</v>
      </c>
      <c r="BI153" s="145" t="n">
        <v>2746582</v>
      </c>
      <c r="BJ153" s="145" t="n">
        <v>2707249</v>
      </c>
      <c r="BK153" s="145" t="n">
        <v>2639216</v>
      </c>
      <c r="BL153" s="145" t="n">
        <v>2580509</v>
      </c>
      <c r="BM153" s="145" t="n">
        <v>2385360</v>
      </c>
      <c r="BN153" s="145" t="n">
        <v>2338525</v>
      </c>
      <c r="BO153" s="145" t="n">
        <v>2398550</v>
      </c>
      <c r="BP153" s="145" t="n">
        <v>2383951</v>
      </c>
      <c r="BQ153" s="145" t="n">
        <v>2415385</v>
      </c>
      <c r="BR153" s="145" t="n">
        <v>2340720</v>
      </c>
      <c r="BS153" t="n">
        <v>2253370</v>
      </c>
      <c r="BT153" t="inlineStr">
        <is>
          <t>IPGP-Financial-Data-Workbook-2024-Q2.xlsx|Balance Sheet|50|93</t>
        </is>
      </c>
    </row>
    <row r="154">
      <c r="A154" s="74" t="inlineStr">
        <is>
          <t>Noncontrolling interests</t>
        </is>
      </c>
      <c r="B154" s="145" t="n"/>
      <c r="C154" s="145" t="n"/>
      <c r="D154" s="145" t="n"/>
      <c r="E154" s="145" t="n"/>
      <c r="F154" s="145" t="n"/>
      <c r="G154" s="145" t="n"/>
      <c r="H154" s="145" t="n"/>
      <c r="I154" s="145" t="n"/>
      <c r="J154" s="145" t="n"/>
      <c r="K154" s="145" t="n"/>
      <c r="L154" s="145" t="n"/>
      <c r="M154" s="145" t="n"/>
      <c r="N154" s="145" t="n">
        <v>168</v>
      </c>
      <c r="O154" s="145" t="n">
        <v>207</v>
      </c>
      <c r="P154" s="145" t="n">
        <v>296</v>
      </c>
      <c r="Q154" s="145" t="n">
        <v>203</v>
      </c>
      <c r="R154" s="145" t="n">
        <v>210</v>
      </c>
      <c r="S154" s="145" t="n">
        <v>245</v>
      </c>
      <c r="T154" s="145" t="n">
        <v>236</v>
      </c>
      <c r="U154" s="145">
        <f>287+46123</f>
        <v/>
      </c>
      <c r="V154" s="145" t="n">
        <v>48387</v>
      </c>
      <c r="W154" s="145" t="n">
        <v>0</v>
      </c>
      <c r="X154" s="145" t="n">
        <v>0</v>
      </c>
      <c r="Y154" s="145" t="n">
        <v>0</v>
      </c>
      <c r="Z154" s="145" t="n">
        <v>0</v>
      </c>
      <c r="AA154" s="145" t="n">
        <v>0</v>
      </c>
      <c r="AB154" s="145" t="n">
        <v>0</v>
      </c>
      <c r="AC154" s="145" t="n">
        <v>0</v>
      </c>
      <c r="AD154" s="145" t="n">
        <v>0</v>
      </c>
      <c r="AE154" s="145" t="n">
        <v>0</v>
      </c>
      <c r="AF154" s="145" t="n">
        <v>0</v>
      </c>
      <c r="AG154" s="145" t="n">
        <v>0</v>
      </c>
      <c r="AH154" s="145" t="n">
        <v>1566</v>
      </c>
      <c r="AI154" s="145" t="n">
        <v>1434</v>
      </c>
      <c r="AJ154" s="145" t="n">
        <v>1228</v>
      </c>
      <c r="AK154" s="145" t="n">
        <v>1137</v>
      </c>
      <c r="AL154" s="145" t="n">
        <v>1142</v>
      </c>
      <c r="AM154" s="145" t="n">
        <v>174</v>
      </c>
      <c r="AN154" s="145" t="n">
        <v>170</v>
      </c>
      <c r="AO154" s="145" t="n">
        <v>166</v>
      </c>
      <c r="AP154" s="145" t="n">
        <v>177</v>
      </c>
      <c r="AQ154" s="145" t="n">
        <v>0</v>
      </c>
      <c r="AR154" s="145" t="n">
        <v>0</v>
      </c>
      <c r="AS154" s="145" t="n">
        <v>0</v>
      </c>
      <c r="AT154" s="145" t="n">
        <v>0</v>
      </c>
      <c r="AU154" s="145" t="n">
        <v>0</v>
      </c>
      <c r="AV154" s="145" t="n">
        <v>845</v>
      </c>
      <c r="AW154" s="145" t="n">
        <v>686</v>
      </c>
      <c r="AX154" s="145" t="n">
        <v>447</v>
      </c>
      <c r="AY154" s="145" t="n">
        <v>714</v>
      </c>
      <c r="AZ154" s="145" t="n">
        <v>549</v>
      </c>
      <c r="BA154" s="145" t="n">
        <v>717</v>
      </c>
      <c r="BB154" s="145" t="n">
        <v>861</v>
      </c>
      <c r="BC154" s="145" t="n">
        <v>954</v>
      </c>
      <c r="BD154" s="145" t="n">
        <v>861</v>
      </c>
      <c r="BE154" s="145" t="n">
        <v>1292</v>
      </c>
      <c r="BF154" s="145" t="n">
        <v>1168</v>
      </c>
      <c r="BG154" s="145" t="n">
        <v>1362</v>
      </c>
      <c r="BH154" s="145" t="n">
        <v>493</v>
      </c>
      <c r="BI154" s="145" t="n">
        <v>639</v>
      </c>
      <c r="BJ154" s="145" t="n">
        <v>1000</v>
      </c>
      <c r="BK154" s="145" t="n">
        <v>1135</v>
      </c>
      <c r="BL154" s="145" t="n">
        <v>0</v>
      </c>
      <c r="BM154" s="145" t="n">
        <v>0</v>
      </c>
      <c r="BN154" s="145" t="n">
        <v>0</v>
      </c>
      <c r="BO154" s="145" t="n">
        <v>0</v>
      </c>
      <c r="BP154" s="145" t="n"/>
      <c r="BQ154" s="145" t="n"/>
      <c r="BR154" s="145" t="n"/>
      <c r="BS154" t="n">
        <v>0</v>
      </c>
      <c r="BT154" t="inlineStr">
        <is>
          <t>IPGP-Financial-Data-Workbook-2024-Q2.xlsx|Balance Sheet|52|93</t>
        </is>
      </c>
    </row>
    <row r="155">
      <c r="A155" s="22" t="inlineStr">
        <is>
          <t>Total equity</t>
        </is>
      </c>
      <c r="B155" s="133" t="n"/>
      <c r="C155" s="133" t="n"/>
      <c r="D155" s="133" t="n"/>
      <c r="E155" s="133" t="n"/>
      <c r="F155" s="133" t="n"/>
      <c r="G155" s="133" t="n"/>
      <c r="H155" s="133" t="n"/>
      <c r="I155" s="133" t="n"/>
      <c r="J155" s="133" t="n"/>
      <c r="K155" s="133" t="n"/>
      <c r="L155" s="133" t="n"/>
      <c r="M155" s="133" t="n"/>
      <c r="N155" s="133" t="n">
        <v>252452</v>
      </c>
      <c r="O155" s="133" t="n">
        <v>252323</v>
      </c>
      <c r="P155" s="133" t="n">
        <v>285452</v>
      </c>
      <c r="Q155" s="133" t="n">
        <v>316803</v>
      </c>
      <c r="R155" s="133" t="n">
        <v>360449</v>
      </c>
      <c r="S155" s="133" t="n">
        <v>402404</v>
      </c>
      <c r="T155" s="133" t="n">
        <v>418963</v>
      </c>
      <c r="U155" s="133">
        <f>443610+46123</f>
        <v/>
      </c>
      <c r="V155" s="133">
        <f>658366+48387</f>
        <v/>
      </c>
      <c r="W155" s="133" t="n">
        <v>669731</v>
      </c>
      <c r="X155" s="133" t="n">
        <v>729572</v>
      </c>
      <c r="Y155" s="147">
        <f>Y153+Y154</f>
        <v/>
      </c>
      <c r="Z155" s="147">
        <f>Z153+Z154</f>
        <v/>
      </c>
      <c r="AA155" s="147">
        <f>AA153+AA154</f>
        <v/>
      </c>
      <c r="AB155" s="147">
        <f>AB153+AB154</f>
        <v/>
      </c>
      <c r="AC155" s="147">
        <f>AC153+AC154</f>
        <v/>
      </c>
      <c r="AD155" s="147">
        <f>AD153+AD154</f>
        <v/>
      </c>
      <c r="AE155" s="147">
        <f>AE153+AE154</f>
        <v/>
      </c>
      <c r="AF155" s="147">
        <f>AF153+AF154</f>
        <v/>
      </c>
      <c r="AG155" s="133" t="n">
        <v>1046561</v>
      </c>
      <c r="AH155" s="133" t="n">
        <v>1080519</v>
      </c>
      <c r="AI155" s="133" t="n">
        <v>1163755</v>
      </c>
      <c r="AJ155" s="133" t="n">
        <v>1215886</v>
      </c>
      <c r="AK155" s="133" t="n">
        <v>1260665</v>
      </c>
      <c r="AL155" s="133" t="n">
        <v>1346998</v>
      </c>
      <c r="AM155" s="133" t="n">
        <v>1423163</v>
      </c>
      <c r="AN155" s="133" t="n">
        <v>1503016</v>
      </c>
      <c r="AO155" s="133" t="n">
        <v>1557724</v>
      </c>
      <c r="AP155" s="133" t="n">
        <v>1666272</v>
      </c>
      <c r="AQ155" s="133" t="n">
        <v>1804357</v>
      </c>
      <c r="AR155" s="133" t="n">
        <v>1959099</v>
      </c>
      <c r="AS155" s="133" t="n">
        <v>2022322</v>
      </c>
      <c r="AT155" s="133" t="n">
        <v>2145369</v>
      </c>
      <c r="AU155" s="133" t="n">
        <v>2172157</v>
      </c>
      <c r="AV155" s="133" t="n">
        <v>2206808</v>
      </c>
      <c r="AW155" s="133" t="n">
        <v>2206234</v>
      </c>
      <c r="AX155" s="133" t="n">
        <v>2268288</v>
      </c>
      <c r="AY155" s="133" t="n">
        <v>2367361</v>
      </c>
      <c r="AZ155" s="133" t="n">
        <v>2380660</v>
      </c>
      <c r="BA155" s="133" t="n">
        <v>2402443</v>
      </c>
      <c r="BB155" s="133" t="n">
        <v>2355930</v>
      </c>
      <c r="BC155" s="133" t="n">
        <v>2437306</v>
      </c>
      <c r="BD155" s="133" t="n">
        <v>2471074</v>
      </c>
      <c r="BE155" s="133" t="n">
        <v>2594111</v>
      </c>
      <c r="BF155" s="133" t="n">
        <v>2640670</v>
      </c>
      <c r="BG155" s="133" t="n">
        <v>2706280</v>
      </c>
      <c r="BH155" s="133" t="n">
        <v>2739845</v>
      </c>
      <c r="BI155" s="133" t="n">
        <v>2747221</v>
      </c>
      <c r="BJ155" s="133" t="n">
        <v>2708249</v>
      </c>
      <c r="BK155" s="133" t="n">
        <v>2640351</v>
      </c>
      <c r="BL155" s="133" t="n">
        <v>2580509</v>
      </c>
      <c r="BM155" s="133" t="n">
        <v>2385360</v>
      </c>
      <c r="BN155" s="133" t="n">
        <v>2338525</v>
      </c>
      <c r="BO155" s="133" t="n">
        <v>2398550</v>
      </c>
      <c r="BP155" s="133" t="n">
        <v>2383951</v>
      </c>
      <c r="BQ155" s="133" t="n">
        <v>2415385</v>
      </c>
      <c r="BR155" s="133" t="n">
        <v>2340720</v>
      </c>
      <c r="BS155" t="n">
        <v>2253370</v>
      </c>
      <c r="BT155" t="inlineStr">
        <is>
          <t>IPGP-Financial-Data-Workbook-2024-Q2.xlsx|Balance Sheet|53|93</t>
        </is>
      </c>
    </row>
    <row r="156">
      <c r="A156" s="22" t="inlineStr">
        <is>
          <t>Total equity and liabillities</t>
        </is>
      </c>
      <c r="B156" s="133" t="n"/>
      <c r="C156" s="133" t="n"/>
      <c r="D156" s="133" t="n"/>
      <c r="E156" s="133" t="n"/>
      <c r="F156" s="133" t="n"/>
      <c r="G156" s="133" t="n"/>
      <c r="H156" s="133" t="n"/>
      <c r="I156" s="133" t="n"/>
      <c r="J156" s="133" t="n"/>
      <c r="K156" s="133" t="n"/>
      <c r="L156" s="133" t="n"/>
      <c r="M156" s="133" t="n"/>
      <c r="N156" s="133" t="n">
        <v>315207</v>
      </c>
      <c r="O156" s="133" t="n">
        <v>333724</v>
      </c>
      <c r="P156" s="133" t="n">
        <v>373976</v>
      </c>
      <c r="Q156" s="133" t="n">
        <v>441855</v>
      </c>
      <c r="R156" s="133" t="n">
        <v>489567</v>
      </c>
      <c r="S156" s="133" t="n">
        <v>561381</v>
      </c>
      <c r="T156" s="133" t="n">
        <v>596324</v>
      </c>
      <c r="U156" s="133" t="n">
        <v>608132</v>
      </c>
      <c r="V156" s="133" t="n">
        <v>834905</v>
      </c>
      <c r="W156" s="133" t="n">
        <v>798014</v>
      </c>
      <c r="X156" s="133" t="n">
        <v>878385</v>
      </c>
      <c r="Y156" s="133" t="n">
        <v>895498</v>
      </c>
      <c r="Z156" s="133" t="n">
        <v>892258</v>
      </c>
      <c r="AA156" s="133" t="n">
        <v>939255</v>
      </c>
      <c r="AB156" s="133" t="n">
        <v>1009796</v>
      </c>
      <c r="AC156" s="133" t="n">
        <v>1061216</v>
      </c>
      <c r="AD156" s="133" t="n">
        <v>1097013</v>
      </c>
      <c r="AE156" s="133" t="n">
        <v>1158386</v>
      </c>
      <c r="AF156" s="133" t="n">
        <v>1185388</v>
      </c>
      <c r="AG156" s="133" t="n">
        <v>1210887</v>
      </c>
      <c r="AH156" s="133" t="n">
        <v>1249260</v>
      </c>
      <c r="AI156" s="133" t="n">
        <v>1334541</v>
      </c>
      <c r="AJ156" s="133" t="n">
        <v>1408206</v>
      </c>
      <c r="AK156" s="133" t="n">
        <v>1453429</v>
      </c>
      <c r="AL156" s="133" t="n">
        <v>1550100</v>
      </c>
      <c r="AM156" s="133" t="n">
        <v>1629307</v>
      </c>
      <c r="AN156" s="133" t="n">
        <v>1727298</v>
      </c>
      <c r="AO156" s="133" t="n">
        <v>1789999</v>
      </c>
      <c r="AP156" s="133" t="n">
        <v>1902573</v>
      </c>
      <c r="AQ156" s="133" t="n">
        <v>2030542</v>
      </c>
      <c r="AR156" s="133" t="n">
        <v>2246065</v>
      </c>
      <c r="AS156" s="133" t="n">
        <v>2367255</v>
      </c>
      <c r="AT156" s="133" t="n">
        <v>2498007</v>
      </c>
      <c r="AU156" s="133" t="n">
        <v>2530478</v>
      </c>
      <c r="AV156" s="133" t="n">
        <v>2562099</v>
      </c>
      <c r="AW156" s="133" t="n">
        <v>2574450</v>
      </c>
      <c r="AX156" s="133" t="n">
        <v>2625871</v>
      </c>
      <c r="AY156" s="133" t="n">
        <v>2737416</v>
      </c>
      <c r="AZ156" s="133" t="n">
        <v>2730904</v>
      </c>
      <c r="BA156" s="133" t="n">
        <v>2730436</v>
      </c>
      <c r="BB156" s="133" t="n">
        <v>2680134</v>
      </c>
      <c r="BC156" s="133" t="n">
        <v>2758736</v>
      </c>
      <c r="BD156" s="133" t="n">
        <v>2794932</v>
      </c>
      <c r="BE156" s="133" t="n">
        <v>2935700</v>
      </c>
      <c r="BF156" s="133" t="n">
        <v>2982951</v>
      </c>
      <c r="BG156" s="133" t="n">
        <v>3086512</v>
      </c>
      <c r="BH156" s="133" t="n">
        <v>3143910</v>
      </c>
      <c r="BI156" s="133" t="n">
        <v>3170540</v>
      </c>
      <c r="BJ156" s="133" t="n">
        <v>3098469</v>
      </c>
      <c r="BK156" s="133" t="n">
        <v>3048769</v>
      </c>
      <c r="BL156" s="133" t="n">
        <v>2962520</v>
      </c>
      <c r="BM156" s="133" t="n">
        <v>2743280</v>
      </c>
      <c r="BN156" s="133" t="n">
        <v>2671156</v>
      </c>
      <c r="BO156" s="133" t="n">
        <v>2696417</v>
      </c>
      <c r="BP156" s="133" t="n">
        <v>2672864</v>
      </c>
      <c r="BQ156" s="133" t="n">
        <v>2698898</v>
      </c>
      <c r="BR156" s="133" t="n">
        <v>2598436</v>
      </c>
      <c r="BS156" t="n">
        <v>2495431</v>
      </c>
      <c r="BT156" t="inlineStr">
        <is>
          <t>IPGP-Financial-Data-Workbook-2024-Q2.xlsx|Balance Sheet|54|93</t>
        </is>
      </c>
    </row>
    <row r="157">
      <c r="A157" s="22" t="n"/>
      <c r="B157" s="145" t="n"/>
      <c r="C157" s="145" t="n"/>
      <c r="D157" s="145" t="n"/>
      <c r="E157" s="145" t="n"/>
      <c r="F157" s="145" t="n"/>
      <c r="G157" s="145" t="n"/>
      <c r="H157" s="145" t="n"/>
      <c r="I157" s="145" t="n"/>
      <c r="J157" s="145" t="n"/>
      <c r="K157" s="145" t="n"/>
      <c r="L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c r="AG157" s="145" t="n"/>
      <c r="AH157" s="145" t="n"/>
      <c r="AI157" s="145" t="n"/>
      <c r="AJ157" s="145" t="n"/>
      <c r="AK157" s="145" t="n"/>
      <c r="AL157" s="145" t="n"/>
      <c r="AM157" s="145" t="n"/>
      <c r="AN157" s="145" t="n"/>
      <c r="AO157" s="145" t="n"/>
      <c r="AP157" s="145" t="n"/>
      <c r="AQ157" s="145" t="n"/>
      <c r="AR157" s="145" t="n"/>
      <c r="AS157" s="145" t="n"/>
    </row>
    <row r="158">
      <c r="A158" s="455" t="inlineStr">
        <is>
          <t>Check</t>
        </is>
      </c>
      <c r="B158" s="400">
        <f>SUM(B123:B129)-B130</f>
        <v/>
      </c>
      <c r="C158" s="400">
        <f>SUM(C123:C129)-C130</f>
        <v/>
      </c>
      <c r="D158" s="400">
        <f>SUM(D123:D129)-D130</f>
        <v/>
      </c>
      <c r="E158" s="400">
        <f>SUM(E123:E129)-E130</f>
        <v/>
      </c>
      <c r="F158" s="400">
        <f>SUM(F123:F129)-F130</f>
        <v/>
      </c>
      <c r="G158" s="400">
        <f>SUM(G123:G129)-G130</f>
        <v/>
      </c>
      <c r="H158" s="400">
        <f>SUM(H123:H129)-H130</f>
        <v/>
      </c>
      <c r="I158" s="400">
        <f>SUM(I123:I129)-I130</f>
        <v/>
      </c>
      <c r="J158" s="400">
        <f>SUM(J123:J129)-J130</f>
        <v/>
      </c>
      <c r="K158" s="400">
        <f>SUM(K123:K129)-K130</f>
        <v/>
      </c>
      <c r="L158" s="400">
        <f>SUM(L123:L129)-L130</f>
        <v/>
      </c>
      <c r="M158" s="400">
        <f>SUM(M123:M129)-M130</f>
        <v/>
      </c>
      <c r="N158" s="400">
        <f>SUM(N123:N129)-N130</f>
        <v/>
      </c>
      <c r="O158" s="400">
        <f>SUM(O123:O129)-O130</f>
        <v/>
      </c>
      <c r="P158" s="400">
        <f>SUM(P123:P129)-P130</f>
        <v/>
      </c>
      <c r="Q158" s="400">
        <f>SUM(Q123:Q129)-Q130</f>
        <v/>
      </c>
      <c r="R158" s="400">
        <f>SUM(R123:R129)-R130</f>
        <v/>
      </c>
      <c r="S158" s="400">
        <f>SUM(S123:S129)-S130</f>
        <v/>
      </c>
      <c r="T158" s="400">
        <f>SUM(T123:T129)-T130</f>
        <v/>
      </c>
      <c r="U158" s="400">
        <f>SUM(U123:U129)-U130</f>
        <v/>
      </c>
      <c r="V158" s="400">
        <f>SUM(V123:V129)-V130</f>
        <v/>
      </c>
      <c r="W158" s="400">
        <f>SUM(W123:W129)-W130</f>
        <v/>
      </c>
      <c r="X158" s="400">
        <f>SUM(X123:X129)-X130</f>
        <v/>
      </c>
      <c r="Y158" s="400">
        <f>SUM(Y123:Y129)-Y130</f>
        <v/>
      </c>
      <c r="Z158" s="400">
        <f>SUM(Z123:Z129)-Z130</f>
        <v/>
      </c>
      <c r="AA158" s="400">
        <f>SUM(AA123:AA129)-AA130</f>
        <v/>
      </c>
      <c r="AB158" s="400">
        <f>SUM(AB123:AB129)-AB130</f>
        <v/>
      </c>
      <c r="AC158" s="400">
        <f>SUM(AC123:AC129)-AC130</f>
        <v/>
      </c>
      <c r="AD158" s="400">
        <f>SUM(AD123:AD129)-AD130</f>
        <v/>
      </c>
      <c r="AE158" s="400">
        <f>SUM(AE123:AE129)-AE130</f>
        <v/>
      </c>
      <c r="AF158" s="400">
        <f>SUM(AF123:AF129)-AF130</f>
        <v/>
      </c>
      <c r="AG158" s="400">
        <f>SUM(AG123:AG129)-AG130</f>
        <v/>
      </c>
      <c r="AH158" s="400">
        <f>SUM(AH123:AH129)-AH130</f>
        <v/>
      </c>
      <c r="AI158" s="400">
        <f>SUM(AI123:AI129)-AI130</f>
        <v/>
      </c>
      <c r="AJ158" s="400">
        <f>SUM(AJ123:AJ129)-AJ130</f>
        <v/>
      </c>
      <c r="AK158" s="400">
        <f>SUM(AK123:AK129)-AK130</f>
        <v/>
      </c>
      <c r="AL158" s="400">
        <f>SUM(AL123:AL129)-AL130</f>
        <v/>
      </c>
      <c r="AM158" s="400">
        <f>SUM(AM123:AM129)-AM130</f>
        <v/>
      </c>
      <c r="AN158" s="400">
        <f>SUM(AN123:AN129)-AN130</f>
        <v/>
      </c>
      <c r="AO158" s="400">
        <f>SUM(AO123:AO129)-AO130</f>
        <v/>
      </c>
      <c r="AP158" s="400">
        <f>SUM(AP123:AP129)-AP130</f>
        <v/>
      </c>
      <c r="AQ158" s="400">
        <f>SUM(AQ123:AQ129)-AQ130</f>
        <v/>
      </c>
      <c r="AR158" s="400">
        <f>SUM(AR123:AR129)-AR130</f>
        <v/>
      </c>
      <c r="AS158" s="400">
        <f>SUM(AS123:AS129)-AS130</f>
        <v/>
      </c>
      <c r="AT158" s="400">
        <f>SUM(AT123:AT129)-AT130</f>
        <v/>
      </c>
      <c r="AU158" s="400">
        <f>SUM(AU123:AU129)-AU130</f>
        <v/>
      </c>
      <c r="AV158" s="400">
        <f>SUM(AV123:AV129)-AV130</f>
        <v/>
      </c>
      <c r="AW158" s="400">
        <f>SUM(AW123:AW129)-AW130</f>
        <v/>
      </c>
      <c r="AX158" s="400">
        <f>SUM(AX123:AX129)-AX130</f>
        <v/>
      </c>
      <c r="AY158" s="400">
        <f>SUM(AY123:AY129)-AY130</f>
        <v/>
      </c>
      <c r="AZ158" s="400">
        <f>SUM(AZ123:AZ129)-AZ130</f>
        <v/>
      </c>
      <c r="BA158" s="400">
        <f>SUM(BA123:BA129)-BA130</f>
        <v/>
      </c>
      <c r="BB158" s="400">
        <f>SUM(BB123:BB129)-BB130</f>
        <v/>
      </c>
      <c r="BC158" s="400">
        <f>SUM(BC123:BC129)-BC130</f>
        <v/>
      </c>
      <c r="BD158" s="400">
        <f>SUM(BD123:BD129)-BD130</f>
        <v/>
      </c>
      <c r="BE158" s="400">
        <f>SUM(BE123:BE129)-BE130</f>
        <v/>
      </c>
      <c r="BF158" s="400">
        <f>SUM(BF123:BF129)-BF130</f>
        <v/>
      </c>
      <c r="BG158" s="400">
        <f>SUM(BG123:BG129)-BG130</f>
        <v/>
      </c>
      <c r="BH158" s="400">
        <f>SUM(BH123:BH129)-BH130</f>
        <v/>
      </c>
      <c r="BI158" s="400">
        <f>SUM(BI123:BI129)-BI130</f>
        <v/>
      </c>
      <c r="BJ158" s="400">
        <f>SUM(BJ123:BJ129)-BJ130</f>
        <v/>
      </c>
      <c r="BK158" s="400">
        <f>SUM(BK123:BK129)-BK130</f>
        <v/>
      </c>
      <c r="BL158" s="400">
        <f>SUM(BL123:BL129)-BL130</f>
        <v/>
      </c>
      <c r="BM158" s="400">
        <f>SUM(BM123:BM129)-BM130</f>
        <v/>
      </c>
      <c r="BN158" s="400">
        <f>SUM(BN123:BN129)-BN130</f>
        <v/>
      </c>
      <c r="BO158" s="400">
        <f>SUM(BO123:BO129)-BO130</f>
        <v/>
      </c>
      <c r="BP158" s="400">
        <f>SUM(BP123:BP129)-BP130</f>
        <v/>
      </c>
      <c r="BQ158" s="400">
        <f>SUM(BQ123:BQ129)-BQ130</f>
        <v/>
      </c>
      <c r="BR158" s="400">
        <f>SUM(BR123:BR129)-BR130</f>
        <v/>
      </c>
      <c r="BS158" t="n">
        <v>0</v>
      </c>
      <c r="BT158" t="inlineStr">
        <is>
          <t>IPGP-Financial-Data-Workbook-2024-Q2.xlsx|Balance Sheet|41|93</t>
        </is>
      </c>
    </row>
    <row r="159">
      <c r="A159" s="455">
        <f>A158</f>
        <v/>
      </c>
      <c r="B159" s="400">
        <f>SUM(B130:B135)-B136</f>
        <v/>
      </c>
      <c r="C159" s="400">
        <f>SUM(C130:C135)-C136</f>
        <v/>
      </c>
      <c r="D159" s="400">
        <f>SUM(D130:D135)-D136</f>
        <v/>
      </c>
      <c r="E159" s="400">
        <f>SUM(E130:E135)-E136</f>
        <v/>
      </c>
      <c r="F159" s="400">
        <f>SUM(F130:F135)-F136</f>
        <v/>
      </c>
      <c r="G159" s="400">
        <f>SUM(G130:G135)-G136</f>
        <v/>
      </c>
      <c r="H159" s="400">
        <f>SUM(H130:H135)-H136</f>
        <v/>
      </c>
      <c r="I159" s="400">
        <f>SUM(I130:I135)-I136</f>
        <v/>
      </c>
      <c r="J159" s="400">
        <f>SUM(J130:J135)-J136</f>
        <v/>
      </c>
      <c r="K159" s="400">
        <f>SUM(K130:K135)-K136</f>
        <v/>
      </c>
      <c r="L159" s="400">
        <f>SUM(L130:L135)-L136</f>
        <v/>
      </c>
      <c r="M159" s="400">
        <f>SUM(M130:M135)-M136</f>
        <v/>
      </c>
      <c r="N159" s="400">
        <f>SUM(N130:N135)-N136</f>
        <v/>
      </c>
      <c r="O159" s="400">
        <f>SUM(O130:O135)-O136</f>
        <v/>
      </c>
      <c r="P159" s="400">
        <f>SUM(P130:P135)-P136</f>
        <v/>
      </c>
      <c r="Q159" s="400">
        <f>SUM(Q130:Q135)-Q136</f>
        <v/>
      </c>
      <c r="R159" s="400">
        <f>SUM(R130:R135)-R136</f>
        <v/>
      </c>
      <c r="S159" s="400">
        <f>SUM(S130:S135)-S136</f>
        <v/>
      </c>
      <c r="T159" s="400">
        <f>SUM(T130:T135)-T136</f>
        <v/>
      </c>
      <c r="U159" s="400">
        <f>SUM(U130:U135)-U136</f>
        <v/>
      </c>
      <c r="V159" s="400">
        <f>SUM(V130:V135)-V136</f>
        <v/>
      </c>
      <c r="W159" s="400">
        <f>SUM(W130:W135)-W136</f>
        <v/>
      </c>
      <c r="X159" s="400">
        <f>SUM(X130:X135)-X136</f>
        <v/>
      </c>
      <c r="Y159" s="400">
        <f>SUM(Y130:Y135)-Y136</f>
        <v/>
      </c>
      <c r="Z159" s="400">
        <f>SUM(Z130:Z135)-Z136</f>
        <v/>
      </c>
      <c r="AA159" s="400">
        <f>SUM(AA130:AA135)-AA136</f>
        <v/>
      </c>
      <c r="AB159" s="400">
        <f>SUM(AB130:AB135)-AB136</f>
        <v/>
      </c>
      <c r="AC159" s="400">
        <f>SUM(AC130:AC135)-AC136</f>
        <v/>
      </c>
      <c r="AD159" s="400">
        <f>SUM(AD130:AD135)-AD136</f>
        <v/>
      </c>
      <c r="AE159" s="400">
        <f>SUM(AE130:AE135)-AE136</f>
        <v/>
      </c>
      <c r="AF159" s="400">
        <f>SUM(AF130:AF135)-AF136</f>
        <v/>
      </c>
      <c r="AG159" s="400">
        <f>SUM(AG130:AG135)-AG136</f>
        <v/>
      </c>
      <c r="AH159" s="400">
        <f>SUM(AH130:AH135)-AH136</f>
        <v/>
      </c>
      <c r="AI159" s="400">
        <f>SUM(AI130:AI135)-AI136</f>
        <v/>
      </c>
      <c r="AJ159" s="400">
        <f>SUM(AJ130:AJ135)-AJ136</f>
        <v/>
      </c>
      <c r="AK159" s="400">
        <f>SUM(AK130:AK135)-AK136</f>
        <v/>
      </c>
      <c r="AL159" s="400">
        <f>SUM(AL130:AL135)-AL136</f>
        <v/>
      </c>
      <c r="AM159" s="400">
        <f>SUM(AM130:AM135)-AM136</f>
        <v/>
      </c>
      <c r="AN159" s="400">
        <f>SUM(AN130:AN135)-AN136</f>
        <v/>
      </c>
      <c r="AO159" s="400">
        <f>SUM(AO130:AO135)-AO136</f>
        <v/>
      </c>
      <c r="AP159" s="400">
        <f>SUM(AP130:AP135)-AP136</f>
        <v/>
      </c>
      <c r="AQ159" s="400">
        <f>SUM(AQ130:AQ135)-AQ136</f>
        <v/>
      </c>
      <c r="AR159" s="400">
        <f>SUM(AR130:AR135)-AR136</f>
        <v/>
      </c>
      <c r="AS159" s="400">
        <f>SUM(AS130:AS135)-AS136</f>
        <v/>
      </c>
      <c r="AT159" s="400">
        <f>SUM(AT130:AT135)-AT136</f>
        <v/>
      </c>
      <c r="AU159" s="400">
        <f>SUM(AU130:AU135)-AU136</f>
        <v/>
      </c>
      <c r="AV159" s="400">
        <f>SUM(AV130:AV135)-AV136</f>
        <v/>
      </c>
      <c r="AW159" s="400">
        <f>SUM(AW130:AW135)-AW136</f>
        <v/>
      </c>
      <c r="AX159" s="400">
        <f>SUM(AX130:AX135)-AX136</f>
        <v/>
      </c>
      <c r="AY159" s="400">
        <f>SUM(AY130:AY135)-AY136</f>
        <v/>
      </c>
      <c r="AZ159" s="400">
        <f>SUM(AZ130:AZ135)-AZ136</f>
        <v/>
      </c>
      <c r="BA159" s="400">
        <f>SUM(BA130:BA135)-BA136</f>
        <v/>
      </c>
      <c r="BB159" s="400">
        <f>SUM(BB130:BB135)-BB136</f>
        <v/>
      </c>
      <c r="BC159" s="400">
        <f>SUM(BC130:BC135)-BC136</f>
        <v/>
      </c>
      <c r="BD159" s="400">
        <f>SUM(BD130:BD135)-BD136</f>
        <v/>
      </c>
      <c r="BE159" s="400">
        <f>SUM(BE130:BE135)-BE136</f>
        <v/>
      </c>
      <c r="BF159" s="400">
        <f>SUM(BF130:BF135)-BF136</f>
        <v/>
      </c>
      <c r="BG159" s="400">
        <f>SUM(BG130:BG135)-BG136</f>
        <v/>
      </c>
      <c r="BH159" s="400">
        <f>SUM(BH130:BH135)-BH136</f>
        <v/>
      </c>
      <c r="BI159" s="400">
        <f>SUM(BI130:BI135)-BI136</f>
        <v/>
      </c>
      <c r="BJ159" s="400">
        <f>SUM(BJ130:BJ135)-BJ136</f>
        <v/>
      </c>
      <c r="BK159" s="400">
        <f>SUM(BK130:BK135)-BK136</f>
        <v/>
      </c>
      <c r="BL159" s="400">
        <f>SUM(BL130:BL135)-BL136</f>
        <v/>
      </c>
      <c r="BM159" s="400">
        <f>SUM(BM130:BM135)-BM136</f>
        <v/>
      </c>
      <c r="BN159" s="400">
        <f>SUM(BN130:BN135)-BN136</f>
        <v/>
      </c>
      <c r="BO159" s="400">
        <f>SUM(BO130:BO135)-BO136</f>
        <v/>
      </c>
      <c r="BP159" s="400">
        <f>SUM(BP130:BP135)-BP136</f>
        <v/>
      </c>
      <c r="BQ159" s="400">
        <f>SUM(BQ130:BQ135)-BQ136</f>
        <v/>
      </c>
      <c r="BR159" s="400">
        <f>SUM(BR130:BR135)-BR136</f>
        <v/>
      </c>
      <c r="BS159" t="n">
        <v>0</v>
      </c>
      <c r="BT159" t="inlineStr">
        <is>
          <t>IPGP-Financial-Data-Workbook-2024-Q2.xlsx|Balance Sheet|47|93</t>
        </is>
      </c>
    </row>
    <row r="160">
      <c r="A160" s="455">
        <f>A159</f>
        <v/>
      </c>
      <c r="B160" s="400">
        <f>SUM(B138:B142)-B143</f>
        <v/>
      </c>
      <c r="C160" s="400">
        <f>SUM(C138:C142)-C143</f>
        <v/>
      </c>
      <c r="D160" s="400">
        <f>SUM(D138:D142)-D143</f>
        <v/>
      </c>
      <c r="E160" s="400">
        <f>SUM(E138:E142)-E143</f>
        <v/>
      </c>
      <c r="F160" s="400">
        <f>SUM(F138:F142)-F143</f>
        <v/>
      </c>
      <c r="G160" s="400">
        <f>SUM(G138:G142)-G143</f>
        <v/>
      </c>
      <c r="H160" s="400">
        <f>SUM(H138:H142)-H143</f>
        <v/>
      </c>
      <c r="I160" s="400">
        <f>SUM(I138:I142)-I143</f>
        <v/>
      </c>
      <c r="J160" s="400">
        <f>SUM(J138:J142)-J143</f>
        <v/>
      </c>
      <c r="K160" s="400">
        <f>SUM(K138:K142)-K143</f>
        <v/>
      </c>
      <c r="L160" s="400">
        <f>SUM(L138:L142)-L143</f>
        <v/>
      </c>
      <c r="M160" s="400">
        <f>SUM(M138:M142)-M143</f>
        <v/>
      </c>
      <c r="N160" s="400">
        <f>SUM(N138:N142)-N143</f>
        <v/>
      </c>
      <c r="O160" s="400">
        <f>SUM(O138:O142)-O143</f>
        <v/>
      </c>
      <c r="P160" s="400">
        <f>SUM(P138:P142)-P143</f>
        <v/>
      </c>
      <c r="Q160" s="400">
        <f>SUM(Q138:Q142)-Q143</f>
        <v/>
      </c>
      <c r="R160" s="400">
        <f>SUM(R138:R142)-R143</f>
        <v/>
      </c>
      <c r="S160" s="400">
        <f>SUM(S138:S142)-S143</f>
        <v/>
      </c>
      <c r="T160" s="400">
        <f>SUM(T138:T142)-T143</f>
        <v/>
      </c>
      <c r="U160" s="400">
        <f>SUM(U138:U142)-U143</f>
        <v/>
      </c>
      <c r="V160" s="400">
        <f>SUM(V138:V142)-V143</f>
        <v/>
      </c>
      <c r="W160" s="400">
        <f>SUM(W138:W142)-W143</f>
        <v/>
      </c>
      <c r="X160" s="400">
        <f>SUM(X138:X142)-X143</f>
        <v/>
      </c>
      <c r="Y160" s="400">
        <f>SUM(Y138:Y142)-Y143</f>
        <v/>
      </c>
      <c r="Z160" s="400">
        <f>SUM(Z138:Z142)-Z143</f>
        <v/>
      </c>
      <c r="AA160" s="400">
        <f>SUM(AA138:AA142)-AA143</f>
        <v/>
      </c>
      <c r="AB160" s="400">
        <f>SUM(AB138:AB142)-AB143</f>
        <v/>
      </c>
      <c r="AC160" s="400">
        <f>SUM(AC138:AC142)-AC143</f>
        <v/>
      </c>
      <c r="AD160" s="400">
        <f>SUM(AD138:AD142)-AD143</f>
        <v/>
      </c>
      <c r="AE160" s="400">
        <f>SUM(AE138:AE142)-AE143</f>
        <v/>
      </c>
      <c r="AF160" s="400">
        <f>SUM(AF138:AF142)-AF143</f>
        <v/>
      </c>
      <c r="AG160" s="400">
        <f>SUM(AG138:AG142)-AG143</f>
        <v/>
      </c>
      <c r="AH160" s="400">
        <f>SUM(AH138:AH142)-AH143</f>
        <v/>
      </c>
      <c r="AI160" s="400">
        <f>SUM(AI138:AI142)-AI143</f>
        <v/>
      </c>
      <c r="AJ160" s="400">
        <f>SUM(AJ138:AJ142)-AJ143</f>
        <v/>
      </c>
      <c r="AK160" s="400">
        <f>SUM(AK138:AK142)-AK143</f>
        <v/>
      </c>
      <c r="AL160" s="400">
        <f>SUM(AL138:AL142)-AL143</f>
        <v/>
      </c>
      <c r="AM160" s="400">
        <f>SUM(AM138:AM142)-AM143</f>
        <v/>
      </c>
      <c r="AN160" s="400">
        <f>SUM(AN138:AN142)-AN143</f>
        <v/>
      </c>
      <c r="AO160" s="400">
        <f>SUM(AO138:AO142)-AO143</f>
        <v/>
      </c>
      <c r="AP160" s="400">
        <f>SUM(AP138:AP142)-AP143</f>
        <v/>
      </c>
      <c r="AQ160" s="400">
        <f>SUM(AQ138:AQ142)-AQ143</f>
        <v/>
      </c>
      <c r="AR160" s="400">
        <f>SUM(AR138:AR142)-AR143</f>
        <v/>
      </c>
      <c r="AS160" s="400">
        <f>SUM(AS138:AS142)-AS143</f>
        <v/>
      </c>
      <c r="AT160" s="400">
        <f>SUM(AT138:AT142)-AT143</f>
        <v/>
      </c>
      <c r="AU160" s="400">
        <f>SUM(AU138:AU142)-AU143</f>
        <v/>
      </c>
      <c r="AV160" s="400">
        <f>SUM(AV138:AV142)-AV143</f>
        <v/>
      </c>
      <c r="AW160" s="400">
        <f>SUM(AW138:AW142)-AW143</f>
        <v/>
      </c>
      <c r="AX160" s="400">
        <f>SUM(AX138:AX142)-AX143</f>
        <v/>
      </c>
      <c r="AY160" s="400">
        <f>SUM(AY138:AY142)-AY143</f>
        <v/>
      </c>
      <c r="AZ160" s="400">
        <f>SUM(AZ138:AZ142)-AZ143</f>
        <v/>
      </c>
      <c r="BA160" s="400">
        <f>SUM(BA138:BA142)-BA143</f>
        <v/>
      </c>
      <c r="BB160" s="400">
        <f>SUM(BB138:BB142)-BB143</f>
        <v/>
      </c>
      <c r="BC160" s="400">
        <f>SUM(BC138:BC142)-BC143</f>
        <v/>
      </c>
      <c r="BD160" s="400">
        <f>SUM(BD138:BD142)-BD143</f>
        <v/>
      </c>
      <c r="BE160" s="400">
        <f>SUM(BE138:BE142)-BE143</f>
        <v/>
      </c>
      <c r="BF160" s="400">
        <f>SUM(BF138:BF142)-BF143</f>
        <v/>
      </c>
      <c r="BG160" s="400">
        <f>SUM(BG138:BG142)-BG143</f>
        <v/>
      </c>
      <c r="BH160" s="400">
        <f>SUM(BH138:BH142)-BH143</f>
        <v/>
      </c>
      <c r="BI160" s="400">
        <f>SUM(BI138:BI142)-BI143</f>
        <v/>
      </c>
      <c r="BJ160" s="400">
        <f>SUM(BJ138:BJ142)-BJ143</f>
        <v/>
      </c>
      <c r="BK160" s="400">
        <f>SUM(BK138:BK142)-BK143</f>
        <v/>
      </c>
      <c r="BL160" s="400">
        <f>SUM(BL138:BL142)-BL143</f>
        <v/>
      </c>
      <c r="BM160" s="400">
        <f>SUM(BM138:BM142)-BM143</f>
        <v/>
      </c>
      <c r="BN160" s="400">
        <f>SUM(BN138:BN142)-BN143</f>
        <v/>
      </c>
      <c r="BO160" s="400">
        <f>SUM(BO138:BO142)-BO143</f>
        <v/>
      </c>
      <c r="BP160" s="400">
        <f>SUM(BP138:BP142)-BP143</f>
        <v/>
      </c>
      <c r="BQ160" s="400">
        <f>SUM(BQ138:BQ142)-BQ143</f>
        <v/>
      </c>
      <c r="BR160" s="400">
        <f>SUM(BR138:BR142)-BR143</f>
        <v/>
      </c>
      <c r="BS160" t="n">
        <v>0</v>
      </c>
      <c r="BT160" t="inlineStr">
        <is>
          <t>IPGP-Financial-Data-Workbook-2024-Q2.xlsx|Balance Sheet|52|93</t>
        </is>
      </c>
    </row>
    <row r="161">
      <c r="A161" s="455">
        <f>A160</f>
        <v/>
      </c>
      <c r="B161" s="400">
        <f>SUM(B143:B145)-B146</f>
        <v/>
      </c>
      <c r="C161" s="400">
        <f>SUM(C143:C145)-C146</f>
        <v/>
      </c>
      <c r="D161" s="400">
        <f>SUM(D143:D145)-D146</f>
        <v/>
      </c>
      <c r="E161" s="400">
        <f>SUM(E143:E145)-E146</f>
        <v/>
      </c>
      <c r="F161" s="400">
        <f>SUM(F143:F145)-F146</f>
        <v/>
      </c>
      <c r="G161" s="400">
        <f>SUM(G143:G145)-G146</f>
        <v/>
      </c>
      <c r="H161" s="400">
        <f>SUM(H143:H145)-H146</f>
        <v/>
      </c>
      <c r="I161" s="400">
        <f>SUM(I143:I145)-I146</f>
        <v/>
      </c>
      <c r="J161" s="400">
        <f>SUM(J143:J145)-J146</f>
        <v/>
      </c>
      <c r="K161" s="400">
        <f>SUM(K143:K145)-K146</f>
        <v/>
      </c>
      <c r="L161" s="400">
        <f>SUM(L143:L145)-L146</f>
        <v/>
      </c>
      <c r="M161" s="400">
        <f>SUM(M143:M145)-M146</f>
        <v/>
      </c>
      <c r="N161" s="400">
        <f>SUM(N143:N145)-N146</f>
        <v/>
      </c>
      <c r="O161" s="400">
        <f>SUM(O143:O145)-O146</f>
        <v/>
      </c>
      <c r="P161" s="400">
        <f>SUM(P143:P145)-P146</f>
        <v/>
      </c>
      <c r="Q161" s="400">
        <f>SUM(Q143:Q145)-Q146</f>
        <v/>
      </c>
      <c r="R161" s="400">
        <f>SUM(R143:R145)-R146</f>
        <v/>
      </c>
      <c r="S161" s="400">
        <f>SUM(S143:S145)-S146</f>
        <v/>
      </c>
      <c r="T161" s="400">
        <f>SUM(T143:T145)-T146</f>
        <v/>
      </c>
      <c r="U161" s="400">
        <f>SUM(U143:U145)-U146</f>
        <v/>
      </c>
      <c r="V161" s="400">
        <f>SUM(V143:V145)-V146</f>
        <v/>
      </c>
      <c r="W161" s="400">
        <f>SUM(W143:W145)-W146</f>
        <v/>
      </c>
      <c r="X161" s="400">
        <f>SUM(X143:X145)-X146</f>
        <v/>
      </c>
      <c r="Y161" s="400">
        <f>SUM(Y143:Y145)-Y146</f>
        <v/>
      </c>
      <c r="Z161" s="400">
        <f>SUM(Z143:Z145)-Z146</f>
        <v/>
      </c>
      <c r="AA161" s="400">
        <f>SUM(AA143:AA145)-AA146</f>
        <v/>
      </c>
      <c r="AB161" s="400">
        <f>SUM(AB143:AB145)-AB146</f>
        <v/>
      </c>
      <c r="AC161" s="400">
        <f>SUM(AC143:AC145)-AC146</f>
        <v/>
      </c>
      <c r="AD161" s="400">
        <f>SUM(AD143:AD145)-AD146</f>
        <v/>
      </c>
      <c r="AE161" s="400">
        <f>SUM(AE143:AE145)-AE146</f>
        <v/>
      </c>
      <c r="AF161" s="400">
        <f>SUM(AF143:AF145)-AF146</f>
        <v/>
      </c>
      <c r="AG161" s="400">
        <f>SUM(AG143:AG145)-AG146</f>
        <v/>
      </c>
      <c r="AH161" s="400">
        <f>SUM(AH143:AH145)-AH146</f>
        <v/>
      </c>
      <c r="AI161" s="400">
        <f>SUM(AI143:AI145)-AI146</f>
        <v/>
      </c>
      <c r="AJ161" s="400">
        <f>SUM(AJ143:AJ145)-AJ146</f>
        <v/>
      </c>
      <c r="AK161" s="400">
        <f>SUM(AK143:AK145)-AK146</f>
        <v/>
      </c>
      <c r="AL161" s="400">
        <f>SUM(AL143:AL145)-AL146</f>
        <v/>
      </c>
      <c r="AM161" s="400">
        <f>SUM(AM143:AM145)-AM146</f>
        <v/>
      </c>
      <c r="AN161" s="400">
        <f>SUM(AN143:AN145)-AN146</f>
        <v/>
      </c>
      <c r="AO161" s="400">
        <f>SUM(AO143:AO145)-AO146</f>
        <v/>
      </c>
      <c r="AP161" s="400">
        <f>SUM(AP143:AP145)-AP146</f>
        <v/>
      </c>
      <c r="AQ161" s="400">
        <f>SUM(AQ143:AQ145)-AQ146</f>
        <v/>
      </c>
      <c r="AR161" s="400">
        <f>SUM(AR143:AR145)-AR146</f>
        <v/>
      </c>
      <c r="AS161" s="400">
        <f>SUM(AS143:AS145)-AS146</f>
        <v/>
      </c>
      <c r="AT161" s="400">
        <f>SUM(AT143:AT145)-AT146</f>
        <v/>
      </c>
      <c r="AU161" s="400">
        <f>SUM(AU143:AU145)-AU146</f>
        <v/>
      </c>
      <c r="AV161" s="400">
        <f>SUM(AV143:AV145)-AV146</f>
        <v/>
      </c>
      <c r="AW161" s="400">
        <f>SUM(AW143:AW145)-AW146</f>
        <v/>
      </c>
      <c r="AX161" s="400">
        <f>SUM(AX143:AX145)-AX146</f>
        <v/>
      </c>
      <c r="AY161" s="400">
        <f>SUM(AY143:AY145)-AY146</f>
        <v/>
      </c>
      <c r="AZ161" s="400">
        <f>SUM(AZ143:AZ145)-AZ146</f>
        <v/>
      </c>
      <c r="BA161" s="400">
        <f>SUM(BA143:BA145)-BA146</f>
        <v/>
      </c>
      <c r="BB161" s="400">
        <f>SUM(BB143:BB145)-BB146</f>
        <v/>
      </c>
      <c r="BC161" s="400">
        <f>SUM(BC143:BC145)-BC146</f>
        <v/>
      </c>
      <c r="BD161" s="400">
        <f>SUM(BD143:BD145)-BD146</f>
        <v/>
      </c>
      <c r="BE161" s="400">
        <f>SUM(BE143:BE145)-BE146</f>
        <v/>
      </c>
      <c r="BF161" s="400">
        <f>SUM(BF143:BF145)-BF146</f>
        <v/>
      </c>
      <c r="BG161" s="400">
        <f>SUM(BG143:BG145)-BG146</f>
        <v/>
      </c>
      <c r="BH161" s="400">
        <f>SUM(BH143:BH145)-BH146</f>
        <v/>
      </c>
      <c r="BI161" s="400">
        <f>SUM(BI143:BI145)-BI146</f>
        <v/>
      </c>
      <c r="BJ161" s="400">
        <f>SUM(BJ143:BJ145)-BJ146</f>
        <v/>
      </c>
      <c r="BK161" s="400">
        <f>SUM(BK143:BK145)-BK146</f>
        <v/>
      </c>
      <c r="BL161" s="400">
        <f>SUM(BL143:BL145)-BL146</f>
        <v/>
      </c>
      <c r="BM161" s="400">
        <f>SUM(BM143:BM145)-BM146</f>
        <v/>
      </c>
      <c r="BN161" s="400">
        <f>SUM(BN143:BN145)-BN146</f>
        <v/>
      </c>
      <c r="BO161" s="400">
        <f>SUM(BO143:BO145)-BO146</f>
        <v/>
      </c>
      <c r="BP161" s="400">
        <f>SUM(BP143:BP145)-BP146</f>
        <v/>
      </c>
      <c r="BQ161" s="400">
        <f>SUM(BQ143:BQ145)-BQ146</f>
        <v/>
      </c>
      <c r="BR161" s="400">
        <f>SUM(BR143:BR145)-BR146</f>
        <v/>
      </c>
      <c r="BS161" t="n">
        <v>0</v>
      </c>
      <c r="BT161" t="inlineStr">
        <is>
          <t>IPGP-Financial-Data-Workbook-2024-Q2.xlsx|Balance Sheet|58|93</t>
        </is>
      </c>
    </row>
    <row r="162">
      <c r="A162" s="455">
        <f>A161</f>
        <v/>
      </c>
      <c r="B162" s="400">
        <f>SUM(B148:B152)+B154-B155</f>
        <v/>
      </c>
      <c r="C162" s="400">
        <f>SUM(C148:C152)+C154-C155</f>
        <v/>
      </c>
      <c r="D162" s="400">
        <f>SUM(D148:D152)+D154-D155</f>
        <v/>
      </c>
      <c r="E162" s="400">
        <f>SUM(E148:E152)+E154-E155</f>
        <v/>
      </c>
      <c r="F162" s="400">
        <f>SUM(F148:F152)+F154-F155</f>
        <v/>
      </c>
      <c r="G162" s="400">
        <f>SUM(G148:G152)+G154-G155</f>
        <v/>
      </c>
      <c r="H162" s="400">
        <f>SUM(H148:H152)+H154-H155</f>
        <v/>
      </c>
      <c r="I162" s="400">
        <f>SUM(I148:I152)+I154-I155</f>
        <v/>
      </c>
      <c r="J162" s="400">
        <f>SUM(J148:J152)+J154-J155</f>
        <v/>
      </c>
      <c r="K162" s="400">
        <f>SUM(K148:K152)+K154-K155</f>
        <v/>
      </c>
      <c r="L162" s="400">
        <f>SUM(L148:L152)+L154-L155</f>
        <v/>
      </c>
      <c r="M162" s="400">
        <f>SUM(M148:M152)+M154-M155</f>
        <v/>
      </c>
      <c r="N162" s="400">
        <f>SUM(N148:N152)+N154-N155</f>
        <v/>
      </c>
      <c r="O162" s="400">
        <f>SUM(O148:O152)+O154-O155</f>
        <v/>
      </c>
      <c r="P162" s="400">
        <f>SUM(P148:P152)+P154-P155</f>
        <v/>
      </c>
      <c r="Q162" s="400">
        <f>SUM(Q148:Q152)+Q154-Q155</f>
        <v/>
      </c>
      <c r="R162" s="400">
        <f>SUM(R148:R152)+R154-R155</f>
        <v/>
      </c>
      <c r="S162" s="400">
        <f>SUM(S148:S152)+S154-S155</f>
        <v/>
      </c>
      <c r="T162" s="400">
        <f>SUM(T148:T152)+T154-T155</f>
        <v/>
      </c>
      <c r="U162" s="400">
        <f>SUM(U148:U152)+U154-U155</f>
        <v/>
      </c>
      <c r="V162" s="400">
        <f>SUM(V148:V152)+V154-V155</f>
        <v/>
      </c>
      <c r="W162" s="400">
        <f>SUM(W148:W152)+W154-W155</f>
        <v/>
      </c>
      <c r="X162" s="400">
        <f>SUM(X148:X152)+X154-X155</f>
        <v/>
      </c>
      <c r="Y162" s="400">
        <f>SUM(Y148:Y152)+Y154-Y155</f>
        <v/>
      </c>
      <c r="Z162" s="400">
        <f>SUM(Z148:Z152)+Z154-Z155</f>
        <v/>
      </c>
      <c r="AA162" s="400">
        <f>SUM(AA148:AA152)+AA154-AA155</f>
        <v/>
      </c>
      <c r="AB162" s="400">
        <f>SUM(AB148:AB152)+AB154-AB155</f>
        <v/>
      </c>
      <c r="AC162" s="400">
        <f>SUM(AC148:AC152)+AC154-AC155</f>
        <v/>
      </c>
      <c r="AD162" s="400">
        <f>SUM(AD148:AD152)+AD154-AD155</f>
        <v/>
      </c>
      <c r="AE162" s="400">
        <f>SUM(AE148:AE152)+AE154-AE155</f>
        <v/>
      </c>
      <c r="AF162" s="400">
        <f>SUM(AF148:AF152)+AF154-AF155</f>
        <v/>
      </c>
      <c r="AG162" s="400">
        <f>SUM(AG148:AG152)+AG154-AG155</f>
        <v/>
      </c>
      <c r="AH162" s="400">
        <f>SUM(AH148:AH152)+AH154-AH155</f>
        <v/>
      </c>
      <c r="AI162" s="400">
        <f>SUM(AI148:AI152)+AI154-AI155</f>
        <v/>
      </c>
      <c r="AJ162" s="400">
        <f>SUM(AJ148:AJ152)+AJ154-AJ155</f>
        <v/>
      </c>
      <c r="AK162" s="400">
        <f>SUM(AK148:AK152)+AK154-AK155</f>
        <v/>
      </c>
      <c r="AL162" s="400">
        <f>SUM(AL148:AL152)+AL154-AL155</f>
        <v/>
      </c>
      <c r="AM162" s="400">
        <f>SUM(AM148:AM152)+AM154-AM155</f>
        <v/>
      </c>
      <c r="AN162" s="400">
        <f>SUM(AN148:AN152)+AN154-AN155</f>
        <v/>
      </c>
      <c r="AO162" s="400">
        <f>SUM(AO148:AO152)+AO154-AO155</f>
        <v/>
      </c>
      <c r="AP162" s="400">
        <f>SUM(AP148:AP152)+AP154-AP155</f>
        <v/>
      </c>
      <c r="AQ162" s="400">
        <f>SUM(AQ148:AQ152)+AQ154-AQ155</f>
        <v/>
      </c>
      <c r="AR162" s="400">
        <f>SUM(AR148:AR152)+AR154-AR155</f>
        <v/>
      </c>
      <c r="AS162" s="400">
        <f>SUM(AS148:AS152)+AS154-AS155</f>
        <v/>
      </c>
      <c r="AT162" s="400">
        <f>SUM(AT148:AT152)+AT154-AT155</f>
        <v/>
      </c>
      <c r="AU162" s="400">
        <f>SUM(AU148:AU152)+AU154-AU155</f>
        <v/>
      </c>
      <c r="AV162" s="400">
        <f>SUM(AV148:AV152)+AV154-AV155</f>
        <v/>
      </c>
      <c r="AW162" s="400">
        <f>SUM(AW148:AW152)+AW154-AW155</f>
        <v/>
      </c>
      <c r="AX162" s="400">
        <f>SUM(AX148:AX152)+AX154-AX155</f>
        <v/>
      </c>
      <c r="AY162" s="400">
        <f>SUM(AY148:AY152)+AY154-AY155</f>
        <v/>
      </c>
      <c r="AZ162" s="400">
        <f>SUM(AZ148:AZ152)+AZ154-AZ155</f>
        <v/>
      </c>
      <c r="BA162" s="400">
        <f>SUM(BA148:BA152)+BA154-BA155</f>
        <v/>
      </c>
      <c r="BB162" s="400">
        <f>SUM(BB148:BB152)+BB154-BB155</f>
        <v/>
      </c>
      <c r="BC162" s="400">
        <f>SUM(BC148:BC152)+BC154-BC155</f>
        <v/>
      </c>
      <c r="BD162" s="400">
        <f>SUM(BD148:BD152)+BD154-BD155</f>
        <v/>
      </c>
      <c r="BE162" s="400">
        <f>SUM(BE148:BE152)+BE154-BE155</f>
        <v/>
      </c>
      <c r="BF162" s="400">
        <f>SUM(BF148:BF152)+BF154-BF155</f>
        <v/>
      </c>
      <c r="BG162" s="400">
        <f>SUM(BG148:BG152)+BG154-BG155</f>
        <v/>
      </c>
      <c r="BH162" s="400">
        <f>SUM(BH148:BH152)+BH154-BH155</f>
        <v/>
      </c>
      <c r="BI162" s="400">
        <f>SUM(BI148:BI152)+BI154-BI155</f>
        <v/>
      </c>
      <c r="BJ162" s="400">
        <f>SUM(BJ148:BJ152)+BJ154-BJ155</f>
        <v/>
      </c>
      <c r="BK162" s="400">
        <f>SUM(BK148:BK152)+BK154-BK155</f>
        <v/>
      </c>
      <c r="BL162" s="400">
        <f>SUM(BL148:BL152)+BL154-BL155</f>
        <v/>
      </c>
      <c r="BM162" s="400">
        <f>SUM(BM148:BM152)+BM154-BM155</f>
        <v/>
      </c>
      <c r="BN162" s="400">
        <f>SUM(BN148:BN152)+BN154-BN155</f>
        <v/>
      </c>
      <c r="BO162" s="400">
        <f>SUM(BO148:BO152)+BO154-BO155</f>
        <v/>
      </c>
      <c r="BP162" s="400">
        <f>SUM(BP148:BP152)+BP154-BP155</f>
        <v/>
      </c>
      <c r="BQ162" s="400">
        <f>SUM(BQ148:BQ152)+BQ154-BQ155</f>
        <v/>
      </c>
      <c r="BR162" s="400">
        <f>SUM(BR148:BR152)+BR154-BR155</f>
        <v/>
      </c>
      <c r="BS162" t="n">
        <v>0</v>
      </c>
      <c r="BT162" t="inlineStr">
        <is>
          <t>IPGP-Financial-Data-Workbook-2024-Q2.xlsx|Balance Sheet|59|93</t>
        </is>
      </c>
    </row>
    <row r="163">
      <c r="A163" s="455">
        <f>A162</f>
        <v/>
      </c>
      <c r="B163" s="400">
        <f>B136-B146-B155</f>
        <v/>
      </c>
      <c r="C163" s="400">
        <f>C136-C146-C155</f>
        <v/>
      </c>
      <c r="D163" s="400">
        <f>D136-D146-D155</f>
        <v/>
      </c>
      <c r="E163" s="400">
        <f>E136-E146-E155</f>
        <v/>
      </c>
      <c r="F163" s="400">
        <f>F136-F146-F155</f>
        <v/>
      </c>
      <c r="G163" s="400">
        <f>G136-G146-G155</f>
        <v/>
      </c>
      <c r="H163" s="400">
        <f>H136-H146-H155</f>
        <v/>
      </c>
      <c r="I163" s="400">
        <f>I136-I146-I155</f>
        <v/>
      </c>
      <c r="J163" s="400">
        <f>J136-J146-J155</f>
        <v/>
      </c>
      <c r="K163" s="400">
        <f>K136-K146-K155</f>
        <v/>
      </c>
      <c r="L163" s="400">
        <f>L136-L146-L155</f>
        <v/>
      </c>
      <c r="M163" s="400">
        <f>M136-M146-M155</f>
        <v/>
      </c>
      <c r="N163" s="400">
        <f>N136-N146-N155</f>
        <v/>
      </c>
      <c r="O163" s="400">
        <f>O136-O146-O155</f>
        <v/>
      </c>
      <c r="P163" s="400">
        <f>P136-P146-P155</f>
        <v/>
      </c>
      <c r="Q163" s="400">
        <f>Q136-Q146-Q155</f>
        <v/>
      </c>
      <c r="R163" s="400">
        <f>R136-R146-R155</f>
        <v/>
      </c>
      <c r="S163" s="400">
        <f>S136-S146-S155</f>
        <v/>
      </c>
      <c r="T163" s="400">
        <f>T136-T146-T155</f>
        <v/>
      </c>
      <c r="U163" s="400">
        <f>U136-U146-U155</f>
        <v/>
      </c>
      <c r="V163" s="400">
        <f>V136-V146-V155</f>
        <v/>
      </c>
      <c r="W163" s="400">
        <f>W136-W146-W155</f>
        <v/>
      </c>
      <c r="X163" s="400">
        <f>X136-X146-X155</f>
        <v/>
      </c>
      <c r="Y163" s="400">
        <f>Y136-Y146-Y155</f>
        <v/>
      </c>
      <c r="Z163" s="400">
        <f>Z136-Z146-Z155</f>
        <v/>
      </c>
      <c r="AA163" s="400">
        <f>AA136-AA146-AA155</f>
        <v/>
      </c>
      <c r="AB163" s="400">
        <f>AB136-AB146-AB155</f>
        <v/>
      </c>
      <c r="AC163" s="400">
        <f>AC136-AC146-AC155</f>
        <v/>
      </c>
      <c r="AD163" s="400">
        <f>AD136-AD146-AD155</f>
        <v/>
      </c>
      <c r="AE163" s="400">
        <f>AE136-AE146-AE155</f>
        <v/>
      </c>
      <c r="AF163" s="400">
        <f>AF136-AF146-AF155</f>
        <v/>
      </c>
      <c r="AG163" s="400">
        <f>AG136-AG146-AG155</f>
        <v/>
      </c>
      <c r="AH163" s="400">
        <f>AH136-AH146-AH155</f>
        <v/>
      </c>
      <c r="AI163" s="400">
        <f>AI136-AI146-AI155</f>
        <v/>
      </c>
      <c r="AJ163" s="400">
        <f>AJ136-AJ146-AJ155</f>
        <v/>
      </c>
      <c r="AK163" s="400">
        <f>AK136-AK146-AK155</f>
        <v/>
      </c>
      <c r="AL163" s="400">
        <f>AL136-AL146-AL155</f>
        <v/>
      </c>
      <c r="AM163" s="400">
        <f>AM136-AM146-AM155</f>
        <v/>
      </c>
      <c r="AN163" s="400">
        <f>AN136-AN146-AN155</f>
        <v/>
      </c>
      <c r="AO163" s="400">
        <f>AO136-AO146-AO155</f>
        <v/>
      </c>
      <c r="AP163" s="400">
        <f>AP136-AP146-AP155</f>
        <v/>
      </c>
      <c r="AQ163" s="400">
        <f>AQ136-AQ146-AQ155</f>
        <v/>
      </c>
      <c r="AR163" s="400">
        <f>AR136-AR146-AR155</f>
        <v/>
      </c>
      <c r="AS163" s="400">
        <f>AS136-AS146-AS155</f>
        <v/>
      </c>
      <c r="AT163" s="400">
        <f>AT136-AT146-AT155</f>
        <v/>
      </c>
      <c r="AU163" s="400">
        <f>AU136-AU146-AU155</f>
        <v/>
      </c>
      <c r="AV163" s="400">
        <f>AV136-AV146-AV155</f>
        <v/>
      </c>
      <c r="AW163" s="400">
        <f>AW136-AW146-AW155</f>
        <v/>
      </c>
      <c r="AX163" s="400">
        <f>AX136-AX146-AX155</f>
        <v/>
      </c>
      <c r="AY163" s="400">
        <f>AY136-AY146-AY155</f>
        <v/>
      </c>
      <c r="AZ163" s="400">
        <f>AZ136-AZ146-AZ155</f>
        <v/>
      </c>
      <c r="BA163" s="400">
        <f>BA136-BA146-BA155</f>
        <v/>
      </c>
      <c r="BB163" s="400">
        <f>BB136-BB146-BB155</f>
        <v/>
      </c>
      <c r="BC163" s="400">
        <f>BC136-BC146-BC155</f>
        <v/>
      </c>
      <c r="BD163" s="400">
        <f>BD136-BD146-BD155</f>
        <v/>
      </c>
      <c r="BE163" s="400">
        <f>BE136-BE146-BE155</f>
        <v/>
      </c>
      <c r="BF163" s="400">
        <f>BF136-BF146-BF155</f>
        <v/>
      </c>
      <c r="BG163" s="400">
        <f>BG136-BG146-BG155</f>
        <v/>
      </c>
      <c r="BH163" s="400">
        <f>BH136-BH146-BH155</f>
        <v/>
      </c>
      <c r="BI163" s="400">
        <f>BI136-BI146-BI155</f>
        <v/>
      </c>
      <c r="BJ163" s="400">
        <f>BJ136-BJ146-BJ155</f>
        <v/>
      </c>
      <c r="BK163" s="400">
        <f>BK136-BK146-BK155</f>
        <v/>
      </c>
      <c r="BL163" s="400">
        <f>BL136-BL146-BL155</f>
        <v/>
      </c>
      <c r="BM163" s="400">
        <f>BM136-BM146-BM155</f>
        <v/>
      </c>
      <c r="BN163" s="400">
        <f>BN136-BN146-BN155</f>
        <v/>
      </c>
      <c r="BO163" s="400">
        <f>BO136-BO146-BO155</f>
        <v/>
      </c>
      <c r="BP163" s="400">
        <f>BP136-BP146-BP155</f>
        <v/>
      </c>
      <c r="BQ163" s="400">
        <f>BQ136-BQ146-BQ155</f>
        <v/>
      </c>
      <c r="BR163" s="400">
        <f>BR136-BR146-BR155</f>
        <v/>
      </c>
      <c r="BS163" t="n">
        <v>0</v>
      </c>
      <c r="BT163" t="inlineStr">
        <is>
          <t>IPGP-Financial-Data-Workbook-2024-Q2.xlsx|Balance Sheet|60|93</t>
        </is>
      </c>
    </row>
    <row r="164">
      <c r="A164" s="455" t="n"/>
      <c r="B164" s="400" t="n"/>
      <c r="C164" s="400" t="n"/>
      <c r="D164" s="400" t="n"/>
      <c r="E164" s="400" t="n"/>
      <c r="F164" s="400" t="n"/>
      <c r="G164" s="400" t="n"/>
      <c r="H164" s="400" t="n"/>
      <c r="I164" s="400" t="n"/>
      <c r="J164" s="400" t="n"/>
      <c r="K164" s="400" t="n"/>
      <c r="L164" s="400" t="n"/>
      <c r="M164" s="400" t="n"/>
      <c r="N164" s="400" t="n"/>
      <c r="O164" s="400" t="n"/>
      <c r="P164" s="400" t="n"/>
      <c r="Q164" s="400" t="n"/>
      <c r="R164" s="400" t="n"/>
      <c r="S164" s="400" t="n"/>
      <c r="T164" s="400" t="n"/>
      <c r="U164" s="400" t="n"/>
      <c r="V164" s="400" t="n"/>
      <c r="W164" s="400" t="n"/>
      <c r="X164" s="400" t="n"/>
      <c r="Y164" s="400" t="n"/>
      <c r="Z164" s="400" t="n"/>
      <c r="AA164" s="400" t="n"/>
      <c r="AB164" s="400" t="n"/>
      <c r="AC164" s="400" t="n"/>
      <c r="AD164" s="400" t="n"/>
      <c r="AE164" s="400" t="n"/>
      <c r="AF164" s="400" t="n"/>
      <c r="AG164" s="400" t="n"/>
      <c r="AH164" s="400" t="n"/>
      <c r="AI164" s="400" t="n"/>
      <c r="AJ164" s="400" t="n"/>
      <c r="AK164" s="400" t="n"/>
      <c r="AL164" s="400" t="n"/>
      <c r="AM164" s="400" t="n"/>
      <c r="AN164" s="400" t="n"/>
      <c r="AO164" s="400" t="n"/>
      <c r="AP164" s="400" t="n"/>
      <c r="AQ164" s="400" t="n"/>
      <c r="AR164" s="400" t="n"/>
      <c r="AS164" s="400" t="n"/>
    </row>
    <row r="165">
      <c r="A165" s="455" t="n"/>
      <c r="B165" s="400" t="n"/>
      <c r="C165" s="400" t="n"/>
      <c r="D165" s="400" t="n"/>
      <c r="E165" s="400" t="n"/>
      <c r="F165" s="400" t="n"/>
      <c r="G165" s="400" t="n"/>
      <c r="H165" s="400" t="n"/>
      <c r="I165" s="400" t="n"/>
      <c r="J165" s="400" t="n"/>
      <c r="K165" s="400" t="n"/>
      <c r="L165" s="400" t="n"/>
      <c r="M165" s="400" t="n"/>
      <c r="N165" s="400" t="n"/>
      <c r="O165" s="400" t="n"/>
      <c r="P165" s="400" t="n"/>
      <c r="Q165" s="400" t="n"/>
      <c r="R165" s="400" t="n"/>
      <c r="S165" s="400" t="n"/>
      <c r="T165" s="400" t="n"/>
      <c r="U165" s="400" t="n"/>
      <c r="V165" s="400" t="n"/>
      <c r="W165" s="400" t="n"/>
      <c r="X165" s="400" t="n"/>
      <c r="Y165" s="400" t="n"/>
      <c r="Z165" s="400" t="n"/>
      <c r="AA165" s="400" t="n"/>
      <c r="AB165" s="400" t="n"/>
      <c r="AC165" s="400" t="n"/>
      <c r="AD165" s="400" t="n"/>
      <c r="AE165" s="400" t="n"/>
      <c r="AF165" s="400" t="n"/>
      <c r="AG165" s="400" t="n"/>
      <c r="AH165" s="400" t="n"/>
      <c r="AI165" s="400" t="n"/>
      <c r="AJ165" s="400" t="n"/>
      <c r="AK165" s="400" t="n"/>
      <c r="AL165" s="400" t="n"/>
      <c r="AM165" s="400" t="n"/>
      <c r="AN165" s="400" t="n"/>
      <c r="AO165" s="400" t="n"/>
      <c r="AP165" s="400" t="n"/>
      <c r="AQ165" s="400" t="n"/>
      <c r="AR165" s="400" t="n"/>
      <c r="AS165" s="400" t="n"/>
    </row>
    <row r="166">
      <c r="A166" s="455" t="n"/>
      <c r="B166" s="400" t="n"/>
      <c r="C166" s="400" t="n"/>
      <c r="D166" s="400" t="n"/>
      <c r="E166" s="400" t="n"/>
      <c r="F166" s="400" t="n"/>
      <c r="G166" s="400" t="n"/>
      <c r="H166" s="400" t="n"/>
      <c r="I166" s="400" t="n"/>
      <c r="J166" s="400" t="n"/>
      <c r="K166" s="400" t="n"/>
      <c r="L166" s="400" t="n"/>
      <c r="M166" s="400" t="n"/>
      <c r="N166" s="400" t="n"/>
      <c r="O166" s="400" t="n"/>
      <c r="P166" s="400" t="n"/>
      <c r="Q166" s="400" t="n"/>
      <c r="R166" s="400" t="n"/>
      <c r="S166" s="400" t="n"/>
      <c r="T166" s="400" t="n"/>
      <c r="U166" s="400" t="n"/>
      <c r="V166" s="400" t="n"/>
      <c r="W166" s="400" t="n"/>
      <c r="X166" s="400" t="n"/>
      <c r="Y166" s="400" t="n"/>
      <c r="Z166" s="400" t="n"/>
      <c r="AA166" s="400" t="n"/>
      <c r="AB166" s="400" t="n"/>
      <c r="AC166" s="400" t="n"/>
      <c r="AD166" s="400" t="n"/>
      <c r="AE166" s="400" t="n"/>
      <c r="AF166" s="400" t="n"/>
      <c r="AG166" s="400" t="n"/>
      <c r="AH166" s="400" t="n"/>
      <c r="AI166" s="400" t="n"/>
      <c r="AJ166" s="400" t="n"/>
      <c r="AK166" s="400" t="n"/>
      <c r="AL166" s="400" t="n"/>
      <c r="AM166" s="400" t="n"/>
      <c r="AN166" s="400" t="n"/>
      <c r="AO166" s="400" t="n"/>
      <c r="AP166" s="400" t="n"/>
      <c r="AQ166" s="400" t="n"/>
      <c r="AR166" s="400" t="n"/>
      <c r="AS166" s="400" t="n"/>
    </row>
    <row r="167">
      <c r="B167" s="145" t="n"/>
      <c r="C167" s="145" t="n"/>
      <c r="D167" s="145" t="n"/>
      <c r="E167" s="145" t="n"/>
      <c r="F167" s="145" t="n"/>
      <c r="G167" s="145" t="n"/>
      <c r="H167" s="145" t="n"/>
      <c r="I167" s="145" t="n"/>
      <c r="J167" s="145" t="n"/>
      <c r="K167" s="145" t="n"/>
      <c r="L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row>
    <row r="168">
      <c r="A168" s="81" t="inlineStr">
        <is>
          <t>CONSOLIDATED CASH FLOW STATEMENT (in '000 USD) - YTD</t>
        </is>
      </c>
      <c r="B168" s="145" t="n"/>
      <c r="C168" s="145" t="n"/>
      <c r="D168" s="145" t="n"/>
      <c r="E168" s="145" t="n"/>
      <c r="F168" s="145" t="n"/>
      <c r="G168" s="145" t="n"/>
      <c r="H168" s="145" t="n"/>
      <c r="I168" s="145" t="n"/>
      <c r="J168" s="145" t="n"/>
      <c r="K168" s="145" t="n"/>
      <c r="L168" s="145" t="n"/>
      <c r="M168" s="145" t="n"/>
      <c r="N168" s="145" t="n"/>
      <c r="O168" s="145" t="n"/>
      <c r="P168" s="145" t="n"/>
      <c r="Q168" s="145" t="n"/>
      <c r="R168" s="145" t="n"/>
      <c r="S168" s="145" t="n"/>
      <c r="T168" s="145" t="n"/>
      <c r="U168" s="145" t="n"/>
      <c r="V168" s="145" t="n"/>
      <c r="W168" s="145" t="n"/>
      <c r="X168" s="145" t="n"/>
      <c r="Y168" s="145" t="n"/>
      <c r="Z168" s="145" t="n"/>
      <c r="AA168" s="145" t="n"/>
      <c r="AB168" s="145" t="n"/>
      <c r="AC168" s="145" t="n"/>
      <c r="AD168" s="145" t="n"/>
      <c r="AE168" s="145" t="n"/>
      <c r="AF168" s="20" t="n"/>
      <c r="AG168" s="20" t="n"/>
      <c r="AH168" s="20" t="n"/>
      <c r="AI168" s="20" t="n"/>
      <c r="AJ168" s="20" t="n"/>
      <c r="AK168" s="20" t="n"/>
      <c r="AL168" s="20" t="n"/>
      <c r="AM168" s="20" t="n"/>
      <c r="AN168" s="20" t="n"/>
      <c r="AO168" s="20" t="n"/>
      <c r="AP168" s="20" t="n"/>
      <c r="AQ168" s="20" t="n"/>
      <c r="AR168" s="20" t="n"/>
      <c r="AS168" s="20" t="n"/>
    </row>
    <row r="169">
      <c r="B169" s="145" t="n"/>
      <c r="C169" s="145" t="n"/>
      <c r="D169" s="145" t="n"/>
      <c r="E169" s="145" t="n"/>
      <c r="F169" s="145" t="n"/>
      <c r="G169" s="145" t="n"/>
      <c r="H169" s="145" t="n"/>
      <c r="I169" s="145" t="n"/>
      <c r="J169" s="145" t="n"/>
      <c r="K169" s="145" t="n"/>
      <c r="L169" s="145" t="n"/>
      <c r="M169" s="145" t="n"/>
      <c r="N169" s="145" t="n"/>
      <c r="O169" s="145" t="n"/>
      <c r="P169" s="145" t="n"/>
      <c r="Q169" s="145" t="n"/>
      <c r="R169" s="145" t="n"/>
      <c r="S169" s="145" t="n"/>
      <c r="T169" s="145" t="n"/>
      <c r="U169" s="145" t="n"/>
      <c r="V169" s="145" t="n"/>
      <c r="W169" s="145" t="n"/>
      <c r="X169" s="145" t="n"/>
      <c r="Y169" s="145" t="n"/>
      <c r="Z169" s="145" t="n"/>
      <c r="AA169" s="145" t="n"/>
      <c r="AB169" s="145" t="n"/>
      <c r="AC169" s="145" t="n"/>
      <c r="AD169" s="145" t="n"/>
      <c r="AE169" s="145" t="n"/>
    </row>
    <row r="170">
      <c r="A170" s="22" t="inlineStr">
        <is>
          <t>CASH FLOWS FROM OPERATING ACTIVITIES:</t>
        </is>
      </c>
      <c r="B170" s="22" t="n"/>
      <c r="C170" s="22" t="n"/>
      <c r="D170" s="22" t="n"/>
      <c r="E170" s="22" t="n"/>
      <c r="F170" s="22" t="n"/>
      <c r="G170" s="22" t="n"/>
      <c r="H170" s="22" t="n"/>
      <c r="I170" s="22" t="n"/>
      <c r="J170" s="22" t="n"/>
      <c r="K170" s="22" t="n"/>
      <c r="L170" s="22" t="n"/>
      <c r="M170" s="22" t="n"/>
      <c r="N170" s="22" t="n"/>
      <c r="O170" s="22" t="n"/>
      <c r="P170" s="22" t="n"/>
      <c r="Q170" s="22" t="n"/>
      <c r="R170" s="22" t="n"/>
      <c r="S170" s="22" t="n"/>
      <c r="T170" s="22" t="n"/>
      <c r="U170" s="22" t="n"/>
      <c r="V170" s="22" t="n"/>
      <c r="W170" s="22" t="n"/>
      <c r="X170" s="22" t="n"/>
      <c r="Y170" s="22" t="n"/>
      <c r="Z170" s="22" t="n"/>
      <c r="AA170" s="22" t="n"/>
      <c r="AB170" s="22" t="n"/>
      <c r="AC170" s="22" t="n"/>
      <c r="AD170" s="22" t="n"/>
      <c r="AE170" s="22" t="n"/>
      <c r="AF170" s="22" t="n"/>
      <c r="AG170" s="22" t="n"/>
      <c r="AH170" s="22" t="n"/>
      <c r="AI170" s="22" t="n"/>
      <c r="AJ170" s="22" t="n"/>
      <c r="AK170" s="22" t="n"/>
      <c r="AL170" s="22" t="n"/>
      <c r="AM170" s="22" t="n"/>
      <c r="AN170" s="22" t="n"/>
      <c r="AO170" s="22" t="n"/>
      <c r="AP170" s="22" t="n"/>
      <c r="AQ170" s="22" t="n"/>
      <c r="AR170" s="22" t="n"/>
      <c r="AS170" s="22" t="n"/>
    </row>
    <row r="171">
      <c r="A171" s="74" t="inlineStr">
        <is>
          <t>Net income</t>
        </is>
      </c>
      <c r="B171" s="145" t="n"/>
      <c r="C171" s="145" t="n"/>
      <c r="D171" s="145" t="n"/>
      <c r="E171" s="145" t="n"/>
      <c r="F171" s="145" t="n"/>
      <c r="G171" s="145" t="n"/>
      <c r="H171" s="145" t="n"/>
      <c r="I171" s="145" t="n"/>
      <c r="J171" s="145" t="n"/>
      <c r="K171" s="145" t="n"/>
      <c r="L171" s="145" t="n"/>
      <c r="M171" s="145" t="n"/>
      <c r="N171" s="145" t="n">
        <v>3424</v>
      </c>
      <c r="O171" s="145" t="n">
        <v>13769</v>
      </c>
      <c r="P171" s="145" t="n">
        <v>27084</v>
      </c>
      <c r="Q171" s="145" t="n">
        <v>54352</v>
      </c>
      <c r="R171" s="145" t="n">
        <v>23378</v>
      </c>
      <c r="S171" s="145" t="n">
        <v>54885</v>
      </c>
      <c r="T171" s="145" t="n">
        <v>89154</v>
      </c>
      <c r="U171" s="145" t="n">
        <v>121009</v>
      </c>
      <c r="V171" s="145" t="n">
        <v>30548</v>
      </c>
      <c r="W171" s="145" t="n">
        <v>70397</v>
      </c>
      <c r="X171" s="145" t="n">
        <v>112832</v>
      </c>
      <c r="Y171" s="145" t="n">
        <v>147744</v>
      </c>
      <c r="Z171" s="145" t="n">
        <v>35127</v>
      </c>
      <c r="AA171" s="145" t="n">
        <v>76847</v>
      </c>
      <c r="AB171" s="145" t="n">
        <v>119185</v>
      </c>
      <c r="AC171" s="145" t="n">
        <v>155780</v>
      </c>
      <c r="AD171" s="145" t="n">
        <v>40531</v>
      </c>
      <c r="AE171" s="145" t="n">
        <v>88814</v>
      </c>
      <c r="AF171" s="145" t="n">
        <v>144014</v>
      </c>
      <c r="AG171" s="145" t="n">
        <v>200445</v>
      </c>
      <c r="AH171" s="145" t="n">
        <v>57346</v>
      </c>
      <c r="AI171" s="145" t="n">
        <v>118590</v>
      </c>
      <c r="AJ171" s="145" t="n">
        <v>181349</v>
      </c>
      <c r="AK171" s="145" t="n">
        <v>242027</v>
      </c>
      <c r="AL171" s="145" t="n">
        <v>49328</v>
      </c>
      <c r="AM171" s="145" t="n">
        <v>116360</v>
      </c>
      <c r="AN171" s="145" t="n">
        <v>185587</v>
      </c>
      <c r="AO171" s="145" t="n">
        <v>260716</v>
      </c>
      <c r="AP171" s="145" t="n">
        <v>74932</v>
      </c>
      <c r="AQ171" s="145" t="n">
        <v>179035</v>
      </c>
      <c r="AR171" s="145" t="n">
        <v>294632</v>
      </c>
      <c r="AS171" s="145" t="n">
        <v>347588</v>
      </c>
      <c r="AT171" s="145" t="n">
        <v>106334</v>
      </c>
      <c r="AU171" s="145" t="n">
        <v>227951</v>
      </c>
      <c r="AV171" s="145" t="n">
        <v>328703</v>
      </c>
      <c r="AW171" s="145" t="n">
        <v>404169</v>
      </c>
      <c r="AX171" s="145" t="n">
        <v>54916</v>
      </c>
      <c r="AY171" s="145" t="n">
        <v>127437</v>
      </c>
      <c r="AZ171" s="145" t="n">
        <v>184564</v>
      </c>
      <c r="BA171" s="145" t="n">
        <v>180261</v>
      </c>
      <c r="BB171" s="145" t="n">
        <v>36766</v>
      </c>
      <c r="BC171" s="145" t="n">
        <v>75132</v>
      </c>
      <c r="BD171" s="145" t="n">
        <v>110662</v>
      </c>
      <c r="BE171" s="145" t="n">
        <v>160338</v>
      </c>
      <c r="BF171" s="145" t="n">
        <v>68222</v>
      </c>
      <c r="BG171" s="145" t="n">
        <v>137899</v>
      </c>
      <c r="BH171" s="145" t="n">
        <v>212598</v>
      </c>
      <c r="BI171" s="145" t="n">
        <v>277866</v>
      </c>
      <c r="BJ171" s="145" t="n">
        <v>69628</v>
      </c>
      <c r="BK171" s="145" t="n">
        <v>126959</v>
      </c>
      <c r="BL171" s="145" t="n">
        <v>203657</v>
      </c>
      <c r="BM171" s="145" t="n">
        <v>110762</v>
      </c>
      <c r="BN171" s="145" t="n">
        <v>60135</v>
      </c>
      <c r="BO171" s="145" t="n">
        <v>122456</v>
      </c>
      <c r="BP171" s="145" t="n">
        <v>177450</v>
      </c>
      <c r="BQ171" s="145" t="n">
        <v>218878</v>
      </c>
      <c r="BR171" s="145" t="n">
        <v>24099</v>
      </c>
      <c r="BS171" t="n">
        <v>20154</v>
      </c>
      <c r="BT171" t="inlineStr">
        <is>
          <t>IPGP-Financial-Data-Workbook-2024-Q2.xlsx|Cash Flows|6|93</t>
        </is>
      </c>
    </row>
    <row r="172">
      <c r="A172" s="74" t="inlineStr">
        <is>
          <t>Adjustments to reconcile net income to net cash provided by operating activities:</t>
        </is>
      </c>
      <c r="B172" s="145" t="n"/>
      <c r="C172" s="145" t="n"/>
      <c r="D172" s="145" t="n"/>
      <c r="E172" s="145" t="n"/>
      <c r="F172" s="145" t="n"/>
      <c r="G172" s="145" t="n"/>
      <c r="H172" s="145" t="n"/>
      <c r="I172" s="145" t="n"/>
      <c r="J172" s="145" t="n"/>
      <c r="K172" s="145" t="n"/>
      <c r="L172" s="145" t="n"/>
      <c r="M172" s="145" t="n"/>
      <c r="N172" s="145" t="n"/>
      <c r="O172" s="145" t="n"/>
      <c r="P172" s="145" t="n"/>
      <c r="Q172" s="145" t="n"/>
      <c r="R172" s="145" t="n"/>
      <c r="S172" s="145" t="n"/>
      <c r="T172" s="145" t="n"/>
      <c r="U172" s="145" t="n"/>
      <c r="V172" s="145" t="n"/>
      <c r="W172" s="145" t="n"/>
      <c r="X172" s="145" t="n"/>
      <c r="Y172" s="145" t="n"/>
      <c r="Z172" s="145" t="n"/>
      <c r="AA172" s="145" t="n"/>
      <c r="AB172" s="145" t="n"/>
      <c r="AC172" s="145" t="n"/>
      <c r="AD172" s="145" t="n"/>
      <c r="AE172" s="145" t="n"/>
      <c r="AF172" s="145" t="n"/>
      <c r="AG172" s="145" t="n"/>
      <c r="AH172" s="145" t="n"/>
      <c r="AI172" s="145" t="n"/>
      <c r="AJ172" s="145" t="n"/>
      <c r="AK172" s="145" t="n"/>
      <c r="AL172" s="145" t="n"/>
      <c r="AM172" s="145" t="n"/>
      <c r="AN172" s="145" t="n"/>
      <c r="AO172" s="145" t="n"/>
      <c r="AP172" s="145" t="n"/>
      <c r="AQ172" s="145" t="n"/>
      <c r="AR172" s="145" t="n"/>
      <c r="AS172" s="145" t="n"/>
      <c r="AT172" s="145" t="n"/>
      <c r="AU172" s="145" t="n"/>
      <c r="AV172" s="145" t="n"/>
      <c r="AW172" s="145" t="n"/>
      <c r="AX172" s="145" t="n"/>
      <c r="AY172" s="145" t="n"/>
      <c r="AZ172" s="145" t="n"/>
      <c r="BA172" s="145" t="n"/>
      <c r="BB172" s="145" t="n"/>
      <c r="BC172" s="145" t="n"/>
      <c r="BD172" s="145" t="n"/>
      <c r="BE172" s="145" t="n"/>
      <c r="BF172" s="145" t="n"/>
      <c r="BG172" s="145" t="n"/>
      <c r="BH172" s="145" t="n"/>
      <c r="BI172" s="145" t="n"/>
      <c r="BJ172" s="145" t="n"/>
      <c r="BK172" s="145" t="n"/>
      <c r="BL172" s="145" t="n"/>
      <c r="BM172" s="145" t="n"/>
      <c r="BN172" s="145" t="n"/>
      <c r="BO172" s="145" t="n"/>
      <c r="BP172" s="145" t="n"/>
      <c r="BQ172" s="145" t="n"/>
      <c r="BR172" s="145" t="n"/>
    </row>
    <row r="173">
      <c r="A173" s="33" t="inlineStr">
        <is>
          <t>Depreciation and amortization</t>
        </is>
      </c>
      <c r="B173" s="145" t="n"/>
      <c r="C173" s="145" t="n"/>
      <c r="D173" s="145" t="n"/>
      <c r="E173" s="145" t="n"/>
      <c r="F173" s="145" t="n"/>
      <c r="G173" s="145" t="n"/>
      <c r="H173" s="145" t="n"/>
      <c r="I173" s="145" t="n"/>
      <c r="J173" s="145" t="n"/>
      <c r="K173" s="145" t="n"/>
      <c r="L173" s="145" t="n"/>
      <c r="M173" s="145" t="n"/>
      <c r="N173" s="145" t="n">
        <v>5226</v>
      </c>
      <c r="O173" s="145" t="n">
        <v>10514</v>
      </c>
      <c r="P173" s="145" t="n">
        <v>16098</v>
      </c>
      <c r="Q173" s="145" t="n">
        <v>21845</v>
      </c>
      <c r="R173" s="145" t="n">
        <v>5658</v>
      </c>
      <c r="S173" s="145" t="n">
        <v>11955</v>
      </c>
      <c r="T173" s="145" t="n">
        <v>18182</v>
      </c>
      <c r="U173" s="145" t="n">
        <v>23962</v>
      </c>
      <c r="V173" s="145" t="n">
        <v>6215</v>
      </c>
      <c r="W173" s="145" t="n">
        <v>12358</v>
      </c>
      <c r="X173" s="145" t="n">
        <v>19168</v>
      </c>
      <c r="Y173" s="145" t="n">
        <v>26144</v>
      </c>
      <c r="Z173" s="145" t="n">
        <v>7217</v>
      </c>
      <c r="AA173" s="145" t="n">
        <v>14885</v>
      </c>
      <c r="AB173" s="145" t="n">
        <v>23414</v>
      </c>
      <c r="AC173" s="145" t="n">
        <v>31524</v>
      </c>
      <c r="AD173" s="145" t="n">
        <v>8102</v>
      </c>
      <c r="AE173" s="145" t="n">
        <v>17088</v>
      </c>
      <c r="AF173" s="145" t="n">
        <v>26409</v>
      </c>
      <c r="AG173" s="145" t="n">
        <v>35612</v>
      </c>
      <c r="AH173" s="145" t="n">
        <v>9743</v>
      </c>
      <c r="AI173" s="145" t="n">
        <v>20176</v>
      </c>
      <c r="AJ173" s="145" t="n">
        <v>31079</v>
      </c>
      <c r="AK173" s="145" t="n">
        <v>42415</v>
      </c>
      <c r="AL173" s="145" t="n">
        <v>11394</v>
      </c>
      <c r="AM173" s="145" t="n">
        <v>23653</v>
      </c>
      <c r="AN173" s="145" t="n">
        <v>37646</v>
      </c>
      <c r="AO173" s="145" t="n">
        <v>51475</v>
      </c>
      <c r="AP173" s="145" t="n">
        <v>14504</v>
      </c>
      <c r="AQ173" s="145" t="n">
        <v>29714</v>
      </c>
      <c r="AR173" s="145" t="n">
        <v>46416</v>
      </c>
      <c r="AS173" s="145" t="n">
        <v>64568</v>
      </c>
      <c r="AT173" s="145" t="n">
        <v>19223</v>
      </c>
      <c r="AU173" s="145" t="n">
        <v>38727</v>
      </c>
      <c r="AV173" s="145" t="n">
        <v>58894</v>
      </c>
      <c r="AW173" s="145" t="n">
        <v>80271</v>
      </c>
      <c r="AX173" s="145" t="n">
        <v>22802</v>
      </c>
      <c r="AY173" s="145" t="n">
        <v>47486</v>
      </c>
      <c r="AZ173" s="145" t="n">
        <v>72531</v>
      </c>
      <c r="BA173" s="145" t="n">
        <v>96268</v>
      </c>
      <c r="BB173" s="145" t="n">
        <v>24099</v>
      </c>
      <c r="BC173" s="145" t="n">
        <v>47350</v>
      </c>
      <c r="BD173" s="145" t="n">
        <v>71188</v>
      </c>
      <c r="BE173" s="145" t="n">
        <v>94554</v>
      </c>
      <c r="BF173" s="145" t="n">
        <v>23819</v>
      </c>
      <c r="BG173" s="145" t="n">
        <v>47976</v>
      </c>
      <c r="BH173" s="145" t="n">
        <v>72127</v>
      </c>
      <c r="BI173" s="145" t="n">
        <v>96330</v>
      </c>
      <c r="BJ173" s="145" t="n">
        <v>23435</v>
      </c>
      <c r="BK173" s="145" t="n">
        <v>47104</v>
      </c>
      <c r="BL173" s="145" t="n">
        <v>69852</v>
      </c>
      <c r="BM173" s="145" t="n">
        <v>90564</v>
      </c>
      <c r="BN173" s="145" t="n">
        <v>17889</v>
      </c>
      <c r="BO173" s="145" t="n">
        <v>35343</v>
      </c>
      <c r="BP173" s="145" t="n">
        <v>52678</v>
      </c>
      <c r="BQ173" s="145" t="n">
        <v>69621</v>
      </c>
      <c r="BR173" s="145" t="n">
        <v>16214</v>
      </c>
      <c r="BS173" t="n">
        <v>15758</v>
      </c>
      <c r="BT173" t="inlineStr">
        <is>
          <t>IPGP-Financial-Data-Workbook-2024-Q2.xlsx|Key Metrics|47|93</t>
        </is>
      </c>
    </row>
    <row r="174">
      <c r="A174" s="33" t="inlineStr">
        <is>
          <t>Deferred income taxes</t>
        </is>
      </c>
      <c r="B174" s="145" t="n"/>
      <c r="C174" s="145" t="n"/>
      <c r="D174" s="145" t="n"/>
      <c r="E174" s="145" t="n"/>
      <c r="F174" s="145" t="n"/>
      <c r="G174" s="145" t="n"/>
      <c r="H174" s="145" t="n"/>
      <c r="I174" s="145" t="n"/>
      <c r="J174" s="145" t="n"/>
      <c r="K174" s="145" t="n"/>
      <c r="L174" s="145" t="n"/>
      <c r="M174" s="145" t="n"/>
      <c r="N174" s="145" t="n">
        <v>-2409</v>
      </c>
      <c r="O174" s="145" t="n">
        <v>-2766</v>
      </c>
      <c r="P174" s="145" t="n">
        <v>-2073</v>
      </c>
      <c r="Q174" s="145" t="n">
        <v>401</v>
      </c>
      <c r="R174" s="145" t="n">
        <v>5201</v>
      </c>
      <c r="S174" s="145" t="n">
        <v>6624</v>
      </c>
      <c r="T174" s="145" t="n">
        <v>564</v>
      </c>
      <c r="U174" s="145" t="n">
        <v>-288</v>
      </c>
      <c r="V174" s="145" t="n">
        <v>2854</v>
      </c>
      <c r="W174" s="145" t="n">
        <v>389</v>
      </c>
      <c r="X174" s="145" t="n">
        <v>2705</v>
      </c>
      <c r="Y174" s="145" t="n">
        <v>5546</v>
      </c>
      <c r="Z174" s="145" t="n">
        <v>4324</v>
      </c>
      <c r="AA174" s="145" t="n">
        <v>-3385</v>
      </c>
      <c r="AB174" s="145" t="n">
        <v>-7591</v>
      </c>
      <c r="AC174" s="145" t="n">
        <v>-6168</v>
      </c>
      <c r="AD174" s="145" t="n">
        <v>-2610</v>
      </c>
      <c r="AE174" s="145" t="n">
        <v>-4893</v>
      </c>
      <c r="AF174" s="145" t="n">
        <v>-5954</v>
      </c>
      <c r="AG174" s="145" t="n">
        <v>-1486</v>
      </c>
      <c r="AH174" s="145" t="n">
        <v>5708</v>
      </c>
      <c r="AI174" s="145" t="n">
        <v>-2118</v>
      </c>
      <c r="AJ174" s="145" t="n">
        <v>-7144</v>
      </c>
      <c r="AK174" s="145" t="n">
        <v>-7153</v>
      </c>
      <c r="AL174" s="145" t="n">
        <v>-2741</v>
      </c>
      <c r="AM174" s="145" t="n">
        <v>-9268</v>
      </c>
      <c r="AN174" s="145" t="n">
        <v>-12054</v>
      </c>
      <c r="AO174" s="145" t="n">
        <v>-12908</v>
      </c>
      <c r="AP174" s="145" t="n">
        <v>4208</v>
      </c>
      <c r="AQ174" s="145" t="n">
        <v>4533</v>
      </c>
      <c r="AR174" s="145" t="n">
        <v>14534</v>
      </c>
      <c r="AS174" s="145" t="n">
        <v>22881</v>
      </c>
      <c r="AT174" s="145" t="n">
        <v>7401</v>
      </c>
      <c r="AU174" s="145" t="n">
        <v>6097</v>
      </c>
      <c r="AV174" s="145" t="n">
        <v>2954</v>
      </c>
      <c r="AW174" s="145" t="n">
        <v>-4576</v>
      </c>
      <c r="AX174" s="145" t="n">
        <v>9199</v>
      </c>
      <c r="AY174" s="145" t="n">
        <v>2628</v>
      </c>
      <c r="AZ174" s="145" t="n">
        <v>-4214</v>
      </c>
      <c r="BA174" s="145" t="n">
        <v>-15489</v>
      </c>
      <c r="BB174" s="145" t="n">
        <v>-935</v>
      </c>
      <c r="BC174" s="145" t="n">
        <v>1591</v>
      </c>
      <c r="BD174" s="145" t="n">
        <v>-10122</v>
      </c>
      <c r="BE174" s="145" t="n">
        <v>-12813</v>
      </c>
      <c r="BF174" s="145" t="n">
        <v>3944</v>
      </c>
      <c r="BG174" s="145" t="n"/>
      <c r="BH174" s="145" t="n"/>
      <c r="BI174" s="145" t="n">
        <v>-6885</v>
      </c>
      <c r="BJ174" s="145" t="n">
        <v>-3397</v>
      </c>
      <c r="BK174" s="145" t="n"/>
      <c r="BL174" s="145" t="n"/>
      <c r="BM174" s="145" t="n">
        <v>-27575</v>
      </c>
      <c r="BN174" s="145" t="n">
        <v>16106</v>
      </c>
      <c r="BO174" s="145" t="n"/>
      <c r="BP174" s="145" t="n"/>
      <c r="BQ174" s="145" t="n"/>
      <c r="BR174" s="145" t="n"/>
      <c r="BS174" t="n">
        <v>-3324</v>
      </c>
      <c r="BT174" t="inlineStr">
        <is>
          <t>IPGP-Financial-Data-Workbook-2024-Q2.xlsx|Cash Flows|11|93</t>
        </is>
      </c>
    </row>
    <row r="175">
      <c r="A175" s="33" t="inlineStr">
        <is>
          <t>Stock-based compensation</t>
        </is>
      </c>
      <c r="B175" s="145" t="n"/>
      <c r="C175" s="145" t="n"/>
      <c r="D175" s="145" t="n"/>
      <c r="E175" s="145" t="n"/>
      <c r="F175" s="145" t="n"/>
      <c r="G175" s="145" t="n"/>
      <c r="H175" s="145" t="n"/>
      <c r="I175" s="145" t="n"/>
      <c r="J175" s="145" t="n"/>
      <c r="K175" s="145" t="n"/>
      <c r="L175" s="145" t="n"/>
      <c r="M175" s="145" t="n"/>
      <c r="N175" s="145" t="n">
        <v>770</v>
      </c>
      <c r="O175" s="145" t="n">
        <v>1563</v>
      </c>
      <c r="P175" s="145" t="n">
        <v>2478</v>
      </c>
      <c r="Q175" s="145" t="n">
        <v>3196</v>
      </c>
      <c r="R175" s="145" t="n">
        <v>2607</v>
      </c>
      <c r="S175" s="145" t="n">
        <v>4301</v>
      </c>
      <c r="T175" s="145" t="n">
        <v>6180</v>
      </c>
      <c r="U175" s="145" t="n">
        <v>8048</v>
      </c>
      <c r="V175" s="145" t="n">
        <v>1998</v>
      </c>
      <c r="W175" s="145" t="n">
        <v>4199</v>
      </c>
      <c r="X175" s="145" t="n">
        <v>6358</v>
      </c>
      <c r="Y175" s="145" t="n">
        <v>8565</v>
      </c>
      <c r="Z175" s="145" t="n">
        <v>2532</v>
      </c>
      <c r="AA175" s="145" t="n">
        <v>5472</v>
      </c>
      <c r="AB175" s="145" t="n">
        <v>8604</v>
      </c>
      <c r="AC175" s="145" t="n">
        <v>11720</v>
      </c>
      <c r="AD175" s="145" t="n">
        <v>3267</v>
      </c>
      <c r="AE175" s="145" t="n">
        <v>7172</v>
      </c>
      <c r="AF175" s="145" t="n">
        <v>11067</v>
      </c>
      <c r="AG175" s="145" t="n">
        <v>15172</v>
      </c>
      <c r="AH175" s="145" t="n">
        <v>4127</v>
      </c>
      <c r="AI175" s="145" t="n">
        <v>8862</v>
      </c>
      <c r="AJ175" s="145" t="n">
        <v>13875</v>
      </c>
      <c r="AK175" s="145" t="n">
        <v>18989</v>
      </c>
      <c r="AL175" s="145" t="n">
        <v>4959</v>
      </c>
      <c r="AM175" s="145" t="n">
        <v>10436</v>
      </c>
      <c r="AN175" s="145" t="n">
        <v>16099</v>
      </c>
      <c r="AO175" s="145" t="n">
        <v>21734</v>
      </c>
      <c r="AP175" s="145" t="n">
        <v>5351</v>
      </c>
      <c r="AQ175" s="145" t="n">
        <v>11059</v>
      </c>
      <c r="AR175" s="145" t="n">
        <v>16989</v>
      </c>
      <c r="AS175" s="145" t="n">
        <v>23021</v>
      </c>
      <c r="AT175" s="145" t="n">
        <v>6415</v>
      </c>
      <c r="AU175" s="145" t="n">
        <v>13724</v>
      </c>
      <c r="AV175" s="145" t="n">
        <v>21443</v>
      </c>
      <c r="AW175" s="145" t="n">
        <v>28027</v>
      </c>
      <c r="AX175" s="145" t="n">
        <v>8138</v>
      </c>
      <c r="AY175" s="145" t="n">
        <v>17031</v>
      </c>
      <c r="AZ175" s="145" t="n">
        <v>25571</v>
      </c>
      <c r="BA175" s="145" t="n">
        <v>33363</v>
      </c>
      <c r="BB175" s="145" t="n">
        <v>8430</v>
      </c>
      <c r="BC175" s="145" t="n">
        <v>17653</v>
      </c>
      <c r="BD175" s="145" t="n">
        <v>26394</v>
      </c>
      <c r="BE175" s="145" t="n">
        <v>35472</v>
      </c>
      <c r="BF175" s="145" t="n">
        <v>8815</v>
      </c>
      <c r="BG175" s="145" t="n"/>
      <c r="BH175" s="145" t="n"/>
      <c r="BI175" s="145" t="n">
        <v>37864</v>
      </c>
      <c r="BJ175" s="145" t="n">
        <v>9994</v>
      </c>
      <c r="BK175" s="145" t="n"/>
      <c r="BL175" s="145" t="n"/>
      <c r="BM175" s="145" t="n">
        <v>38302</v>
      </c>
      <c r="BN175" s="145" t="n">
        <v>9576</v>
      </c>
      <c r="BO175" s="145" t="n"/>
      <c r="BP175" s="145" t="n"/>
      <c r="BQ175" s="145" t="n"/>
      <c r="BR175" s="145" t="n"/>
      <c r="BS175" t="n">
        <v>8544</v>
      </c>
      <c r="BT175" t="inlineStr">
        <is>
          <t>IPGP-Financial-Data-Workbook-2024-Q2.xlsx|Cash Flows|12|93</t>
        </is>
      </c>
    </row>
    <row r="176">
      <c r="A176" s="33" t="inlineStr">
        <is>
          <t>Unrealized losses (gains) on foreign currency transactions</t>
        </is>
      </c>
      <c r="B176" s="145" t="n"/>
      <c r="C176" s="145" t="n"/>
      <c r="D176" s="145" t="n"/>
      <c r="E176" s="145" t="n"/>
      <c r="F176" s="145" t="n"/>
      <c r="G176" s="145" t="n"/>
      <c r="H176" s="145" t="n"/>
      <c r="I176" s="145" t="n"/>
      <c r="J176" s="145" t="n"/>
      <c r="K176" s="145" t="n"/>
      <c r="L176" s="145" t="n"/>
      <c r="M176" s="145" t="n"/>
      <c r="N176" s="145" t="n">
        <v>-106</v>
      </c>
      <c r="O176" s="145" t="n">
        <v>-2403</v>
      </c>
      <c r="P176" s="145" t="n">
        <v>-325</v>
      </c>
      <c r="Q176" s="145" t="n">
        <v>-888</v>
      </c>
      <c r="R176" s="145" t="n">
        <v>744</v>
      </c>
      <c r="S176" s="145" t="n">
        <v>551</v>
      </c>
      <c r="T176" s="145" t="n">
        <v>-182</v>
      </c>
      <c r="U176" s="145" t="n">
        <v>-764</v>
      </c>
      <c r="V176" s="145" t="n">
        <v>1747</v>
      </c>
      <c r="W176" s="145" t="n">
        <v>-865</v>
      </c>
      <c r="X176" s="145" t="n">
        <v>1484</v>
      </c>
      <c r="Y176" s="145" t="n">
        <v>1250</v>
      </c>
      <c r="Z176" s="145" t="n">
        <v>-481</v>
      </c>
      <c r="AA176" s="145" t="n">
        <v>-591</v>
      </c>
      <c r="AB176" s="145" t="n">
        <v>972</v>
      </c>
      <c r="AC176" s="145" t="n">
        <v>-235</v>
      </c>
      <c r="AD176" s="145" t="n">
        <v>-1355</v>
      </c>
      <c r="AE176" s="145" t="n">
        <v>-2225</v>
      </c>
      <c r="AF176" s="145" t="n">
        <v>-4547</v>
      </c>
      <c r="AG176" s="145" t="n">
        <v>-3497</v>
      </c>
      <c r="AH176" s="145" t="n">
        <v>-5415</v>
      </c>
      <c r="AI176" s="145" t="n">
        <v>-3412</v>
      </c>
      <c r="AJ176" s="145" t="n">
        <v>-3893</v>
      </c>
      <c r="AK176" s="145" t="n">
        <v>-5491</v>
      </c>
      <c r="AL176" s="145" t="n">
        <v>4802</v>
      </c>
      <c r="AM176" s="145" t="n">
        <v>2240</v>
      </c>
      <c r="AN176" s="145" t="n">
        <v>6044</v>
      </c>
      <c r="AO176" s="145" t="n">
        <v>2298</v>
      </c>
      <c r="AP176" s="145" t="n">
        <v>3462</v>
      </c>
      <c r="AQ176" s="145" t="n">
        <v>5538</v>
      </c>
      <c r="AR176" s="145" t="n">
        <v>8197</v>
      </c>
      <c r="AS176" s="145" t="n">
        <v>7949</v>
      </c>
      <c r="AT176" s="145" t="n">
        <v>-1991</v>
      </c>
      <c r="AU176" s="145" t="n">
        <v>-1056</v>
      </c>
      <c r="AV176" s="145" t="n">
        <v>-1779</v>
      </c>
      <c r="AW176" s="145" t="n">
        <v>-2670</v>
      </c>
      <c r="AX176" s="145" t="n">
        <v>267</v>
      </c>
      <c r="AY176" s="145" t="n">
        <v>4185</v>
      </c>
      <c r="AZ176" s="145" t="n">
        <v>7033</v>
      </c>
      <c r="BA176" s="145" t="n">
        <v>11004</v>
      </c>
      <c r="BB176" s="145" t="n">
        <v>-19589</v>
      </c>
      <c r="BC176" s="145" t="n">
        <v>-8737</v>
      </c>
      <c r="BD176" s="145" t="n">
        <v>-21759</v>
      </c>
      <c r="BE176" s="145" t="n">
        <v>-19935</v>
      </c>
      <c r="BF176" s="145" t="n">
        <v>-7800</v>
      </c>
      <c r="BG176" s="145" t="n"/>
      <c r="BH176" s="145" t="n"/>
      <c r="BI176" s="145" t="n">
        <v>-8560</v>
      </c>
      <c r="BJ176" s="145" t="n">
        <v>-2393</v>
      </c>
      <c r="BK176" s="145" t="n"/>
      <c r="BL176" s="145" t="n"/>
      <c r="BM176" s="145" t="n">
        <v>-592</v>
      </c>
      <c r="BN176" s="145" t="n">
        <v>-1877</v>
      </c>
      <c r="BO176" s="145" t="n"/>
      <c r="BP176" s="145" t="n"/>
      <c r="BQ176" s="145" t="n"/>
      <c r="BR176" s="145" t="n"/>
    </row>
    <row r="177">
      <c r="A177" s="33" t="inlineStr">
        <is>
          <t>Other</t>
        </is>
      </c>
      <c r="B177" s="145" t="n"/>
      <c r="C177" s="145" t="n"/>
      <c r="D177" s="145" t="n"/>
      <c r="E177" s="145" t="n"/>
      <c r="F177" s="145" t="n"/>
      <c r="G177" s="145" t="n"/>
      <c r="H177" s="145" t="n"/>
      <c r="I177" s="145" t="n"/>
      <c r="J177" s="145" t="n"/>
      <c r="K177" s="145" t="n"/>
      <c r="L177" s="145" t="n"/>
      <c r="M177" s="145" t="n"/>
      <c r="N177" s="145" t="n">
        <v>-10</v>
      </c>
      <c r="O177" s="145" t="n">
        <v>-51</v>
      </c>
      <c r="P177" s="145" t="n">
        <v>142</v>
      </c>
      <c r="Q177" s="145" t="n">
        <v>1184</v>
      </c>
      <c r="R177" s="145" t="n">
        <v>-293</v>
      </c>
      <c r="S177" s="145" t="n">
        <v>530</v>
      </c>
      <c r="T177" s="145" t="n">
        <v>548</v>
      </c>
      <c r="U177" s="145" t="n">
        <v>565</v>
      </c>
      <c r="V177" s="145" t="n">
        <v>12</v>
      </c>
      <c r="W177" s="145" t="n">
        <v>12</v>
      </c>
      <c r="X177" s="145" t="n">
        <v>38</v>
      </c>
      <c r="Y177" s="145" t="n">
        <v>-19</v>
      </c>
      <c r="Z177" s="145" t="n">
        <v>-16</v>
      </c>
      <c r="AA177" s="145" t="n">
        <v>460</v>
      </c>
      <c r="AB177" s="145" t="n">
        <v>369</v>
      </c>
      <c r="AC177" s="145" t="n">
        <v>62</v>
      </c>
      <c r="AD177" s="145" t="n">
        <v>422</v>
      </c>
      <c r="AE177" s="145" t="n">
        <v>335</v>
      </c>
      <c r="AF177" s="145" t="n">
        <v>464</v>
      </c>
      <c r="AG177" s="145" t="n">
        <v>459</v>
      </c>
      <c r="AH177" s="145" t="n">
        <v>50</v>
      </c>
      <c r="AI177" s="145" t="n">
        <v>95</v>
      </c>
      <c r="AJ177" s="145" t="n">
        <v>191</v>
      </c>
      <c r="AK177" s="145" t="n">
        <v>510</v>
      </c>
      <c r="AL177" s="145" t="n">
        <v>175</v>
      </c>
      <c r="AM177" s="145" t="n">
        <v>294</v>
      </c>
      <c r="AN177" s="145" t="n">
        <v>193</v>
      </c>
      <c r="AO177" s="145" t="n">
        <v>2724</v>
      </c>
      <c r="AP177" s="145" t="n">
        <v>842</v>
      </c>
      <c r="AQ177" s="145" t="n">
        <v>688</v>
      </c>
      <c r="AR177" s="145" t="n">
        <v>699</v>
      </c>
      <c r="AS177" s="145" t="n">
        <v>986</v>
      </c>
      <c r="AT177" s="145" t="n">
        <v>4</v>
      </c>
      <c r="AU177" s="145" t="n">
        <v>-181</v>
      </c>
      <c r="AV177" s="145" t="n">
        <v>-1936</v>
      </c>
      <c r="AW177" s="145" t="n">
        <v>-3586</v>
      </c>
      <c r="AX177" s="145" t="n">
        <v>-1392</v>
      </c>
      <c r="AY177" s="145" t="n">
        <v>170</v>
      </c>
      <c r="AZ177" s="145" t="n">
        <v>854</v>
      </c>
      <c r="BA177" s="145">
        <f>3320+37120+5350</f>
        <v/>
      </c>
      <c r="BB177" s="145" t="n">
        <v>1015</v>
      </c>
      <c r="BC177" s="145">
        <f>2635+671</f>
        <v/>
      </c>
      <c r="BD177" s="145">
        <f>6823+671+44589</f>
        <v/>
      </c>
      <c r="BE177" s="145">
        <f>8642+44589+671</f>
        <v/>
      </c>
      <c r="BF177" s="145" t="n">
        <v>1462</v>
      </c>
      <c r="BG177" s="145">
        <f>18665</f>
        <v/>
      </c>
      <c r="BH177" s="145">
        <f>-4757+28536-4313+5828</f>
        <v/>
      </c>
      <c r="BI177" s="145" t="n">
        <v>8618</v>
      </c>
      <c r="BJ177" s="145" t="n">
        <v>2368</v>
      </c>
      <c r="BK177" s="145" t="n">
        <v>25579</v>
      </c>
      <c r="BL177" s="145">
        <f>-21550+919+29201+8355-21748+4195</f>
        <v/>
      </c>
      <c r="BM177" s="145">
        <f>1654+79949-31846</f>
        <v/>
      </c>
      <c r="BN177" s="145">
        <f>-4244</f>
        <v/>
      </c>
      <c r="BO177" s="145" t="n">
        <v>13615</v>
      </c>
      <c r="BP177" s="145">
        <f>-486+5238</f>
        <v/>
      </c>
      <c r="BQ177" s="145">
        <f>-486+1471</f>
        <v/>
      </c>
      <c r="BR177" s="145" t="n">
        <v>143</v>
      </c>
      <c r="BS177" t="n">
        <v>-5592</v>
      </c>
      <c r="BT177" t="inlineStr">
        <is>
          <t>IPGP-Financial-Data-Workbook-2024-Q2.xlsx|Cash Flows|15|93</t>
        </is>
      </c>
    </row>
    <row r="178">
      <c r="A178" s="33" t="inlineStr">
        <is>
          <t>Provisions for inventory, warranty and bad debt</t>
        </is>
      </c>
      <c r="B178" s="145" t="n"/>
      <c r="C178" s="145" t="n"/>
      <c r="D178" s="145" t="n"/>
      <c r="E178" s="145" t="n"/>
      <c r="F178" s="145" t="n"/>
      <c r="G178" s="145" t="n"/>
      <c r="H178" s="145" t="n"/>
      <c r="I178" s="145" t="n"/>
      <c r="J178" s="145" t="n"/>
      <c r="K178" s="145" t="n"/>
      <c r="L178" s="145" t="n"/>
      <c r="M178" s="145" t="n"/>
      <c r="N178" s="145" t="n">
        <v>1718</v>
      </c>
      <c r="O178" s="145" t="n">
        <v>4475</v>
      </c>
      <c r="P178" s="145" t="n">
        <v>8110</v>
      </c>
      <c r="Q178" s="145" t="n">
        <v>11377</v>
      </c>
      <c r="R178" s="145" t="n">
        <v>3806</v>
      </c>
      <c r="S178" s="145" t="n">
        <v>7056</v>
      </c>
      <c r="T178" s="145" t="n">
        <v>11859</v>
      </c>
      <c r="U178" s="145" t="n">
        <v>15346</v>
      </c>
      <c r="V178" s="145" t="n">
        <v>3799</v>
      </c>
      <c r="W178" s="145" t="n">
        <v>8502</v>
      </c>
      <c r="X178" s="145" t="n">
        <v>14762</v>
      </c>
      <c r="Y178" s="145" t="n">
        <v>19967</v>
      </c>
      <c r="Z178" s="145" t="n">
        <v>3705</v>
      </c>
      <c r="AA178" s="145" t="n">
        <v>10255</v>
      </c>
      <c r="AB178" s="145" t="n">
        <v>18203</v>
      </c>
      <c r="AC178" s="145" t="n">
        <v>29975</v>
      </c>
      <c r="AD178" s="145" t="n">
        <v>5284</v>
      </c>
      <c r="AE178" s="145" t="n">
        <v>12207</v>
      </c>
      <c r="AF178" s="145" t="n">
        <v>19906</v>
      </c>
      <c r="AG178" s="145" t="n">
        <v>28036</v>
      </c>
      <c r="AH178" s="145" t="n">
        <v>8017</v>
      </c>
      <c r="AI178" s="145" t="n">
        <v>18804</v>
      </c>
      <c r="AJ178" s="145" t="n">
        <v>29414</v>
      </c>
      <c r="AK178" s="145" t="n">
        <v>39985</v>
      </c>
      <c r="AL178" s="145" t="n">
        <v>8927</v>
      </c>
      <c r="AM178" s="145" t="n">
        <v>20459</v>
      </c>
      <c r="AN178" s="145" t="n">
        <v>33506</v>
      </c>
      <c r="AO178" s="145" t="n">
        <v>46469</v>
      </c>
      <c r="AP178" s="145" t="n">
        <v>9002</v>
      </c>
      <c r="AQ178" s="145" t="n">
        <v>22754</v>
      </c>
      <c r="AR178" s="145" t="n">
        <v>34690</v>
      </c>
      <c r="AS178" s="145" t="n">
        <v>44978</v>
      </c>
      <c r="AT178" s="145" t="n">
        <v>9318</v>
      </c>
      <c r="AU178" s="145" t="n">
        <v>20092</v>
      </c>
      <c r="AV178" s="145" t="n">
        <v>30582</v>
      </c>
      <c r="AW178" s="145" t="n">
        <v>38862</v>
      </c>
      <c r="AX178" s="145" t="n">
        <v>9912</v>
      </c>
      <c r="AY178" s="145" t="n">
        <v>22697</v>
      </c>
      <c r="AZ178" s="145" t="n">
        <v>38748</v>
      </c>
      <c r="BA178" s="145" t="n">
        <v>63752</v>
      </c>
      <c r="BB178" s="145" t="n">
        <v>13486</v>
      </c>
      <c r="BC178" s="145" t="n">
        <v>24484</v>
      </c>
      <c r="BD178" s="145" t="n">
        <v>42559</v>
      </c>
      <c r="BE178" s="145" t="n">
        <v>70572</v>
      </c>
      <c r="BF178" s="145" t="n">
        <v>16685</v>
      </c>
      <c r="BG178" s="145" t="n">
        <v>32654</v>
      </c>
      <c r="BH178" s="145" t="n">
        <v>50364</v>
      </c>
      <c r="BI178" s="145" t="n">
        <v>68441</v>
      </c>
      <c r="BJ178" s="145" t="n">
        <v>16142</v>
      </c>
      <c r="BK178" s="145" t="n">
        <v>38644</v>
      </c>
      <c r="BL178" s="145" t="n">
        <v>58990</v>
      </c>
      <c r="BM178" s="145" t="n">
        <v>153652</v>
      </c>
      <c r="BN178" s="145" t="n">
        <v>17214</v>
      </c>
      <c r="BO178" s="145" t="n">
        <v>31846</v>
      </c>
      <c r="BP178" s="145" t="n">
        <v>43889</v>
      </c>
      <c r="BQ178" s="145" t="n">
        <v>61058</v>
      </c>
      <c r="BR178" s="145" t="n">
        <v>14761</v>
      </c>
      <c r="BS178" t="n">
        <v>15604</v>
      </c>
      <c r="BT178" t="inlineStr">
        <is>
          <t>IPGP-Financial-Data-Workbook-2024-Q2.xlsx|Cash Flows|16|93</t>
        </is>
      </c>
    </row>
    <row r="179">
      <c r="A179" s="74" t="inlineStr">
        <is>
          <t>Changes in assets and liabilities that (used) provided cash, net of acquisitions:</t>
        </is>
      </c>
      <c r="B179" s="145" t="n"/>
      <c r="C179" s="145" t="n"/>
      <c r="D179" s="145" t="n"/>
      <c r="E179" s="145" t="n"/>
      <c r="F179" s="145" t="n"/>
      <c r="G179" s="145" t="n"/>
      <c r="H179" s="145" t="n"/>
      <c r="I179" s="145" t="n"/>
      <c r="J179" s="145" t="n"/>
      <c r="K179" s="145" t="n"/>
      <c r="L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c r="AG179" s="145" t="n"/>
      <c r="AH179" s="145" t="n"/>
      <c r="AI179" s="145" t="n"/>
      <c r="AJ179" s="145" t="n"/>
      <c r="AK179" s="145" t="n"/>
      <c r="AL179" s="145" t="n"/>
      <c r="AM179" s="145" t="n"/>
      <c r="AN179" s="145" t="n"/>
      <c r="AO179" s="145" t="n"/>
      <c r="AP179" s="145" t="n"/>
      <c r="AQ179" s="145" t="n"/>
      <c r="AR179" s="145" t="n"/>
      <c r="AS179" s="145" t="n"/>
      <c r="AT179" s="145" t="n"/>
      <c r="AU179" s="145" t="n"/>
      <c r="AV179" s="145" t="n"/>
      <c r="AW179" s="145" t="n"/>
      <c r="AX179" s="145" t="n"/>
      <c r="AY179" s="145" t="n"/>
      <c r="AZ179" s="145" t="n"/>
      <c r="BA179" s="145" t="n"/>
      <c r="BB179" s="145" t="n"/>
      <c r="BC179" s="145" t="n"/>
      <c r="BD179" s="145" t="n"/>
      <c r="BE179" s="145" t="n"/>
      <c r="BF179" s="145" t="n"/>
      <c r="BG179" s="145" t="n"/>
      <c r="BH179" s="145" t="n"/>
      <c r="BI179" s="145" t="n"/>
      <c r="BJ179" s="145" t="n"/>
      <c r="BK179" s="145" t="n"/>
      <c r="BL179" s="145" t="n"/>
      <c r="BM179" s="145" t="n"/>
      <c r="BN179" s="145" t="n"/>
      <c r="BO179" s="145" t="n"/>
      <c r="BP179" s="145" t="n"/>
      <c r="BQ179" s="145" t="n"/>
      <c r="BR179" s="145" t="n"/>
    </row>
    <row r="180">
      <c r="A180" s="33" t="inlineStr">
        <is>
          <t>Accounts receivable</t>
        </is>
      </c>
      <c r="B180" s="145" t="n"/>
      <c r="C180" s="145" t="n"/>
      <c r="D180" s="145" t="n"/>
      <c r="E180" s="145" t="n"/>
      <c r="F180" s="145" t="n"/>
      <c r="G180" s="145" t="n"/>
      <c r="H180" s="145" t="n"/>
      <c r="I180" s="145" t="n"/>
      <c r="J180" s="145" t="n"/>
      <c r="K180" s="145" t="n"/>
      <c r="L180" s="145" t="n"/>
      <c r="M180" s="145" t="n"/>
      <c r="N180" s="145" t="n">
        <v>-897</v>
      </c>
      <c r="O180" s="145" t="n">
        <v>-12740</v>
      </c>
      <c r="P180" s="145" t="n">
        <v>-24105</v>
      </c>
      <c r="Q180" s="145" t="n">
        <v>-27308</v>
      </c>
      <c r="R180" s="145" t="n">
        <v>-2086</v>
      </c>
      <c r="S180" s="145" t="n">
        <v>-16928</v>
      </c>
      <c r="T180" s="145" t="n">
        <v>-26221</v>
      </c>
      <c r="U180" s="145" t="n">
        <v>-23688</v>
      </c>
      <c r="V180" s="145" t="n">
        <v>-12203</v>
      </c>
      <c r="W180" s="145" t="n">
        <v>-13301</v>
      </c>
      <c r="X180" s="145" t="n">
        <v>-36514</v>
      </c>
      <c r="Y180" s="145" t="n">
        <v>-22706</v>
      </c>
      <c r="Z180" s="145" t="n">
        <v>-8250</v>
      </c>
      <c r="AA180" s="145" t="n">
        <v>-21212</v>
      </c>
      <c r="AB180" s="145" t="n">
        <v>-26942</v>
      </c>
      <c r="AC180" s="145" t="n">
        <v>-9991</v>
      </c>
      <c r="AD180" s="145" t="n">
        <v>-4373</v>
      </c>
      <c r="AE180" s="145" t="n">
        <v>-20720</v>
      </c>
      <c r="AF180" s="145" t="n">
        <v>-37926</v>
      </c>
      <c r="AG180" s="145" t="n">
        <v>-48518</v>
      </c>
      <c r="AH180" s="145" t="n">
        <v>-11885</v>
      </c>
      <c r="AI180" s="145" t="n">
        <v>-31748</v>
      </c>
      <c r="AJ180" s="145" t="n">
        <v>-20004</v>
      </c>
      <c r="AK180" s="145" t="n">
        <v>-19036</v>
      </c>
      <c r="AL180" s="145" t="n">
        <v>8140</v>
      </c>
      <c r="AM180" s="145" t="n">
        <v>2885</v>
      </c>
      <c r="AN180" s="145" t="n">
        <v>-10853</v>
      </c>
      <c r="AO180" s="145" t="n">
        <v>-11444</v>
      </c>
      <c r="AP180" s="145" t="n">
        <v>-22801</v>
      </c>
      <c r="AQ180" s="145" t="n">
        <v>-73634</v>
      </c>
      <c r="AR180" s="145" t="n">
        <v>-56416</v>
      </c>
      <c r="AS180" s="145" t="n">
        <v>-63225</v>
      </c>
      <c r="AT180" s="145" t="n">
        <v>7942</v>
      </c>
      <c r="AU180" s="145" t="n">
        <v>-9491</v>
      </c>
      <c r="AV180" s="145" t="n">
        <v>-26058</v>
      </c>
      <c r="AW180" s="145" t="n">
        <v>-18814</v>
      </c>
      <c r="AX180" s="145" t="n">
        <v>22853</v>
      </c>
      <c r="AY180" s="145" t="n">
        <v>-21056</v>
      </c>
      <c r="AZ180" s="145" t="n">
        <v>-7562</v>
      </c>
      <c r="BA180" s="145" t="n">
        <v>9776</v>
      </c>
      <c r="BB180" s="145" t="n">
        <v>34492</v>
      </c>
      <c r="BC180" s="145" t="n">
        <v>33011</v>
      </c>
      <c r="BD180" s="145" t="n">
        <v>2308</v>
      </c>
      <c r="BE180" s="145" t="n">
        <v>-13022</v>
      </c>
      <c r="BF180" s="145" t="n">
        <v>7360</v>
      </c>
      <c r="BG180" s="145" t="n">
        <v>37404</v>
      </c>
      <c r="BH180" s="145">
        <f>26296-12281</f>
        <v/>
      </c>
      <c r="BI180" s="145" t="n">
        <v>-2091</v>
      </c>
      <c r="BJ180" s="145" t="n">
        <v>2621</v>
      </c>
      <c r="BK180" s="145" t="n">
        <v>4691</v>
      </c>
      <c r="BL180" s="145">
        <f>-2837+42517</f>
        <v/>
      </c>
      <c r="BM180" s="145" t="n">
        <v>34100</v>
      </c>
      <c r="BN180" s="145" t="n">
        <v>-24642</v>
      </c>
      <c r="BO180" s="145" t="n">
        <v>-31348</v>
      </c>
      <c r="BP180" s="145" t="n">
        <v>-35257</v>
      </c>
      <c r="BQ180" s="145" t="n">
        <v>-26714</v>
      </c>
      <c r="BR180" s="145" t="n">
        <v>32579</v>
      </c>
      <c r="BS180" t="n">
        <v>6155</v>
      </c>
      <c r="BT180" t="inlineStr">
        <is>
          <t>IPGP-Financial-Data-Workbook-2024-Q2.xlsx|Cash Flows|18|93</t>
        </is>
      </c>
    </row>
    <row r="181">
      <c r="A181" s="33" t="inlineStr">
        <is>
          <t>Inventories</t>
        </is>
      </c>
      <c r="B181" s="145" t="n"/>
      <c r="C181" s="145" t="n"/>
      <c r="D181" s="145" t="n"/>
      <c r="E181" s="145" t="n"/>
      <c r="F181" s="145" t="n"/>
      <c r="G181" s="145" t="n"/>
      <c r="H181" s="145" t="n"/>
      <c r="I181" s="145" t="n"/>
      <c r="J181" s="145" t="n"/>
      <c r="K181" s="145" t="n"/>
      <c r="L181" s="145" t="n"/>
      <c r="M181" s="145" t="n"/>
      <c r="N181" s="145" t="n">
        <v>-3349</v>
      </c>
      <c r="O181" s="145" t="n">
        <v>-9515</v>
      </c>
      <c r="P181" s="145" t="n">
        <v>-18005</v>
      </c>
      <c r="Q181" s="145" t="n">
        <v>-27018</v>
      </c>
      <c r="R181" s="145" t="n">
        <v>-13720</v>
      </c>
      <c r="S181" s="145" t="n">
        <v>-35193</v>
      </c>
      <c r="T181" s="145" t="n">
        <v>-52261</v>
      </c>
      <c r="U181" s="145" t="n">
        <v>-56139</v>
      </c>
      <c r="V181" s="145" t="n">
        <v>-4027</v>
      </c>
      <c r="W181" s="145" t="n">
        <v>-10148</v>
      </c>
      <c r="X181" s="145" t="n">
        <v>-17050</v>
      </c>
      <c r="Y181" s="145" t="n">
        <v>-22975</v>
      </c>
      <c r="Z181" s="145" t="n">
        <v>-6984</v>
      </c>
      <c r="AA181" s="145" t="n">
        <v>-23814</v>
      </c>
      <c r="AB181" s="145" t="n">
        <v>-43705</v>
      </c>
      <c r="AC181" s="145" t="n">
        <v>-50355</v>
      </c>
      <c r="AD181" s="145" t="n">
        <v>-3856</v>
      </c>
      <c r="AE181" s="145" t="n">
        <v>-14988</v>
      </c>
      <c r="AF181" s="145" t="n">
        <v>-30220</v>
      </c>
      <c r="AG181" s="145" t="n">
        <v>-42246</v>
      </c>
      <c r="AH181" s="145" t="n">
        <v>-13898</v>
      </c>
      <c r="AI181" s="145" t="n">
        <v>-33211</v>
      </c>
      <c r="AJ181" s="145" t="n">
        <v>-52172</v>
      </c>
      <c r="AK181" s="145" t="n">
        <v>-70565</v>
      </c>
      <c r="AL181" s="145" t="n">
        <v>-19365</v>
      </c>
      <c r="AM181" s="145" t="n">
        <v>-34668</v>
      </c>
      <c r="AN181" s="145" t="n">
        <v>-42814</v>
      </c>
      <c r="AO181" s="145" t="n">
        <v>-53626</v>
      </c>
      <c r="AP181" s="145" t="n">
        <v>-22408</v>
      </c>
      <c r="AQ181" s="145" t="n">
        <v>-25820</v>
      </c>
      <c r="AR181" s="145" t="n">
        <v>-39697</v>
      </c>
      <c r="AS181" s="145" t="n">
        <v>-71080</v>
      </c>
      <c r="AT181" s="145" t="n">
        <v>-49744</v>
      </c>
      <c r="AU181" s="145" t="n">
        <v>-91014</v>
      </c>
      <c r="AV181" s="145" t="n">
        <v>-122051</v>
      </c>
      <c r="AW181" s="145" t="n">
        <v>-135440</v>
      </c>
      <c r="AX181" s="145" t="n">
        <v>-19719</v>
      </c>
      <c r="AY181" s="145" t="n">
        <v>-40789</v>
      </c>
      <c r="AZ181" s="145" t="n">
        <v>-51032</v>
      </c>
      <c r="BA181" s="145" t="n">
        <v>-28105</v>
      </c>
      <c r="BB181" s="145" t="n">
        <v>-10429</v>
      </c>
      <c r="BC181" s="145" t="n">
        <v>-15160</v>
      </c>
      <c r="BD181" s="145" t="n">
        <v>-34213</v>
      </c>
      <c r="BE181" s="145" t="n">
        <v>-39900</v>
      </c>
      <c r="BF181" s="145" t="n">
        <v>-20084</v>
      </c>
      <c r="BG181" s="145" t="n">
        <v>-61220</v>
      </c>
      <c r="BH181" s="145" t="n">
        <v>-105384</v>
      </c>
      <c r="BI181" s="145" t="n">
        <v>-149754</v>
      </c>
      <c r="BJ181" s="145" t="n">
        <v>-50951</v>
      </c>
      <c r="BK181" s="145" t="n">
        <v>-99233</v>
      </c>
      <c r="BL181" s="145" t="n">
        <v>-148959</v>
      </c>
      <c r="BM181" s="145" t="n">
        <v>-189013</v>
      </c>
      <c r="BN181" s="145" t="n">
        <v>-8989</v>
      </c>
      <c r="BO181" s="145" t="n">
        <v>-12103</v>
      </c>
      <c r="BP181" s="145" t="n">
        <v>-20736</v>
      </c>
      <c r="BQ181" s="145" t="n">
        <v>1823</v>
      </c>
      <c r="BR181" s="145" t="n">
        <v>1498</v>
      </c>
      <c r="BS181" t="n">
        <v>15543</v>
      </c>
      <c r="BT181" t="inlineStr">
        <is>
          <t>IPGP-Financial-Data-Workbook-2024-Q2.xlsx|Cash Flows|19|93</t>
        </is>
      </c>
    </row>
    <row r="182">
      <c r="A182" s="33" t="inlineStr">
        <is>
          <t>Prepaid expenses and other current assets</t>
        </is>
      </c>
      <c r="B182" s="145" t="n"/>
      <c r="C182" s="145" t="n"/>
      <c r="D182" s="145" t="n"/>
      <c r="E182" s="145" t="n"/>
      <c r="F182" s="145" t="n"/>
      <c r="G182" s="145" t="n"/>
      <c r="H182" s="145" t="n"/>
      <c r="I182" s="145" t="n"/>
      <c r="J182" s="145" t="n"/>
      <c r="K182" s="145" t="n"/>
      <c r="L182" s="145" t="n"/>
      <c r="M182" s="145" t="n"/>
      <c r="N182" s="145" t="n">
        <v>38</v>
      </c>
      <c r="O182" s="145" t="n">
        <v>391</v>
      </c>
      <c r="P182" s="145" t="n">
        <v>-969</v>
      </c>
      <c r="Q182" s="145" t="n">
        <v>-4707</v>
      </c>
      <c r="R182" s="145" t="n">
        <v>-4610</v>
      </c>
      <c r="S182" s="145" t="n">
        <v>-4555</v>
      </c>
      <c r="T182" s="145" t="n">
        <v>-1748</v>
      </c>
      <c r="U182" s="145" t="n">
        <v>-770</v>
      </c>
      <c r="V182" s="145" t="n">
        <v>-2395</v>
      </c>
      <c r="W182" s="145" t="n">
        <v>-1296</v>
      </c>
      <c r="X182" s="145" t="n">
        <v>-3335</v>
      </c>
      <c r="Y182" s="145" t="n">
        <v>-899</v>
      </c>
      <c r="Z182" s="145" t="n">
        <v>-2212</v>
      </c>
      <c r="AA182" s="145" t="n">
        <v>-1503</v>
      </c>
      <c r="AB182" s="145" t="n">
        <v>-3478</v>
      </c>
      <c r="AC182" s="145" t="n">
        <v>-3980</v>
      </c>
      <c r="AD182" s="145" t="n">
        <v>-4731</v>
      </c>
      <c r="AE182" s="145" t="n">
        <v>436</v>
      </c>
      <c r="AF182" s="145" t="n">
        <v>202</v>
      </c>
      <c r="AG182" s="145" t="n">
        <v>-5351</v>
      </c>
      <c r="AH182" s="145" t="n">
        <v>-723</v>
      </c>
      <c r="AI182" s="145" t="n">
        <v>1945</v>
      </c>
      <c r="AJ182" s="145" t="n">
        <v>2062</v>
      </c>
      <c r="AK182" s="145" t="n">
        <v>1853</v>
      </c>
      <c r="AL182" s="145" t="n">
        <v>-178</v>
      </c>
      <c r="AM182" s="145" t="n">
        <v>-652</v>
      </c>
      <c r="AN182" s="145" t="n">
        <v>-4102</v>
      </c>
      <c r="AO182" s="145" t="n">
        <v>-4069</v>
      </c>
      <c r="AP182" s="145" t="n">
        <v>-3972</v>
      </c>
      <c r="AQ182" s="145" t="n">
        <v>-2768</v>
      </c>
      <c r="AR182" s="145" t="n">
        <v>-1560</v>
      </c>
      <c r="AS182" s="145" t="n">
        <v>-911</v>
      </c>
      <c r="AT182" s="145" t="n">
        <v>-2138</v>
      </c>
      <c r="AU182" s="145" t="n">
        <v>-1991</v>
      </c>
      <c r="AV182" s="145" t="n">
        <v>-4925</v>
      </c>
      <c r="AW182" s="145" t="n">
        <v>-7062</v>
      </c>
      <c r="AX182" s="145" t="n">
        <v>-3624</v>
      </c>
      <c r="AY182" s="145" t="n">
        <v>8616</v>
      </c>
      <c r="AZ182" s="145" t="n">
        <v>11087</v>
      </c>
      <c r="BA182" s="145" t="n">
        <v>18405</v>
      </c>
      <c r="BB182" s="145" t="n">
        <v>-9119</v>
      </c>
      <c r="BC182" s="145" t="n">
        <v>-2193</v>
      </c>
      <c r="BD182" s="145" t="n">
        <v>-2065</v>
      </c>
      <c r="BE182" s="145" t="n">
        <v>-3802</v>
      </c>
      <c r="BF182" s="145" t="n">
        <v>-1052</v>
      </c>
      <c r="BG182" s="145" t="n"/>
      <c r="BH182" s="145" t="n"/>
      <c r="BI182" s="145" t="n">
        <v>-23697</v>
      </c>
      <c r="BJ182" s="145" t="n">
        <v>3052</v>
      </c>
      <c r="BK182" s="145" t="n"/>
      <c r="BL182" s="145" t="n"/>
      <c r="BM182" s="145" t="n">
        <v>22545</v>
      </c>
      <c r="BN182" s="145" t="n">
        <v>-10419</v>
      </c>
      <c r="BO182" s="145" t="n"/>
      <c r="BP182" s="145" t="n"/>
      <c r="BQ182" s="145" t="n"/>
      <c r="BR182" s="145" t="n"/>
      <c r="BS182" t="n">
        <v>200</v>
      </c>
      <c r="BT182" t="inlineStr">
        <is>
          <t>IPGP-Financial-Data-Workbook-2024-Q2.xlsx|Cash Flows|20|93</t>
        </is>
      </c>
    </row>
    <row r="183">
      <c r="A183" s="33" t="inlineStr">
        <is>
          <t>Accounts payable</t>
        </is>
      </c>
      <c r="B183" s="145" t="n"/>
      <c r="C183" s="145" t="n"/>
      <c r="D183" s="145" t="n"/>
      <c r="E183" s="145" t="n"/>
      <c r="F183" s="145" t="n"/>
      <c r="G183" s="145" t="n"/>
      <c r="H183" s="145" t="n"/>
      <c r="I183" s="145" t="n"/>
      <c r="J183" s="145" t="n"/>
      <c r="K183" s="145" t="n"/>
      <c r="L183" s="145" t="n"/>
      <c r="M183" s="145" t="n"/>
      <c r="N183" s="145" t="n">
        <v>-399</v>
      </c>
      <c r="O183" s="145" t="n">
        <v>4191</v>
      </c>
      <c r="P183" s="145" t="n">
        <v>3470</v>
      </c>
      <c r="Q183" s="145" t="n">
        <v>3411</v>
      </c>
      <c r="R183" s="145" t="n">
        <v>3129</v>
      </c>
      <c r="S183" s="145" t="n">
        <v>4888</v>
      </c>
      <c r="T183" s="145" t="n">
        <v>5475</v>
      </c>
      <c r="U183" s="145" t="n">
        <v>1985</v>
      </c>
      <c r="V183" s="145" t="n">
        <v>702</v>
      </c>
      <c r="W183" s="145" t="n">
        <v>2184</v>
      </c>
      <c r="X183" s="145" t="n">
        <v>2170</v>
      </c>
      <c r="Y183" s="145" t="n">
        <v>4375</v>
      </c>
      <c r="Z183" s="145" t="n">
        <v>-1936</v>
      </c>
      <c r="AA183" s="145" t="n">
        <v>2508</v>
      </c>
      <c r="AB183" s="145" t="n">
        <v>-2008</v>
      </c>
      <c r="AC183" s="145" t="n">
        <v>974</v>
      </c>
      <c r="AD183" s="145" t="n">
        <v>516</v>
      </c>
      <c r="AE183" s="145" t="n">
        <v>-2684</v>
      </c>
      <c r="AF183" s="145" t="n">
        <v>1324</v>
      </c>
      <c r="AG183" s="145" t="n">
        <v>3262</v>
      </c>
      <c r="AH183" s="145" t="n">
        <v>-1231</v>
      </c>
      <c r="AI183" s="145" t="n">
        <v>4422</v>
      </c>
      <c r="AJ183" s="145" t="n">
        <v>4519</v>
      </c>
      <c r="AK183" s="145" t="n">
        <v>9806</v>
      </c>
      <c r="AL183" s="145" t="n">
        <v>-6749</v>
      </c>
      <c r="AM183" s="145" t="n">
        <v>-8441</v>
      </c>
      <c r="AN183" s="145" t="n">
        <v>-9816</v>
      </c>
      <c r="AO183" s="145" t="n">
        <v>-407</v>
      </c>
      <c r="AP183" s="145" t="n">
        <v>-1560</v>
      </c>
      <c r="AQ183" s="145" t="n">
        <v>1914</v>
      </c>
      <c r="AR183" s="145" t="n">
        <v>3423</v>
      </c>
      <c r="AS183" s="145" t="n">
        <v>2309</v>
      </c>
      <c r="AT183" s="145" t="n">
        <v>1134</v>
      </c>
      <c r="AU183" s="145" t="n">
        <v>9527</v>
      </c>
      <c r="AV183" s="145" t="n">
        <v>-1319</v>
      </c>
      <c r="AW183" s="145" t="n">
        <v>-1426</v>
      </c>
      <c r="AX183" s="145" t="n">
        <v>1955</v>
      </c>
      <c r="AY183" s="145" t="n">
        <v>-445</v>
      </c>
      <c r="AZ183" s="145" t="n">
        <v>-8137</v>
      </c>
      <c r="BA183" s="145" t="n">
        <v>-10257</v>
      </c>
      <c r="BB183" s="145" t="n">
        <v>6054</v>
      </c>
      <c r="BC183" s="145" t="n">
        <v>13245</v>
      </c>
      <c r="BD183" s="145" t="n">
        <v>8819</v>
      </c>
      <c r="BE183" s="145" t="n">
        <v>-1942</v>
      </c>
      <c r="BF183" s="145" t="n">
        <v>18980</v>
      </c>
      <c r="BG183" s="145" t="n"/>
      <c r="BH183" s="145" t="n"/>
      <c r="BI183" s="145" t="n">
        <v>30997</v>
      </c>
      <c r="BJ183" s="145" t="n">
        <v>-8448</v>
      </c>
      <c r="BK183" s="145" t="n"/>
      <c r="BL183" s="145" t="n"/>
      <c r="BM183" s="145" t="n">
        <v>-12174</v>
      </c>
      <c r="BN183" s="145" t="n">
        <v>-4600</v>
      </c>
      <c r="BO183" s="145" t="n"/>
      <c r="BP183" s="145" t="n"/>
      <c r="BQ183" s="145" t="n"/>
      <c r="BR183" s="145" t="n"/>
      <c r="BS183" t="n">
        <v>1002</v>
      </c>
      <c r="BT183" t="inlineStr">
        <is>
          <t>IPGP-Financial-Data-Workbook-2024-Q2.xlsx|Cash Flows|21|93</t>
        </is>
      </c>
    </row>
    <row r="184">
      <c r="A184" s="33" t="inlineStr">
        <is>
          <t>Accrued expenses and other liabilities</t>
        </is>
      </c>
      <c r="B184" s="145" t="n"/>
      <c r="C184" s="145" t="n"/>
      <c r="D184" s="145" t="n"/>
      <c r="E184" s="145" t="n"/>
      <c r="F184" s="145" t="n"/>
      <c r="G184" s="145" t="n"/>
      <c r="H184" s="145" t="n"/>
      <c r="I184" s="145" t="n"/>
      <c r="J184" s="145" t="n"/>
      <c r="K184" s="145" t="n"/>
      <c r="L184" s="145" t="n"/>
      <c r="M184" s="145" t="n"/>
      <c r="N184" s="145" t="n">
        <v>3634</v>
      </c>
      <c r="O184" s="145" t="n">
        <v>13237</v>
      </c>
      <c r="P184" s="145" t="n">
        <v>15962</v>
      </c>
      <c r="Q184" s="145" t="n">
        <v>22119</v>
      </c>
      <c r="R184" s="145" t="n">
        <v>-5975</v>
      </c>
      <c r="S184" s="145" t="n">
        <v>-2693</v>
      </c>
      <c r="T184" s="145" t="n">
        <v>-2473</v>
      </c>
      <c r="U184" s="145" t="n">
        <v>-6811</v>
      </c>
      <c r="V184" s="145" t="n">
        <v>-6383</v>
      </c>
      <c r="W184" s="145" t="n">
        <v>-3922</v>
      </c>
      <c r="X184" s="145" t="n">
        <v>-1281</v>
      </c>
      <c r="Y184" s="145" t="n">
        <v>-8155</v>
      </c>
      <c r="Z184" s="145" t="n">
        <v>-2658</v>
      </c>
      <c r="AA184" s="145" t="n">
        <v>-880</v>
      </c>
      <c r="AB184" s="145" t="n">
        <v>2734</v>
      </c>
      <c r="AC184" s="145" t="n">
        <v>-281</v>
      </c>
      <c r="AD184" s="145" t="n">
        <v>3934</v>
      </c>
      <c r="AE184" s="145" t="n">
        <v>-170</v>
      </c>
      <c r="AF184" s="145" t="n">
        <v>2653</v>
      </c>
      <c r="AG184" s="145" t="n">
        <v>-1567</v>
      </c>
      <c r="AH184" s="145" t="n">
        <v>-2774</v>
      </c>
      <c r="AI184" s="145" t="n">
        <v>-2397</v>
      </c>
      <c r="AJ184" s="145" t="n">
        <v>3656</v>
      </c>
      <c r="AK184" s="145" t="n">
        <v>613</v>
      </c>
      <c r="AL184" s="145" t="n">
        <v>-8378</v>
      </c>
      <c r="AM184" s="145" t="n">
        <v>-4341</v>
      </c>
      <c r="AN184" s="145" t="n">
        <v>3848</v>
      </c>
      <c r="AO184" s="145" t="n">
        <v>5480</v>
      </c>
      <c r="AP184" s="145" t="n">
        <v>-659</v>
      </c>
      <c r="AQ184" s="145" t="n">
        <v>2102</v>
      </c>
      <c r="AR184" s="145" t="n">
        <v>1809</v>
      </c>
      <c r="AS184" s="145" t="n">
        <v>9612</v>
      </c>
      <c r="AT184" s="145" t="n">
        <v>-9509</v>
      </c>
      <c r="AU184" s="145" t="n">
        <v>-17860</v>
      </c>
      <c r="AV184" s="145" t="n">
        <v>-20095</v>
      </c>
      <c r="AW184" s="145" t="n">
        <v>-19666</v>
      </c>
      <c r="AX184" s="145" t="n">
        <v>-1956</v>
      </c>
      <c r="AY184" s="145" t="n">
        <v>-9320</v>
      </c>
      <c r="AZ184" s="145" t="n">
        <v>-26113</v>
      </c>
      <c r="BA184" s="145" t="n">
        <v>-37310</v>
      </c>
      <c r="BB184" s="145" t="n">
        <v>-6477</v>
      </c>
      <c r="BC184" s="145" t="n">
        <v>-15590</v>
      </c>
      <c r="BD184" s="145" t="n">
        <v>-17492</v>
      </c>
      <c r="BE184" s="145" t="n">
        <v>-14752</v>
      </c>
      <c r="BF184" s="145" t="n">
        <v>-17961</v>
      </c>
      <c r="BG184" s="145" t="n"/>
      <c r="BH184" s="145" t="n"/>
      <c r="BI184" s="145" t="n">
        <v>24715</v>
      </c>
      <c r="BJ184" s="145" t="n">
        <v>-31448</v>
      </c>
      <c r="BK184" s="145" t="n"/>
      <c r="BL184" s="145" t="n"/>
      <c r="BM184" s="145" t="n">
        <v>-43547</v>
      </c>
      <c r="BN184" s="145" t="n">
        <v>-19120</v>
      </c>
      <c r="BO184" s="145" t="n"/>
      <c r="BP184" s="145" t="n"/>
      <c r="BQ184" s="145" t="n"/>
      <c r="BR184" s="145" t="n"/>
      <c r="BS184" t="n">
        <v>-2035</v>
      </c>
      <c r="BT184" t="inlineStr">
        <is>
          <t>IPGP-Financial-Data-Workbook-2024-Q2.xlsx|Cash Flows|22|93</t>
        </is>
      </c>
    </row>
    <row r="185">
      <c r="A185" s="33" t="inlineStr">
        <is>
          <t>Income and other taxes payable</t>
        </is>
      </c>
      <c r="B185" s="145" t="n"/>
      <c r="C185" s="145" t="n"/>
      <c r="D185" s="145" t="n"/>
      <c r="E185" s="145" t="n"/>
      <c r="F185" s="145" t="n"/>
      <c r="G185" s="145" t="n"/>
      <c r="H185" s="145" t="n"/>
      <c r="I185" s="145" t="n"/>
      <c r="J185" s="145" t="n"/>
      <c r="K185" s="145" t="n"/>
      <c r="L185" s="145" t="n"/>
      <c r="M185" s="145" t="n"/>
      <c r="N185" s="145" t="n">
        <v>236</v>
      </c>
      <c r="O185" s="145" t="n">
        <v>2773</v>
      </c>
      <c r="P185" s="145" t="n">
        <v>1540</v>
      </c>
      <c r="Q185" s="145" t="n">
        <v>12911</v>
      </c>
      <c r="R185" s="145" t="n">
        <v>-4577</v>
      </c>
      <c r="S185" s="145" t="n">
        <v>1829</v>
      </c>
      <c r="T185" s="145" t="n">
        <v>14428</v>
      </c>
      <c r="U185" s="145" t="n">
        <v>12929</v>
      </c>
      <c r="V185" s="145" t="n">
        <v>5186</v>
      </c>
      <c r="W185" s="145" t="n">
        <v>11041</v>
      </c>
      <c r="X185" s="145" t="n">
        <v>19038</v>
      </c>
      <c r="Y185" s="145" t="n">
        <v>21118</v>
      </c>
      <c r="Z185" s="145" t="n">
        <v>-40243</v>
      </c>
      <c r="AA185" s="145" t="n">
        <v>-32412</v>
      </c>
      <c r="AB185" s="145" t="n">
        <v>-25186</v>
      </c>
      <c r="AC185" s="145" t="n">
        <v>-30784</v>
      </c>
      <c r="AD185" s="145" t="n">
        <v>-175</v>
      </c>
      <c r="AE185" s="145" t="n">
        <v>-1071</v>
      </c>
      <c r="AF185" s="145" t="n">
        <v>-609</v>
      </c>
      <c r="AG185" s="145" t="n">
        <v>5763</v>
      </c>
      <c r="AH185" s="145" t="n">
        <v>7716</v>
      </c>
      <c r="AI185" s="145" t="n">
        <v>7067</v>
      </c>
      <c r="AJ185" s="145" t="n">
        <v>17501</v>
      </c>
      <c r="AK185" s="145" t="n">
        <v>9529</v>
      </c>
      <c r="AL185" s="145" t="n">
        <v>14583</v>
      </c>
      <c r="AM185" s="145" t="n">
        <v>-10653</v>
      </c>
      <c r="AN185" s="145" t="n">
        <v>-7439</v>
      </c>
      <c r="AO185" s="145" t="n">
        <v>-10746</v>
      </c>
      <c r="AP185" s="145" t="n">
        <v>-10081</v>
      </c>
      <c r="AQ185" s="145" t="n">
        <v>-22013</v>
      </c>
      <c r="AR185" s="145" t="n">
        <v>-26866</v>
      </c>
      <c r="AS185" s="145" t="n">
        <v>16719</v>
      </c>
      <c r="AT185" s="145" t="n">
        <v>5264</v>
      </c>
      <c r="AU185" s="145" t="n">
        <v>14026</v>
      </c>
      <c r="AV185" s="145" t="n">
        <v>15838</v>
      </c>
      <c r="AW185" s="145" t="n">
        <v>35212</v>
      </c>
      <c r="AX185" s="145" t="n">
        <v>-57801</v>
      </c>
      <c r="AY185" s="145" t="n">
        <v>-56861</v>
      </c>
      <c r="AZ185" s="145" t="n">
        <v>-49748</v>
      </c>
      <c r="BA185" s="145" t="n">
        <v>-43937</v>
      </c>
      <c r="BB185" s="145" t="n">
        <v>-21012</v>
      </c>
      <c r="BC185" s="145" t="n">
        <v>-43836</v>
      </c>
      <c r="BD185" s="145" t="n">
        <v>-28345</v>
      </c>
      <c r="BE185" s="145" t="n">
        <v>-23337</v>
      </c>
      <c r="BF185" s="145" t="n">
        <v>-14847</v>
      </c>
      <c r="BG185" s="145" t="n">
        <v>-10188</v>
      </c>
      <c r="BH185" s="145">
        <f>-8823+7963+37002</f>
        <v/>
      </c>
      <c r="BI185" s="145" t="n">
        <v>35856</v>
      </c>
      <c r="BJ185" s="145" t="n">
        <v>-14180</v>
      </c>
      <c r="BK185" s="145" t="n">
        <v>-48583</v>
      </c>
      <c r="BL185" s="145">
        <f>6584-40327-17823</f>
        <v/>
      </c>
      <c r="BM185" s="145" t="n">
        <v>-14132</v>
      </c>
      <c r="BN185" s="145" t="n">
        <v>-9749</v>
      </c>
      <c r="BO185" s="145" t="n">
        <v>-55863</v>
      </c>
      <c r="BP185" s="145" t="n">
        <v>-32852</v>
      </c>
      <c r="BQ185" s="145" t="n">
        <v>-29665</v>
      </c>
      <c r="BR185" s="145" t="n">
        <v>-34698</v>
      </c>
      <c r="BS185" t="n">
        <v>-18306</v>
      </c>
      <c r="BT185" t="inlineStr">
        <is>
          <t>IPGP-Financial-Data-Workbook-2024-Q2.xlsx|Cash Flows|23|93</t>
        </is>
      </c>
    </row>
    <row r="186">
      <c r="A186" s="33" t="inlineStr">
        <is>
          <t>Tax benefit from exercise of employee stock options</t>
        </is>
      </c>
      <c r="B186" s="145" t="n"/>
      <c r="C186" s="145" t="n"/>
      <c r="D186" s="145" t="n"/>
      <c r="E186" s="145" t="n"/>
      <c r="F186" s="145" t="n"/>
      <c r="G186" s="145" t="n"/>
      <c r="H186" s="145" t="n"/>
      <c r="I186" s="145" t="n"/>
      <c r="J186" s="145" t="n"/>
      <c r="K186" s="145" t="n"/>
      <c r="L186" s="145" t="n"/>
      <c r="M186" s="145" t="n"/>
      <c r="N186" s="145" t="n">
        <v>0</v>
      </c>
      <c r="O186" s="145" t="n">
        <v>0</v>
      </c>
      <c r="P186" s="145" t="n">
        <v>0</v>
      </c>
      <c r="Q186" s="145" t="n">
        <v>-7443</v>
      </c>
      <c r="R186" s="145" t="n">
        <v>0</v>
      </c>
      <c r="S186" s="145" t="n">
        <v>-6258</v>
      </c>
      <c r="T186" s="145" t="n">
        <v>-7510</v>
      </c>
      <c r="U186" s="145" t="n">
        <v>-8033</v>
      </c>
      <c r="V186" s="145" t="n">
        <v>-1048</v>
      </c>
      <c r="W186" s="145" t="n">
        <v>-1095</v>
      </c>
      <c r="X186" s="145" t="n">
        <v>-3870</v>
      </c>
      <c r="Y186" s="145" t="n">
        <v>-4679</v>
      </c>
      <c r="Z186" s="145" t="n">
        <v>-1464</v>
      </c>
      <c r="AA186" s="145" t="n">
        <v>-2356</v>
      </c>
      <c r="AB186" s="145" t="n">
        <v>-3610</v>
      </c>
      <c r="AC186" s="145" t="n">
        <v>-8874</v>
      </c>
      <c r="AD186" s="145" t="n">
        <v>-1565</v>
      </c>
      <c r="AE186" s="145" t="n">
        <v>-2426</v>
      </c>
      <c r="AF186" s="145" t="n">
        <v>-2696</v>
      </c>
      <c r="AG186" s="145" t="n">
        <v>-5979</v>
      </c>
      <c r="AH186" s="145" t="n">
        <v>-4773</v>
      </c>
      <c r="AI186" s="145" t="n">
        <v>-5665</v>
      </c>
      <c r="AJ186" s="145" t="n">
        <v>-5822</v>
      </c>
      <c r="AK186" s="145" t="n">
        <v>-6911</v>
      </c>
      <c r="AL186" s="145" t="n">
        <v>0</v>
      </c>
      <c r="AM186" s="145" t="n">
        <v>0</v>
      </c>
      <c r="AN186" s="145" t="n">
        <v>0</v>
      </c>
      <c r="AO186" s="145" t="n">
        <v>-5408</v>
      </c>
      <c r="AP186" s="145" t="n">
        <v>0</v>
      </c>
      <c r="AQ186" s="145" t="n">
        <v>0</v>
      </c>
      <c r="AR186" s="145" t="n">
        <v>0</v>
      </c>
      <c r="AS186" s="145" t="n">
        <v>0</v>
      </c>
      <c r="AT186" s="145" t="n">
        <v>0</v>
      </c>
      <c r="AU186" s="145" t="n">
        <v>0</v>
      </c>
      <c r="AV186" s="145" t="n">
        <v>0</v>
      </c>
      <c r="AW186" s="145" t="n">
        <v>0</v>
      </c>
      <c r="AX186" s="145" t="n">
        <v>0</v>
      </c>
      <c r="AY186" s="145" t="n">
        <v>0</v>
      </c>
      <c r="AZ186" s="145" t="n">
        <v>0</v>
      </c>
      <c r="BA186" s="145" t="n">
        <v>0</v>
      </c>
      <c r="BB186" s="145" t="n"/>
      <c r="BC186" s="145" t="n"/>
      <c r="BD186" s="145" t="n"/>
      <c r="BE186" s="145" t="n">
        <v>0</v>
      </c>
      <c r="BF186" s="145" t="n"/>
      <c r="BG186" s="145" t="n"/>
      <c r="BH186" s="145" t="n"/>
      <c r="BI186" s="145" t="n"/>
      <c r="BJ186" s="145" t="n"/>
      <c r="BK186" s="145" t="n"/>
      <c r="BL186" s="145" t="n"/>
      <c r="BM186" s="145" t="n"/>
      <c r="BN186" s="145" t="n"/>
      <c r="BO186" s="145" t="n"/>
      <c r="BP186" s="145" t="n"/>
      <c r="BQ186" s="145" t="n"/>
      <c r="BR186" s="145" t="n"/>
    </row>
    <row r="187">
      <c r="A187" s="22" t="inlineStr">
        <is>
          <t>Net cash provided by operating activities</t>
        </is>
      </c>
      <c r="B187" s="133" t="n"/>
      <c r="C187" s="133" t="n"/>
      <c r="D187" s="133" t="n"/>
      <c r="E187" s="133" t="n"/>
      <c r="F187" s="133" t="n"/>
      <c r="G187" s="133" t="n"/>
      <c r="H187" s="133" t="n"/>
      <c r="I187" s="133" t="n"/>
      <c r="J187" s="133" t="n"/>
      <c r="K187" s="133" t="n"/>
      <c r="L187" s="133" t="n"/>
      <c r="M187" s="133" t="n"/>
      <c r="N187" s="133" t="n">
        <v>7876</v>
      </c>
      <c r="O187" s="133" t="n">
        <v>23438</v>
      </c>
      <c r="P187" s="133" t="n">
        <v>29407</v>
      </c>
      <c r="Q187" s="133" t="n">
        <v>63432</v>
      </c>
      <c r="R187" s="133" t="n">
        <v>13262</v>
      </c>
      <c r="S187" s="133" t="n">
        <v>26992</v>
      </c>
      <c r="T187" s="133" t="n">
        <v>55995</v>
      </c>
      <c r="U187" s="133" t="n">
        <v>87351</v>
      </c>
      <c r="V187" s="133" t="n">
        <v>27005</v>
      </c>
      <c r="W187" s="133" t="n">
        <v>78455</v>
      </c>
      <c r="X187" s="133" t="n">
        <v>116505</v>
      </c>
      <c r="Y187" s="133" t="n">
        <v>175276</v>
      </c>
      <c r="Z187" s="133" t="n">
        <v>-11339</v>
      </c>
      <c r="AA187" s="133" t="n">
        <v>24274</v>
      </c>
      <c r="AB187" s="133" t="n">
        <v>60961</v>
      </c>
      <c r="AC187" s="133" t="n">
        <v>119367</v>
      </c>
      <c r="AD187" s="133" t="n">
        <v>43391</v>
      </c>
      <c r="AE187" s="133" t="n">
        <v>76875</v>
      </c>
      <c r="AF187" s="133" t="n">
        <v>124087</v>
      </c>
      <c r="AG187" s="133" t="n">
        <v>180105</v>
      </c>
      <c r="AH187" s="133" t="n">
        <v>52008</v>
      </c>
      <c r="AI187" s="133" t="n">
        <v>101410</v>
      </c>
      <c r="AJ187" s="133" t="n">
        <v>194611</v>
      </c>
      <c r="AK187" s="133" t="n">
        <v>256571</v>
      </c>
      <c r="AL187" s="133" t="n">
        <v>64897</v>
      </c>
      <c r="AM187" s="133" t="n">
        <v>108304</v>
      </c>
      <c r="AN187" s="133" t="n">
        <v>195845</v>
      </c>
      <c r="AO187" s="133" t="n">
        <v>292288</v>
      </c>
      <c r="AP187" s="133" t="n">
        <v>50820</v>
      </c>
      <c r="AQ187" s="133" t="n">
        <v>133102</v>
      </c>
      <c r="AR187" s="133" t="n">
        <v>296850</v>
      </c>
      <c r="AS187" s="133" t="n">
        <v>405395</v>
      </c>
      <c r="AT187" s="133" t="n">
        <v>99653</v>
      </c>
      <c r="AU187" s="133" t="n">
        <v>208551</v>
      </c>
      <c r="AV187" s="133" t="n">
        <v>280251</v>
      </c>
      <c r="AW187" s="133" t="n">
        <v>393301</v>
      </c>
      <c r="AX187" s="133" t="n">
        <v>45550</v>
      </c>
      <c r="AY187" s="133" t="n">
        <v>101779</v>
      </c>
      <c r="AZ187" s="133" t="n">
        <v>193582</v>
      </c>
      <c r="BA187" s="133" t="n">
        <v>323521</v>
      </c>
      <c r="BB187" s="133" t="n">
        <v>56781</v>
      </c>
      <c r="BC187" s="133" t="n">
        <v>130256</v>
      </c>
      <c r="BD187" s="133" t="n">
        <v>200017</v>
      </c>
      <c r="BE187" s="133" t="n">
        <v>285335</v>
      </c>
      <c r="BF187" s="133">
        <f>SUM(BF170:BF186)</f>
        <v/>
      </c>
      <c r="BG187" s="133" t="n">
        <v>203190</v>
      </c>
      <c r="BH187" s="133" t="n">
        <v>305156</v>
      </c>
      <c r="BI187" s="133" t="n">
        <v>389700</v>
      </c>
      <c r="BJ187" s="133" t="n">
        <v>16423</v>
      </c>
      <c r="BK187" s="133" t="n">
        <v>95161</v>
      </c>
      <c r="BL187" s="133">
        <f>SUM(BL169:BL186)</f>
        <v/>
      </c>
      <c r="BM187" s="133" t="n">
        <v>212649</v>
      </c>
      <c r="BN187" s="133" t="n">
        <v>37280</v>
      </c>
      <c r="BO187" s="133" t="n">
        <v>103946</v>
      </c>
      <c r="BP187" s="133" t="n">
        <v>189924</v>
      </c>
      <c r="BQ187" s="133" t="n">
        <v>295986</v>
      </c>
      <c r="BR187" s="133" t="n">
        <v>54596</v>
      </c>
      <c r="BS187" t="n">
        <v>53458</v>
      </c>
      <c r="BT187" t="inlineStr">
        <is>
          <t>IPGP-Financial-Data-Workbook-2024-Q2.xlsx|Cash Flows|24|93</t>
        </is>
      </c>
    </row>
    <row r="188">
      <c r="B188" s="145" t="n"/>
      <c r="C188" s="145" t="n"/>
      <c r="D188" s="145" t="n"/>
      <c r="E188" s="145" t="n"/>
      <c r="F188" s="145" t="n"/>
      <c r="G188" s="145" t="n"/>
      <c r="H188" s="145" t="n"/>
      <c r="I188" s="145" t="n"/>
      <c r="J188" s="145" t="n"/>
      <c r="K188" s="145" t="n"/>
      <c r="L188" s="145" t="n"/>
      <c r="M188" s="145" t="n"/>
      <c r="N188" s="145" t="n"/>
      <c r="O188" s="145" t="n"/>
      <c r="P188" s="145" t="n"/>
      <c r="Q188" s="145" t="n"/>
      <c r="R188" s="145" t="n"/>
      <c r="S188" s="145" t="n"/>
      <c r="T188" s="145" t="n"/>
      <c r="U188" s="145" t="n"/>
      <c r="V188" s="145" t="n"/>
      <c r="W188" s="145" t="n"/>
      <c r="X188" s="145" t="n"/>
      <c r="Y188" s="145" t="n"/>
      <c r="Z188" s="145" t="n"/>
      <c r="AA188" s="145" t="n"/>
      <c r="AB188" s="145" t="n"/>
      <c r="AC188" s="145" t="n"/>
      <c r="AD188" s="145" t="n"/>
      <c r="AE188" s="145" t="n"/>
      <c r="AF188" s="145" t="n"/>
      <c r="AG188" s="145" t="n"/>
      <c r="AH188" s="145" t="n"/>
      <c r="AI188" s="145" t="n"/>
      <c r="AJ188" s="145" t="n"/>
      <c r="AK188" s="145" t="n"/>
      <c r="AL188" s="145" t="n"/>
      <c r="AM188" s="145" t="n"/>
      <c r="AN188" s="145" t="n"/>
      <c r="AO188" s="145" t="n"/>
      <c r="AP188" s="145" t="n"/>
      <c r="AQ188" s="145" t="n"/>
      <c r="AR188" s="145" t="n"/>
      <c r="AS188" s="145" t="n"/>
      <c r="AT188" s="145" t="n"/>
      <c r="AU188" s="145" t="n"/>
      <c r="AV188" s="145" t="n"/>
      <c r="AW188" s="145" t="n"/>
      <c r="AX188" s="145" t="n"/>
      <c r="AY188" s="145" t="n"/>
      <c r="AZ188" s="145" t="n"/>
      <c r="BA188" s="145" t="n"/>
      <c r="BB188" s="145" t="n"/>
      <c r="BC188" s="145" t="n"/>
      <c r="BD188" s="145" t="n"/>
      <c r="BE188" s="145" t="n"/>
      <c r="BF188" s="145" t="n"/>
      <c r="BG188" s="145" t="n"/>
      <c r="BH188" s="145" t="n"/>
      <c r="BJ188" s="145" t="n"/>
      <c r="BN188" s="145" t="n"/>
      <c r="BO188" s="145" t="n"/>
      <c r="BP188" s="145" t="n"/>
      <c r="BQ188" s="145" t="n"/>
      <c r="BR188" s="145" t="n"/>
    </row>
    <row r="189">
      <c r="A189" s="22" t="inlineStr">
        <is>
          <t>CASH FLOWS FROM INVESTING ACTIVITIES:</t>
        </is>
      </c>
      <c r="B189" s="145" t="n"/>
      <c r="C189" s="145" t="n"/>
      <c r="D189" s="145" t="n"/>
      <c r="E189" s="145" t="n"/>
      <c r="F189" s="145" t="n"/>
      <c r="G189" s="145" t="n"/>
      <c r="H189" s="145" t="n"/>
      <c r="I189" s="145" t="n"/>
      <c r="J189" s="145" t="n"/>
      <c r="K189" s="145" t="n"/>
      <c r="L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c r="AG189" s="145" t="n"/>
      <c r="AH189" s="145" t="n"/>
      <c r="AI189" s="145" t="n"/>
      <c r="AJ189" s="145" t="n"/>
      <c r="AK189" s="145" t="n"/>
      <c r="AL189" s="145" t="n"/>
      <c r="AM189" s="145" t="n"/>
      <c r="AN189" s="145" t="n"/>
      <c r="AO189" s="145" t="n"/>
      <c r="AP189" s="145" t="n"/>
      <c r="AQ189" s="145" t="n"/>
      <c r="AR189" s="145" t="n"/>
      <c r="AS189" s="145" t="n"/>
      <c r="AT189" s="145" t="n"/>
      <c r="AU189" s="145" t="n"/>
      <c r="AV189" s="145" t="n"/>
      <c r="AW189" s="145" t="n"/>
      <c r="AX189" s="145" t="n"/>
      <c r="AY189" s="145" t="n"/>
      <c r="AZ189" s="145" t="n"/>
      <c r="BA189" s="145" t="n"/>
      <c r="BB189" s="145" t="n"/>
      <c r="BC189" s="145" t="n"/>
      <c r="BD189" s="145" t="n"/>
      <c r="BE189" s="145" t="n"/>
      <c r="BF189" s="145" t="n"/>
      <c r="BG189" s="145" t="n"/>
      <c r="BH189" s="145" t="n"/>
      <c r="BJ189" s="145" t="n"/>
      <c r="BN189" s="145" t="n"/>
      <c r="BO189" s="145" t="n"/>
      <c r="BP189" s="145" t="n"/>
      <c r="BQ189" s="145" t="n"/>
      <c r="BR189" s="145" t="n"/>
    </row>
    <row r="190">
      <c r="A190" s="74" t="inlineStr">
        <is>
          <t>Purchases of property, plant and equipment</t>
        </is>
      </c>
      <c r="B190" s="145" t="n"/>
      <c r="C190" s="145" t="n"/>
      <c r="D190" s="145" t="n"/>
      <c r="E190" s="145" t="n"/>
      <c r="F190" s="145" t="n"/>
      <c r="G190" s="145" t="n"/>
      <c r="H190" s="145" t="n"/>
      <c r="I190" s="145" t="n"/>
      <c r="J190" s="145" t="n"/>
      <c r="K190" s="145" t="n"/>
      <c r="L190" s="145" t="n"/>
      <c r="M190" s="145" t="n"/>
      <c r="N190" s="145" t="n">
        <v>-4953</v>
      </c>
      <c r="O190" s="145" t="n">
        <v>-8701</v>
      </c>
      <c r="P190" s="145" t="n">
        <v>-14201</v>
      </c>
      <c r="Q190" s="145" t="n">
        <v>-28374</v>
      </c>
      <c r="R190" s="145" t="n">
        <v>-9587</v>
      </c>
      <c r="S190" s="145" t="n">
        <v>-22786</v>
      </c>
      <c r="T190" s="145" t="n">
        <v>-34750</v>
      </c>
      <c r="U190" s="145" t="n">
        <v>-53007</v>
      </c>
      <c r="V190" s="145" t="n">
        <v>-13779</v>
      </c>
      <c r="W190" s="145" t="n">
        <v>-35966</v>
      </c>
      <c r="X190" s="145" t="n">
        <v>-51715</v>
      </c>
      <c r="Y190" s="145" t="n">
        <v>-68184</v>
      </c>
      <c r="Z190" s="145" t="n">
        <v>-17746</v>
      </c>
      <c r="AA190" s="145" t="n">
        <v>-34263</v>
      </c>
      <c r="AB190" s="145" t="n">
        <v>-48333</v>
      </c>
      <c r="AC190" s="145" t="n">
        <v>-70919</v>
      </c>
      <c r="AD190" s="145" t="n">
        <v>-11456</v>
      </c>
      <c r="AE190" s="145" t="n">
        <v>-45781</v>
      </c>
      <c r="AF190" s="145" t="n">
        <v>-72723</v>
      </c>
      <c r="AG190" s="145" t="n">
        <v>-88601</v>
      </c>
      <c r="AH190" s="145" t="n">
        <v>-14027</v>
      </c>
      <c r="AI190" s="145" t="n">
        <v>-32606</v>
      </c>
      <c r="AJ190" s="145" t="n">
        <v>-50759</v>
      </c>
      <c r="AK190" s="145" t="n">
        <v>-70119</v>
      </c>
      <c r="AL190" s="145" t="n">
        <v>-24960</v>
      </c>
      <c r="AM190" s="145" t="n">
        <v>-70863</v>
      </c>
      <c r="AN190" s="145" t="n">
        <v>-100047</v>
      </c>
      <c r="AO190" s="145" t="n">
        <v>-127042</v>
      </c>
      <c r="AP190" s="145" t="n">
        <v>-21875</v>
      </c>
      <c r="AQ190" s="145" t="n">
        <v>-43632</v>
      </c>
      <c r="AR190" s="145" t="n">
        <v>-99221</v>
      </c>
      <c r="AS190" s="145" t="n">
        <v>-126535</v>
      </c>
      <c r="AT190" s="145" t="n">
        <v>-39113</v>
      </c>
      <c r="AU190" s="145" t="n">
        <v>-96516</v>
      </c>
      <c r="AV190" s="145" t="n">
        <v>-133355</v>
      </c>
      <c r="AW190" s="145" t="n">
        <v>-160343</v>
      </c>
      <c r="AX190" s="145" t="n">
        <v>-32839</v>
      </c>
      <c r="AY190" s="145" t="n">
        <v>-86492</v>
      </c>
      <c r="AZ190" s="145" t="n">
        <v>-107540</v>
      </c>
      <c r="BA190" s="145" t="n">
        <v>-133536</v>
      </c>
      <c r="BB190" s="145" t="n">
        <v>-17801</v>
      </c>
      <c r="BC190" s="145" t="n">
        <v>-37370</v>
      </c>
      <c r="BD190" s="145" t="n">
        <v>-61871</v>
      </c>
      <c r="BE190" s="145" t="n">
        <v>-87696</v>
      </c>
      <c r="BF190" s="145" t="n">
        <v>-27421</v>
      </c>
      <c r="BG190" s="145" t="n">
        <v>-54344</v>
      </c>
      <c r="BH190" s="145" t="n">
        <v>-93857</v>
      </c>
      <c r="BI190" s="145" t="n">
        <v>-123108</v>
      </c>
      <c r="BJ190" s="145" t="n">
        <v>-25177</v>
      </c>
      <c r="BK190" s="145" t="n">
        <v>-59903</v>
      </c>
      <c r="BL190" s="145" t="n">
        <v>-84552</v>
      </c>
      <c r="BM190" s="145" t="n">
        <v>-110141</v>
      </c>
      <c r="BN190" s="145" t="n">
        <v>-33404</v>
      </c>
      <c r="BO190" s="145" t="n">
        <v>-59139</v>
      </c>
      <c r="BP190" s="145" t="n">
        <v>-85256</v>
      </c>
      <c r="BQ190" s="145" t="n">
        <v>-110483</v>
      </c>
      <c r="BR190" s="145" t="n">
        <v>-28052</v>
      </c>
      <c r="BS190" t="n">
        <v>-24218</v>
      </c>
      <c r="BT190" t="inlineStr">
        <is>
          <t>IPGP-Financial-Data-Workbook-2024-Q2.xlsx|Cash Flows|27|93</t>
        </is>
      </c>
    </row>
    <row r="191">
      <c r="A191" s="74" t="inlineStr">
        <is>
          <t>Purchase of intangible assets</t>
        </is>
      </c>
      <c r="B191" s="145" t="n"/>
      <c r="C191" s="145" t="n"/>
      <c r="D191" s="145" t="n"/>
      <c r="E191" s="145" t="n"/>
      <c r="F191" s="145" t="n"/>
      <c r="G191" s="145" t="n"/>
      <c r="H191" s="145" t="n"/>
      <c r="I191" s="145" t="n"/>
      <c r="J191" s="145" t="n"/>
      <c r="K191" s="145" t="n"/>
      <c r="L191" s="145" t="n"/>
      <c r="M191" s="145" t="n">
        <v>0</v>
      </c>
      <c r="N191" s="145" t="n">
        <v>0</v>
      </c>
      <c r="O191" s="145" t="n">
        <v>0</v>
      </c>
      <c r="P191" s="145" t="n">
        <v>0</v>
      </c>
      <c r="Q191" s="145" t="n">
        <v>0</v>
      </c>
      <c r="R191" s="145" t="n">
        <v>0</v>
      </c>
      <c r="S191" s="145" t="n">
        <v>0</v>
      </c>
      <c r="T191" s="145" t="n">
        <v>0</v>
      </c>
      <c r="U191" s="145" t="n">
        <v>0</v>
      </c>
      <c r="V191" s="145" t="n">
        <v>0</v>
      </c>
      <c r="W191" s="145" t="n">
        <v>0</v>
      </c>
      <c r="X191" s="145" t="n">
        <v>0</v>
      </c>
      <c r="Y191" s="145" t="n">
        <v>0</v>
      </c>
      <c r="Z191" s="145" t="n">
        <v>0</v>
      </c>
      <c r="AA191" s="145" t="n">
        <v>0</v>
      </c>
      <c r="AB191" s="145" t="n">
        <v>0</v>
      </c>
      <c r="AC191" s="145" t="n">
        <v>0</v>
      </c>
      <c r="AD191" s="145" t="n">
        <v>0</v>
      </c>
      <c r="AE191" s="145" t="n">
        <v>0</v>
      </c>
      <c r="AF191" s="145" t="n">
        <v>-2000</v>
      </c>
      <c r="AG191" s="145" t="n">
        <v>-2000</v>
      </c>
      <c r="AH191" s="145" t="n">
        <v>0</v>
      </c>
      <c r="AI191" s="145" t="n">
        <v>0</v>
      </c>
      <c r="AJ191" s="145" t="n">
        <v>0</v>
      </c>
      <c r="AK191" s="145" t="n">
        <v>0</v>
      </c>
      <c r="AL191" s="145" t="n">
        <v>0</v>
      </c>
      <c r="AM191" s="145" t="n">
        <v>0</v>
      </c>
      <c r="AN191" s="145" t="n">
        <v>0</v>
      </c>
      <c r="AO191" s="145" t="n">
        <v>0</v>
      </c>
      <c r="AP191" s="145" t="n">
        <v>0</v>
      </c>
      <c r="AQ191" s="145" t="n">
        <v>0</v>
      </c>
      <c r="AR191" s="145" t="n">
        <v>0</v>
      </c>
      <c r="AS191" s="145" t="n">
        <v>0</v>
      </c>
      <c r="AT191" s="145" t="n">
        <v>0</v>
      </c>
      <c r="AU191" s="145" t="n">
        <v>0</v>
      </c>
      <c r="AV191" s="145" t="n">
        <v>0</v>
      </c>
      <c r="AW191" s="145" t="n">
        <v>0</v>
      </c>
      <c r="AX191" s="145" t="n">
        <v>0</v>
      </c>
      <c r="AY191" s="145" t="n">
        <v>0</v>
      </c>
      <c r="AZ191" s="145" t="n">
        <v>0</v>
      </c>
      <c r="BA191" s="145" t="n">
        <v>0</v>
      </c>
      <c r="BB191" s="145" t="n">
        <v>0</v>
      </c>
      <c r="BC191" s="145" t="n">
        <v>0</v>
      </c>
      <c r="BD191" s="145" t="n">
        <v>0</v>
      </c>
      <c r="BE191" s="145" t="n">
        <v>0</v>
      </c>
      <c r="BF191" s="145" t="n">
        <v>0</v>
      </c>
      <c r="BG191" s="145" t="n">
        <v>0</v>
      </c>
      <c r="BH191" s="145" t="n">
        <v>0</v>
      </c>
      <c r="BI191" s="145" t="n">
        <v>0</v>
      </c>
      <c r="BJ191" s="145" t="n">
        <v>0</v>
      </c>
      <c r="BK191" s="145" t="n">
        <v>0</v>
      </c>
      <c r="BL191" s="145" t="n">
        <v>0</v>
      </c>
      <c r="BM191" s="145" t="n">
        <v>0</v>
      </c>
      <c r="BN191" s="145" t="n">
        <v>0</v>
      </c>
      <c r="BO191" s="145" t="n">
        <v>0</v>
      </c>
      <c r="BP191" s="145" t="n"/>
      <c r="BQ191" s="145" t="n"/>
      <c r="BR191" s="145" t="n"/>
    </row>
    <row r="192">
      <c r="A192" s="74" t="inlineStr">
        <is>
          <t>Proceeds from sales of property, plant and equipment</t>
        </is>
      </c>
      <c r="B192" s="145" t="n"/>
      <c r="C192" s="145" t="n"/>
      <c r="D192" s="145" t="n"/>
      <c r="E192" s="145" t="n"/>
      <c r="F192" s="145" t="n"/>
      <c r="G192" s="145" t="n"/>
      <c r="H192" s="145" t="n"/>
      <c r="I192" s="145" t="n"/>
      <c r="J192" s="145" t="n"/>
      <c r="K192" s="145" t="n"/>
      <c r="L192" s="145" t="n"/>
      <c r="M192" s="145" t="n">
        <v>0</v>
      </c>
      <c r="N192" s="145" t="n">
        <v>0</v>
      </c>
      <c r="O192" s="145" t="n">
        <v>0</v>
      </c>
      <c r="P192" s="145" t="n">
        <v>0</v>
      </c>
      <c r="Q192" s="145" t="n">
        <v>0</v>
      </c>
      <c r="R192" s="145" t="n">
        <v>0</v>
      </c>
      <c r="S192" s="145" t="n">
        <v>0</v>
      </c>
      <c r="T192" s="145" t="n">
        <v>0</v>
      </c>
      <c r="U192" s="145" t="n">
        <v>0</v>
      </c>
      <c r="V192" s="145" t="n">
        <v>0</v>
      </c>
      <c r="W192" s="145" t="n">
        <v>0</v>
      </c>
      <c r="X192" s="145" t="n">
        <v>0</v>
      </c>
      <c r="Y192" s="145" t="n">
        <v>0</v>
      </c>
      <c r="Z192" s="145" t="n">
        <v>89</v>
      </c>
      <c r="AA192" s="145" t="n">
        <v>166</v>
      </c>
      <c r="AB192" s="145" t="n">
        <v>202</v>
      </c>
      <c r="AC192" s="145" t="n">
        <v>236</v>
      </c>
      <c r="AD192" s="145" t="n">
        <v>119</v>
      </c>
      <c r="AE192" s="145" t="n">
        <v>254</v>
      </c>
      <c r="AF192" s="145" t="n">
        <v>418</v>
      </c>
      <c r="AG192" s="145" t="n">
        <v>434</v>
      </c>
      <c r="AH192" s="145" t="n">
        <v>131</v>
      </c>
      <c r="AI192" s="145" t="n">
        <v>139</v>
      </c>
      <c r="AJ192" s="145" t="n">
        <v>231</v>
      </c>
      <c r="AK192" s="145" t="n">
        <v>164</v>
      </c>
      <c r="AL192" s="145" t="n">
        <v>129</v>
      </c>
      <c r="AM192" s="145" t="n">
        <v>184</v>
      </c>
      <c r="AN192" s="145" t="n">
        <v>220</v>
      </c>
      <c r="AO192" s="145" t="n">
        <v>658</v>
      </c>
      <c r="AP192" s="145" t="n">
        <v>99</v>
      </c>
      <c r="AQ192" s="145" t="n">
        <v>15284</v>
      </c>
      <c r="AR192" s="145" t="n">
        <v>15437</v>
      </c>
      <c r="AS192" s="145" t="n">
        <v>15882</v>
      </c>
      <c r="AT192" s="145" t="n">
        <v>210</v>
      </c>
      <c r="AU192" s="145" t="n">
        <v>641</v>
      </c>
      <c r="AV192" s="145" t="n">
        <v>755</v>
      </c>
      <c r="AW192" s="145" t="n">
        <v>1026</v>
      </c>
      <c r="AX192" s="145" t="n">
        <v>181</v>
      </c>
      <c r="AY192" s="145" t="n">
        <v>288</v>
      </c>
      <c r="AZ192" s="145" t="n">
        <v>348</v>
      </c>
      <c r="BA192" s="145" t="n">
        <v>661</v>
      </c>
      <c r="BB192" s="145" t="n">
        <v>139</v>
      </c>
      <c r="BC192" s="145" t="n">
        <v>460</v>
      </c>
      <c r="BD192" s="145" t="n">
        <v>689</v>
      </c>
      <c r="BE192" s="145" t="n">
        <v>889</v>
      </c>
      <c r="BF192" s="145" t="n">
        <v>130</v>
      </c>
      <c r="BG192" s="145" t="n">
        <v>258</v>
      </c>
      <c r="BH192" s="145" t="n">
        <v>859</v>
      </c>
      <c r="BI192" s="145" t="n">
        <v>1409</v>
      </c>
      <c r="BJ192" s="145" t="n">
        <v>428</v>
      </c>
      <c r="BK192" s="145" t="n">
        <v>645</v>
      </c>
      <c r="BL192" s="145" t="n">
        <v>837</v>
      </c>
      <c r="BM192" s="145" t="n">
        <v>26862</v>
      </c>
      <c r="BN192" s="145" t="n">
        <v>1600</v>
      </c>
      <c r="BO192" s="145" t="n">
        <v>1740</v>
      </c>
      <c r="BP192" s="145" t="n">
        <v>30425</v>
      </c>
      <c r="BQ192" s="145" t="n">
        <v>31241</v>
      </c>
      <c r="BR192" s="145" t="n">
        <v>25262</v>
      </c>
      <c r="BS192" t="n">
        <v>3012</v>
      </c>
      <c r="BT192" t="inlineStr">
        <is>
          <t>IPGP-Financial-Data-Workbook-2024-Q2.xlsx|Cash Flows|29|93</t>
        </is>
      </c>
    </row>
    <row r="193">
      <c r="A193" s="74" t="inlineStr">
        <is>
          <t>Proceeds from short-term investments</t>
        </is>
      </c>
      <c r="B193" s="145" t="n"/>
      <c r="C193" s="145" t="n"/>
      <c r="D193" s="145" t="n"/>
      <c r="E193" s="145" t="n"/>
      <c r="F193" s="145" t="n"/>
      <c r="G193" s="145" t="n"/>
      <c r="H193" s="145" t="n"/>
      <c r="I193" s="145" t="n"/>
      <c r="J193" s="145" t="n"/>
      <c r="K193" s="145" t="n"/>
      <c r="L193" s="145" t="n"/>
      <c r="M193" s="145" t="n">
        <v>0</v>
      </c>
      <c r="N193" s="145" t="n">
        <v>0</v>
      </c>
      <c r="O193" s="145" t="n">
        <v>0</v>
      </c>
      <c r="P193" s="145" t="n">
        <v>0</v>
      </c>
      <c r="Q193" s="145" t="n">
        <v>0</v>
      </c>
      <c r="R193" s="145" t="n">
        <v>0</v>
      </c>
      <c r="S193" s="145" t="n">
        <v>0</v>
      </c>
      <c r="T193" s="145" t="n">
        <v>0</v>
      </c>
      <c r="U193" s="145" t="n">
        <v>0</v>
      </c>
      <c r="V193" s="145" t="n">
        <v>7001</v>
      </c>
      <c r="W193" s="145" t="n">
        <v>15687</v>
      </c>
      <c r="X193" s="145" t="n">
        <v>25452</v>
      </c>
      <c r="Y193" s="145" t="n">
        <v>25451</v>
      </c>
      <c r="Z193" s="145" t="n">
        <v>0</v>
      </c>
      <c r="AA193" s="145" t="n">
        <v>0</v>
      </c>
      <c r="AB193" s="145" t="n">
        <v>0</v>
      </c>
      <c r="AC193" s="145" t="n">
        <v>495</v>
      </c>
      <c r="AD193" s="145" t="n">
        <v>0</v>
      </c>
      <c r="AE193" s="145" t="n">
        <v>0</v>
      </c>
      <c r="AF193" s="145" t="n">
        <v>0</v>
      </c>
      <c r="AG193" s="145" t="n">
        <v>0</v>
      </c>
      <c r="AH193" s="145" t="n">
        <v>0</v>
      </c>
      <c r="AI193" s="145" t="n">
        <v>0</v>
      </c>
      <c r="AJ193" s="145" t="n">
        <v>0</v>
      </c>
      <c r="AK193" s="145" t="n">
        <v>0</v>
      </c>
      <c r="AL193" s="145" t="n">
        <v>10000</v>
      </c>
      <c r="AM193" s="145" t="n">
        <v>41720</v>
      </c>
      <c r="AN193" s="145" t="n">
        <v>158808</v>
      </c>
      <c r="AO193" s="145" t="n">
        <v>198808</v>
      </c>
      <c r="AP193" s="145" t="n">
        <v>70370</v>
      </c>
      <c r="AQ193" s="145" t="n">
        <v>156171</v>
      </c>
      <c r="AR193" s="145" t="n">
        <v>188143</v>
      </c>
      <c r="AS193" s="145" t="n">
        <v>212515</v>
      </c>
      <c r="AT193" s="145" t="n">
        <v>70161</v>
      </c>
      <c r="AU193" s="145" t="n">
        <v>-289830</v>
      </c>
      <c r="AV193" s="145" t="n">
        <v>-566498</v>
      </c>
      <c r="AW193" s="145" t="n">
        <v>-765310</v>
      </c>
      <c r="AX193" s="145" t="n">
        <v>-178101</v>
      </c>
      <c r="AY193" s="145" t="n">
        <v>-339828</v>
      </c>
      <c r="AZ193" s="145" t="n">
        <v>-557674</v>
      </c>
      <c r="BA193" s="145" t="n">
        <v>768078</v>
      </c>
      <c r="BB193" s="145" t="n">
        <v>-308195</v>
      </c>
      <c r="BC193" s="145" t="n">
        <v>-421321</v>
      </c>
      <c r="BD193" s="145" t="n">
        <v>-732729</v>
      </c>
      <c r="BE193" s="145" t="n">
        <v>-1111555</v>
      </c>
      <c r="BF193" s="145" t="n">
        <v>-513564</v>
      </c>
      <c r="BG193" s="145" t="n">
        <v>-1014033</v>
      </c>
      <c r="BH193" s="145" t="n">
        <v>-1437193</v>
      </c>
      <c r="BI193" s="145" t="n">
        <v>-1940605</v>
      </c>
      <c r="BJ193" s="145" t="n">
        <v>-475435</v>
      </c>
      <c r="BK193" s="145" t="n">
        <v>-583828</v>
      </c>
      <c r="BL193" s="145" t="n">
        <v>-914598</v>
      </c>
      <c r="BM193" s="145" t="n">
        <v>-1117022</v>
      </c>
      <c r="BN193" s="145" t="n">
        <v>-343820</v>
      </c>
      <c r="BO193" s="145" t="n">
        <v>-583347</v>
      </c>
      <c r="BP193" s="145" t="n">
        <v>-898455</v>
      </c>
      <c r="BQ193" s="145" t="n">
        <v>-1232863</v>
      </c>
      <c r="BR193" s="145" t="n">
        <v>-226521</v>
      </c>
      <c r="BS193" t="n">
        <v>-75020</v>
      </c>
      <c r="BT193" t="inlineStr">
        <is>
          <t>IPGP-Financial-Data-Workbook-2024-Q2.xlsx|Cash Flows|30|93</t>
        </is>
      </c>
    </row>
    <row r="194">
      <c r="A194" s="74" t="inlineStr">
        <is>
          <t>Purchases of short-term investments</t>
        </is>
      </c>
      <c r="B194" s="145" t="n"/>
      <c r="C194" s="145" t="n"/>
      <c r="D194" s="145" t="n"/>
      <c r="E194" s="145" t="n"/>
      <c r="F194" s="145" t="n"/>
      <c r="G194" s="145" t="n"/>
      <c r="H194" s="145" t="n"/>
      <c r="I194" s="145" t="n"/>
      <c r="J194" s="145" t="n"/>
      <c r="K194" s="145" t="n"/>
      <c r="L194" s="145" t="n"/>
      <c r="M194" s="145" t="n">
        <v>0</v>
      </c>
      <c r="N194" s="145" t="n">
        <v>0</v>
      </c>
      <c r="O194" s="145" t="n">
        <v>0</v>
      </c>
      <c r="P194" s="145" t="n">
        <v>0</v>
      </c>
      <c r="Q194" s="145" t="n">
        <v>0</v>
      </c>
      <c r="R194" s="145" t="n">
        <v>0</v>
      </c>
      <c r="S194" s="145" t="n">
        <v>0</v>
      </c>
      <c r="T194" s="145" t="n">
        <v>0</v>
      </c>
      <c r="U194" s="145" t="n">
        <v>-25451</v>
      </c>
      <c r="V194" s="145" t="n">
        <v>0</v>
      </c>
      <c r="W194" s="145" t="n">
        <v>0</v>
      </c>
      <c r="X194" s="145" t="n">
        <v>0</v>
      </c>
      <c r="Y194" s="145" t="n">
        <v>0</v>
      </c>
      <c r="Z194" s="145" t="n">
        <v>0</v>
      </c>
      <c r="AA194" s="145" t="n">
        <v>0</v>
      </c>
      <c r="AB194" s="145" t="n">
        <v>0</v>
      </c>
      <c r="AC194" s="145" t="n">
        <v>0</v>
      </c>
      <c r="AD194" s="145" t="n">
        <v>0</v>
      </c>
      <c r="AE194" s="145" t="n">
        <v>0</v>
      </c>
      <c r="AF194" s="145" t="n">
        <v>0</v>
      </c>
      <c r="AG194" s="145" t="n">
        <v>0</v>
      </c>
      <c r="AH194" s="145" t="n">
        <v>0</v>
      </c>
      <c r="AI194" s="145" t="n">
        <v>0</v>
      </c>
      <c r="AJ194" s="145" t="n">
        <v>0</v>
      </c>
      <c r="AK194" s="145" t="n">
        <v>-106747</v>
      </c>
      <c r="AL194" s="145" t="n">
        <v>-29899</v>
      </c>
      <c r="AM194" s="145" t="n">
        <v>-62211</v>
      </c>
      <c r="AN194" s="145" t="n">
        <v>-179374</v>
      </c>
      <c r="AO194" s="145" t="n">
        <v>-299508</v>
      </c>
      <c r="AP194" s="145" t="n">
        <v>-28173</v>
      </c>
      <c r="AQ194" s="145" t="n">
        <v>-71244</v>
      </c>
      <c r="AR194" s="145" t="n">
        <v>-146585</v>
      </c>
      <c r="AS194" s="145" t="n">
        <v>-211832</v>
      </c>
      <c r="AT194" s="145" t="n">
        <v>-70777</v>
      </c>
      <c r="AU194" s="145" t="n">
        <v>161618</v>
      </c>
      <c r="AV194" s="145" t="n">
        <v>286346</v>
      </c>
      <c r="AW194" s="145" t="n">
        <v>470328</v>
      </c>
      <c r="AX194" s="145" t="n">
        <v>202856</v>
      </c>
      <c r="AY194" s="145" t="n">
        <v>334680</v>
      </c>
      <c r="AZ194" s="145" t="n">
        <v>568501</v>
      </c>
      <c r="BA194" s="145" t="n">
        <v>-760300</v>
      </c>
      <c r="BB194" s="145" t="n">
        <v>186024</v>
      </c>
      <c r="BC194" s="145" t="n">
        <v>422912</v>
      </c>
      <c r="BD194" s="145" t="n">
        <v>697816</v>
      </c>
      <c r="BE194" s="145" t="n">
        <v>1099224</v>
      </c>
      <c r="BF194" s="145" t="n">
        <v>480163</v>
      </c>
      <c r="BG194" s="145" t="n">
        <v>785023</v>
      </c>
      <c r="BH194" s="145" t="n">
        <v>1226445</v>
      </c>
      <c r="BI194" s="145" t="n">
        <v>1647537</v>
      </c>
      <c r="BJ194" s="145" t="n">
        <v>505818</v>
      </c>
      <c r="BK194" s="145" t="n">
        <v>925657</v>
      </c>
      <c r="BL194" s="145" t="n">
        <v>1355883</v>
      </c>
      <c r="BM194" s="145" t="n">
        <v>1446355</v>
      </c>
      <c r="BN194" s="145" t="n">
        <v>279499</v>
      </c>
      <c r="BO194" s="145" t="n">
        <v>549879</v>
      </c>
      <c r="BP194" s="145" t="n">
        <v>789844</v>
      </c>
      <c r="BQ194" s="145" t="n">
        <v>1073993</v>
      </c>
      <c r="BR194" s="145" t="n">
        <v>252890</v>
      </c>
      <c r="BS194" t="n">
        <v>381103</v>
      </c>
      <c r="BT194" t="inlineStr">
        <is>
          <t>IPGP-Financial-Data-Workbook-2024-Q2.xlsx|Cash Flows|31|93</t>
        </is>
      </c>
    </row>
    <row r="195">
      <c r="A195" s="74" t="inlineStr">
        <is>
          <t>Acquisition of businesses</t>
        </is>
      </c>
      <c r="B195" s="145" t="n"/>
      <c r="C195" s="145" t="n"/>
      <c r="D195" s="145" t="n"/>
      <c r="E195" s="145" t="n"/>
      <c r="F195" s="145" t="n"/>
      <c r="G195" s="145" t="n"/>
      <c r="H195" s="145" t="n"/>
      <c r="I195" s="145" t="n"/>
      <c r="J195" s="145" t="n"/>
      <c r="K195" s="145" t="n"/>
      <c r="L195" s="145" t="n"/>
      <c r="M195" s="145" t="n"/>
      <c r="N195" s="145" t="n">
        <v>-748</v>
      </c>
      <c r="O195" s="145" t="n">
        <v>-4108</v>
      </c>
      <c r="P195" s="145" t="n">
        <v>-4108</v>
      </c>
      <c r="Q195" s="145" t="n">
        <v>-4108</v>
      </c>
      <c r="R195" s="145" t="n">
        <v>-450</v>
      </c>
      <c r="S195" s="145" t="n">
        <v>-450</v>
      </c>
      <c r="T195" s="145" t="n">
        <v>-450</v>
      </c>
      <c r="U195" s="145" t="n">
        <v>-750</v>
      </c>
      <c r="V195" s="145" t="n">
        <v>0</v>
      </c>
      <c r="W195" s="145" t="n">
        <v>0</v>
      </c>
      <c r="X195" s="145" t="n">
        <v>-11596</v>
      </c>
      <c r="Y195" s="145" t="n">
        <v>-11596</v>
      </c>
      <c r="Z195" s="145" t="n">
        <v>-5555</v>
      </c>
      <c r="AA195" s="145" t="n">
        <v>-5555</v>
      </c>
      <c r="AB195" s="145" t="n">
        <v>-5555</v>
      </c>
      <c r="AC195" s="145" t="n">
        <v>-5555</v>
      </c>
      <c r="AD195" s="145" t="n">
        <v>0</v>
      </c>
      <c r="AE195" s="145" t="n">
        <v>0</v>
      </c>
      <c r="AF195" s="145" t="n">
        <v>0</v>
      </c>
      <c r="AG195" s="145" t="n">
        <v>0</v>
      </c>
      <c r="AH195" s="145" t="n">
        <v>-4958</v>
      </c>
      <c r="AI195" s="145" t="n">
        <v>-4958</v>
      </c>
      <c r="AJ195" s="145" t="n">
        <v>-4958</v>
      </c>
      <c r="AK195" s="145" t="n">
        <v>-4958</v>
      </c>
      <c r="AL195" s="145" t="n">
        <v>0</v>
      </c>
      <c r="AM195" s="145" t="n">
        <v>-46527</v>
      </c>
      <c r="AN195" s="145" t="n">
        <v>-46527</v>
      </c>
      <c r="AO195" s="145" t="n">
        <v>-47792</v>
      </c>
      <c r="AP195" s="145" t="n">
        <v>0</v>
      </c>
      <c r="AQ195" s="145" t="n">
        <v>-11307</v>
      </c>
      <c r="AR195" s="145" t="n">
        <v>-50594</v>
      </c>
      <c r="AS195" s="145" t="n">
        <v>-60483</v>
      </c>
      <c r="AT195" s="145" t="n">
        <v>0</v>
      </c>
      <c r="AU195" s="145" t="n">
        <v>-4422</v>
      </c>
      <c r="AV195" s="145" t="n">
        <v>-4423</v>
      </c>
      <c r="AW195" s="145" t="n">
        <v>-109115</v>
      </c>
      <c r="AX195" s="145" t="n">
        <v>-20005</v>
      </c>
      <c r="AY195" s="145" t="n">
        <v>-15115</v>
      </c>
      <c r="AZ195" s="145" t="n">
        <v>-15115</v>
      </c>
      <c r="BA195" s="145" t="n">
        <v>-15115</v>
      </c>
      <c r="BB195" s="145" t="n">
        <v>0</v>
      </c>
      <c r="BC195" s="145" t="n">
        <v>0</v>
      </c>
      <c r="BD195" s="145" t="n">
        <v>0</v>
      </c>
      <c r="BE195" s="145" t="n">
        <v>-429</v>
      </c>
      <c r="BF195" s="145" t="n">
        <v>0</v>
      </c>
      <c r="BG195" s="145" t="n">
        <v>0</v>
      </c>
      <c r="BH195" s="145" t="n">
        <v>0</v>
      </c>
      <c r="BI195" s="145" t="n">
        <v>0</v>
      </c>
      <c r="BJ195" s="145" t="n">
        <v>-2000</v>
      </c>
      <c r="BK195" s="145" t="n">
        <v>-2000</v>
      </c>
      <c r="BL195" s="145" t="n">
        <v>-2000</v>
      </c>
      <c r="BM195" s="145" t="n">
        <v>-2000</v>
      </c>
      <c r="BN195" s="145" t="n">
        <v>0</v>
      </c>
      <c r="BO195" s="145" t="n"/>
      <c r="BP195" s="145" t="n"/>
      <c r="BQ195" s="145" t="n"/>
      <c r="BR195" s="145" t="n"/>
    </row>
    <row r="196">
      <c r="A196" s="74" t="inlineStr">
        <is>
          <t>Others</t>
        </is>
      </c>
      <c r="B196" s="145" t="n"/>
      <c r="C196" s="145" t="n"/>
      <c r="D196" s="145" t="n"/>
      <c r="E196" s="145" t="n"/>
      <c r="F196" s="145" t="n"/>
      <c r="G196" s="145" t="n"/>
      <c r="H196" s="145" t="n"/>
      <c r="I196" s="145" t="n"/>
      <c r="J196" s="145" t="n"/>
      <c r="K196" s="145" t="n"/>
      <c r="L196" s="145" t="n"/>
      <c r="M196" s="145" t="n"/>
      <c r="N196" s="145" t="n">
        <v>181</v>
      </c>
      <c r="O196" s="145" t="n">
        <v>117</v>
      </c>
      <c r="P196" s="145" t="n">
        <v>171</v>
      </c>
      <c r="Q196" s="145" t="n">
        <v>-77</v>
      </c>
      <c r="R196" s="145" t="n">
        <v>149</v>
      </c>
      <c r="S196" s="145" t="n">
        <v>112</v>
      </c>
      <c r="T196" s="145" t="n">
        <v>189</v>
      </c>
      <c r="U196" s="145" t="n">
        <v>109</v>
      </c>
      <c r="V196" s="145" t="n">
        <v>149</v>
      </c>
      <c r="W196" s="145" t="n">
        <v>-39</v>
      </c>
      <c r="X196" s="145" t="n">
        <v>-313</v>
      </c>
      <c r="Y196" s="145" t="n">
        <v>-928</v>
      </c>
      <c r="Z196" s="145" t="n">
        <v>375</v>
      </c>
      <c r="AA196" s="145" t="n">
        <v>407</v>
      </c>
      <c r="AB196" s="145" t="n">
        <v>442</v>
      </c>
      <c r="AC196" s="145" t="n">
        <v>-143</v>
      </c>
      <c r="AD196" s="145" t="n">
        <v>32</v>
      </c>
      <c r="AE196" s="145" t="n">
        <v>42</v>
      </c>
      <c r="AF196" s="145" t="n">
        <v>66</v>
      </c>
      <c r="AG196" s="145" t="n">
        <v>87</v>
      </c>
      <c r="AH196" s="145" t="n">
        <v>60</v>
      </c>
      <c r="AI196" s="145" t="n">
        <v>86</v>
      </c>
      <c r="AJ196" s="145" t="n">
        <v>63</v>
      </c>
      <c r="AK196" s="145" t="n">
        <v>93</v>
      </c>
      <c r="AL196" s="145" t="n">
        <v>46</v>
      </c>
      <c r="AM196" s="145" t="n">
        <v>72</v>
      </c>
      <c r="AN196" s="145" t="n">
        <v>16</v>
      </c>
      <c r="AO196" s="145" t="n">
        <v>468</v>
      </c>
      <c r="AP196" s="145" t="n">
        <v>-47</v>
      </c>
      <c r="AQ196" s="145" t="n">
        <v>-568</v>
      </c>
      <c r="AR196" s="145" t="n">
        <v>-496</v>
      </c>
      <c r="AS196" s="145" t="n">
        <v>-352</v>
      </c>
      <c r="AT196" s="145" t="n">
        <v>76</v>
      </c>
      <c r="AU196" s="145" t="n">
        <v>188</v>
      </c>
      <c r="AV196" s="145" t="n">
        <v>307</v>
      </c>
      <c r="AW196" s="145" t="n">
        <v>415</v>
      </c>
      <c r="AX196" s="145" t="n">
        <v>-134</v>
      </c>
      <c r="AY196" s="145" t="n">
        <v>209</v>
      </c>
      <c r="AZ196" s="145" t="n">
        <v>243</v>
      </c>
      <c r="BA196" s="145" t="n">
        <v>237</v>
      </c>
      <c r="BB196" s="145" t="n">
        <v>79</v>
      </c>
      <c r="BC196" s="145" t="n">
        <v>115</v>
      </c>
      <c r="BD196" s="145" t="n">
        <v>17</v>
      </c>
      <c r="BE196" s="145" t="n">
        <v>-7</v>
      </c>
      <c r="BF196" s="145" t="n">
        <v>-2</v>
      </c>
      <c r="BG196" s="145" t="n">
        <v>-547</v>
      </c>
      <c r="BH196" s="145" t="n">
        <v>-1078</v>
      </c>
      <c r="BI196" s="145" t="n">
        <v>-1515</v>
      </c>
      <c r="BJ196" s="145" t="n">
        <v>-1164</v>
      </c>
      <c r="BK196" s="145" t="n">
        <v>-350</v>
      </c>
      <c r="BL196" s="145">
        <f>-246+52141</f>
        <v/>
      </c>
      <c r="BM196" s="145">
        <f>52941-43</f>
        <v/>
      </c>
      <c r="BN196" s="145" t="n">
        <v>107</v>
      </c>
      <c r="BO196" s="145" t="n">
        <v>326</v>
      </c>
      <c r="BP196" s="145" t="n">
        <v>446</v>
      </c>
      <c r="BQ196" s="145" t="n">
        <v>558</v>
      </c>
      <c r="BR196" s="145" t="n">
        <v>157</v>
      </c>
      <c r="BS196" t="n">
        <v>31</v>
      </c>
      <c r="BT196" t="inlineStr">
        <is>
          <t>IPGP-Financial-Data-Workbook-2024-Q2.xlsx|Cash Flows|34|93</t>
        </is>
      </c>
    </row>
    <row r="197">
      <c r="A197" s="22" t="inlineStr">
        <is>
          <t>Net cash used in investing activities</t>
        </is>
      </c>
      <c r="B197" s="133" t="n"/>
      <c r="C197" s="133" t="n"/>
      <c r="D197" s="133" t="n"/>
      <c r="E197" s="133" t="n"/>
      <c r="F197" s="133" t="n"/>
      <c r="G197" s="133" t="n"/>
      <c r="H197" s="133" t="n"/>
      <c r="I197" s="133" t="n"/>
      <c r="J197" s="133" t="n"/>
      <c r="K197" s="133" t="n"/>
      <c r="L197" s="133" t="n"/>
      <c r="M197" s="133" t="n"/>
      <c r="N197" s="133" t="n">
        <v>-5520</v>
      </c>
      <c r="O197" s="133" t="n">
        <v>-12692</v>
      </c>
      <c r="P197" s="133" t="n">
        <v>-18138</v>
      </c>
      <c r="Q197" s="133" t="n">
        <v>-32559</v>
      </c>
      <c r="R197" s="133" t="n">
        <v>-9888</v>
      </c>
      <c r="S197" s="133" t="n">
        <v>-23124</v>
      </c>
      <c r="T197" s="133" t="n">
        <v>-35011</v>
      </c>
      <c r="U197" s="133" t="n">
        <v>-79099</v>
      </c>
      <c r="V197" s="133" t="n">
        <v>-6629</v>
      </c>
      <c r="W197" s="133" t="n">
        <v>-20318</v>
      </c>
      <c r="X197" s="133" t="n">
        <v>-38172</v>
      </c>
      <c r="Y197" s="133" t="n">
        <v>-55257</v>
      </c>
      <c r="Z197" s="133" t="n">
        <v>-22837</v>
      </c>
      <c r="AA197" s="133" t="n">
        <v>-39245</v>
      </c>
      <c r="AB197" s="133" t="n">
        <v>-53244</v>
      </c>
      <c r="AC197" s="133" t="n">
        <v>-75886</v>
      </c>
      <c r="AD197" s="133" t="n">
        <v>-11305</v>
      </c>
      <c r="AE197" s="133" t="n">
        <v>-45485</v>
      </c>
      <c r="AF197" s="133" t="n">
        <v>-74239</v>
      </c>
      <c r="AG197" s="133" t="n">
        <v>-90080</v>
      </c>
      <c r="AH197" s="133" t="n">
        <v>-18794</v>
      </c>
      <c r="AI197" s="133" t="n">
        <v>-37339</v>
      </c>
      <c r="AJ197" s="133" t="n">
        <v>-55423</v>
      </c>
      <c r="AK197" s="133" t="n">
        <v>-181567</v>
      </c>
      <c r="AL197" s="133" t="n">
        <v>-44684</v>
      </c>
      <c r="AM197" s="133" t="n">
        <v>-137625</v>
      </c>
      <c r="AN197" s="133" t="n">
        <v>-166904</v>
      </c>
      <c r="AO197" s="133" t="n">
        <v>-274408</v>
      </c>
      <c r="AP197" s="133" t="n">
        <v>20374</v>
      </c>
      <c r="AQ197" s="133" t="n">
        <v>44704</v>
      </c>
      <c r="AR197" s="133" t="n">
        <v>-93316</v>
      </c>
      <c r="AS197" s="133" t="n">
        <v>-170805</v>
      </c>
      <c r="AT197" s="133" t="n">
        <v>-39443</v>
      </c>
      <c r="AU197" s="133" t="n">
        <v>-228321</v>
      </c>
      <c r="AV197" s="133" t="n">
        <v>-416868</v>
      </c>
      <c r="AW197" s="133" t="n">
        <v>-562999</v>
      </c>
      <c r="AX197" s="133" t="n">
        <v>-28042</v>
      </c>
      <c r="AY197" s="133" t="n">
        <v>-106258</v>
      </c>
      <c r="AZ197" s="133" t="n">
        <v>-111237</v>
      </c>
      <c r="BA197" s="133" t="n">
        <v>-139975</v>
      </c>
      <c r="BB197" s="133" t="n">
        <v>-139754</v>
      </c>
      <c r="BC197" s="133" t="n">
        <v>-35204</v>
      </c>
      <c r="BD197" s="133" t="n">
        <v>-96078</v>
      </c>
      <c r="BE197" s="133" t="n">
        <v>-99574</v>
      </c>
      <c r="BF197" s="133">
        <f>SUM(BF190:BF196)</f>
        <v/>
      </c>
      <c r="BG197" s="133" t="n">
        <v>-283643</v>
      </c>
      <c r="BH197" s="133" t="n">
        <v>-304824</v>
      </c>
      <c r="BI197" s="133" t="n">
        <v>-416282</v>
      </c>
      <c r="BJ197" s="133" t="n">
        <v>2470</v>
      </c>
      <c r="BK197" s="133" t="n">
        <v>280221</v>
      </c>
      <c r="BL197" s="133">
        <f>SUM(BL189:BL196)</f>
        <v/>
      </c>
      <c r="BM197" s="133" t="n">
        <v>296952</v>
      </c>
      <c r="BN197" s="133" t="n">
        <v>-96018</v>
      </c>
      <c r="BO197" s="133" t="n">
        <v>-90541</v>
      </c>
      <c r="BP197" s="133" t="n">
        <v>-162996</v>
      </c>
      <c r="BQ197" s="133" t="n">
        <v>-237554</v>
      </c>
      <c r="BR197" s="133" t="n">
        <v>23736</v>
      </c>
      <c r="BS197" t="n">
        <v>284908</v>
      </c>
      <c r="BT197" t="inlineStr">
        <is>
          <t>IPGP-Financial-Data-Workbook-2024-Q2.xlsx|Cash Flows|35|93</t>
        </is>
      </c>
    </row>
    <row r="198">
      <c r="B198" s="145" t="n"/>
      <c r="C198" s="145" t="n"/>
      <c r="D198" s="145" t="n"/>
      <c r="E198" s="145" t="n"/>
      <c r="F198" s="145" t="n"/>
      <c r="G198" s="145" t="n"/>
      <c r="H198" s="145" t="n"/>
      <c r="I198" s="145" t="n"/>
      <c r="J198" s="145" t="n"/>
      <c r="K198" s="145" t="n"/>
      <c r="L198" s="145" t="n"/>
      <c r="M198" s="145" t="n"/>
      <c r="N198" s="145" t="n"/>
      <c r="O198" s="145" t="n"/>
      <c r="P198" s="145" t="n"/>
      <c r="Q198" s="145" t="n"/>
      <c r="R198" s="145" t="n"/>
      <c r="S198" s="145" t="n"/>
      <c r="T198" s="145" t="n"/>
      <c r="U198" s="145" t="n"/>
      <c r="V198" s="145" t="n"/>
      <c r="W198" s="145" t="n"/>
      <c r="X198" s="145" t="n"/>
      <c r="Y198" s="145" t="n"/>
      <c r="Z198" s="145" t="n"/>
      <c r="AA198" s="145" t="n"/>
      <c r="AB198" s="145" t="n"/>
      <c r="AC198" s="145" t="n"/>
      <c r="AD198" s="145" t="n"/>
      <c r="AE198" s="145" t="n"/>
      <c r="AF198" s="145" t="n"/>
      <c r="AG198" s="145" t="n"/>
      <c r="AH198" s="145" t="n"/>
      <c r="AI198" s="145" t="n"/>
      <c r="AJ198" s="145" t="n"/>
      <c r="AK198" s="145" t="n"/>
      <c r="AL198" s="145" t="n"/>
      <c r="AM198" s="145" t="n"/>
      <c r="AN198" s="145" t="n"/>
      <c r="AO198" s="145" t="n"/>
      <c r="AP198" s="145" t="n"/>
      <c r="AQ198" s="145" t="n"/>
      <c r="AR198" s="145" t="n"/>
      <c r="AS198" s="145" t="n"/>
      <c r="AT198" s="145" t="n"/>
      <c r="AU198" s="145" t="n"/>
      <c r="AV198" s="145" t="n"/>
      <c r="AW198" s="145" t="n"/>
      <c r="AX198" s="145" t="n"/>
      <c r="AY198" s="145" t="n"/>
      <c r="AZ198" s="145" t="n"/>
      <c r="BA198" s="145" t="n"/>
      <c r="BB198" s="145" t="n"/>
      <c r="BC198" s="145" t="n"/>
      <c r="BD198" s="145" t="n"/>
      <c r="BE198" s="145" t="n"/>
      <c r="BF198" s="145" t="n"/>
      <c r="BG198" s="145" t="n"/>
      <c r="BH198" s="145" t="n"/>
      <c r="BJ198" s="145" t="n"/>
      <c r="BN198" s="145" t="n"/>
      <c r="BO198" s="145" t="n"/>
      <c r="BP198" s="145" t="n"/>
    </row>
    <row r="199">
      <c r="A199" s="22" t="inlineStr">
        <is>
          <t>CASH FLOWS FROM FINANCING ACTIVITIES:</t>
        </is>
      </c>
      <c r="B199" s="22" t="n"/>
      <c r="C199" s="22" t="n"/>
      <c r="D199" s="22" t="n"/>
      <c r="E199" s="22" t="n"/>
      <c r="F199" s="22" t="n"/>
      <c r="G199" s="22" t="n"/>
      <c r="H199" s="22" t="n"/>
      <c r="I199" s="22" t="n"/>
      <c r="J199" s="22" t="n"/>
      <c r="K199" s="22" t="n"/>
      <c r="L199" s="22" t="n"/>
      <c r="M199" s="22" t="n"/>
      <c r="N199" s="22" t="n"/>
      <c r="O199" s="22" t="n"/>
      <c r="P199" s="22" t="n"/>
      <c r="Q199" s="22" t="n"/>
      <c r="R199" s="22" t="n"/>
      <c r="S199" s="22" t="n"/>
      <c r="T199" s="22" t="n"/>
      <c r="U199" s="22" t="n"/>
      <c r="V199" s="22" t="n"/>
      <c r="W199" s="22" t="n"/>
      <c r="X199" s="22" t="n"/>
      <c r="Y199" s="22" t="n"/>
      <c r="Z199" s="22" t="n"/>
      <c r="AA199" s="22" t="n"/>
      <c r="AB199" s="22" t="n"/>
      <c r="AC199" s="22" t="n"/>
      <c r="AD199" s="22" t="n"/>
      <c r="AE199" s="22" t="n"/>
      <c r="AF199" s="22" t="n"/>
      <c r="AG199" s="22" t="n"/>
      <c r="AH199" s="22" t="n"/>
      <c r="AI199" s="22" t="n"/>
      <c r="AJ199" s="22" t="n"/>
      <c r="AK199" s="22" t="n"/>
      <c r="AL199" s="22" t="n"/>
      <c r="AM199" s="22" t="n"/>
      <c r="AN199" s="22" t="n"/>
      <c r="AO199" s="22" t="n"/>
      <c r="AP199" s="22" t="n"/>
      <c r="AQ199" s="22" t="n"/>
      <c r="AR199" s="22" t="n"/>
      <c r="AS199" s="22" t="n"/>
      <c r="AT199" s="22" t="n"/>
      <c r="AU199" s="22" t="n"/>
      <c r="AV199" s="22" t="n"/>
      <c r="AW199" s="22" t="n"/>
      <c r="AX199" s="22" t="n"/>
      <c r="AY199" s="22" t="n"/>
      <c r="AZ199" s="22" t="n"/>
      <c r="BA199" s="22" t="n"/>
      <c r="BB199" s="22" t="n"/>
      <c r="BC199" s="22" t="n"/>
      <c r="BD199" s="22" t="n"/>
      <c r="BE199" s="22" t="n"/>
      <c r="BF199" s="22" t="n"/>
      <c r="BG199" s="22" t="n"/>
      <c r="BH199" s="22" t="n"/>
      <c r="BJ199" s="22" t="n"/>
      <c r="BN199" s="22" t="n"/>
      <c r="BO199" s="22" t="n"/>
      <c r="BP199" s="22" t="n"/>
    </row>
    <row r="200">
      <c r="A200" s="74" t="inlineStr">
        <is>
          <t>Proceeds from line-of-credit facilities</t>
        </is>
      </c>
      <c r="B200" s="145" t="n"/>
      <c r="C200" s="145" t="n"/>
      <c r="D200" s="145" t="n"/>
      <c r="E200" s="145" t="n"/>
      <c r="F200" s="145" t="n"/>
      <c r="G200" s="145" t="n"/>
      <c r="H200" s="145" t="n"/>
      <c r="I200" s="145" t="n"/>
      <c r="J200" s="145" t="n"/>
      <c r="K200" s="145" t="n"/>
      <c r="L200" s="145" t="n"/>
      <c r="M200" s="145" t="n"/>
      <c r="N200" s="145" t="n">
        <v>4274</v>
      </c>
      <c r="O200" s="145" t="n">
        <v>5543</v>
      </c>
      <c r="P200" s="145" t="n">
        <v>9147</v>
      </c>
      <c r="Q200" s="145" t="n">
        <v>13828</v>
      </c>
      <c r="R200" s="145" t="n">
        <v>3629</v>
      </c>
      <c r="S200" s="145" t="n">
        <v>6951</v>
      </c>
      <c r="T200" s="145" t="n">
        <v>8683</v>
      </c>
      <c r="U200" s="145" t="n">
        <v>10673</v>
      </c>
      <c r="V200" s="145" t="n">
        <v>5027</v>
      </c>
      <c r="W200" s="145" t="n">
        <v>6949</v>
      </c>
      <c r="X200" s="145" t="n">
        <v>9647</v>
      </c>
      <c r="Y200" s="145" t="n">
        <v>12760</v>
      </c>
      <c r="Z200" s="145" t="n">
        <v>8897</v>
      </c>
      <c r="AA200" s="145" t="n">
        <v>11971</v>
      </c>
      <c r="AB200" s="145" t="n">
        <v>14124</v>
      </c>
      <c r="AC200" s="145" t="n">
        <v>16843</v>
      </c>
      <c r="AD200" s="145" t="n">
        <v>10889</v>
      </c>
      <c r="AE200" s="145" t="n">
        <v>15376</v>
      </c>
      <c r="AF200" s="145" t="n">
        <v>26051</v>
      </c>
      <c r="AG200" s="145" t="n">
        <v>33282</v>
      </c>
      <c r="AH200" s="145" t="n">
        <v>3616</v>
      </c>
      <c r="AI200" s="145" t="n">
        <v>9432</v>
      </c>
      <c r="AJ200" s="145" t="n">
        <v>7506</v>
      </c>
      <c r="AK200" s="145" t="n">
        <v>12887</v>
      </c>
      <c r="AL200" s="145" t="n">
        <v>2214</v>
      </c>
      <c r="AM200" s="145" t="n">
        <v>4002</v>
      </c>
      <c r="AN200" s="145" t="n">
        <v>6030</v>
      </c>
      <c r="AO200" s="145" t="n">
        <v>7992</v>
      </c>
      <c r="AP200" s="145" t="n">
        <v>1934</v>
      </c>
      <c r="AQ200" s="145" t="n">
        <v>6761</v>
      </c>
      <c r="AR200" s="145" t="n">
        <v>6761</v>
      </c>
      <c r="AS200" s="145" t="n">
        <v>6761</v>
      </c>
      <c r="AT200" s="145" t="n">
        <v>255</v>
      </c>
      <c r="AU200" s="145" t="n">
        <v>255</v>
      </c>
      <c r="AV200" s="145" t="n">
        <v>255</v>
      </c>
      <c r="AW200" s="145" t="n">
        <v>255</v>
      </c>
      <c r="AX200" s="145" t="n"/>
      <c r="AY200" s="145" t="n"/>
      <c r="AZ200" s="145" t="n">
        <v>15</v>
      </c>
      <c r="BA200" s="145" t="n">
        <v>15</v>
      </c>
      <c r="BB200" s="145" t="n">
        <v>0</v>
      </c>
      <c r="BC200" s="145" t="n">
        <v>0</v>
      </c>
      <c r="BD200" s="145" t="n">
        <v>0</v>
      </c>
      <c r="BE200" s="145" t="n"/>
      <c r="BF200" s="145" t="n">
        <v>0</v>
      </c>
      <c r="BG200" s="145" t="n">
        <v>0</v>
      </c>
      <c r="BH200" s="145" t="n">
        <v>0</v>
      </c>
      <c r="BI200" s="145" t="n">
        <v>0</v>
      </c>
      <c r="BJ200" s="145" t="n">
        <v>0</v>
      </c>
      <c r="BK200" s="145" t="n">
        <v>0</v>
      </c>
      <c r="BL200" s="145" t="n">
        <v>0</v>
      </c>
      <c r="BM200" s="145" t="n">
        <v>0</v>
      </c>
      <c r="BN200" s="145" t="n">
        <v>0</v>
      </c>
      <c r="BO200" s="145" t="n">
        <v>0</v>
      </c>
      <c r="BP200" s="145" t="n">
        <v>0</v>
      </c>
      <c r="BQ200" s="145" t="n">
        <v>0</v>
      </c>
    </row>
    <row r="201">
      <c r="A201" s="74" t="inlineStr">
        <is>
          <t>Payments on line-of-credit facilities</t>
        </is>
      </c>
      <c r="B201" s="145" t="n"/>
      <c r="C201" s="145" t="n"/>
      <c r="D201" s="145" t="n"/>
      <c r="E201" s="145" t="n"/>
      <c r="F201" s="145" t="n"/>
      <c r="G201" s="145" t="n"/>
      <c r="H201" s="145" t="n"/>
      <c r="I201" s="145" t="n"/>
      <c r="J201" s="145" t="n"/>
      <c r="K201" s="145" t="n"/>
      <c r="L201" s="145" t="n"/>
      <c r="M201" s="145" t="n"/>
      <c r="N201" s="145" t="n">
        <v>-3112</v>
      </c>
      <c r="O201" s="145" t="n">
        <v>-5033</v>
      </c>
      <c r="P201" s="145" t="n">
        <v>-10629</v>
      </c>
      <c r="Q201" s="145" t="n">
        <v>-13086</v>
      </c>
      <c r="R201" s="145" t="n">
        <v>-4044</v>
      </c>
      <c r="S201" s="145" t="n">
        <v>-6817</v>
      </c>
      <c r="T201" s="145" t="n">
        <v>-8098</v>
      </c>
      <c r="U201" s="145" t="n">
        <v>-10630</v>
      </c>
      <c r="V201" s="145" t="n">
        <v>-2333</v>
      </c>
      <c r="W201" s="145" t="n">
        <v>-9692</v>
      </c>
      <c r="X201" s="145" t="n">
        <v>-11605</v>
      </c>
      <c r="Y201" s="145" t="n">
        <v>-17190</v>
      </c>
      <c r="Z201" s="145" t="n">
        <v>-1415</v>
      </c>
      <c r="AA201" s="145" t="n">
        <v>-12591</v>
      </c>
      <c r="AB201" s="145" t="n">
        <v>-15019</v>
      </c>
      <c r="AC201" s="145" t="n">
        <v>-15990</v>
      </c>
      <c r="AD201" s="145" t="n">
        <v>-11861</v>
      </c>
      <c r="AE201" s="145" t="n">
        <v>-15911</v>
      </c>
      <c r="AF201" s="145" t="n">
        <v>-26836</v>
      </c>
      <c r="AG201" s="145" t="n">
        <v>-33623</v>
      </c>
      <c r="AH201" s="145" t="n">
        <v>-5488</v>
      </c>
      <c r="AI201" s="145" t="n">
        <v>-10209</v>
      </c>
      <c r="AJ201" s="145" t="n">
        <v>-9780</v>
      </c>
      <c r="AK201" s="145" t="n">
        <v>-15227</v>
      </c>
      <c r="AL201" s="145" t="n">
        <v>-2223</v>
      </c>
      <c r="AM201" s="145" t="n">
        <v>-4002</v>
      </c>
      <c r="AN201" s="145" t="n">
        <v>-6030</v>
      </c>
      <c r="AO201" s="145" t="n">
        <v>-7992</v>
      </c>
      <c r="AP201" s="145" t="n">
        <v>-1934</v>
      </c>
      <c r="AQ201" s="145" t="n">
        <v>-6761</v>
      </c>
      <c r="AR201" s="145" t="n">
        <v>-6761</v>
      </c>
      <c r="AS201" s="145" t="n">
        <v>-6761</v>
      </c>
      <c r="AT201" s="145" t="n">
        <v>-255</v>
      </c>
      <c r="AU201" s="145" t="n">
        <v>-255</v>
      </c>
      <c r="AV201" s="145" t="n">
        <v>-255</v>
      </c>
      <c r="AW201" s="145" t="n">
        <v>-255</v>
      </c>
      <c r="AX201" s="145" t="n"/>
      <c r="AY201" s="145" t="n"/>
      <c r="AZ201" s="145" t="n">
        <v>-15</v>
      </c>
      <c r="BA201" s="145" t="n">
        <v>-15</v>
      </c>
      <c r="BB201" s="145" t="n">
        <v>0</v>
      </c>
      <c r="BC201" s="145" t="n">
        <v>0</v>
      </c>
      <c r="BD201" s="145" t="n">
        <v>0</v>
      </c>
      <c r="BE201" s="145" t="n"/>
      <c r="BF201" s="145" t="n">
        <v>0</v>
      </c>
      <c r="BG201" s="145" t="n">
        <v>0</v>
      </c>
      <c r="BH201" s="145" t="n">
        <v>0</v>
      </c>
      <c r="BI201" s="145" t="n">
        <v>0</v>
      </c>
      <c r="BJ201" s="145" t="n">
        <v>0</v>
      </c>
      <c r="BK201" s="145" t="n">
        <v>0</v>
      </c>
      <c r="BL201" s="145" t="n">
        <v>0</v>
      </c>
      <c r="BM201" s="145" t="n">
        <v>0</v>
      </c>
      <c r="BN201" s="145" t="n">
        <v>0</v>
      </c>
      <c r="BO201" s="145" t="n">
        <v>0</v>
      </c>
      <c r="BP201" s="145" t="n">
        <v>0</v>
      </c>
      <c r="BQ201" s="145" t="n">
        <v>0</v>
      </c>
    </row>
    <row r="202">
      <c r="A202" s="74" t="inlineStr">
        <is>
          <t>Purchase of noncontrolling interests</t>
        </is>
      </c>
      <c r="B202" s="145" t="n"/>
      <c r="C202" s="145" t="n"/>
      <c r="D202" s="145" t="n"/>
      <c r="E202" s="145" t="n"/>
      <c r="F202" s="145" t="n"/>
      <c r="G202" s="145" t="n"/>
      <c r="H202" s="145" t="n"/>
      <c r="I202" s="145" t="n"/>
      <c r="J202" s="145" t="n"/>
      <c r="K202" s="145" t="n"/>
      <c r="L202" s="145" t="n"/>
      <c r="M202" s="145" t="n"/>
      <c r="N202" s="145" t="n">
        <v>0</v>
      </c>
      <c r="O202" s="145" t="n">
        <v>0</v>
      </c>
      <c r="P202" s="145" t="n">
        <v>0</v>
      </c>
      <c r="Q202" s="145" t="n">
        <v>-92</v>
      </c>
      <c r="R202" s="145" t="n">
        <v>0</v>
      </c>
      <c r="S202" s="145" t="n">
        <v>0</v>
      </c>
      <c r="T202" s="145" t="n">
        <v>0</v>
      </c>
      <c r="U202" s="145" t="n">
        <v>0</v>
      </c>
      <c r="V202" s="145" t="n">
        <v>-700</v>
      </c>
      <c r="W202" s="145" t="n">
        <v>-700</v>
      </c>
      <c r="X202" s="145" t="n">
        <v>-700</v>
      </c>
      <c r="Y202" s="145" t="n">
        <v>-700</v>
      </c>
      <c r="Z202" s="145" t="n">
        <v>0</v>
      </c>
      <c r="AA202" s="145" t="n">
        <v>0</v>
      </c>
      <c r="AB202" s="145" t="n">
        <v>0</v>
      </c>
      <c r="AC202" s="145" t="n">
        <v>0</v>
      </c>
      <c r="AD202" s="145" t="n">
        <v>0</v>
      </c>
      <c r="AE202" s="145" t="n">
        <v>0</v>
      </c>
      <c r="AF202" s="145" t="n">
        <v>0</v>
      </c>
      <c r="AG202" s="145" t="n">
        <v>0</v>
      </c>
      <c r="AH202" s="145" t="n">
        <v>0</v>
      </c>
      <c r="AI202" s="145" t="n">
        <v>0</v>
      </c>
      <c r="AJ202" s="145" t="n">
        <v>0</v>
      </c>
      <c r="AK202" s="145" t="n">
        <v>0</v>
      </c>
      <c r="AL202" s="145" t="n">
        <v>0</v>
      </c>
      <c r="AM202" s="145" t="n">
        <v>-950</v>
      </c>
      <c r="AN202" s="145" t="n">
        <v>-950</v>
      </c>
      <c r="AO202" s="145" t="n">
        <v>-950</v>
      </c>
      <c r="AP202" s="145" t="n">
        <v>0</v>
      </c>
      <c r="AQ202" s="145" t="n">
        <v>-197</v>
      </c>
      <c r="AR202" s="145" t="n">
        <v>-197</v>
      </c>
      <c r="AS202" s="145" t="n">
        <v>-197</v>
      </c>
      <c r="AT202" s="145" t="n">
        <v>0</v>
      </c>
      <c r="AU202" s="145" t="n">
        <v>0</v>
      </c>
      <c r="AV202" s="145" t="n">
        <v>378</v>
      </c>
      <c r="AW202" s="145" t="n">
        <v>839</v>
      </c>
      <c r="AX202" s="145" t="n"/>
      <c r="AY202" s="145" t="n"/>
      <c r="AZ202" s="145" t="n"/>
      <c r="BA202" s="145" t="n"/>
      <c r="BB202" s="145" t="n"/>
      <c r="BC202" s="145" t="n"/>
      <c r="BD202" s="145" t="n"/>
      <c r="BE202" s="145" t="n"/>
      <c r="BF202" s="145" t="n"/>
      <c r="BG202" s="145" t="n"/>
      <c r="BH202" s="145" t="n"/>
      <c r="BJ202" s="145" t="n"/>
      <c r="BN202" s="145" t="n"/>
      <c r="BO202" s="145" t="n"/>
      <c r="BP202" s="145" t="n"/>
    </row>
    <row r="203">
      <c r="A203" s="74" t="inlineStr">
        <is>
          <t>(Purchase) sale of redeemable noncontrolling interests</t>
        </is>
      </c>
      <c r="B203" s="145" t="n"/>
      <c r="C203" s="145" t="n"/>
      <c r="D203" s="145" t="n"/>
      <c r="E203" s="145" t="n"/>
      <c r="F203" s="145" t="n"/>
      <c r="G203" s="145" t="n"/>
      <c r="H203" s="145" t="n"/>
      <c r="I203" s="145" t="n"/>
      <c r="J203" s="145" t="n"/>
      <c r="K203" s="145" t="n"/>
      <c r="L203" s="145" t="n"/>
      <c r="M203" s="145" t="n"/>
      <c r="N203" s="145" t="n">
        <v>0</v>
      </c>
      <c r="O203" s="145" t="n">
        <v>0</v>
      </c>
      <c r="P203" s="145" t="n">
        <v>0</v>
      </c>
      <c r="Q203" s="145" t="n">
        <v>24806</v>
      </c>
      <c r="R203" s="145" t="n">
        <v>0</v>
      </c>
      <c r="S203" s="145" t="n">
        <v>19973</v>
      </c>
      <c r="T203" s="145" t="n">
        <v>19973</v>
      </c>
      <c r="U203" s="145" t="n">
        <v>19972</v>
      </c>
      <c r="V203" s="145" t="n">
        <v>-360</v>
      </c>
      <c r="W203" s="145" t="n">
        <v>-55400</v>
      </c>
      <c r="X203" s="145" t="n">
        <v>-55400</v>
      </c>
      <c r="Y203" s="145" t="n">
        <v>-55400</v>
      </c>
      <c r="Z203" s="145" t="n">
        <v>0</v>
      </c>
      <c r="AA203" s="145" t="n">
        <v>0</v>
      </c>
      <c r="AB203" s="145" t="n">
        <v>0</v>
      </c>
      <c r="AC203" s="145" t="n">
        <v>0</v>
      </c>
      <c r="AD203" s="145" t="n">
        <v>0</v>
      </c>
      <c r="AE203" s="145" t="n">
        <v>0</v>
      </c>
      <c r="AF203" s="145" t="n">
        <v>0</v>
      </c>
      <c r="AG203" s="145" t="n">
        <v>0</v>
      </c>
      <c r="AH203" s="145" t="n">
        <v>0</v>
      </c>
      <c r="AI203" s="145" t="n">
        <v>0</v>
      </c>
      <c r="AJ203" s="145" t="n">
        <v>0</v>
      </c>
      <c r="AK203" s="145" t="n">
        <v>0</v>
      </c>
      <c r="AL203" s="145" t="n">
        <v>0</v>
      </c>
      <c r="AM203" s="145" t="n">
        <v>0</v>
      </c>
      <c r="AN203" s="145" t="n">
        <v>0</v>
      </c>
      <c r="AO203" s="145" t="n">
        <v>0</v>
      </c>
      <c r="AP203" s="145" t="n">
        <v>0</v>
      </c>
      <c r="AQ203" s="145" t="n">
        <v>0</v>
      </c>
      <c r="AR203" s="145" t="n">
        <v>0</v>
      </c>
      <c r="AS203" s="145" t="n">
        <v>0</v>
      </c>
      <c r="AT203" s="145" t="n">
        <v>0</v>
      </c>
      <c r="AU203" s="145" t="n">
        <v>0</v>
      </c>
      <c r="AV203" s="145" t="n">
        <v>0</v>
      </c>
      <c r="AW203" s="145" t="n"/>
      <c r="AX203" s="145" t="n"/>
      <c r="AY203" s="145" t="n"/>
      <c r="AZ203" s="145" t="n"/>
      <c r="BA203" s="145" t="n"/>
      <c r="BB203" s="145" t="n"/>
      <c r="BC203" s="145" t="n"/>
      <c r="BD203" s="145" t="n"/>
      <c r="BE203" s="145" t="n"/>
      <c r="BF203" s="145" t="n"/>
      <c r="BG203" s="145" t="n"/>
      <c r="BH203" s="145" t="n"/>
      <c r="BJ203" s="145" t="n"/>
      <c r="BN203" s="145" t="n"/>
      <c r="BO203" s="145" t="n"/>
      <c r="BP203" s="145" t="n"/>
    </row>
    <row r="204">
      <c r="A204" s="74" t="inlineStr">
        <is>
          <t>Proceeds on long-term borrowings</t>
        </is>
      </c>
      <c r="B204" s="145" t="n"/>
      <c r="C204" s="145" t="n"/>
      <c r="D204" s="145" t="n"/>
      <c r="E204" s="145" t="n"/>
      <c r="F204" s="145" t="n"/>
      <c r="G204" s="145" t="n"/>
      <c r="H204" s="145" t="n"/>
      <c r="I204" s="145" t="n"/>
      <c r="J204" s="145" t="n"/>
      <c r="K204" s="145" t="n"/>
      <c r="L204" s="145" t="n"/>
      <c r="M204" s="145" t="n"/>
      <c r="N204" s="145" t="n">
        <v>0</v>
      </c>
      <c r="O204" s="145" t="n">
        <v>0</v>
      </c>
      <c r="P204" s="145" t="n">
        <v>0</v>
      </c>
      <c r="Q204" s="145" t="n">
        <v>0</v>
      </c>
      <c r="R204" s="145" t="n">
        <v>0</v>
      </c>
      <c r="S204" s="145" t="n">
        <v>0</v>
      </c>
      <c r="T204" s="145" t="n">
        <v>0</v>
      </c>
      <c r="U204" s="145" t="n">
        <v>0</v>
      </c>
      <c r="V204" s="145" t="n">
        <v>0</v>
      </c>
      <c r="W204" s="145" t="n">
        <v>0</v>
      </c>
      <c r="X204" s="145" t="n">
        <v>0</v>
      </c>
      <c r="Y204" s="145" t="n">
        <v>0</v>
      </c>
      <c r="Z204" s="145" t="n">
        <v>0</v>
      </c>
      <c r="AA204" s="145" t="n">
        <v>0</v>
      </c>
      <c r="AB204" s="145" t="n">
        <v>0</v>
      </c>
      <c r="AC204" s="145" t="n">
        <v>0</v>
      </c>
      <c r="AD204" s="145" t="n">
        <v>0</v>
      </c>
      <c r="AE204" s="145" t="n">
        <v>0</v>
      </c>
      <c r="AF204" s="145" t="n">
        <v>0</v>
      </c>
      <c r="AG204" s="145" t="n">
        <v>0</v>
      </c>
      <c r="AH204" s="145" t="n">
        <v>0</v>
      </c>
      <c r="AI204" s="145" t="n">
        <v>0</v>
      </c>
      <c r="AJ204" s="145" t="n">
        <v>0</v>
      </c>
      <c r="AK204" s="145" t="n">
        <v>0</v>
      </c>
      <c r="AL204" s="145" t="n">
        <v>0</v>
      </c>
      <c r="AM204" s="145" t="n">
        <v>23750</v>
      </c>
      <c r="AN204" s="145" t="n">
        <v>23750</v>
      </c>
      <c r="AO204" s="145" t="n">
        <v>23750</v>
      </c>
      <c r="AP204" s="145" t="n">
        <v>0</v>
      </c>
      <c r="AQ204" s="145" t="n">
        <v>0</v>
      </c>
      <c r="AR204" s="145" t="n">
        <v>28000</v>
      </c>
      <c r="AS204" s="145" t="n">
        <v>28000</v>
      </c>
      <c r="AT204" s="145" t="n">
        <v>0</v>
      </c>
      <c r="AU204" s="145" t="n">
        <v>0</v>
      </c>
      <c r="AV204" s="145" t="n">
        <v>0</v>
      </c>
      <c r="AW204" s="145" t="n"/>
      <c r="AX204" s="145" t="n"/>
      <c r="AY204" s="145" t="n"/>
      <c r="AZ204" s="145" t="n"/>
      <c r="BA204" s="145" t="n"/>
      <c r="BB204" s="145" t="n"/>
      <c r="BC204" s="145" t="n"/>
      <c r="BD204" s="145" t="n"/>
      <c r="BE204" s="145" t="n"/>
      <c r="BF204" s="145" t="n"/>
      <c r="BG204" s="145" t="n"/>
      <c r="BH204" s="145" t="n"/>
      <c r="BJ204" s="145" t="n"/>
      <c r="BN204" s="145" t="n"/>
      <c r="BO204" s="145" t="n"/>
      <c r="BP204" s="145" t="n"/>
    </row>
    <row r="205">
      <c r="A205" s="74" t="inlineStr">
        <is>
          <t>Principal payments on long-term borrowings</t>
        </is>
      </c>
      <c r="B205" s="145" t="n"/>
      <c r="C205" s="145" t="n"/>
      <c r="D205" s="145" t="n"/>
      <c r="E205" s="145" t="n"/>
      <c r="F205" s="145" t="n"/>
      <c r="G205" s="145" t="n"/>
      <c r="H205" s="145" t="n"/>
      <c r="I205" s="145" t="n"/>
      <c r="J205" s="145" t="n"/>
      <c r="K205" s="145" t="n"/>
      <c r="L205" s="145" t="n"/>
      <c r="M205" s="145" t="n"/>
      <c r="N205" s="145" t="n">
        <v>-333</v>
      </c>
      <c r="O205" s="145" t="n">
        <v>-667</v>
      </c>
      <c r="P205" s="145" t="n">
        <v>-1000</v>
      </c>
      <c r="Q205" s="145" t="n">
        <v>-1333</v>
      </c>
      <c r="R205" s="145" t="n">
        <v>-333</v>
      </c>
      <c r="S205" s="145" t="n">
        <v>-666</v>
      </c>
      <c r="T205" s="145" t="n">
        <v>-1046</v>
      </c>
      <c r="U205" s="145" t="n">
        <v>-1432</v>
      </c>
      <c r="V205" s="145" t="n">
        <v>749</v>
      </c>
      <c r="W205" s="145" t="n">
        <v>-1476</v>
      </c>
      <c r="X205" s="145" t="n">
        <v>-1848</v>
      </c>
      <c r="Y205" s="145" t="n">
        <v>-2117</v>
      </c>
      <c r="Z205" s="145" t="n">
        <v>-1640</v>
      </c>
      <c r="AA205" s="145" t="n">
        <v>-2186</v>
      </c>
      <c r="AB205" s="145" t="n">
        <v>-2519</v>
      </c>
      <c r="AC205" s="145" t="n">
        <v>-2853</v>
      </c>
      <c r="AD205" s="145" t="n">
        <v>-333</v>
      </c>
      <c r="AE205" s="145" t="n">
        <v>-667</v>
      </c>
      <c r="AF205" s="145" t="n">
        <v>-1000</v>
      </c>
      <c r="AG205" s="145" t="n">
        <v>-1667</v>
      </c>
      <c r="AH205" s="145" t="n">
        <v>-833</v>
      </c>
      <c r="AI205" s="145" t="n">
        <v>-12333</v>
      </c>
      <c r="AJ205" s="145" t="n">
        <v>-12833</v>
      </c>
      <c r="AK205" s="145" t="n">
        <v>-13333</v>
      </c>
      <c r="AL205" s="145" t="n">
        <v>-500</v>
      </c>
      <c r="AM205" s="145" t="n">
        <v>-1000</v>
      </c>
      <c r="AN205" s="145" t="n">
        <v>-1797</v>
      </c>
      <c r="AO205" s="145" t="n">
        <v>-2594</v>
      </c>
      <c r="AP205" s="145" t="n">
        <v>-797</v>
      </c>
      <c r="AQ205" s="145" t="n">
        <v>-18260</v>
      </c>
      <c r="AR205" s="145" t="n">
        <v>-18951</v>
      </c>
      <c r="AS205" s="145" t="n">
        <v>-19842</v>
      </c>
      <c r="AT205" s="145" t="n">
        <v>-895</v>
      </c>
      <c r="AU205" s="145" t="n">
        <v>-1794</v>
      </c>
      <c r="AV205" s="145" t="n">
        <v>-2696</v>
      </c>
      <c r="AW205" s="145" t="n">
        <v>-3604</v>
      </c>
      <c r="AX205" s="145" t="n">
        <v>-911</v>
      </c>
      <c r="AY205" s="145" t="n">
        <v>-1827</v>
      </c>
      <c r="AZ205" s="145" t="n">
        <v>-2747</v>
      </c>
      <c r="BA205" s="145" t="n">
        <v>-3671</v>
      </c>
      <c r="BB205" s="145" t="n">
        <v>-928</v>
      </c>
      <c r="BC205" s="145" t="n">
        <v>-1862</v>
      </c>
      <c r="BD205" s="145" t="n">
        <v>-2798</v>
      </c>
      <c r="BE205" s="145" t="n">
        <v>-3740</v>
      </c>
      <c r="BF205" s="145" t="n">
        <v>-946</v>
      </c>
      <c r="BG205" s="145" t="n">
        <v>-1896</v>
      </c>
      <c r="BH205" s="145" t="n">
        <v>-2851</v>
      </c>
      <c r="BI205" s="145" t="n">
        <v>-3810</v>
      </c>
      <c r="BJ205" s="145" t="n">
        <v>-964</v>
      </c>
      <c r="BK205" s="145" t="n">
        <v>-1932</v>
      </c>
      <c r="BL205" s="145" t="n">
        <v>-17829</v>
      </c>
      <c r="BM205" s="145" t="n">
        <v>-18126</v>
      </c>
      <c r="BN205" s="145" t="n">
        <v>-298</v>
      </c>
      <c r="BO205" s="145" t="n">
        <v>-16031</v>
      </c>
      <c r="BP205" s="145" t="n">
        <v>-16031</v>
      </c>
      <c r="BQ205" s="145" t="n">
        <v>-16031</v>
      </c>
      <c r="BS205" t="n">
        <v>0</v>
      </c>
      <c r="BT205" t="inlineStr">
        <is>
          <t>IPGP-Financial-Data-Workbook-2024-Q2.xlsx|Cash Flows|42|93</t>
        </is>
      </c>
    </row>
    <row r="206">
      <c r="A206" s="74" t="inlineStr">
        <is>
          <t>Exercise of employee stock options and issuances under employee stock purchase plan</t>
        </is>
      </c>
      <c r="B206" s="145" t="n"/>
      <c r="C206" s="145" t="n"/>
      <c r="D206" s="145" t="n"/>
      <c r="E206" s="145" t="n"/>
      <c r="F206" s="145" t="n"/>
      <c r="G206" s="145" t="n"/>
      <c r="H206" s="145" t="n"/>
      <c r="I206" s="145" t="n"/>
      <c r="J206" s="145" t="n"/>
      <c r="K206" s="145" t="n"/>
      <c r="L206" s="145" t="n"/>
      <c r="M206" s="145" t="n"/>
      <c r="N206" s="145" t="n">
        <v>211</v>
      </c>
      <c r="O206" s="145" t="n">
        <v>1266</v>
      </c>
      <c r="P206" s="145" t="n">
        <v>6714</v>
      </c>
      <c r="Q206" s="145" t="n">
        <v>6298</v>
      </c>
      <c r="R206" s="145" t="n">
        <v>4884</v>
      </c>
      <c r="S206" s="145" t="n">
        <v>3989</v>
      </c>
      <c r="T206" s="145" t="n">
        <v>4491</v>
      </c>
      <c r="U206" s="145" t="n">
        <v>5268</v>
      </c>
      <c r="V206" s="145" t="n"/>
      <c r="W206" s="145" t="n">
        <v>2249</v>
      </c>
      <c r="X206" s="145" t="n">
        <v>4275</v>
      </c>
      <c r="Y206" s="145" t="n">
        <v>5480</v>
      </c>
      <c r="Z206" s="145" t="n">
        <v>720</v>
      </c>
      <c r="AA206" s="145" t="n">
        <v>2177</v>
      </c>
      <c r="AB206" s="145" t="n">
        <v>3228</v>
      </c>
      <c r="AC206" s="145" t="n">
        <v>7275</v>
      </c>
      <c r="AD206" s="145" t="n">
        <v>611</v>
      </c>
      <c r="AE206" s="145" t="n">
        <v>3379</v>
      </c>
      <c r="AF206" s="145" t="n">
        <v>3730</v>
      </c>
      <c r="AG206" s="145" t="n">
        <v>7558</v>
      </c>
      <c r="AH206" s="145" t="n">
        <v>4409</v>
      </c>
      <c r="AI206" s="145" t="n">
        <v>9574</v>
      </c>
      <c r="AJ206" s="145" t="n">
        <v>10489</v>
      </c>
      <c r="AK206" s="145" t="n">
        <v>14132</v>
      </c>
      <c r="AL206" s="145" t="n">
        <v>2644</v>
      </c>
      <c r="AM206" s="145" t="n">
        <v>8579</v>
      </c>
      <c r="AN206" s="145" t="n">
        <v>9186</v>
      </c>
      <c r="AO206" s="145" t="n">
        <v>16183</v>
      </c>
      <c r="AP206" s="145" t="n">
        <v>9600</v>
      </c>
      <c r="AQ206" s="145" t="n">
        <v>17152</v>
      </c>
      <c r="AR206" s="145" t="n">
        <v>23296</v>
      </c>
      <c r="AS206" s="145" t="n">
        <v>28654</v>
      </c>
      <c r="AT206" s="145" t="n">
        <v>3113</v>
      </c>
      <c r="AU206" s="145" t="n">
        <v>10631</v>
      </c>
      <c r="AV206" s="145" t="n">
        <v>12115</v>
      </c>
      <c r="AW206" s="145" t="n">
        <v>12183</v>
      </c>
      <c r="AX206" s="145" t="n">
        <v>-6149</v>
      </c>
      <c r="AY206" s="145" t="n">
        <v>-32</v>
      </c>
      <c r="AZ206" s="145" t="n">
        <v>1644</v>
      </c>
      <c r="BA206" s="145" t="n">
        <v>7336</v>
      </c>
      <c r="BB206" s="145" t="n">
        <v>-5498</v>
      </c>
      <c r="BC206" s="145" t="n">
        <v>8271</v>
      </c>
      <c r="BD206" s="145" t="n">
        <v>16767</v>
      </c>
      <c r="BE206" s="145" t="n">
        <v>33194</v>
      </c>
      <c r="BF206" s="145" t="n">
        <v>4981</v>
      </c>
      <c r="BG206" s="145" t="n">
        <v>10567</v>
      </c>
      <c r="BH206" s="145" t="n">
        <v>11427</v>
      </c>
      <c r="BI206" s="145" t="n">
        <v>16258</v>
      </c>
      <c r="BJ206" s="145" t="n">
        <v>-724</v>
      </c>
      <c r="BK206" s="145" t="n">
        <v>2088</v>
      </c>
      <c r="BL206" s="145" t="n">
        <v>2353</v>
      </c>
      <c r="BM206" s="145" t="n">
        <v>5583</v>
      </c>
      <c r="BN206" s="145" t="n">
        <v>-3844</v>
      </c>
      <c r="BO206" s="145" t="n">
        <v>-731</v>
      </c>
      <c r="BP206" s="145" t="n">
        <v>-432</v>
      </c>
      <c r="BQ206" s="145" t="n">
        <v>3147</v>
      </c>
      <c r="BR206" s="145" t="n">
        <v>-1158</v>
      </c>
      <c r="BS206" t="n">
        <v>2950</v>
      </c>
      <c r="BT206" t="inlineStr">
        <is>
          <t>IPGP-Financial-Data-Workbook-2024-Q2.xlsx|Cash Flows|43|93</t>
        </is>
      </c>
    </row>
    <row r="207">
      <c r="A207" s="74" t="inlineStr">
        <is>
          <t>Tax benefit from exercise of employee stock options</t>
        </is>
      </c>
      <c r="B207" s="145" t="n"/>
      <c r="C207" s="145" t="n"/>
      <c r="D207" s="145" t="n"/>
      <c r="E207" s="145" t="n"/>
      <c r="F207" s="145" t="n"/>
      <c r="G207" s="145" t="n"/>
      <c r="H207" s="145" t="n"/>
      <c r="I207" s="145" t="n"/>
      <c r="J207" s="145" t="n"/>
      <c r="K207" s="145" t="n"/>
      <c r="L207" s="145" t="n"/>
      <c r="M207" s="145" t="n"/>
      <c r="N207" s="145" t="n">
        <v>0</v>
      </c>
      <c r="O207" s="145" t="n">
        <v>0</v>
      </c>
      <c r="P207" s="145" t="n">
        <v>0</v>
      </c>
      <c r="Q207" s="145" t="n">
        <v>7443</v>
      </c>
      <c r="R207" s="145" t="n">
        <v>0</v>
      </c>
      <c r="S207" s="145" t="n">
        <v>6258</v>
      </c>
      <c r="T207" s="145" t="n">
        <v>7510</v>
      </c>
      <c r="U207" s="145" t="n">
        <v>8034</v>
      </c>
      <c r="V207" s="145" t="n">
        <v>1048</v>
      </c>
      <c r="W207" s="145" t="n">
        <v>1095</v>
      </c>
      <c r="X207" s="145" t="n">
        <v>3870</v>
      </c>
      <c r="Y207" s="145" t="n">
        <v>4679</v>
      </c>
      <c r="Z207" s="145" t="n">
        <v>1464</v>
      </c>
      <c r="AA207" s="145" t="n">
        <v>2356</v>
      </c>
      <c r="AB207" s="145" t="n">
        <v>3610</v>
      </c>
      <c r="AC207" s="145" t="n">
        <v>8874</v>
      </c>
      <c r="AD207" s="145" t="n">
        <v>1565</v>
      </c>
      <c r="AE207" s="145" t="n">
        <v>2426</v>
      </c>
      <c r="AF207" s="145" t="n">
        <v>2696</v>
      </c>
      <c r="AG207" s="145" t="n">
        <v>5979</v>
      </c>
      <c r="AH207" s="145" t="n">
        <v>4773</v>
      </c>
      <c r="AI207" s="145" t="n">
        <v>5665</v>
      </c>
      <c r="AJ207" s="145" t="n">
        <v>5822</v>
      </c>
      <c r="AK207" s="145" t="n">
        <v>6911</v>
      </c>
      <c r="AL207" s="145" t="n">
        <v>0</v>
      </c>
      <c r="AM207" s="145" t="n">
        <v>0</v>
      </c>
      <c r="AN207" s="145" t="n">
        <v>0</v>
      </c>
      <c r="AO207" s="145" t="n">
        <v>5408</v>
      </c>
      <c r="AP207" s="145" t="n">
        <v>0</v>
      </c>
      <c r="AQ207" s="145" t="n">
        <v>0</v>
      </c>
      <c r="AR207" s="145" t="n">
        <v>0</v>
      </c>
      <c r="AS207" s="145" t="n">
        <v>0</v>
      </c>
      <c r="AT207" s="145" t="n">
        <v>0</v>
      </c>
      <c r="AU207" s="145" t="n">
        <v>0</v>
      </c>
      <c r="AV207" s="145" t="n">
        <v>0</v>
      </c>
      <c r="AW207" s="145" t="n"/>
      <c r="AX207" s="145" t="n"/>
      <c r="AY207" s="145" t="n">
        <v>-2284</v>
      </c>
      <c r="AZ207" s="145" t="n">
        <v>-25921</v>
      </c>
      <c r="BA207" s="145" t="n">
        <v>-40732</v>
      </c>
      <c r="BB207" s="145" t="n">
        <v>-12716</v>
      </c>
      <c r="BC207" s="145" t="n">
        <v>-28230</v>
      </c>
      <c r="BD207" s="145" t="n">
        <v>-37884</v>
      </c>
      <c r="BE207" s="145" t="n">
        <v>-37884</v>
      </c>
      <c r="BF207" s="145" t="n">
        <v>-3048</v>
      </c>
      <c r="BG207" s="145" t="n">
        <v>-41731</v>
      </c>
      <c r="BH207" s="145" t="n">
        <v>-78071</v>
      </c>
      <c r="BI207" s="145" t="n">
        <v>-134889</v>
      </c>
      <c r="BJ207" s="145" t="n">
        <v>-78757</v>
      </c>
      <c r="BK207" s="145" t="n">
        <v>-311606</v>
      </c>
      <c r="BL207" s="145" t="n">
        <v>-382885</v>
      </c>
      <c r="BM207" s="145" t="n">
        <v>-499506</v>
      </c>
      <c r="BN207" s="145" t="n">
        <v>-113094</v>
      </c>
      <c r="BO207" s="145" t="n">
        <v>-113031</v>
      </c>
      <c r="BP207" s="145" t="n">
        <v>-159528</v>
      </c>
      <c r="BQ207" s="145" t="n">
        <v>-223496</v>
      </c>
      <c r="BR207" s="145" t="n">
        <v>-89616</v>
      </c>
      <c r="BS207" t="n">
        <v>-122404</v>
      </c>
      <c r="BT207" t="inlineStr">
        <is>
          <t>IPGP-Financial-Data-Workbook-2024-Q2.xlsx|Cash Flows|44|93</t>
        </is>
      </c>
    </row>
    <row r="208">
      <c r="A208" s="74" t="inlineStr">
        <is>
          <t>Proceeds from follow-on public offering, net of offering expenses</t>
        </is>
      </c>
      <c r="B208" s="145" t="n"/>
      <c r="C208" s="145" t="n"/>
      <c r="D208" s="145" t="n"/>
      <c r="E208" s="145" t="n"/>
      <c r="F208" s="145" t="n"/>
      <c r="G208" s="145" t="n"/>
      <c r="H208" s="145" t="n"/>
      <c r="I208" s="145" t="n"/>
      <c r="J208" s="145" t="n"/>
      <c r="K208" s="145" t="n"/>
      <c r="L208" s="145" t="n"/>
      <c r="M208" s="145" t="n"/>
      <c r="N208" s="145" t="n">
        <v>0</v>
      </c>
      <c r="O208" s="145" t="n">
        <v>0</v>
      </c>
      <c r="P208" s="145" t="n">
        <v>0</v>
      </c>
      <c r="Q208" s="145" t="n">
        <v>0</v>
      </c>
      <c r="R208" s="145" t="n">
        <v>0</v>
      </c>
      <c r="S208" s="145" t="n">
        <v>0</v>
      </c>
      <c r="T208" s="145" t="n">
        <v>0</v>
      </c>
      <c r="U208" s="145" t="n">
        <v>0</v>
      </c>
      <c r="V208" s="145" t="n">
        <v>168268</v>
      </c>
      <c r="W208" s="145" t="n">
        <v>168022</v>
      </c>
      <c r="X208" s="145" t="n">
        <v>167963</v>
      </c>
      <c r="Y208" s="145" t="n">
        <v>167928</v>
      </c>
      <c r="Z208" s="145" t="n">
        <v>0</v>
      </c>
      <c r="AA208" s="145" t="n">
        <v>0</v>
      </c>
      <c r="AB208" s="145" t="n">
        <v>0</v>
      </c>
      <c r="AC208" s="145" t="n">
        <v>0</v>
      </c>
      <c r="AD208" s="145" t="n">
        <v>0</v>
      </c>
      <c r="AE208" s="145" t="n">
        <v>0</v>
      </c>
      <c r="AF208" s="145" t="n">
        <v>0</v>
      </c>
      <c r="AG208" s="145" t="n">
        <v>0</v>
      </c>
      <c r="AH208" s="145" t="n">
        <v>0</v>
      </c>
      <c r="AI208" s="145" t="n">
        <v>0</v>
      </c>
      <c r="AJ208" s="145" t="n">
        <v>0</v>
      </c>
      <c r="AK208" s="145" t="n">
        <v>0</v>
      </c>
      <c r="AL208" s="145" t="n">
        <v>0</v>
      </c>
      <c r="AM208" s="145" t="n">
        <v>0</v>
      </c>
      <c r="AN208" s="145" t="n">
        <v>0</v>
      </c>
      <c r="AO208" s="145" t="n">
        <v>0</v>
      </c>
      <c r="AP208" s="145" t="n">
        <v>0</v>
      </c>
      <c r="AQ208" s="145" t="n">
        <v>0</v>
      </c>
      <c r="AR208" s="145" t="n">
        <v>0</v>
      </c>
      <c r="AS208" s="145" t="n">
        <v>0</v>
      </c>
      <c r="AT208" s="145" t="n">
        <v>0</v>
      </c>
      <c r="AU208" s="145" t="n">
        <v>0</v>
      </c>
      <c r="AV208" s="145" t="n">
        <v>0</v>
      </c>
      <c r="AW208" s="145" t="n"/>
      <c r="AX208" s="145" t="n"/>
      <c r="AY208" s="145" t="n"/>
      <c r="AZ208" s="145" t="n"/>
      <c r="BA208" s="145" t="n"/>
      <c r="BB208" s="145" t="n"/>
      <c r="BC208" s="145" t="n"/>
      <c r="BD208" s="145" t="n"/>
      <c r="BE208" s="145" t="n"/>
      <c r="BF208" s="145" t="n"/>
      <c r="BG208" s="145" t="n"/>
      <c r="BH208" s="145" t="n"/>
      <c r="BI208" s="145" t="n"/>
      <c r="BJ208" s="145" t="n"/>
      <c r="BK208" s="145" t="n"/>
      <c r="BL208" s="145" t="n"/>
      <c r="BM208" s="145" t="n"/>
      <c r="BN208" s="145" t="n"/>
      <c r="BO208" s="145" t="n"/>
      <c r="BP208" s="145" t="n"/>
      <c r="BQ208" s="145" t="n"/>
    </row>
    <row r="209">
      <c r="A209" s="74" t="inlineStr">
        <is>
          <t>Distributions to shareholders</t>
        </is>
      </c>
      <c r="B209" s="145" t="n"/>
      <c r="C209" s="145" t="n"/>
      <c r="D209" s="145" t="n"/>
      <c r="E209" s="145" t="n"/>
      <c r="F209" s="145" t="n"/>
      <c r="G209" s="145" t="n"/>
      <c r="H209" s="145" t="n"/>
      <c r="I209" s="145" t="n"/>
      <c r="J209" s="145" t="n"/>
      <c r="K209" s="145" t="n"/>
      <c r="L209" s="145" t="n"/>
      <c r="M209" s="145" t="n"/>
      <c r="N209" s="145" t="n">
        <v>0</v>
      </c>
      <c r="O209" s="145" t="n">
        <v>0</v>
      </c>
      <c r="P209" s="145" t="n">
        <v>0</v>
      </c>
      <c r="Q209" s="145" t="n">
        <v>0</v>
      </c>
      <c r="R209" s="145" t="n">
        <v>0</v>
      </c>
      <c r="S209" s="145" t="n">
        <v>0</v>
      </c>
      <c r="T209" s="145" t="n">
        <v>0</v>
      </c>
      <c r="U209" s="145" t="n">
        <v>0</v>
      </c>
      <c r="V209" s="145" t="n">
        <v>0</v>
      </c>
      <c r="W209" s="145" t="n">
        <v>0</v>
      </c>
      <c r="X209" s="145" t="n">
        <v>0</v>
      </c>
      <c r="Y209" s="145" t="n">
        <v>-33353</v>
      </c>
      <c r="Z209" s="145" t="n">
        <v>0</v>
      </c>
      <c r="AA209" s="145" t="n">
        <v>0</v>
      </c>
      <c r="AB209" s="145" t="n">
        <v>0</v>
      </c>
      <c r="AC209" s="145" t="n">
        <v>0</v>
      </c>
      <c r="AD209" s="145" t="n">
        <v>0</v>
      </c>
      <c r="AE209" s="145" t="n">
        <v>0</v>
      </c>
      <c r="AF209" s="145" t="n">
        <v>0</v>
      </c>
      <c r="AG209" s="145" t="n">
        <v>0</v>
      </c>
      <c r="AH209" s="145" t="n">
        <v>0</v>
      </c>
      <c r="AI209" s="145" t="n">
        <v>0</v>
      </c>
      <c r="AJ209" s="145" t="n">
        <v>0</v>
      </c>
      <c r="AK209" s="145" t="n">
        <v>0</v>
      </c>
      <c r="AL209" s="145" t="n">
        <v>0</v>
      </c>
      <c r="AM209" s="145" t="n">
        <v>0</v>
      </c>
      <c r="AN209" s="145" t="n">
        <v>0</v>
      </c>
      <c r="AO209" s="145" t="n">
        <v>0</v>
      </c>
      <c r="AP209" s="145" t="n">
        <v>0</v>
      </c>
      <c r="AQ209" s="145" t="n">
        <v>0</v>
      </c>
      <c r="AR209" s="145" t="n">
        <v>0</v>
      </c>
      <c r="AS209" s="145" t="n">
        <v>0</v>
      </c>
      <c r="AT209" s="145" t="n">
        <v>0</v>
      </c>
      <c r="AU209" s="145" t="n">
        <v>0</v>
      </c>
      <c r="AV209" s="145" t="n">
        <v>0</v>
      </c>
      <c r="AW209" s="145" t="n"/>
      <c r="AX209" s="145" t="n"/>
      <c r="AY209" s="145" t="n"/>
      <c r="AZ209" s="145" t="n"/>
      <c r="BA209" s="145" t="n"/>
      <c r="BB209" s="145" t="n"/>
      <c r="BC209" s="145" t="n"/>
      <c r="BD209" s="145" t="n"/>
      <c r="BE209" s="145" t="n"/>
      <c r="BF209" s="145" t="n"/>
      <c r="BG209" s="145" t="n"/>
      <c r="BH209" s="145" t="n"/>
      <c r="BI209" s="145" t="n"/>
      <c r="BJ209" s="145" t="n"/>
      <c r="BK209" s="145" t="n"/>
      <c r="BL209" s="145" t="n"/>
      <c r="BM209" s="145" t="n"/>
      <c r="BN209" s="145" t="n"/>
      <c r="BO209" s="145" t="n"/>
      <c r="BP209" s="145" t="n"/>
      <c r="BQ209" s="145" t="n"/>
    </row>
    <row r="210">
      <c r="A210" s="74" t="inlineStr">
        <is>
          <t>Purchase of Treasury Stock, at cost</t>
        </is>
      </c>
      <c r="B210" s="145" t="n"/>
      <c r="C210" s="145" t="n"/>
      <c r="D210" s="145" t="n"/>
      <c r="E210" s="145" t="n"/>
      <c r="F210" s="145" t="n"/>
      <c r="G210" s="145" t="n"/>
      <c r="H210" s="145" t="n"/>
      <c r="I210" s="145" t="n"/>
      <c r="J210" s="145" t="n"/>
      <c r="K210" s="145" t="n"/>
      <c r="L210" s="145" t="n"/>
      <c r="M210" s="145" t="n"/>
      <c r="N210" s="145" t="n">
        <v>0</v>
      </c>
      <c r="O210" s="145" t="n">
        <v>0</v>
      </c>
      <c r="P210" s="145" t="n">
        <v>0</v>
      </c>
      <c r="Q210" s="145" t="n">
        <v>0</v>
      </c>
      <c r="R210" s="145" t="n">
        <v>0</v>
      </c>
      <c r="S210" s="145" t="n">
        <v>0</v>
      </c>
      <c r="T210" s="145" t="n">
        <v>0</v>
      </c>
      <c r="U210" s="145" t="n">
        <v>0</v>
      </c>
      <c r="V210" s="145" t="n">
        <v>0</v>
      </c>
      <c r="W210" s="145" t="n">
        <v>0</v>
      </c>
      <c r="X210" s="145" t="n">
        <v>0</v>
      </c>
      <c r="Y210" s="145" t="n">
        <v>0</v>
      </c>
      <c r="Z210" s="145" t="n">
        <v>0</v>
      </c>
      <c r="AA210" s="145" t="n">
        <v>0</v>
      </c>
      <c r="AB210" s="145" t="n">
        <v>0</v>
      </c>
      <c r="AC210" s="145" t="n">
        <v>0</v>
      </c>
      <c r="AD210" s="145" t="n">
        <v>0</v>
      </c>
      <c r="AE210" s="145" t="n">
        <v>0</v>
      </c>
      <c r="AF210" s="145" t="n">
        <v>0</v>
      </c>
      <c r="AG210" s="145" t="n">
        <v>0</v>
      </c>
      <c r="AH210" s="145" t="n">
        <v>0</v>
      </c>
      <c r="AI210" s="145" t="n">
        <v>0</v>
      </c>
      <c r="AJ210" s="145" t="n">
        <v>0</v>
      </c>
      <c r="AK210" s="145" t="n">
        <v>0</v>
      </c>
      <c r="AL210" s="145" t="n">
        <v>0</v>
      </c>
      <c r="AM210" s="145" t="n">
        <v>0</v>
      </c>
      <c r="AN210" s="145" t="n">
        <v>-3483</v>
      </c>
      <c r="AO210" s="145" t="n">
        <v>-8946</v>
      </c>
      <c r="AP210" s="145" t="n">
        <v>-12539</v>
      </c>
      <c r="AQ210" s="145" t="n">
        <v>-24112</v>
      </c>
      <c r="AR210" s="145" t="n">
        <v>-26911</v>
      </c>
      <c r="AS210" s="145" t="n">
        <v>-39987</v>
      </c>
      <c r="AT210" s="145" t="n">
        <v>-20071</v>
      </c>
      <c r="AU210" s="145" t="n">
        <v>-51064</v>
      </c>
      <c r="AV210" s="145" t="n">
        <v>-111926</v>
      </c>
      <c r="AW210" s="145" t="n">
        <v>-176065</v>
      </c>
      <c r="AX210" s="145" t="n"/>
      <c r="AY210" s="145" t="n"/>
      <c r="AZ210" s="145" t="n"/>
      <c r="BA210" s="145" t="n"/>
      <c r="BB210" s="145" t="n"/>
      <c r="BC210" s="145" t="n"/>
      <c r="BD210" s="145" t="n"/>
      <c r="BE210" s="145" t="n"/>
      <c r="BF210" s="145" t="n"/>
      <c r="BG210" s="145" t="n"/>
      <c r="BH210" s="145" t="n"/>
      <c r="BI210" s="145" t="n"/>
      <c r="BJ210" s="145" t="n"/>
      <c r="BK210" s="145" t="n"/>
      <c r="BL210" s="145" t="n"/>
      <c r="BM210" s="145" t="n"/>
      <c r="BN210" s="145" t="n"/>
      <c r="BO210" s="145" t="n"/>
      <c r="BP210" s="145" t="n"/>
      <c r="BQ210" s="145" t="n"/>
    </row>
    <row r="211">
      <c r="A211" s="74" t="inlineStr">
        <is>
          <t>Others</t>
        </is>
      </c>
      <c r="B211" s="145" t="n"/>
      <c r="C211" s="145" t="n"/>
      <c r="D211" s="145" t="n"/>
      <c r="E211" s="145" t="n"/>
      <c r="F211" s="145" t="n"/>
      <c r="G211" s="145" t="n"/>
      <c r="H211" s="145" t="n"/>
      <c r="I211" s="145" t="n"/>
      <c r="J211" s="145" t="n"/>
      <c r="K211" s="145" t="n"/>
      <c r="L211" s="145" t="n"/>
      <c r="M211" s="145" t="n"/>
      <c r="N211" s="145" t="n">
        <v>0</v>
      </c>
      <c r="O211" s="145" t="n">
        <v>0</v>
      </c>
      <c r="P211" s="145" t="n">
        <v>-100</v>
      </c>
      <c r="Q211" s="145" t="n">
        <v>-100</v>
      </c>
      <c r="R211" s="145" t="n">
        <v>0</v>
      </c>
      <c r="S211" s="145" t="n">
        <v>0</v>
      </c>
      <c r="T211" s="145" t="n">
        <v>0</v>
      </c>
      <c r="U211" s="145" t="n">
        <v>0</v>
      </c>
      <c r="V211" s="145" t="n">
        <v>0</v>
      </c>
      <c r="W211" s="145" t="n">
        <v>0</v>
      </c>
      <c r="X211" s="145" t="n">
        <v>0</v>
      </c>
      <c r="Y211" s="145" t="n">
        <v>0</v>
      </c>
      <c r="Z211" s="145" t="n">
        <v>0</v>
      </c>
      <c r="AA211" s="145" t="n">
        <v>0</v>
      </c>
      <c r="AB211" s="145" t="n">
        <v>0</v>
      </c>
      <c r="AC211" s="145" t="n">
        <v>0</v>
      </c>
      <c r="AD211" s="145" t="n">
        <v>0</v>
      </c>
      <c r="AE211" s="145" t="n">
        <v>0</v>
      </c>
      <c r="AF211" s="145" t="n">
        <v>0</v>
      </c>
      <c r="AG211" s="145" t="n">
        <v>0</v>
      </c>
      <c r="AH211" s="145" t="n">
        <v>0</v>
      </c>
      <c r="AI211" s="145" t="n">
        <v>0</v>
      </c>
      <c r="AJ211" s="145" t="n">
        <v>0</v>
      </c>
      <c r="AK211" s="145" t="n">
        <v>0</v>
      </c>
      <c r="AL211" s="145" t="n">
        <v>0</v>
      </c>
      <c r="AM211" s="145" t="n">
        <v>0</v>
      </c>
      <c r="AN211" s="145" t="n">
        <v>0</v>
      </c>
      <c r="AO211" s="145" t="n">
        <v>0</v>
      </c>
      <c r="AP211" s="145" t="n">
        <v>0</v>
      </c>
      <c r="AQ211" s="145" t="n">
        <v>0</v>
      </c>
      <c r="AR211" s="145" t="n">
        <v>0</v>
      </c>
      <c r="AS211" s="145" t="n">
        <v>0</v>
      </c>
      <c r="AT211" s="145" t="n">
        <v>0</v>
      </c>
      <c r="AU211" s="145" t="n"/>
      <c r="AV211" s="145" t="n"/>
      <c r="AW211" s="145" t="n"/>
      <c r="AX211" s="145" t="n"/>
      <c r="AY211" s="145" t="n"/>
      <c r="AZ211" s="145" t="n"/>
      <c r="BA211" s="145" t="n"/>
      <c r="BB211" s="145" t="n">
        <v>-1650</v>
      </c>
      <c r="BC211" s="145" t="n">
        <v>-1650</v>
      </c>
      <c r="BD211" s="145" t="n">
        <v>-1650</v>
      </c>
      <c r="BE211" s="145" t="n">
        <v>-1650</v>
      </c>
      <c r="BF211" s="145" t="n">
        <v>-2624</v>
      </c>
      <c r="BG211" s="145" t="n">
        <v>-2624</v>
      </c>
      <c r="BH211" s="145" t="n">
        <v>-2624</v>
      </c>
      <c r="BI211" s="145" t="n">
        <v>-2625</v>
      </c>
      <c r="BJ211" s="145" t="n">
        <v>0</v>
      </c>
      <c r="BK211" s="145" t="n">
        <v>0</v>
      </c>
      <c r="BL211" s="145" t="n">
        <v>-2500</v>
      </c>
      <c r="BM211" s="145" t="n">
        <v>-2500</v>
      </c>
      <c r="BN211" s="145" t="n">
        <v>0</v>
      </c>
      <c r="BO211" s="145" t="n">
        <v>0</v>
      </c>
      <c r="BP211" s="145" t="n">
        <v>0</v>
      </c>
      <c r="BQ211" s="145" t="n">
        <v>0</v>
      </c>
    </row>
    <row r="212">
      <c r="A212" s="22" t="inlineStr">
        <is>
          <t>Net cash provided by financing activities</t>
        </is>
      </c>
      <c r="B212" s="133" t="n"/>
      <c r="C212" s="133" t="n"/>
      <c r="D212" s="133" t="n"/>
      <c r="E212" s="133" t="n"/>
      <c r="F212" s="133" t="n"/>
      <c r="G212" s="133" t="n"/>
      <c r="H212" s="133" t="n"/>
      <c r="I212" s="133" t="n"/>
      <c r="J212" s="133" t="n"/>
      <c r="K212" s="133" t="n"/>
      <c r="L212" s="133" t="n"/>
      <c r="M212" s="133" t="n"/>
      <c r="N212" s="133" t="n">
        <v>1040</v>
      </c>
      <c r="O212" s="133" t="n">
        <v>1109</v>
      </c>
      <c r="P212" s="133" t="n">
        <v>4132</v>
      </c>
      <c r="Q212" s="133" t="n">
        <v>37764</v>
      </c>
      <c r="R212" s="133" t="n">
        <v>4136</v>
      </c>
      <c r="S212" s="133" t="n">
        <v>29688</v>
      </c>
      <c r="T212" s="133" t="n">
        <v>31513</v>
      </c>
      <c r="U212" s="133" t="n">
        <v>31885</v>
      </c>
      <c r="V212" s="133" t="n">
        <v>171699</v>
      </c>
      <c r="W212" s="133" t="n">
        <v>111047</v>
      </c>
      <c r="X212" s="133" t="n">
        <v>116202</v>
      </c>
      <c r="Y212" s="133" t="n">
        <v>82087</v>
      </c>
      <c r="Z212" s="133" t="n">
        <v>8026</v>
      </c>
      <c r="AA212" s="133" t="n">
        <v>1727</v>
      </c>
      <c r="AB212" s="133" t="n">
        <v>3424</v>
      </c>
      <c r="AC212" s="133" t="n">
        <v>14149</v>
      </c>
      <c r="AD212" s="133" t="n">
        <v>871</v>
      </c>
      <c r="AE212" s="133" t="n">
        <v>4603</v>
      </c>
      <c r="AF212" s="133" t="n">
        <v>4641</v>
      </c>
      <c r="AG212" s="133" t="n">
        <v>11529</v>
      </c>
      <c r="AH212" s="133" t="n">
        <v>6477</v>
      </c>
      <c r="AI212" s="133" t="n">
        <v>2129</v>
      </c>
      <c r="AJ212" s="133" t="n">
        <v>1204</v>
      </c>
      <c r="AK212" s="133" t="n">
        <v>5370</v>
      </c>
      <c r="AL212" s="133" t="n">
        <v>2135</v>
      </c>
      <c r="AM212" s="133" t="n">
        <v>30379</v>
      </c>
      <c r="AN212" s="133" t="n">
        <v>26706</v>
      </c>
      <c r="AO212" s="133" t="n">
        <v>32851</v>
      </c>
      <c r="AP212" s="133" t="n">
        <v>-3736</v>
      </c>
      <c r="AQ212" s="133" t="n">
        <v>-25417</v>
      </c>
      <c r="AR212" s="133" t="n">
        <v>5237</v>
      </c>
      <c r="AS212" s="133" t="n">
        <v>-3372</v>
      </c>
      <c r="AT212" s="133" t="n">
        <v>-17853</v>
      </c>
      <c r="AU212" s="133" t="n">
        <v>-42227</v>
      </c>
      <c r="AV212" s="133" t="n">
        <v>-102129</v>
      </c>
      <c r="AW212" s="133" t="n">
        <v>-166647</v>
      </c>
      <c r="AX212" s="133" t="n">
        <v>-7060</v>
      </c>
      <c r="AY212" s="133" t="n">
        <v>-4143</v>
      </c>
      <c r="AZ212" s="133" t="n">
        <v>-27024</v>
      </c>
      <c r="BA212" s="133" t="n">
        <v>-37067</v>
      </c>
      <c r="BB212" s="133" t="n">
        <v>-20792</v>
      </c>
      <c r="BC212" s="133" t="n">
        <v>-23471</v>
      </c>
      <c r="BD212" s="133" t="n">
        <v>-25565</v>
      </c>
      <c r="BE212" s="133" t="n">
        <v>-10080</v>
      </c>
      <c r="BF212" s="133">
        <f>SUM(BF202:BF211)</f>
        <v/>
      </c>
      <c r="BG212" s="133" t="n">
        <v>-35684</v>
      </c>
      <c r="BH212" s="133" t="n">
        <v>-72119</v>
      </c>
      <c r="BI212" s="133" t="n">
        <v>-125066</v>
      </c>
      <c r="BJ212" s="133" t="n">
        <v>-80445</v>
      </c>
      <c r="BK212" s="133" t="n">
        <v>-311450</v>
      </c>
      <c r="BL212" s="133">
        <f>SUM(BL201:BL211)</f>
        <v/>
      </c>
      <c r="BM212" s="133" t="n">
        <v>-514549</v>
      </c>
      <c r="BN212" s="133" t="n">
        <v>-117236</v>
      </c>
      <c r="BO212" s="133" t="n">
        <v>-129793</v>
      </c>
      <c r="BP212" s="133">
        <f>-175991</f>
        <v/>
      </c>
      <c r="BQ212" s="133" t="n">
        <v>-236380</v>
      </c>
      <c r="BR212" s="133" t="n">
        <v>-90774</v>
      </c>
      <c r="BS212" t="n">
        <v>-119454</v>
      </c>
      <c r="BT212" t="inlineStr">
        <is>
          <t>IPGP-Financial-Data-Workbook-2024-Q2.xlsx|Cash Flows|49|93</t>
        </is>
      </c>
    </row>
    <row r="213">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c r="AJ213" s="20" t="n"/>
      <c r="AK213" s="20" t="n"/>
      <c r="AL213" s="20" t="n"/>
      <c r="AM213" s="20" t="n"/>
      <c r="AN213" s="20" t="n"/>
      <c r="AO213" s="20" t="n"/>
      <c r="AP213" s="20" t="n"/>
      <c r="AQ213" s="20" t="n"/>
      <c r="AR213" s="20" t="n"/>
      <c r="AS213" s="20" t="n"/>
      <c r="AT213" s="20" t="n"/>
      <c r="AU213" s="20" t="n"/>
      <c r="AV213" s="20" t="n"/>
      <c r="AW213" s="20" t="n"/>
      <c r="AX213" s="20" t="n"/>
      <c r="AY213" s="20" t="n"/>
      <c r="AZ213" s="20" t="n"/>
      <c r="BA213" s="20" t="n"/>
      <c r="BB213" s="20" t="n"/>
      <c r="BC213" s="20" t="n"/>
      <c r="BD213" s="20" t="n"/>
      <c r="BE213" s="20" t="n"/>
      <c r="BF213" s="20" t="n"/>
      <c r="BG213" s="20" t="n"/>
      <c r="BH213" s="20" t="n"/>
      <c r="BI213" s="20" t="n"/>
      <c r="BJ213" s="20" t="n"/>
      <c r="BK213" s="20" t="n"/>
      <c r="BL213" s="20" t="n"/>
      <c r="BM213" s="20" t="n"/>
      <c r="BN213" s="20" t="n"/>
      <c r="BO213" s="20" t="n"/>
      <c r="BP213" s="20" t="n"/>
      <c r="BQ213" s="20" t="n"/>
    </row>
    <row r="214">
      <c r="A214" s="502" t="inlineStr">
        <is>
          <t>Effect of changes in exchange rates on cash and cash equivalents</t>
        </is>
      </c>
      <c r="B214" s="145" t="n"/>
      <c r="C214" s="145" t="n"/>
      <c r="D214" s="145" t="n"/>
      <c r="E214" s="145" t="n"/>
      <c r="F214" s="145" t="n"/>
      <c r="G214" s="145" t="n"/>
      <c r="H214" s="145" t="n"/>
      <c r="I214" s="145" t="n"/>
      <c r="J214" s="145" t="n"/>
      <c r="K214" s="145" t="n"/>
      <c r="L214" s="145" t="n"/>
      <c r="M214" s="145" t="n"/>
      <c r="N214" s="145" t="n">
        <v>-1909</v>
      </c>
      <c r="O214" s="145" t="n">
        <v>-4120</v>
      </c>
      <c r="P214" s="145" t="n">
        <v>-1691</v>
      </c>
      <c r="Q214" s="145" t="n">
        <v>-3697</v>
      </c>
      <c r="R214" s="145" t="n">
        <v>5248</v>
      </c>
      <c r="S214" s="145" t="n">
        <v>6780</v>
      </c>
      <c r="T214" s="145" t="n">
        <v>-3771</v>
      </c>
      <c r="U214" s="145" t="n">
        <v>-7763</v>
      </c>
      <c r="V214" s="145" t="n">
        <v>4762</v>
      </c>
      <c r="W214" s="145" t="n">
        <v>-3840</v>
      </c>
      <c r="X214" s="145" t="n">
        <v>-2200</v>
      </c>
      <c r="Y214" s="145" t="n">
        <v>1713</v>
      </c>
      <c r="Z214" s="145" t="n">
        <v>-2188</v>
      </c>
      <c r="AA214" s="145" t="n">
        <v>-1325</v>
      </c>
      <c r="AB214" s="145" t="n">
        <v>3161</v>
      </c>
      <c r="AC214" s="145" t="n">
        <v>7093</v>
      </c>
      <c r="AD214" s="145" t="n">
        <v>-1124</v>
      </c>
      <c r="AE214" s="145" t="n">
        <v>-1337</v>
      </c>
      <c r="AF214" s="145" t="n">
        <v>-15747</v>
      </c>
      <c r="AG214" s="145" t="n">
        <v>-28180</v>
      </c>
      <c r="AH214" s="145" t="n">
        <v>-20367</v>
      </c>
      <c r="AI214" s="145" t="n">
        <v>-16842</v>
      </c>
      <c r="AJ214" s="145" t="n">
        <v>-11322</v>
      </c>
      <c r="AK214" s="145" t="n">
        <v>-19992</v>
      </c>
      <c r="AL214" s="145" t="n">
        <v>8812</v>
      </c>
      <c r="AM214" s="145" t="n">
        <v>3696</v>
      </c>
      <c r="AN214" s="145" t="n">
        <v>7379</v>
      </c>
      <c r="AO214" s="145" t="n">
        <v>-9408</v>
      </c>
      <c r="AP214" s="145" t="n">
        <v>6465</v>
      </c>
      <c r="AQ214" s="145" t="n">
        <v>31867</v>
      </c>
      <c r="AR214" s="145" t="n">
        <v>47641</v>
      </c>
      <c r="AS214" s="145" t="n">
        <v>54827</v>
      </c>
      <c r="AT214" s="145" t="n">
        <v>16866</v>
      </c>
      <c r="AU214" s="145" t="n">
        <v>-31111</v>
      </c>
      <c r="AV214" s="145" t="n">
        <v>-23548</v>
      </c>
      <c r="AW214" s="145" t="n">
        <v>-29197</v>
      </c>
      <c r="AX214" s="145" t="n">
        <v>-5868</v>
      </c>
      <c r="AY214" s="145">
        <f>-2759-2964</f>
        <v/>
      </c>
      <c r="AZ214" s="145">
        <f>-16561-2789</f>
        <v/>
      </c>
      <c r="BA214" s="145">
        <f>-7853</f>
        <v/>
      </c>
      <c r="BB214" s="145">
        <f>-6878</f>
        <v/>
      </c>
      <c r="BC214" s="145" t="n">
        <v>-4523</v>
      </c>
      <c r="BD214" s="145" t="n">
        <v>4692</v>
      </c>
      <c r="BE214" s="145" t="n">
        <v>19888</v>
      </c>
      <c r="BF214" s="145" t="n">
        <v>-7024</v>
      </c>
      <c r="BG214" s="145" t="n">
        <v>-8217</v>
      </c>
      <c r="BH214" s="145" t="n">
        <v>-11862</v>
      </c>
      <c r="BI214" s="145" t="n">
        <v>-17800</v>
      </c>
      <c r="BJ214" s="145" t="n">
        <v>-5036</v>
      </c>
      <c r="BK214" s="145" t="n">
        <v>-1249</v>
      </c>
      <c r="BL214" s="145" t="n">
        <v>-17461</v>
      </c>
      <c r="BM214" s="145" t="n">
        <v>-5948</v>
      </c>
      <c r="BN214" s="145" t="n">
        <v>-1098</v>
      </c>
      <c r="BO214" s="145" t="n">
        <v>-8750</v>
      </c>
      <c r="BP214" s="145" t="n">
        <v>-20862</v>
      </c>
      <c r="BQ214" s="145" t="n">
        <v>-5587</v>
      </c>
      <c r="BR214" s="145" t="n">
        <v>-5780</v>
      </c>
      <c r="BS214" t="n">
        <v>5176</v>
      </c>
      <c r="BT214" t="inlineStr">
        <is>
          <t>IPGP-Financial-Data-Workbook-2024-Q2.xlsx|Cash Flows|51|93</t>
        </is>
      </c>
    </row>
    <row r="215">
      <c r="A215" s="503" t="inlineStr">
        <is>
          <t>Net increase in cash and cash equivalents</t>
        </is>
      </c>
      <c r="B215" s="133" t="n"/>
      <c r="C215" s="133" t="n"/>
      <c r="D215" s="133" t="n"/>
      <c r="E215" s="133" t="n"/>
      <c r="F215" s="133" t="n"/>
      <c r="G215" s="133" t="n"/>
      <c r="H215" s="133" t="n"/>
      <c r="I215" s="133" t="n"/>
      <c r="J215" s="133" t="n"/>
      <c r="K215" s="133" t="n"/>
      <c r="L215" s="133" t="n"/>
      <c r="M215" s="133" t="n"/>
      <c r="N215" s="133" t="n">
        <v>1487</v>
      </c>
      <c r="O215" s="133" t="n">
        <v>7735</v>
      </c>
      <c r="P215" s="133" t="n">
        <v>13710</v>
      </c>
      <c r="Q215" s="133" t="n">
        <v>64940</v>
      </c>
      <c r="R215" s="133" t="n">
        <v>12758</v>
      </c>
      <c r="S215" s="133" t="n">
        <v>40336</v>
      </c>
      <c r="T215" s="133" t="n">
        <v>48726</v>
      </c>
      <c r="U215" s="133" t="n">
        <v>32374</v>
      </c>
      <c r="V215" s="133" t="n">
        <v>196837</v>
      </c>
      <c r="W215" s="133" t="n">
        <v>165344</v>
      </c>
      <c r="X215" s="133" t="n">
        <v>192335</v>
      </c>
      <c r="Y215" s="133" t="n">
        <v>203819</v>
      </c>
      <c r="Z215" s="133" t="n">
        <v>-28338</v>
      </c>
      <c r="AA215" s="133" t="n">
        <v>-14569</v>
      </c>
      <c r="AB215" s="133" t="n">
        <v>14302</v>
      </c>
      <c r="AC215" s="133" t="n">
        <v>64723</v>
      </c>
      <c r="AD215" s="133" t="n">
        <v>31833</v>
      </c>
      <c r="AE215" s="133" t="n">
        <v>34656</v>
      </c>
      <c r="AF215" s="133" t="n">
        <v>38742</v>
      </c>
      <c r="AG215" s="133" t="n">
        <v>73374</v>
      </c>
      <c r="AH215" s="133" t="n">
        <v>19324</v>
      </c>
      <c r="AI215" s="133" t="n">
        <v>49358</v>
      </c>
      <c r="AJ215" s="133" t="n">
        <v>129070</v>
      </c>
      <c r="AK215" s="133" t="n">
        <v>60382</v>
      </c>
      <c r="AL215" s="133" t="n">
        <v>31160</v>
      </c>
      <c r="AM215" s="133" t="n">
        <v>4754</v>
      </c>
      <c r="AN215" s="133" t="n">
        <v>63026</v>
      </c>
      <c r="AO215" s="133" t="n">
        <v>41323</v>
      </c>
      <c r="AP215" s="133" t="n">
        <v>73923</v>
      </c>
      <c r="AQ215" s="133" t="n">
        <v>184256</v>
      </c>
      <c r="AR215" s="133" t="n">
        <v>256412</v>
      </c>
      <c r="AS215" s="133" t="n">
        <v>286045</v>
      </c>
      <c r="AT215" s="133" t="n">
        <v>59223</v>
      </c>
      <c r="AU215" s="133" t="n">
        <v>-93108</v>
      </c>
      <c r="AV215" s="133" t="n">
        <v>-262294</v>
      </c>
      <c r="AW215" s="133" t="n">
        <v>-365542</v>
      </c>
      <c r="AX215" s="133" t="n">
        <v>4580</v>
      </c>
      <c r="AY215" s="133">
        <f>-11381-2964</f>
        <v/>
      </c>
      <c r="AZ215" s="133">
        <f>38760-2789</f>
        <v/>
      </c>
      <c r="BA215" s="133">
        <f>138626</f>
        <v/>
      </c>
      <c r="BB215" s="133">
        <f>-110643</f>
        <v/>
      </c>
      <c r="BC215" s="133" t="n">
        <v>67058</v>
      </c>
      <c r="BD215" s="133" t="n">
        <v>83066</v>
      </c>
      <c r="BE215" s="133" t="n">
        <v>195569</v>
      </c>
      <c r="BF215" s="133" t="n">
        <v>18188</v>
      </c>
      <c r="BG215" s="133" t="n">
        <v>-124354</v>
      </c>
      <c r="BH215" s="133" t="n">
        <v>-83649</v>
      </c>
      <c r="BI215" s="133" t="n">
        <v>-169448</v>
      </c>
      <c r="BJ215" s="133" t="n">
        <v>-66588</v>
      </c>
      <c r="BK215" s="133" t="n">
        <v>62683</v>
      </c>
      <c r="BL215" s="133" t="n">
        <v>160169</v>
      </c>
      <c r="BM215" s="133" t="n">
        <v>-10896</v>
      </c>
      <c r="BN215" s="133" t="n">
        <v>-177072</v>
      </c>
      <c r="BO215" s="133" t="n">
        <v>-125138</v>
      </c>
      <c r="BP215" s="133" t="n">
        <v>-169925</v>
      </c>
      <c r="BQ215" s="133" t="n">
        <v>-183535</v>
      </c>
      <c r="BR215" s="133" t="n">
        <v>-18222</v>
      </c>
      <c r="BS215" t="n">
        <v>224088</v>
      </c>
      <c r="BT215" t="inlineStr">
        <is>
          <t>IPGP-Financial-Data-Workbook-2024-Q2.xlsx|Cash Flows|53|93</t>
        </is>
      </c>
    </row>
    <row r="216">
      <c r="A216" s="502" t="inlineStr">
        <is>
          <t>Cash and cash equivalents - Beginning of period</t>
        </is>
      </c>
      <c r="B216" s="145" t="n"/>
      <c r="C216" s="145" t="n"/>
      <c r="D216" s="145" t="n"/>
      <c r="E216" s="145" t="n"/>
      <c r="F216" s="145" t="n"/>
      <c r="G216" s="145" t="n"/>
      <c r="H216" s="145" t="n"/>
      <c r="I216" s="145" t="n"/>
      <c r="J216" s="145" t="n"/>
      <c r="K216" s="145" t="n"/>
      <c r="L216" s="145" t="n"/>
      <c r="M216" s="145" t="n"/>
      <c r="N216" s="145" t="n">
        <v>82920</v>
      </c>
      <c r="O216" s="145" t="n">
        <v>82920</v>
      </c>
      <c r="P216" s="145" t="n">
        <v>82920</v>
      </c>
      <c r="Q216" s="145" t="n">
        <v>82920</v>
      </c>
      <c r="R216" s="145" t="n">
        <v>147860</v>
      </c>
      <c r="S216" s="145" t="n">
        <v>147860</v>
      </c>
      <c r="T216" s="145" t="n">
        <v>147860</v>
      </c>
      <c r="U216" s="145" t="n">
        <v>147860</v>
      </c>
      <c r="V216" s="145" t="n">
        <v>180234</v>
      </c>
      <c r="W216" s="145" t="n">
        <v>180234</v>
      </c>
      <c r="X216" s="145" t="n">
        <v>180234</v>
      </c>
      <c r="Y216" s="145" t="n">
        <v>180234</v>
      </c>
      <c r="Z216" s="145" t="n">
        <v>384053</v>
      </c>
      <c r="AA216" s="145" t="n">
        <v>384053</v>
      </c>
      <c r="AB216" s="145" t="n">
        <v>384053</v>
      </c>
      <c r="AC216" s="145" t="n">
        <v>384053</v>
      </c>
      <c r="AD216" s="145" t="n">
        <v>448776</v>
      </c>
      <c r="AE216" s="145" t="n">
        <v>448776</v>
      </c>
      <c r="AF216" s="145" t="n">
        <v>448776</v>
      </c>
      <c r="AG216" s="145" t="n">
        <v>448776</v>
      </c>
      <c r="AH216" s="145" t="n">
        <v>522150</v>
      </c>
      <c r="AI216" s="145" t="n">
        <v>522150</v>
      </c>
      <c r="AJ216" s="145" t="n">
        <v>522150</v>
      </c>
      <c r="AK216" s="145" t="n">
        <v>522150</v>
      </c>
      <c r="AL216" s="145" t="n">
        <v>582532</v>
      </c>
      <c r="AM216" s="145" t="n">
        <v>582532</v>
      </c>
      <c r="AN216" s="145" t="n">
        <v>582532</v>
      </c>
      <c r="AO216" s="145" t="n">
        <v>582532</v>
      </c>
      <c r="AP216" s="145" t="n">
        <v>623855</v>
      </c>
      <c r="AQ216" s="145" t="n">
        <v>623855</v>
      </c>
      <c r="AR216" s="145" t="n">
        <v>623855</v>
      </c>
      <c r="AS216" s="145" t="n">
        <v>623855</v>
      </c>
      <c r="AT216" s="145" t="n">
        <v>909900</v>
      </c>
      <c r="AU216" s="145" t="n">
        <v>909900</v>
      </c>
      <c r="AV216" s="145" t="n">
        <v>909900</v>
      </c>
      <c r="AW216" s="145" t="n">
        <v>909900</v>
      </c>
      <c r="AX216" s="145" t="n">
        <v>544358</v>
      </c>
      <c r="AY216" s="145" t="n">
        <v>544358</v>
      </c>
      <c r="AZ216" s="145" t="n">
        <v>544358</v>
      </c>
      <c r="BA216" s="145" t="n">
        <v>544358</v>
      </c>
      <c r="BB216" s="145" t="n">
        <v>682984</v>
      </c>
      <c r="BC216" s="145" t="n">
        <v>682984</v>
      </c>
      <c r="BD216" s="145" t="n">
        <v>682984</v>
      </c>
      <c r="BE216" s="145" t="n">
        <v>682984</v>
      </c>
      <c r="BF216" s="145" t="n">
        <v>878553</v>
      </c>
      <c r="BG216" s="145" t="n">
        <v>878553</v>
      </c>
      <c r="BH216" s="145" t="n">
        <v>878553</v>
      </c>
      <c r="BI216" s="145" t="n">
        <v>878553</v>
      </c>
      <c r="BJ216" s="145" t="n">
        <v>709105</v>
      </c>
      <c r="BK216" s="145" t="n">
        <v>709105</v>
      </c>
      <c r="BL216" s="145" t="n">
        <v>709105</v>
      </c>
      <c r="BM216" s="145" t="n">
        <v>709105</v>
      </c>
      <c r="BN216" s="145" t="n">
        <v>698209</v>
      </c>
      <c r="BO216" s="145" t="n">
        <v>698209</v>
      </c>
      <c r="BP216" s="145" t="n">
        <v>698209</v>
      </c>
      <c r="BQ216" s="145" t="n">
        <v>698209</v>
      </c>
      <c r="BR216" s="145" t="n">
        <v>514674</v>
      </c>
      <c r="BS216" t="n">
        <v>496452</v>
      </c>
      <c r="BT216" t="inlineStr">
        <is>
          <t>IPGP-Financial-Data-Workbook-2024-Q2.xlsx|Cash Flows|54|93</t>
        </is>
      </c>
    </row>
    <row r="217">
      <c r="A217" s="502" t="inlineStr">
        <is>
          <t>Cash and cash equivalents - Ending balance</t>
        </is>
      </c>
      <c r="B217" s="145" t="n"/>
      <c r="C217" s="145" t="n"/>
      <c r="D217" s="145" t="n"/>
      <c r="E217" s="145" t="n"/>
      <c r="F217" s="145" t="n"/>
      <c r="G217" s="145" t="n"/>
      <c r="H217" s="145" t="n"/>
      <c r="I217" s="145" t="n"/>
      <c r="J217" s="145" t="n"/>
      <c r="K217" s="145" t="n"/>
      <c r="L217" s="145" t="n"/>
      <c r="M217" s="145" t="n"/>
      <c r="N217" s="145" t="n"/>
      <c r="O217" s="145" t="n"/>
      <c r="P217" s="145" t="n"/>
      <c r="Q217" s="145" t="n"/>
      <c r="R217" s="145" t="n"/>
      <c r="S217" s="145" t="n"/>
      <c r="T217" s="145" t="n"/>
      <c r="U217" s="145" t="n"/>
      <c r="V217" s="145" t="n"/>
      <c r="W217" s="145" t="n"/>
      <c r="X217" s="145" t="n"/>
      <c r="Y217" s="145" t="n"/>
      <c r="Z217" s="145" t="n"/>
      <c r="AA217" s="145" t="n"/>
      <c r="AB217" s="145" t="n"/>
      <c r="AC217" s="145" t="n"/>
      <c r="AD217" s="145" t="n"/>
      <c r="AE217" s="145" t="n"/>
      <c r="AF217" s="145" t="n"/>
      <c r="AG217" s="145" t="n"/>
      <c r="AH217" s="145" t="n"/>
      <c r="AI217" s="145" t="n"/>
      <c r="AJ217" s="145" t="n"/>
      <c r="AK217" s="145" t="n"/>
      <c r="AL217" s="145" t="n"/>
      <c r="AM217" s="145" t="n"/>
      <c r="AN217" s="145" t="n"/>
      <c r="AO217" s="145" t="n"/>
      <c r="AP217" s="145" t="n"/>
      <c r="AQ217" s="145" t="n"/>
      <c r="AR217" s="145" t="n"/>
      <c r="AS217" s="145" t="n"/>
      <c r="AT217" s="145" t="n"/>
      <c r="AU217" s="145" t="n"/>
      <c r="AV217" s="145" t="n"/>
      <c r="AW217" s="145" t="n"/>
      <c r="AX217" s="145" t="n"/>
      <c r="AY217" s="145" t="n"/>
      <c r="AZ217" s="145" t="n"/>
      <c r="BA217" s="405">
        <f>BA216+BA215</f>
        <v/>
      </c>
      <c r="BB217" s="405">
        <f>BB216+BB215</f>
        <v/>
      </c>
      <c r="BC217" s="405" t="n">
        <v>750042</v>
      </c>
      <c r="BD217" s="405" t="n">
        <v>766050</v>
      </c>
      <c r="BE217" s="405" t="n">
        <v>878553</v>
      </c>
      <c r="BF217" s="405">
        <f>BF216+BF215</f>
        <v/>
      </c>
      <c r="BG217" s="405" t="n">
        <v>754199</v>
      </c>
      <c r="BH217" s="405" t="n">
        <v>794904</v>
      </c>
      <c r="BI217" s="405" t="n">
        <v>709105</v>
      </c>
      <c r="BJ217" s="405" t="n">
        <v>642517</v>
      </c>
      <c r="BK217" s="405" t="n">
        <v>771788</v>
      </c>
      <c r="BL217" s="405" t="n">
        <v>869274</v>
      </c>
      <c r="BM217" s="405" t="n">
        <v>698209</v>
      </c>
      <c r="BN217" s="405" t="n">
        <v>521137</v>
      </c>
      <c r="BO217" s="405" t="n">
        <v>573071</v>
      </c>
      <c r="BP217" s="405" t="n">
        <v>528284</v>
      </c>
      <c r="BQ217" s="405" t="n">
        <v>514674</v>
      </c>
      <c r="BR217" s="405" t="n">
        <v>496452</v>
      </c>
      <c r="BS217" t="n">
        <v>720540</v>
      </c>
      <c r="BT217" t="inlineStr">
        <is>
          <t>IPGP-Financial-Data-Workbook-2024-Q2.xlsx|Cash Flows|55|93</t>
        </is>
      </c>
    </row>
    <row r="218">
      <c r="A218" s="502" t="inlineStr">
        <is>
          <t>Less: restricted cash included in other current assets and other assets</t>
        </is>
      </c>
      <c r="B218" s="145" t="n"/>
      <c r="C218" s="145" t="n"/>
      <c r="D218" s="145" t="n"/>
      <c r="E218" s="145" t="n"/>
      <c r="F218" s="145" t="n"/>
      <c r="G218" s="145" t="n"/>
      <c r="H218" s="145" t="n"/>
      <c r="I218" s="145" t="n"/>
      <c r="J218" s="145" t="n"/>
      <c r="K218" s="145" t="n"/>
      <c r="L218" s="145" t="n"/>
      <c r="M218" s="145" t="n"/>
      <c r="N218" s="145" t="n"/>
      <c r="O218" s="145" t="n"/>
      <c r="P218" s="145" t="n"/>
      <c r="Q218" s="145" t="n"/>
      <c r="R218" s="145" t="n"/>
      <c r="S218" s="145" t="n"/>
      <c r="T218" s="145" t="n"/>
      <c r="U218" s="145" t="n"/>
      <c r="V218" s="145" t="n"/>
      <c r="W218" s="145" t="n"/>
      <c r="X218" s="145" t="n"/>
      <c r="Y218" s="145" t="n"/>
      <c r="Z218" s="145" t="n"/>
      <c r="AA218" s="145" t="n"/>
      <c r="AB218" s="145" t="n"/>
      <c r="AC218" s="145" t="n"/>
      <c r="AD218" s="145" t="n"/>
      <c r="AE218" s="145" t="n"/>
      <c r="AF218" s="145" t="n"/>
      <c r="AG218" s="145" t="n"/>
      <c r="AH218" s="145" t="n"/>
      <c r="AI218" s="145" t="n"/>
      <c r="AJ218" s="145" t="n"/>
      <c r="AK218" s="145" t="n"/>
      <c r="AL218" s="145" t="n"/>
      <c r="AM218" s="145" t="n"/>
      <c r="AN218" s="145" t="n"/>
      <c r="AO218" s="145" t="n"/>
      <c r="AP218" s="145" t="n"/>
      <c r="AQ218" s="145" t="n"/>
      <c r="AR218" s="145" t="n"/>
      <c r="AS218" s="145" t="n"/>
      <c r="AT218" s="145" t="n"/>
      <c r="AU218" s="145" t="n"/>
      <c r="AV218" s="145" t="n"/>
      <c r="AW218" s="145" t="n"/>
      <c r="AX218" s="145" t="n"/>
      <c r="AY218" s="145" t="n"/>
      <c r="AZ218" s="145" t="n"/>
      <c r="BA218" s="346" t="n">
        <v>2914</v>
      </c>
      <c r="BB218" s="346" t="n">
        <v>2283</v>
      </c>
      <c r="BC218" s="346" t="n">
        <v>2183</v>
      </c>
      <c r="BD218" s="346" t="n">
        <v>2130</v>
      </c>
      <c r="BE218" s="346" t="n">
        <v>2322</v>
      </c>
      <c r="BF218" s="346" t="n">
        <v>0</v>
      </c>
      <c r="BG218" s="346" t="n">
        <v>0</v>
      </c>
      <c r="BH218" s="346" t="n">
        <v>0</v>
      </c>
      <c r="BI218" s="346" t="n">
        <v>0</v>
      </c>
      <c r="BJ218" s="346" t="n">
        <v>0</v>
      </c>
      <c r="BK218" s="346" t="n">
        <v>0</v>
      </c>
      <c r="BL218" s="346" t="n">
        <v>0</v>
      </c>
      <c r="BM218" s="346" t="n">
        <v>0</v>
      </c>
      <c r="BN218" s="346" t="n">
        <v>0</v>
      </c>
      <c r="BO218" s="346" t="n">
        <v>0</v>
      </c>
      <c r="BP218" s="346" t="n">
        <v>0</v>
      </c>
      <c r="BQ218" s="346" t="n">
        <v>0</v>
      </c>
    </row>
    <row r="219">
      <c r="A219" s="502" t="inlineStr">
        <is>
          <t>Cash and cash equivalents - End of period</t>
        </is>
      </c>
      <c r="B219" s="145" t="n"/>
      <c r="C219" s="145" t="n"/>
      <c r="D219" s="145" t="n"/>
      <c r="E219" s="145" t="n"/>
      <c r="F219" s="145" t="n"/>
      <c r="G219" s="145" t="n"/>
      <c r="H219" s="145" t="n"/>
      <c r="I219" s="145" t="n"/>
      <c r="J219" s="145" t="n"/>
      <c r="K219" s="145" t="n"/>
      <c r="L219" s="145" t="n"/>
      <c r="M219" s="145" t="n"/>
      <c r="N219" s="145" t="n">
        <v>84407</v>
      </c>
      <c r="O219" s="145" t="n">
        <v>90655</v>
      </c>
      <c r="P219" s="145" t="n">
        <v>96630</v>
      </c>
      <c r="Q219" s="145" t="n">
        <v>147860</v>
      </c>
      <c r="R219" s="145" t="n">
        <v>160618</v>
      </c>
      <c r="S219" s="145" t="n">
        <v>188196</v>
      </c>
      <c r="T219" s="145" t="n">
        <v>196586</v>
      </c>
      <c r="U219" s="145" t="n">
        <v>180234</v>
      </c>
      <c r="V219" s="145" t="n">
        <v>377071</v>
      </c>
      <c r="W219" s="145" t="n">
        <v>345578</v>
      </c>
      <c r="X219" s="145" t="n">
        <v>372569</v>
      </c>
      <c r="Y219" s="145" t="n">
        <v>384053</v>
      </c>
      <c r="Z219" s="145" t="n">
        <v>355715</v>
      </c>
      <c r="AA219" s="145" t="n">
        <v>369484</v>
      </c>
      <c r="AB219" s="145" t="n">
        <v>398355</v>
      </c>
      <c r="AC219" s="145" t="n">
        <v>448776</v>
      </c>
      <c r="AD219" s="145" t="n">
        <v>480609</v>
      </c>
      <c r="AE219" s="145" t="n">
        <v>483432</v>
      </c>
      <c r="AF219" s="145" t="n">
        <v>487518</v>
      </c>
      <c r="AG219" s="145" t="n">
        <v>522150</v>
      </c>
      <c r="AH219" s="145" t="n">
        <v>541474</v>
      </c>
      <c r="AI219" s="145" t="n">
        <v>571508</v>
      </c>
      <c r="AJ219" s="145" t="n">
        <v>651220</v>
      </c>
      <c r="AK219" s="145" t="n">
        <v>582532</v>
      </c>
      <c r="AL219" s="145" t="n">
        <v>613692</v>
      </c>
      <c r="AM219" s="145" t="n">
        <v>587286</v>
      </c>
      <c r="AN219" s="145" t="n">
        <v>645558</v>
      </c>
      <c r="AO219" s="145" t="n">
        <v>623855</v>
      </c>
      <c r="AP219" s="145" t="n">
        <v>697778</v>
      </c>
      <c r="AQ219" s="145" t="n">
        <v>808111</v>
      </c>
      <c r="AR219" s="145" t="n">
        <v>880267</v>
      </c>
      <c r="AS219" s="145" t="n">
        <v>909900</v>
      </c>
      <c r="AT219" s="145" t="n">
        <v>969123</v>
      </c>
      <c r="AU219" s="145" t="n">
        <v>816792</v>
      </c>
      <c r="AV219" s="145" t="n">
        <v>647606</v>
      </c>
      <c r="AW219" s="145" t="n">
        <v>544358</v>
      </c>
      <c r="AX219" s="145" t="n">
        <v>548938</v>
      </c>
      <c r="AY219" s="145" t="n">
        <v>530013</v>
      </c>
      <c r="AZ219" s="145" t="n">
        <v>580329</v>
      </c>
      <c r="BA219" s="145" t="n">
        <v>680070</v>
      </c>
      <c r="BB219" s="145" t="n">
        <v>570058</v>
      </c>
      <c r="BC219" s="145" t="n">
        <v>747859</v>
      </c>
      <c r="BD219" s="145" t="n">
        <v>763920</v>
      </c>
      <c r="BE219" s="145" t="n">
        <v>876231</v>
      </c>
      <c r="BF219" s="145" t="n">
        <v>896741</v>
      </c>
      <c r="BG219" s="145" t="n">
        <v>754199</v>
      </c>
      <c r="BH219" s="145" t="n">
        <v>794904</v>
      </c>
      <c r="BI219" s="145" t="n">
        <v>709105</v>
      </c>
      <c r="BJ219" s="145" t="n">
        <v>642517</v>
      </c>
      <c r="BK219" s="145" t="n">
        <v>771788</v>
      </c>
      <c r="BL219" s="145" t="n">
        <v>869274</v>
      </c>
      <c r="BM219" s="145" t="n">
        <v>698209</v>
      </c>
      <c r="BN219" s="145" t="n">
        <v>521137</v>
      </c>
      <c r="BO219" s="145" t="n">
        <v>573071</v>
      </c>
      <c r="BP219" s="145" t="n">
        <v>528284</v>
      </c>
      <c r="BQ219" s="145" t="n">
        <v>514674</v>
      </c>
      <c r="BR219" s="145" t="n">
        <v>496452</v>
      </c>
      <c r="BS219" t="n">
        <v>720540</v>
      </c>
      <c r="BT219" t="inlineStr">
        <is>
          <t>IPGP-Financial-Data-Workbook-2024-Q2.xlsx|Cash Flows|57|93</t>
        </is>
      </c>
    </row>
    <row r="220">
      <c r="A220" s="502" t="inlineStr">
        <is>
          <t>Supplemental disclosures of cash flow information:</t>
        </is>
      </c>
      <c r="B220" s="145" t="n"/>
      <c r="C220" s="145" t="n"/>
      <c r="D220" s="145" t="n"/>
      <c r="E220" s="145" t="n"/>
      <c r="F220" s="145" t="n"/>
      <c r="G220" s="145" t="n"/>
      <c r="H220" s="145" t="n"/>
      <c r="I220" s="145" t="n"/>
      <c r="J220" s="145" t="n"/>
      <c r="K220" s="145" t="n"/>
      <c r="L220" s="145" t="n"/>
      <c r="M220" s="145" t="n"/>
      <c r="N220" s="145" t="n"/>
      <c r="O220" s="145" t="n"/>
      <c r="P220" s="145" t="n"/>
      <c r="Q220" s="145" t="n"/>
      <c r="R220" s="145" t="n"/>
      <c r="S220" s="145" t="n"/>
      <c r="T220" s="145" t="n"/>
      <c r="U220" s="145" t="n"/>
      <c r="V220" s="145" t="n"/>
      <c r="W220" s="145" t="n"/>
      <c r="X220" s="145" t="n"/>
      <c r="Y220" s="145" t="n"/>
      <c r="Z220" s="145" t="n"/>
      <c r="AA220" s="145" t="n"/>
      <c r="AB220" s="145" t="n"/>
      <c r="AC220" s="145" t="n"/>
      <c r="AD220" s="145" t="n"/>
      <c r="AE220" s="145" t="n"/>
      <c r="AF220" s="145" t="n"/>
      <c r="AG220" s="145" t="n"/>
      <c r="AH220" s="145" t="n"/>
      <c r="AI220" s="145" t="n"/>
      <c r="AJ220" s="145" t="n"/>
      <c r="AK220" s="145" t="n"/>
      <c r="AL220" s="145" t="n"/>
      <c r="AM220" s="145" t="n"/>
      <c r="AN220" s="145" t="n"/>
      <c r="AO220" s="145" t="n"/>
      <c r="AP220" s="145" t="n"/>
      <c r="AQ220" s="145" t="n"/>
      <c r="AR220" s="145" t="n"/>
      <c r="AS220" s="145" t="n"/>
      <c r="AT220" s="145" t="n"/>
      <c r="AU220" s="145" t="n"/>
      <c r="AV220" s="145" t="n"/>
      <c r="AW220" s="145" t="n"/>
      <c r="AX220" s="145" t="n"/>
      <c r="AY220" s="145" t="n"/>
      <c r="AZ220" s="145" t="n"/>
      <c r="BA220" s="145" t="n"/>
      <c r="BB220" s="145" t="n"/>
      <c r="BC220" s="145" t="n"/>
      <c r="BD220" s="145" t="n"/>
      <c r="BE220" s="145" t="n"/>
      <c r="BF220" s="145" t="n"/>
      <c r="BG220" s="145" t="n"/>
      <c r="BH220" s="145" t="n"/>
      <c r="BI220" s="145" t="n"/>
      <c r="BJ220" s="145" t="n"/>
      <c r="BK220" s="145" t="n"/>
      <c r="BL220" s="145" t="n"/>
      <c r="BM220" s="145" t="n"/>
      <c r="BN220" s="145" t="n"/>
      <c r="BO220" s="145" t="n"/>
      <c r="BP220" s="145" t="n"/>
      <c r="BQ220" s="145" t="n"/>
    </row>
    <row r="221">
      <c r="A221" s="74" t="inlineStr">
        <is>
          <t>Cash paid for interest</t>
        </is>
      </c>
      <c r="B221" s="145" t="n"/>
      <c r="C221" s="145" t="n"/>
      <c r="D221" s="145" t="n"/>
      <c r="E221" s="145" t="n"/>
      <c r="F221" s="145" t="n"/>
      <c r="G221" s="145" t="n"/>
      <c r="H221" s="145" t="n"/>
      <c r="I221" s="145" t="n"/>
      <c r="J221" s="145" t="n"/>
      <c r="K221" s="145" t="n"/>
      <c r="L221" s="145" t="n"/>
      <c r="M221" s="145" t="n"/>
      <c r="N221" s="145" t="n">
        <v>281</v>
      </c>
      <c r="O221" s="145" t="n">
        <v>515</v>
      </c>
      <c r="P221" s="145" t="n">
        <v>757</v>
      </c>
      <c r="Q221" s="145" t="n">
        <v>998</v>
      </c>
      <c r="R221" s="145" t="n">
        <v>255</v>
      </c>
      <c r="S221" s="145" t="n">
        <v>514</v>
      </c>
      <c r="T221" s="145" t="n">
        <v>809</v>
      </c>
      <c r="U221" s="145" t="n">
        <v>1089</v>
      </c>
      <c r="V221" s="145" t="n">
        <v>251</v>
      </c>
      <c r="W221" s="145" t="n">
        <v>411</v>
      </c>
      <c r="X221" s="145" t="n">
        <v>553</v>
      </c>
      <c r="Y221" s="145" t="n">
        <v>864</v>
      </c>
      <c r="Z221" s="145" t="n">
        <v>88</v>
      </c>
      <c r="AA221" s="145" t="n">
        <v>165</v>
      </c>
      <c r="AB221" s="145" t="n">
        <v>190</v>
      </c>
      <c r="AC221" s="145" t="n">
        <v>208</v>
      </c>
      <c r="AD221" s="145" t="n">
        <v>102</v>
      </c>
      <c r="AE221" s="145" t="n">
        <v>223</v>
      </c>
      <c r="AF221" s="145" t="n">
        <v>302</v>
      </c>
      <c r="AG221" s="145" t="n">
        <v>253</v>
      </c>
      <c r="AH221" s="145" t="n">
        <v>293</v>
      </c>
      <c r="AI221" s="145" t="n">
        <v>533</v>
      </c>
      <c r="AJ221" s="145" t="n">
        <v>688</v>
      </c>
      <c r="AK221" s="145" t="n">
        <v>873</v>
      </c>
      <c r="AL221" s="145" t="n">
        <v>171</v>
      </c>
      <c r="AM221" s="145" t="n">
        <v>349</v>
      </c>
      <c r="AN221" s="145" t="n">
        <v>623</v>
      </c>
      <c r="AO221" s="145" t="n">
        <v>942</v>
      </c>
      <c r="AP221" s="145" t="n">
        <v>447</v>
      </c>
      <c r="AQ221" s="145" t="n">
        <v>975</v>
      </c>
      <c r="AR221" s="145" t="n">
        <v>1965</v>
      </c>
      <c r="AS221" s="145" t="n">
        <v>2583</v>
      </c>
      <c r="AT221" s="145" t="n">
        <v>799</v>
      </c>
      <c r="AU221" s="145" t="n">
        <v>1672</v>
      </c>
      <c r="AV221" s="145" t="n">
        <v>2402</v>
      </c>
      <c r="AW221" s="145" t="n">
        <v>3052</v>
      </c>
      <c r="AX221" s="145" t="n">
        <v>749</v>
      </c>
      <c r="AY221" s="145" t="n">
        <v>1164</v>
      </c>
      <c r="AZ221" s="145" t="n">
        <v>1655</v>
      </c>
      <c r="BA221" s="145" t="n">
        <v>2683</v>
      </c>
      <c r="BB221" s="145" t="n">
        <v>447</v>
      </c>
      <c r="BC221" s="145" t="n">
        <v>1061</v>
      </c>
      <c r="BD221" s="145" t="n">
        <v>1650</v>
      </c>
      <c r="BE221" s="145" t="n">
        <v>2234</v>
      </c>
      <c r="BF221" s="145" t="n">
        <v>703</v>
      </c>
      <c r="BG221" s="145" t="n">
        <v>1388</v>
      </c>
      <c r="BH221" s="145" t="n">
        <v>1932</v>
      </c>
      <c r="BI221" s="145" t="n">
        <v>2714</v>
      </c>
      <c r="BJ221" s="145" t="n">
        <v>857</v>
      </c>
      <c r="BK221" s="145" t="n">
        <v>1600</v>
      </c>
      <c r="BL221" s="145" t="n">
        <v>2766</v>
      </c>
      <c r="BM221" s="145" t="n">
        <v>3214</v>
      </c>
      <c r="BN221" s="145" t="n">
        <v>525</v>
      </c>
      <c r="BO221" s="145" t="n">
        <v>947</v>
      </c>
      <c r="BP221" s="145" t="n">
        <v>1110</v>
      </c>
      <c r="BQ221" s="145" t="n">
        <v>1284</v>
      </c>
      <c r="BR221" s="145" t="n">
        <v>4</v>
      </c>
      <c r="BS221" t="n">
        <v>90</v>
      </c>
      <c r="BT221" t="inlineStr">
        <is>
          <t>IPGP-Financial-Data-Workbook-2024-Q2.xlsx|Cash Flows|60|93</t>
        </is>
      </c>
    </row>
    <row r="222">
      <c r="A222" s="74" t="inlineStr">
        <is>
          <t>Cash paid for income taxes</t>
        </is>
      </c>
      <c r="B222" s="145" t="n"/>
      <c r="C222" s="145" t="n"/>
      <c r="D222" s="145" t="n"/>
      <c r="E222" s="145" t="n"/>
      <c r="F222" s="145" t="n"/>
      <c r="G222" s="145" t="n"/>
      <c r="H222" s="145" t="n"/>
      <c r="I222" s="145" t="n"/>
      <c r="J222" s="145" t="n"/>
      <c r="K222" s="145" t="n"/>
      <c r="L222" s="145" t="n"/>
      <c r="M222" s="145" t="n"/>
      <c r="N222" s="145" t="n">
        <v>1445</v>
      </c>
      <c r="O222" s="145" t="n">
        <v>3504</v>
      </c>
      <c r="P222" s="145" t="n">
        <v>6363</v>
      </c>
      <c r="Q222" s="145" t="n">
        <v>7417</v>
      </c>
      <c r="R222" s="145" t="n">
        <v>8865</v>
      </c>
      <c r="S222" s="145" t="n">
        <v>14905</v>
      </c>
      <c r="T222" s="145" t="n">
        <v>19465</v>
      </c>
      <c r="U222" s="145" t="n">
        <v>39199</v>
      </c>
      <c r="V222" s="145" t="n">
        <v>6755</v>
      </c>
      <c r="W222" s="145" t="n">
        <v>14446</v>
      </c>
      <c r="X222" s="145" t="n">
        <v>20967</v>
      </c>
      <c r="Y222" s="145" t="n">
        <v>25980</v>
      </c>
      <c r="Z222" s="145" t="n">
        <v>47813</v>
      </c>
      <c r="AA222" s="145" t="n">
        <v>61308</v>
      </c>
      <c r="AB222" s="145" t="n">
        <v>74107</v>
      </c>
      <c r="AC222" s="145" t="n">
        <v>89611</v>
      </c>
      <c r="AD222" s="145" t="n">
        <v>20893</v>
      </c>
      <c r="AE222" s="145" t="n">
        <v>41525</v>
      </c>
      <c r="AF222" s="145" t="n">
        <v>56730</v>
      </c>
      <c r="AG222" s="145" t="n">
        <v>73544</v>
      </c>
      <c r="AH222" s="145" t="n">
        <v>11889</v>
      </c>
      <c r="AI222" s="145" t="n">
        <v>44728</v>
      </c>
      <c r="AJ222" s="145" t="n">
        <v>65376</v>
      </c>
      <c r="AK222" s="145" t="n">
        <v>91329</v>
      </c>
      <c r="AL222" s="145" t="n">
        <v>11955</v>
      </c>
      <c r="AM222" s="145" t="n">
        <v>66478</v>
      </c>
      <c r="AN222" s="145" t="n">
        <v>95539</v>
      </c>
      <c r="AO222" s="145" t="n">
        <v>126964</v>
      </c>
      <c r="AP222" s="145" t="n">
        <v>31371</v>
      </c>
      <c r="AQ222" s="145" t="n">
        <v>80956</v>
      </c>
      <c r="AR222" s="145" t="n">
        <v>118660</v>
      </c>
      <c r="AS222" s="145" t="n">
        <v>155559</v>
      </c>
      <c r="AT222" s="145" t="n">
        <v>19546</v>
      </c>
      <c r="AU222" s="145" t="n">
        <v>64495</v>
      </c>
      <c r="AV222" s="145" t="n">
        <v>94801</v>
      </c>
      <c r="AW222" s="145" t="n">
        <v>112762</v>
      </c>
      <c r="AX222" s="145" t="n">
        <v>51438</v>
      </c>
      <c r="AY222" s="145" t="n">
        <v>73855</v>
      </c>
      <c r="AZ222" s="145" t="n">
        <v>97172</v>
      </c>
      <c r="BA222" s="145" t="n">
        <v>116951</v>
      </c>
      <c r="BB222" s="145" t="n">
        <v>29865</v>
      </c>
      <c r="BC222" s="145" t="n">
        <v>53670</v>
      </c>
      <c r="BD222" s="145" t="n">
        <v>65895</v>
      </c>
      <c r="BE222" s="145" t="n">
        <v>85861</v>
      </c>
      <c r="BF222" s="145" t="n">
        <v>21340</v>
      </c>
      <c r="BG222" s="145" t="n">
        <v>41809</v>
      </c>
      <c r="BH222" s="145" t="n">
        <v>35982</v>
      </c>
      <c r="BI222" s="145" t="n">
        <v>62998</v>
      </c>
      <c r="BJ222" s="145" t="n">
        <v>25423</v>
      </c>
      <c r="BK222" s="145" t="n">
        <v>61715</v>
      </c>
      <c r="BL222" s="145" t="n">
        <v>83771</v>
      </c>
      <c r="BM222" s="145" t="n">
        <v>113200</v>
      </c>
      <c r="BN222" s="145" t="n">
        <v>19203</v>
      </c>
      <c r="BO222" s="145" t="n">
        <v>58178</v>
      </c>
      <c r="BP222" s="145" t="n">
        <v>55001</v>
      </c>
      <c r="BQ222" s="145" t="n">
        <v>62916</v>
      </c>
      <c r="BR222" s="145" t="n">
        <v>8005</v>
      </c>
      <c r="BS222" t="n">
        <v>26160</v>
      </c>
      <c r="BT222" t="inlineStr">
        <is>
          <t>IPGP-Financial-Data-Workbook-2024-Q2.xlsx|Cash Flows|61|93</t>
        </is>
      </c>
    </row>
    <row r="223">
      <c r="A223" s="74" t="inlineStr">
        <is>
          <t>Non-cash transactions:</t>
        </is>
      </c>
      <c r="BI223" s="145" t="n"/>
      <c r="BK223" s="145" t="n"/>
      <c r="BL223" s="145" t="n"/>
      <c r="BM223" s="145" t="n"/>
    </row>
    <row r="224">
      <c r="A224" s="33" t="inlineStr">
        <is>
          <t>Demonstration units transferred from inventory to other assets</t>
        </is>
      </c>
      <c r="B224" s="145" t="n"/>
      <c r="C224" s="145" t="n"/>
      <c r="D224" s="145" t="n"/>
      <c r="E224" s="145" t="n"/>
      <c r="F224" s="145" t="n"/>
      <c r="G224" s="145" t="n"/>
      <c r="H224" s="145" t="n"/>
      <c r="I224" s="145" t="n"/>
      <c r="J224" s="145" t="n"/>
      <c r="K224" s="145" t="n"/>
      <c r="L224" s="145" t="n"/>
      <c r="M224" s="145" t="n"/>
      <c r="N224" s="145" t="n">
        <v>490</v>
      </c>
      <c r="O224" s="145" t="n">
        <v>652</v>
      </c>
      <c r="P224" s="145" t="n">
        <v>1462</v>
      </c>
      <c r="Q224" s="145" t="n">
        <v>1620</v>
      </c>
      <c r="R224" s="145" t="n">
        <v>789</v>
      </c>
      <c r="S224" s="145" t="n">
        <v>1291</v>
      </c>
      <c r="T224" s="145" t="n">
        <v>2185</v>
      </c>
      <c r="U224" s="145" t="n">
        <v>3784</v>
      </c>
      <c r="V224" s="145" t="n">
        <v>526</v>
      </c>
      <c r="W224" s="145" t="n">
        <v>1182</v>
      </c>
      <c r="X224" s="145" t="n">
        <v>2098</v>
      </c>
      <c r="Y224" s="145" t="n">
        <v>2631</v>
      </c>
      <c r="Z224" s="145" t="n">
        <v>625</v>
      </c>
      <c r="AA224" s="145" t="n">
        <v>2410</v>
      </c>
      <c r="AB224" s="145" t="n">
        <v>3185</v>
      </c>
      <c r="AC224" s="145" t="n">
        <v>3927</v>
      </c>
      <c r="AD224" s="145" t="n">
        <v>610</v>
      </c>
      <c r="AE224" s="145" t="n">
        <v>1318</v>
      </c>
      <c r="AF224" s="145" t="n">
        <v>2649</v>
      </c>
      <c r="AG224" s="145" t="n">
        <v>3528</v>
      </c>
      <c r="AH224" s="145" t="n">
        <v>634</v>
      </c>
      <c r="AI224" s="145" t="n">
        <v>1479</v>
      </c>
      <c r="AJ224" s="145" t="n">
        <v>1995</v>
      </c>
      <c r="AK224" s="145" t="n">
        <v>3181</v>
      </c>
      <c r="AL224" s="145" t="n">
        <v>623</v>
      </c>
      <c r="AM224" s="145" t="n">
        <v>1746</v>
      </c>
      <c r="AN224" s="145" t="n">
        <v>2916</v>
      </c>
      <c r="AO224" s="145" t="n">
        <v>6293</v>
      </c>
      <c r="AP224" s="145" t="n">
        <v>802</v>
      </c>
      <c r="AQ224" s="145" t="n">
        <v>1845</v>
      </c>
      <c r="AR224" s="145" t="n">
        <v>3290</v>
      </c>
      <c r="AS224" s="145" t="n">
        <v>4114</v>
      </c>
      <c r="AT224" s="145" t="n">
        <v>446</v>
      </c>
      <c r="AU224" s="145" t="n"/>
      <c r="AV224" s="145" t="n"/>
      <c r="AW224" s="145" t="n"/>
      <c r="AX224" s="145" t="n"/>
      <c r="AY224" s="145" t="n"/>
      <c r="AZ224" s="145" t="n"/>
      <c r="BA224" s="145" t="n"/>
      <c r="BB224" s="145" t="n"/>
      <c r="BC224" s="145" t="n"/>
      <c r="BD224" s="145" t="n"/>
      <c r="BE224" s="145" t="n"/>
      <c r="BF224" s="145" t="n"/>
      <c r="BG224" s="145" t="n"/>
      <c r="BH224" s="145" t="n"/>
      <c r="BJ224" s="145" t="n"/>
      <c r="BN224" s="145" t="n"/>
      <c r="BO224" s="145" t="n"/>
      <c r="BP224" s="145" t="n"/>
    </row>
    <row r="225">
      <c r="A225" s="33" t="inlineStr">
        <is>
          <t>Property, plant and equipment transferred from inventory</t>
        </is>
      </c>
      <c r="B225" s="145" t="n"/>
      <c r="C225" s="145" t="n"/>
      <c r="D225" s="145" t="n"/>
      <c r="E225" s="145" t="n"/>
      <c r="F225" s="145" t="n"/>
      <c r="G225" s="145" t="n"/>
      <c r="H225" s="145" t="n"/>
      <c r="I225" s="145" t="n"/>
      <c r="J225" s="145" t="n"/>
      <c r="K225" s="145" t="n"/>
      <c r="L225" s="145" t="n"/>
      <c r="M225" s="145" t="n"/>
      <c r="N225" s="145" t="n">
        <v>0</v>
      </c>
      <c r="O225" s="145" t="n">
        <v>0</v>
      </c>
      <c r="P225" s="145" t="n">
        <v>0</v>
      </c>
      <c r="Q225" s="145" t="n">
        <v>0</v>
      </c>
      <c r="R225" s="145" t="n">
        <v>0</v>
      </c>
      <c r="S225" s="145" t="n">
        <v>0</v>
      </c>
      <c r="T225" s="145" t="n">
        <v>0</v>
      </c>
      <c r="U225" s="145" t="n">
        <v>0</v>
      </c>
      <c r="V225" s="145" t="n">
        <v>0</v>
      </c>
      <c r="W225" s="145" t="n">
        <v>0</v>
      </c>
      <c r="X225" s="145" t="n">
        <v>0</v>
      </c>
      <c r="Y225" s="145" t="n">
        <v>0</v>
      </c>
      <c r="Z225" s="145" t="n">
        <v>0</v>
      </c>
      <c r="AA225" s="145" t="n">
        <v>0</v>
      </c>
      <c r="AB225" s="145" t="n">
        <v>0</v>
      </c>
      <c r="AC225" s="145" t="n">
        <v>0</v>
      </c>
      <c r="AD225" s="145" t="n">
        <v>717</v>
      </c>
      <c r="AE225" s="145" t="n">
        <v>1030</v>
      </c>
      <c r="AF225" s="145" t="n">
        <v>1303</v>
      </c>
      <c r="AG225" s="145" t="n">
        <v>1551</v>
      </c>
      <c r="AH225" s="145" t="n">
        <v>284</v>
      </c>
      <c r="AI225" s="145" t="n">
        <v>1072</v>
      </c>
      <c r="AJ225" s="145" t="n">
        <v>2371</v>
      </c>
      <c r="AK225" s="145" t="n">
        <v>2951</v>
      </c>
      <c r="AL225" s="145" t="n">
        <v>361</v>
      </c>
      <c r="AM225" s="145" t="n">
        <v>1129</v>
      </c>
      <c r="AN225" s="145" t="n">
        <v>4056</v>
      </c>
      <c r="AO225" s="145" t="n">
        <v>4529</v>
      </c>
      <c r="AP225" s="145" t="n">
        <v>1051</v>
      </c>
      <c r="AQ225" s="145" t="n">
        <v>1531</v>
      </c>
      <c r="AR225" s="145" t="n">
        <v>4087</v>
      </c>
      <c r="AS225" s="145" t="n">
        <v>8425</v>
      </c>
      <c r="AT225" s="145" t="n">
        <v>1618</v>
      </c>
      <c r="AU225" s="145" t="n"/>
      <c r="AV225" s="145" t="n"/>
      <c r="AW225" s="145" t="n"/>
      <c r="AX225" s="145" t="n"/>
      <c r="AY225" s="145" t="n"/>
      <c r="AZ225" s="145" t="n"/>
      <c r="BA225" s="145" t="n"/>
      <c r="BB225" s="145" t="n"/>
      <c r="BC225" s="145" t="n"/>
      <c r="BD225" s="145" t="n"/>
      <c r="BE225" s="145" t="n"/>
      <c r="BF225" s="145" t="n"/>
      <c r="BG225" s="145" t="n"/>
      <c r="BH225" s="145" t="n"/>
      <c r="BJ225" s="145" t="n"/>
      <c r="BN225" s="145" t="n"/>
      <c r="BO225" s="145" t="n"/>
      <c r="BP225" s="145" t="n"/>
    </row>
    <row r="226">
      <c r="A226" s="33" t="inlineStr">
        <is>
          <t>Additions to property, plant and equipment included in accounts payable</t>
        </is>
      </c>
      <c r="B226" s="145" t="n"/>
      <c r="C226" s="145" t="n"/>
      <c r="D226" s="145" t="n"/>
      <c r="E226" s="145" t="n"/>
      <c r="F226" s="145" t="n"/>
      <c r="G226" s="145" t="n"/>
      <c r="H226" s="145" t="n"/>
      <c r="I226" s="145" t="n"/>
      <c r="J226" s="145" t="n"/>
      <c r="K226" s="145" t="n"/>
      <c r="L226" s="145" t="n"/>
      <c r="M226" s="145" t="n"/>
      <c r="N226" s="145" t="n">
        <v>119</v>
      </c>
      <c r="O226" s="145" t="n">
        <v>286</v>
      </c>
      <c r="P226" s="145" t="n">
        <v>530</v>
      </c>
      <c r="Q226" s="145" t="n">
        <v>407</v>
      </c>
      <c r="R226" s="145" t="n">
        <v>125</v>
      </c>
      <c r="S226" s="145" t="n">
        <v>545</v>
      </c>
      <c r="T226" s="145" t="n">
        <v>782</v>
      </c>
      <c r="U226" s="145" t="n">
        <v>484</v>
      </c>
      <c r="V226" s="145" t="n">
        <v>1847</v>
      </c>
      <c r="W226" s="145" t="n">
        <v>537</v>
      </c>
      <c r="X226" s="145" t="n">
        <v>545</v>
      </c>
      <c r="Y226" s="145" t="n">
        <v>2071</v>
      </c>
      <c r="Z226" s="145" t="n">
        <v>1115</v>
      </c>
      <c r="AA226" s="145" t="n">
        <v>605</v>
      </c>
      <c r="AB226" s="145" t="n">
        <v>679</v>
      </c>
      <c r="AC226" s="145" t="n">
        <v>2132</v>
      </c>
      <c r="AD226" s="145" t="n">
        <v>1541</v>
      </c>
      <c r="AE226" s="145" t="n">
        <v>1209</v>
      </c>
      <c r="AF226" s="145" t="n">
        <v>1959</v>
      </c>
      <c r="AG226" s="145" t="n">
        <v>1084</v>
      </c>
      <c r="AH226" s="145" t="n">
        <v>549</v>
      </c>
      <c r="AI226" s="145" t="n">
        <v>406</v>
      </c>
      <c r="AJ226" s="145" t="n">
        <v>-178</v>
      </c>
      <c r="AK226" s="145" t="n">
        <v>350</v>
      </c>
      <c r="AL226" s="145" t="n">
        <v>326</v>
      </c>
      <c r="AM226" s="145" t="n">
        <v>806</v>
      </c>
      <c r="AN226" s="145" t="n">
        <v>-430</v>
      </c>
      <c r="AO226" s="145" t="n">
        <v>973</v>
      </c>
      <c r="AP226" s="145" t="n">
        <v>-1310</v>
      </c>
      <c r="AQ226" s="145" t="n">
        <v>-1892</v>
      </c>
      <c r="AR226" s="145" t="n">
        <v>-15</v>
      </c>
      <c r="AS226" s="145" t="n">
        <v>1594</v>
      </c>
      <c r="AT226" s="145" t="n">
        <v>-3296</v>
      </c>
      <c r="AU226" s="145" t="n"/>
      <c r="AV226" s="145" t="n"/>
      <c r="AW226" s="145" t="n"/>
      <c r="AX226" s="145" t="n"/>
      <c r="AY226" s="145" t="n"/>
      <c r="AZ226" s="145" t="n"/>
      <c r="BA226" s="145" t="n"/>
      <c r="BB226" s="145" t="n"/>
      <c r="BC226" s="145" t="n"/>
      <c r="BD226" s="145" t="n"/>
      <c r="BE226" s="145" t="n"/>
      <c r="BF226" s="145" t="n"/>
      <c r="BG226" s="145" t="n"/>
      <c r="BH226" s="145" t="n"/>
      <c r="BJ226" s="145" t="n"/>
      <c r="BN226" s="145" t="n"/>
      <c r="BO226" s="145" t="n"/>
      <c r="BP226" s="145" t="n"/>
    </row>
    <row r="227">
      <c r="A227" s="33" t="inlineStr">
        <is>
          <t>Property purchase financed with debt</t>
        </is>
      </c>
      <c r="B227" s="145" t="n"/>
      <c r="C227" s="145" t="n"/>
      <c r="D227" s="145" t="n"/>
      <c r="E227" s="145" t="n"/>
      <c r="F227" s="145" t="n"/>
      <c r="G227" s="145" t="n"/>
      <c r="H227" s="145" t="n"/>
      <c r="I227" s="145" t="n"/>
      <c r="J227" s="145" t="n"/>
      <c r="K227" s="145" t="n"/>
      <c r="L227" s="145" t="n"/>
      <c r="M227" s="145" t="n"/>
      <c r="N227" s="145" t="n">
        <v>0</v>
      </c>
      <c r="O227" s="145" t="n">
        <v>0</v>
      </c>
      <c r="P227" s="145" t="n">
        <v>0</v>
      </c>
      <c r="Q227" s="145" t="n">
        <v>0</v>
      </c>
      <c r="R227" s="145" t="n">
        <v>1679</v>
      </c>
      <c r="S227" s="145" t="n">
        <v>1851</v>
      </c>
      <c r="T227" s="145" t="n">
        <v>1853</v>
      </c>
      <c r="U227" s="145" t="n">
        <v>1833</v>
      </c>
      <c r="V227" s="145" t="n">
        <v>0</v>
      </c>
      <c r="W227" s="145" t="n">
        <v>0</v>
      </c>
      <c r="X227" s="145" t="n">
        <v>0</v>
      </c>
      <c r="Y227" s="145" t="n">
        <v>0</v>
      </c>
      <c r="Z227" s="145" t="n">
        <v>0</v>
      </c>
      <c r="AA227" s="145" t="n">
        <v>0</v>
      </c>
      <c r="AB227" s="145" t="n">
        <v>0</v>
      </c>
      <c r="AC227" s="145" t="n">
        <v>0</v>
      </c>
      <c r="AD227" s="145" t="n">
        <v>0</v>
      </c>
      <c r="AE227" s="145" t="n">
        <v>0</v>
      </c>
      <c r="AF227" s="145" t="n">
        <v>0</v>
      </c>
      <c r="AG227" s="145" t="n">
        <v>22000</v>
      </c>
      <c r="AH227" s="145" t="n">
        <v>0</v>
      </c>
      <c r="AI227" s="145" t="n">
        <v>0</v>
      </c>
      <c r="AJ227" s="145" t="n">
        <v>0</v>
      </c>
      <c r="AK227" s="145" t="n">
        <v>0</v>
      </c>
      <c r="AL227" s="145" t="n">
        <v>0</v>
      </c>
      <c r="AM227" s="145" t="n">
        <v>0</v>
      </c>
      <c r="AN227" s="145" t="n">
        <v>0</v>
      </c>
      <c r="AO227" s="145" t="n">
        <v>0</v>
      </c>
      <c r="AP227" s="145" t="n">
        <v>0</v>
      </c>
      <c r="AQ227" s="145" t="n">
        <v>0</v>
      </c>
      <c r="AR227" s="145" t="n">
        <v>0</v>
      </c>
      <c r="AS227" s="145" t="n">
        <v>0</v>
      </c>
      <c r="AT227" s="145" t="n">
        <v>0</v>
      </c>
      <c r="AU227" s="145" t="n"/>
      <c r="AV227" s="145" t="n"/>
      <c r="AW227" s="145" t="n"/>
      <c r="AX227" s="145" t="n"/>
      <c r="AY227" s="145" t="n"/>
      <c r="AZ227" s="145" t="n"/>
      <c r="BA227" s="145" t="n"/>
      <c r="BB227" s="145" t="n"/>
      <c r="BC227" s="145" t="n"/>
      <c r="BD227" s="145" t="n"/>
      <c r="BE227" s="145" t="n"/>
      <c r="BF227" s="145" t="n"/>
      <c r="BG227" s="145" t="n"/>
      <c r="BH227" s="145" t="n"/>
      <c r="BJ227" s="145" t="n"/>
      <c r="BN227" s="145" t="n"/>
      <c r="BO227" s="145" t="n"/>
      <c r="BP227" s="145" t="n"/>
    </row>
    <row r="228">
      <c r="A228" s="33" t="inlineStr">
        <is>
          <t>Others</t>
        </is>
      </c>
      <c r="B228" s="145" t="n"/>
      <c r="C228" s="145" t="n"/>
      <c r="D228" s="145" t="n"/>
      <c r="E228" s="145" t="n"/>
      <c r="F228" s="145" t="n"/>
      <c r="G228" s="145" t="n"/>
      <c r="H228" s="145" t="n"/>
      <c r="I228" s="145" t="n"/>
      <c r="J228" s="145" t="n"/>
      <c r="K228" s="145" t="n"/>
      <c r="L228" s="145" t="n"/>
      <c r="M228" s="145" t="n"/>
      <c r="N228" s="145" t="n">
        <v>789</v>
      </c>
      <c r="O228" s="145" t="n">
        <v>1478</v>
      </c>
      <c r="P228" s="145" t="n">
        <v>1120</v>
      </c>
      <c r="Q228" s="145" t="n">
        <v>1120</v>
      </c>
      <c r="R228" s="145" t="n">
        <v>882</v>
      </c>
      <c r="S228" s="145">
        <f>882+654</f>
        <v/>
      </c>
      <c r="T228" s="145">
        <f>882+570</f>
        <v/>
      </c>
      <c r="U228" s="145" t="n">
        <v>0</v>
      </c>
      <c r="V228" s="145" t="n">
        <v>0</v>
      </c>
      <c r="W228" s="145" t="n">
        <v>0</v>
      </c>
      <c r="X228" s="145" t="n">
        <v>2444</v>
      </c>
      <c r="Y228" s="145" t="n">
        <v>322</v>
      </c>
      <c r="Z228" s="145" t="n">
        <v>0</v>
      </c>
      <c r="AA228" s="145" t="n">
        <v>0</v>
      </c>
      <c r="AB228" s="145" t="n">
        <v>0</v>
      </c>
      <c r="AC228" s="145" t="n">
        <v>0</v>
      </c>
      <c r="AD228" s="145" t="n">
        <v>0</v>
      </c>
      <c r="AE228" s="145" t="n">
        <v>0</v>
      </c>
      <c r="AF228" s="145" t="n">
        <v>0</v>
      </c>
      <c r="AG228" s="145" t="n">
        <v>0</v>
      </c>
      <c r="AH228" s="145" t="n">
        <v>0</v>
      </c>
      <c r="AI228" s="145" t="n">
        <v>0</v>
      </c>
      <c r="AJ228" s="145" t="n">
        <v>0</v>
      </c>
      <c r="AK228" s="145" t="n">
        <v>0</v>
      </c>
      <c r="AL228" s="145" t="n">
        <v>0</v>
      </c>
      <c r="AM228" s="145" t="n">
        <v>0</v>
      </c>
      <c r="AN228" s="145" t="n">
        <v>0</v>
      </c>
      <c r="AO228" s="145" t="n">
        <v>0</v>
      </c>
      <c r="AP228" s="145" t="n">
        <v>0</v>
      </c>
      <c r="AQ228" s="145" t="n">
        <v>0</v>
      </c>
      <c r="AR228" s="145" t="n">
        <v>0</v>
      </c>
      <c r="AS228" s="145" t="n">
        <v>0</v>
      </c>
      <c r="AT228" s="145" t="n">
        <v>0</v>
      </c>
      <c r="AU228" s="145" t="n"/>
      <c r="AV228" s="145" t="n"/>
      <c r="AW228" s="145" t="n"/>
      <c r="AX228" s="145" t="n"/>
      <c r="AY228" s="145" t="n"/>
      <c r="AZ228" s="145" t="n"/>
      <c r="BA228" s="145" t="n"/>
      <c r="BB228" s="145" t="n"/>
      <c r="BC228" s="145" t="n"/>
      <c r="BD228" s="145" t="n"/>
      <c r="BE228" s="145" t="n"/>
      <c r="BF228" s="145" t="n"/>
      <c r="BG228" s="145" t="n"/>
      <c r="BH228" s="145" t="n"/>
      <c r="BJ228" s="145" t="n"/>
      <c r="BN228" s="145" t="n"/>
      <c r="BO228" s="145" t="n"/>
      <c r="BP228" s="145" t="n"/>
    </row>
    <row r="230">
      <c r="A230" s="455" t="inlineStr">
        <is>
          <t>Check</t>
        </is>
      </c>
      <c r="B230" s="400">
        <f>B171-B93</f>
        <v/>
      </c>
      <c r="C230" s="400">
        <f>C171-C93</f>
        <v/>
      </c>
      <c r="D230" s="400">
        <f>D171-D93</f>
        <v/>
      </c>
      <c r="E230" s="400">
        <f>E171-E93</f>
        <v/>
      </c>
      <c r="F230" s="400">
        <f>F171-F93</f>
        <v/>
      </c>
      <c r="G230" s="400">
        <f>G171-G93</f>
        <v/>
      </c>
      <c r="H230" s="400">
        <f>H171-H93</f>
        <v/>
      </c>
      <c r="I230" s="400">
        <f>I171-I93</f>
        <v/>
      </c>
      <c r="J230" s="400">
        <f>J171-J93</f>
        <v/>
      </c>
      <c r="K230" s="400">
        <f>K171-K93</f>
        <v/>
      </c>
      <c r="L230" s="400">
        <f>L171-L93</f>
        <v/>
      </c>
      <c r="M230" s="400">
        <f>M171-M93</f>
        <v/>
      </c>
      <c r="N230" s="400">
        <f>N171-N93</f>
        <v/>
      </c>
      <c r="O230" s="400">
        <f>O171-O93</f>
        <v/>
      </c>
      <c r="P230" s="400">
        <f>P171-P93</f>
        <v/>
      </c>
      <c r="Q230" s="400">
        <f>Q171-Q93</f>
        <v/>
      </c>
      <c r="R230" s="400">
        <f>R171-R93</f>
        <v/>
      </c>
      <c r="S230" s="400">
        <f>S171-S93</f>
        <v/>
      </c>
      <c r="T230" s="400">
        <f>T171-T93</f>
        <v/>
      </c>
      <c r="U230" s="400">
        <f>U171-U93</f>
        <v/>
      </c>
      <c r="V230" s="400">
        <f>V171-V93</f>
        <v/>
      </c>
      <c r="W230" s="400">
        <f>W171-W93</f>
        <v/>
      </c>
      <c r="X230" s="400">
        <f>X171-X93</f>
        <v/>
      </c>
      <c r="Y230" s="400">
        <f>Y171-Y93</f>
        <v/>
      </c>
      <c r="Z230" s="400">
        <f>Z171-Z93</f>
        <v/>
      </c>
      <c r="AA230" s="400">
        <f>AA171-AA93</f>
        <v/>
      </c>
      <c r="AB230" s="400">
        <f>AB171-AB93</f>
        <v/>
      </c>
      <c r="AC230" s="400">
        <f>AC171-AC93</f>
        <v/>
      </c>
      <c r="AD230" s="400">
        <f>AD171-AD93</f>
        <v/>
      </c>
      <c r="AE230" s="400">
        <f>AE171-AE93</f>
        <v/>
      </c>
      <c r="AF230" s="400">
        <f>AF171-AF93</f>
        <v/>
      </c>
      <c r="AG230" s="400">
        <f>AG171-AG93</f>
        <v/>
      </c>
      <c r="AH230" s="400">
        <f>AH171-AH93</f>
        <v/>
      </c>
      <c r="AI230" s="400">
        <f>AI171-AI93</f>
        <v/>
      </c>
      <c r="AJ230" s="400">
        <f>AJ171-AJ93</f>
        <v/>
      </c>
      <c r="AK230" s="400">
        <f>AK171-AK93</f>
        <v/>
      </c>
      <c r="AL230" s="400">
        <f>AL171-AL93</f>
        <v/>
      </c>
      <c r="AM230" s="400">
        <f>AM171-AM93</f>
        <v/>
      </c>
      <c r="AN230" s="400">
        <f>AN171-AN93</f>
        <v/>
      </c>
      <c r="AO230" s="400">
        <f>AO171-AO93</f>
        <v/>
      </c>
      <c r="AP230" s="400">
        <f>AP171-AP93</f>
        <v/>
      </c>
      <c r="AQ230" s="400">
        <f>AQ171-AQ93</f>
        <v/>
      </c>
      <c r="AR230" s="400">
        <f>AR171-AR93</f>
        <v/>
      </c>
      <c r="AS230" s="400">
        <f>AS171-AS93</f>
        <v/>
      </c>
      <c r="AT230" s="400">
        <f>AT171-AT93</f>
        <v/>
      </c>
      <c r="AU230" s="400">
        <f>AU171-AU93</f>
        <v/>
      </c>
      <c r="AV230" s="400">
        <f>AV171-AV93</f>
        <v/>
      </c>
      <c r="AW230" s="400">
        <f>AW171-AW93</f>
        <v/>
      </c>
      <c r="AX230" s="400">
        <f>AX171-AX93</f>
        <v/>
      </c>
      <c r="AY230" s="400">
        <f>AY171-AY93</f>
        <v/>
      </c>
      <c r="AZ230" s="400">
        <f>AZ171-AZ93</f>
        <v/>
      </c>
      <c r="BA230" s="400">
        <f>BA171-BA93</f>
        <v/>
      </c>
      <c r="BB230" s="400">
        <f>BB171-BB93</f>
        <v/>
      </c>
      <c r="BC230" s="400">
        <f>BC171-BC93</f>
        <v/>
      </c>
      <c r="BD230" s="400">
        <f>BD171-BD93</f>
        <v/>
      </c>
      <c r="BE230" s="400">
        <f>BE171-BE93</f>
        <v/>
      </c>
      <c r="BF230" s="400">
        <f>BF171-BF93</f>
        <v/>
      </c>
      <c r="BG230" s="400">
        <f>BG171-BG93</f>
        <v/>
      </c>
      <c r="BH230" s="400">
        <f>BH171-BH93</f>
        <v/>
      </c>
      <c r="BI230" s="400">
        <f>BI171-BI93</f>
        <v/>
      </c>
      <c r="BJ230" s="400">
        <f>BJ171-BJ93</f>
        <v/>
      </c>
      <c r="BK230" s="400">
        <f>BK171-BK93</f>
        <v/>
      </c>
      <c r="BL230" s="400">
        <f>BL171-BL93</f>
        <v/>
      </c>
      <c r="BM230" s="400">
        <f>BM171-BM93</f>
        <v/>
      </c>
      <c r="BN230" s="400">
        <f>BN171-BN93</f>
        <v/>
      </c>
      <c r="BO230" s="400">
        <f>BO171-BO93</f>
        <v/>
      </c>
      <c r="BP230" s="400">
        <f>BP171-BP93</f>
        <v/>
      </c>
      <c r="BQ230" s="400">
        <f>BQ171-BQ93</f>
        <v/>
      </c>
      <c r="BR230" s="400">
        <f>BR171-BR93</f>
        <v/>
      </c>
      <c r="BS230" t="n">
        <v>0</v>
      </c>
      <c r="BT230" t="inlineStr">
        <is>
          <t>IPGP-Financial-Data-Workbook-2024-Q2.xlsx|Balance Sheet|61|93</t>
        </is>
      </c>
    </row>
    <row r="231">
      <c r="A231" s="455" t="inlineStr">
        <is>
          <t>Check</t>
        </is>
      </c>
      <c r="B231" s="400">
        <f>SUM(B171:B186)-B187</f>
        <v/>
      </c>
      <c r="C231" s="400">
        <f>SUM(C171:C186)-C187</f>
        <v/>
      </c>
      <c r="D231" s="400">
        <f>SUM(D171:D186)-D187</f>
        <v/>
      </c>
      <c r="E231" s="400">
        <f>SUM(E171:E186)-E187</f>
        <v/>
      </c>
      <c r="F231" s="400">
        <f>SUM(F171:F186)-F187</f>
        <v/>
      </c>
      <c r="G231" s="400">
        <f>SUM(G171:G186)-G187</f>
        <v/>
      </c>
      <c r="H231" s="400">
        <f>SUM(H171:H186)-H187</f>
        <v/>
      </c>
      <c r="I231" s="400">
        <f>SUM(I171:I186)-I187</f>
        <v/>
      </c>
      <c r="J231" s="400">
        <f>SUM(J171:J186)-J187</f>
        <v/>
      </c>
      <c r="K231" s="400">
        <f>SUM(K171:K186)-K187</f>
        <v/>
      </c>
      <c r="L231" s="400">
        <f>SUM(L171:L186)-L187</f>
        <v/>
      </c>
      <c r="M231" s="400">
        <f>SUM(M171:M186)-M187</f>
        <v/>
      </c>
      <c r="N231" s="400">
        <f>SUM(N171:N186)-N187</f>
        <v/>
      </c>
      <c r="O231" s="400">
        <f>SUM(O171:O186)-O187</f>
        <v/>
      </c>
      <c r="P231" s="400">
        <f>SUM(P171:P186)-P187</f>
        <v/>
      </c>
      <c r="Q231" s="400">
        <f>SUM(Q171:Q186)-Q187</f>
        <v/>
      </c>
      <c r="R231" s="400">
        <f>SUM(R171:R186)-R187</f>
        <v/>
      </c>
      <c r="S231" s="400">
        <f>SUM(S171:S186)-S187</f>
        <v/>
      </c>
      <c r="T231" s="400">
        <f>SUM(T171:T186)-T187</f>
        <v/>
      </c>
      <c r="U231" s="400">
        <f>SUM(U171:U186)-U187</f>
        <v/>
      </c>
      <c r="V231" s="400">
        <f>SUM(V171:V186)-V187</f>
        <v/>
      </c>
      <c r="W231" s="400">
        <f>SUM(W171:W186)-W187</f>
        <v/>
      </c>
      <c r="X231" s="400">
        <f>SUM(X171:X186)-X187</f>
        <v/>
      </c>
      <c r="Y231" s="400">
        <f>SUM(Y171:Y186)-Y187</f>
        <v/>
      </c>
      <c r="Z231" s="400">
        <f>SUM(Z171:Z186)-Z187</f>
        <v/>
      </c>
      <c r="AA231" s="400">
        <f>SUM(AA171:AA186)-AA187</f>
        <v/>
      </c>
      <c r="AB231" s="400">
        <f>SUM(AB171:AB186)-AB187</f>
        <v/>
      </c>
      <c r="AC231" s="400">
        <f>SUM(AC171:AC186)-AC187</f>
        <v/>
      </c>
      <c r="AD231" s="400">
        <f>SUM(AD171:AD186)-AD187</f>
        <v/>
      </c>
      <c r="AE231" s="400">
        <f>SUM(AE171:AE186)-AE187</f>
        <v/>
      </c>
      <c r="AF231" s="400">
        <f>SUM(AF171:AF186)-AF187</f>
        <v/>
      </c>
      <c r="AG231" s="400">
        <f>SUM(AG171:AG186)-AG187</f>
        <v/>
      </c>
      <c r="AH231" s="400">
        <f>SUM(AH171:AH186)-AH187</f>
        <v/>
      </c>
      <c r="AI231" s="400">
        <f>SUM(AI171:AI186)-AI187</f>
        <v/>
      </c>
      <c r="AJ231" s="400">
        <f>SUM(AJ171:AJ186)-AJ187</f>
        <v/>
      </c>
      <c r="AK231" s="400">
        <f>SUM(AK171:AK186)-AK187</f>
        <v/>
      </c>
      <c r="AL231" s="400">
        <f>SUM(AL171:AL186)-AL187</f>
        <v/>
      </c>
      <c r="AM231" s="400">
        <f>SUM(AM171:AM186)-AM187</f>
        <v/>
      </c>
      <c r="AN231" s="400">
        <f>SUM(AN171:AN186)-AN187</f>
        <v/>
      </c>
      <c r="AO231" s="400">
        <f>SUM(AO171:AO186)-AO187</f>
        <v/>
      </c>
      <c r="AP231" s="400">
        <f>SUM(AP171:AP186)-AP187</f>
        <v/>
      </c>
      <c r="AQ231" s="400">
        <f>SUM(AQ171:AQ186)-AQ187</f>
        <v/>
      </c>
      <c r="AR231" s="400">
        <f>SUM(AR171:AR186)-AR187</f>
        <v/>
      </c>
      <c r="AS231" s="400">
        <f>SUM(AS171:AS186)-AS187</f>
        <v/>
      </c>
      <c r="AT231" s="400">
        <f>SUM(AT171:AT186)-AT187</f>
        <v/>
      </c>
      <c r="AU231" s="400">
        <f>SUM(AU171:AU186)-AU187</f>
        <v/>
      </c>
      <c r="AV231" s="400">
        <f>SUM(AV171:AV186)-AV187</f>
        <v/>
      </c>
      <c r="AW231" s="400">
        <f>SUM(AW171:AW186)-AW187</f>
        <v/>
      </c>
      <c r="AX231" s="400">
        <f>SUM(AX171:AX186)-AX187</f>
        <v/>
      </c>
      <c r="AY231" s="400">
        <f>SUM(AY171:AY186)-AY187</f>
        <v/>
      </c>
      <c r="AZ231" s="400">
        <f>SUM(AZ171:AZ186)-AZ187</f>
        <v/>
      </c>
      <c r="BA231" s="400">
        <f>SUM(BA171:BA186)-BA187</f>
        <v/>
      </c>
      <c r="BB231" s="400">
        <f>SUM(BB171:BB186)-BB187</f>
        <v/>
      </c>
      <c r="BC231" s="400">
        <f>SUM(BC171:BC186)-BC187</f>
        <v/>
      </c>
      <c r="BD231" s="400">
        <f>SUM(BD171:BD186)-BD187</f>
        <v/>
      </c>
      <c r="BE231" s="400">
        <f>SUM(BE171:BE186)-BE187</f>
        <v/>
      </c>
      <c r="BF231" s="400">
        <f>SUM(BF171:BF186)-BF187</f>
        <v/>
      </c>
      <c r="BG231" s="400">
        <f>SUM(BG171:BG186)-BG187</f>
        <v/>
      </c>
      <c r="BH231" s="400">
        <f>SUM(BH171:BH186)-BH187</f>
        <v/>
      </c>
      <c r="BI231" s="400">
        <f>SUM(BI171:BI186)-BI187</f>
        <v/>
      </c>
      <c r="BJ231" s="400">
        <f>SUM(BJ171:BJ186)-BJ187</f>
        <v/>
      </c>
      <c r="BK231" s="400">
        <f>SUM(BK171:BK186)-BK187</f>
        <v/>
      </c>
      <c r="BL231" s="400">
        <f>SUM(BL171:BL186)-BL187</f>
        <v/>
      </c>
      <c r="BM231" s="400">
        <f>SUM(BM171:BM186)-BM187</f>
        <v/>
      </c>
      <c r="BN231" s="400">
        <f>SUM(BN171:BN186)-BN187</f>
        <v/>
      </c>
      <c r="BO231" s="400">
        <f>SUM(BO171:BO186)-BO187</f>
        <v/>
      </c>
      <c r="BP231" s="400">
        <f>SUM(BP171:BP186)-BP187</f>
        <v/>
      </c>
      <c r="BQ231" s="400">
        <f>SUM(BQ171:BQ186)-BQ187</f>
        <v/>
      </c>
      <c r="BR231" s="400">
        <f>SUM(BR171:BR186)-BR187</f>
        <v/>
      </c>
      <c r="BS231" t="n">
        <v>0</v>
      </c>
      <c r="BT231" t="inlineStr">
        <is>
          <t>IPGP-Financial-Data-Workbook-2024-Q2.xlsx|Balance Sheet|62|93</t>
        </is>
      </c>
    </row>
    <row r="232">
      <c r="A232" s="455" t="inlineStr">
        <is>
          <t>Check</t>
        </is>
      </c>
      <c r="B232" s="400">
        <f>SUM(B190:B196)-B197</f>
        <v/>
      </c>
      <c r="C232" s="400">
        <f>SUM(C190:C196)-C197</f>
        <v/>
      </c>
      <c r="D232" s="400">
        <f>SUM(D190:D196)-D197</f>
        <v/>
      </c>
      <c r="E232" s="400">
        <f>SUM(E190:E196)-E197</f>
        <v/>
      </c>
      <c r="F232" s="400">
        <f>SUM(F190:F196)-F197</f>
        <v/>
      </c>
      <c r="G232" s="400">
        <f>SUM(G190:G196)-G197</f>
        <v/>
      </c>
      <c r="H232" s="400">
        <f>SUM(H190:H196)-H197</f>
        <v/>
      </c>
      <c r="I232" s="400">
        <f>SUM(I190:I196)-I197</f>
        <v/>
      </c>
      <c r="J232" s="400">
        <f>SUM(J190:J196)-J197</f>
        <v/>
      </c>
      <c r="K232" s="400">
        <f>SUM(K190:K196)-K197</f>
        <v/>
      </c>
      <c r="L232" s="400">
        <f>SUM(L190:L196)-L197</f>
        <v/>
      </c>
      <c r="M232" s="400">
        <f>SUM(M190:M196)-M197</f>
        <v/>
      </c>
      <c r="N232" s="400">
        <f>SUM(N190:N196)-N197</f>
        <v/>
      </c>
      <c r="O232" s="400">
        <f>SUM(O190:O196)-O197</f>
        <v/>
      </c>
      <c r="P232" s="400">
        <f>SUM(P190:P196)-P197</f>
        <v/>
      </c>
      <c r="Q232" s="400">
        <f>SUM(Q190:Q196)-Q197</f>
        <v/>
      </c>
      <c r="R232" s="400">
        <f>SUM(R190:R196)-R197</f>
        <v/>
      </c>
      <c r="S232" s="400">
        <f>SUM(S190:S196)-S197</f>
        <v/>
      </c>
      <c r="T232" s="400">
        <f>SUM(T190:T196)-T197</f>
        <v/>
      </c>
      <c r="U232" s="400">
        <f>SUM(U190:U196)-U197</f>
        <v/>
      </c>
      <c r="V232" s="400">
        <f>SUM(V190:V196)-V197</f>
        <v/>
      </c>
      <c r="W232" s="400">
        <f>SUM(W190:W196)-W197</f>
        <v/>
      </c>
      <c r="X232" s="400">
        <f>SUM(X190:X196)-X197</f>
        <v/>
      </c>
      <c r="Y232" s="400">
        <f>SUM(Y190:Y196)-Y197</f>
        <v/>
      </c>
      <c r="Z232" s="400">
        <f>SUM(Z190:Z196)-Z197</f>
        <v/>
      </c>
      <c r="AA232" s="400">
        <f>SUM(AA190:AA196)-AA197</f>
        <v/>
      </c>
      <c r="AB232" s="400">
        <f>SUM(AB190:AB196)-AB197</f>
        <v/>
      </c>
      <c r="AC232" s="400">
        <f>SUM(AC190:AC196)-AC197</f>
        <v/>
      </c>
      <c r="AD232" s="400">
        <f>SUM(AD190:AD196)-AD197</f>
        <v/>
      </c>
      <c r="AE232" s="400">
        <f>SUM(AE190:AE196)-AE197</f>
        <v/>
      </c>
      <c r="AF232" s="400">
        <f>SUM(AF190:AF196)-AF197</f>
        <v/>
      </c>
      <c r="AG232" s="400">
        <f>SUM(AG190:AG196)-AG197</f>
        <v/>
      </c>
      <c r="AH232" s="400">
        <f>SUM(AH190:AH196)-AH197</f>
        <v/>
      </c>
      <c r="AI232" s="400">
        <f>SUM(AI190:AI196)-AI197</f>
        <v/>
      </c>
      <c r="AJ232" s="400">
        <f>SUM(AJ190:AJ196)-AJ197</f>
        <v/>
      </c>
      <c r="AK232" s="400">
        <f>SUM(AK190:AK196)-AK197</f>
        <v/>
      </c>
      <c r="AL232" s="400">
        <f>SUM(AL190:AL196)-AL197</f>
        <v/>
      </c>
      <c r="AM232" s="400">
        <f>SUM(AM190:AM196)-AM197</f>
        <v/>
      </c>
      <c r="AN232" s="400">
        <f>SUM(AN190:AN196)-AN197</f>
        <v/>
      </c>
      <c r="AO232" s="400">
        <f>SUM(AO190:AO196)-AO197</f>
        <v/>
      </c>
      <c r="AP232" s="400">
        <f>SUM(AP190:AP196)-AP197</f>
        <v/>
      </c>
      <c r="AQ232" s="400">
        <f>SUM(AQ190:AQ196)-AQ197</f>
        <v/>
      </c>
      <c r="AR232" s="400">
        <f>SUM(AR190:AR196)-AR197</f>
        <v/>
      </c>
      <c r="AS232" s="400">
        <f>SUM(AS190:AS196)-AS197</f>
        <v/>
      </c>
      <c r="AT232" s="400">
        <f>SUM(AT190:AT196)-AT197</f>
        <v/>
      </c>
      <c r="AU232" s="400">
        <f>SUM(AU190:AU196)-AU197</f>
        <v/>
      </c>
      <c r="AV232" s="400">
        <f>SUM(AV190:AV196)-AV197</f>
        <v/>
      </c>
      <c r="AW232" s="400">
        <f>SUM(AW190:AW196)-AW197</f>
        <v/>
      </c>
      <c r="AX232" s="400">
        <f>SUM(AX190:AX196)-AX197</f>
        <v/>
      </c>
      <c r="AY232" s="400">
        <f>SUM(AY190:AY196)-AY197</f>
        <v/>
      </c>
      <c r="AZ232" s="400">
        <f>SUM(AZ190:AZ196)-AZ197</f>
        <v/>
      </c>
      <c r="BA232" s="400">
        <f>SUM(BA190:BA196)-BA197</f>
        <v/>
      </c>
      <c r="BB232" s="400">
        <f>SUM(BB190:BB196)-BB197</f>
        <v/>
      </c>
      <c r="BC232" s="400">
        <f>SUM(BC190:BC196)-BC197</f>
        <v/>
      </c>
      <c r="BD232" s="400">
        <f>SUM(BD190:BD196)-BD197</f>
        <v/>
      </c>
      <c r="BE232" s="400">
        <f>SUM(BE190:BE196)-BE197</f>
        <v/>
      </c>
      <c r="BF232" s="400">
        <f>SUM(BF190:BF196)-BF197</f>
        <v/>
      </c>
      <c r="BG232" s="400">
        <f>SUM(BG190:BG196)-BG197</f>
        <v/>
      </c>
      <c r="BH232" s="400">
        <f>SUM(BH190:BH196)-BH197</f>
        <v/>
      </c>
      <c r="BI232" s="400">
        <f>SUM(BI190:BI196)-BI197</f>
        <v/>
      </c>
      <c r="BJ232" s="400">
        <f>SUM(BJ190:BJ196)-BJ197</f>
        <v/>
      </c>
      <c r="BK232" s="400">
        <f>SUM(BK190:BK196)-BK197</f>
        <v/>
      </c>
      <c r="BL232" s="400">
        <f>SUM(BL190:BL196)-BL197</f>
        <v/>
      </c>
      <c r="BM232" s="400">
        <f>SUM(BM190:BM196)-BM197</f>
        <v/>
      </c>
      <c r="BN232" s="400">
        <f>SUM(BN190:BN196)-BN197</f>
        <v/>
      </c>
      <c r="BO232" s="400">
        <f>SUM(BO190:BO196)-BO197</f>
        <v/>
      </c>
      <c r="BP232" s="400">
        <f>SUM(BP190:BP196)-BP197</f>
        <v/>
      </c>
      <c r="BQ232" s="400">
        <f>SUM(BQ190:BQ196)-BQ197</f>
        <v/>
      </c>
      <c r="BR232" s="400">
        <f>SUM(BR190:BR196)-BR197</f>
        <v/>
      </c>
      <c r="BS232" t="n">
        <v>0</v>
      </c>
      <c r="BT232" t="inlineStr">
        <is>
          <t>IPGP-Financial-Data-Workbook-2024-Q2.xlsx|Cash Flows|9|93</t>
        </is>
      </c>
    </row>
    <row r="233">
      <c r="A233" s="455" t="inlineStr">
        <is>
          <t>Check</t>
        </is>
      </c>
      <c r="B233" s="400">
        <f>SUM(B200:B211)-B212</f>
        <v/>
      </c>
      <c r="C233" s="400">
        <f>SUM(C200:C211)-C212</f>
        <v/>
      </c>
      <c r="D233" s="400">
        <f>SUM(D200:D211)-D212</f>
        <v/>
      </c>
      <c r="E233" s="400">
        <f>SUM(E200:E211)-E212</f>
        <v/>
      </c>
      <c r="F233" s="400">
        <f>SUM(F200:F211)-F212</f>
        <v/>
      </c>
      <c r="G233" s="400">
        <f>SUM(G200:G211)-G212</f>
        <v/>
      </c>
      <c r="H233" s="400">
        <f>SUM(H200:H211)-H212</f>
        <v/>
      </c>
      <c r="I233" s="400">
        <f>SUM(I200:I211)-I212</f>
        <v/>
      </c>
      <c r="J233" s="400">
        <f>SUM(J200:J211)-J212</f>
        <v/>
      </c>
      <c r="K233" s="400">
        <f>SUM(K200:K211)-K212</f>
        <v/>
      </c>
      <c r="L233" s="400">
        <f>SUM(L200:L211)-L212</f>
        <v/>
      </c>
      <c r="M233" s="400">
        <f>SUM(M200:M211)-M212</f>
        <v/>
      </c>
      <c r="N233" s="400">
        <f>SUM(N200:N211)-N212</f>
        <v/>
      </c>
      <c r="O233" s="400">
        <f>SUM(O200:O211)-O212</f>
        <v/>
      </c>
      <c r="P233" s="400">
        <f>SUM(P200:P211)-P212</f>
        <v/>
      </c>
      <c r="Q233" s="400">
        <f>SUM(Q200:Q211)-Q212</f>
        <v/>
      </c>
      <c r="R233" s="400">
        <f>SUM(R200:R211)-R212</f>
        <v/>
      </c>
      <c r="S233" s="400">
        <f>SUM(S200:S211)-S212</f>
        <v/>
      </c>
      <c r="T233" s="400">
        <f>SUM(T200:T211)-T212</f>
        <v/>
      </c>
      <c r="U233" s="400">
        <f>SUM(U200:U211)-U212</f>
        <v/>
      </c>
      <c r="V233" s="400">
        <f>SUM(V200:V211)-V212</f>
        <v/>
      </c>
      <c r="W233" s="400">
        <f>SUM(W200:W211)-W212</f>
        <v/>
      </c>
      <c r="X233" s="400">
        <f>SUM(X200:X211)-X212</f>
        <v/>
      </c>
      <c r="Y233" s="400">
        <f>SUM(Y200:Y211)-Y212</f>
        <v/>
      </c>
      <c r="Z233" s="400">
        <f>SUM(Z200:Z211)-Z212</f>
        <v/>
      </c>
      <c r="AA233" s="400">
        <f>SUM(AA200:AA211)-AA212</f>
        <v/>
      </c>
      <c r="AB233" s="400">
        <f>SUM(AB200:AB211)-AB212</f>
        <v/>
      </c>
      <c r="AC233" s="400">
        <f>SUM(AC200:AC211)-AC212</f>
        <v/>
      </c>
      <c r="AD233" s="400">
        <f>SUM(AD200:AD211)-AD212</f>
        <v/>
      </c>
      <c r="AE233" s="400">
        <f>SUM(AE200:AE211)-AE212</f>
        <v/>
      </c>
      <c r="AF233" s="400">
        <f>SUM(AF200:AF211)-AF212</f>
        <v/>
      </c>
      <c r="AG233" s="400">
        <f>SUM(AG200:AG211)-AG212</f>
        <v/>
      </c>
      <c r="AH233" s="400">
        <f>SUM(AH200:AH211)-AH212</f>
        <v/>
      </c>
      <c r="AI233" s="400">
        <f>SUM(AI200:AI211)-AI212</f>
        <v/>
      </c>
      <c r="AJ233" s="400">
        <f>SUM(AJ200:AJ211)-AJ212</f>
        <v/>
      </c>
      <c r="AK233" s="400">
        <f>SUM(AK200:AK211)-AK212</f>
        <v/>
      </c>
      <c r="AL233" s="400">
        <f>SUM(AL200:AL211)-AL212</f>
        <v/>
      </c>
      <c r="AM233" s="400">
        <f>SUM(AM200:AM211)-AM212</f>
        <v/>
      </c>
      <c r="AN233" s="400">
        <f>SUM(AN200:AN211)-AN212</f>
        <v/>
      </c>
      <c r="AO233" s="400">
        <f>SUM(AO200:AO211)-AO212</f>
        <v/>
      </c>
      <c r="AP233" s="400">
        <f>SUM(AP200:AP211)-AP212</f>
        <v/>
      </c>
      <c r="AQ233" s="400">
        <f>SUM(AQ200:AQ211)-AQ212</f>
        <v/>
      </c>
      <c r="AR233" s="400">
        <f>SUM(AR200:AR211)-AR212</f>
        <v/>
      </c>
      <c r="AS233" s="400">
        <f>SUM(AS200:AS211)-AS212</f>
        <v/>
      </c>
      <c r="AT233" s="400">
        <f>SUM(AT200:AT211)-AT212</f>
        <v/>
      </c>
      <c r="AU233" s="400">
        <f>SUM(AU200:AU211)-AU212</f>
        <v/>
      </c>
      <c r="AV233" s="400">
        <f>SUM(AV200:AV211)-AV212</f>
        <v/>
      </c>
      <c r="AW233" s="400">
        <f>SUM(AW200:AW211)-AW212</f>
        <v/>
      </c>
      <c r="AX233" s="400">
        <f>SUM(AX200:AX211)-AX212</f>
        <v/>
      </c>
      <c r="AY233" s="400">
        <f>SUM(AY200:AY211)-AY212</f>
        <v/>
      </c>
      <c r="AZ233" s="400">
        <f>SUM(AZ200:AZ211)-AZ212</f>
        <v/>
      </c>
      <c r="BA233" s="400">
        <f>SUM(BA200:BA211)-BA212</f>
        <v/>
      </c>
      <c r="BB233" s="400">
        <f>SUM(BB200:BB211)-BB212</f>
        <v/>
      </c>
      <c r="BC233" s="400">
        <f>SUM(BC200:BC211)-BC212</f>
        <v/>
      </c>
      <c r="BD233" s="400">
        <f>SUM(BD200:BD211)-BD212</f>
        <v/>
      </c>
      <c r="BE233" s="400">
        <f>SUM(BE200:BE211)-BE212</f>
        <v/>
      </c>
      <c r="BF233" s="400">
        <f>SUM(BF200:BF211)-BF212</f>
        <v/>
      </c>
      <c r="BG233" s="400">
        <f>SUM(BG200:BG211)-BG212</f>
        <v/>
      </c>
      <c r="BH233" s="400">
        <f>SUM(BH200:BH211)-BH212</f>
        <v/>
      </c>
      <c r="BI233" s="400">
        <f>SUM(BI200:BI211)-BI212</f>
        <v/>
      </c>
      <c r="BJ233" s="400">
        <f>SUM(BJ200:BJ211)-BJ212</f>
        <v/>
      </c>
      <c r="BK233" s="400">
        <f>SUM(BK200:BK211)-BK212</f>
        <v/>
      </c>
      <c r="BL233" s="400">
        <f>SUM(BL200:BL211)-BL212</f>
        <v/>
      </c>
      <c r="BM233" s="400">
        <f>SUM(BM200:BM211)-BM212</f>
        <v/>
      </c>
      <c r="BN233" s="400">
        <f>SUM(BN200:BN211)-BN212</f>
        <v/>
      </c>
      <c r="BO233" s="400">
        <f>SUM(BO200:BO211)-BO212</f>
        <v/>
      </c>
      <c r="BP233" s="400">
        <f>SUM(BP200:BP211)-BP212</f>
        <v/>
      </c>
      <c r="BQ233" s="400">
        <f>SUM(BQ200:BQ211)-BQ212</f>
        <v/>
      </c>
      <c r="BR233" s="400">
        <f>SUM(BR200:BR211)-BR212</f>
        <v/>
      </c>
      <c r="BS233" t="n">
        <v>0</v>
      </c>
      <c r="BT233" t="inlineStr">
        <is>
          <t>IPGP-Financial-Data-Workbook-2024-Q2.xlsx|Cash Flows|10|93</t>
        </is>
      </c>
    </row>
    <row r="234">
      <c r="A234" s="455" t="inlineStr">
        <is>
          <t>Check</t>
        </is>
      </c>
      <c r="B234" s="400">
        <f>SUM(B187,B197,B212,B214)-B215</f>
        <v/>
      </c>
      <c r="C234" s="400">
        <f>SUM(C187,C197,C212,C214)-C215</f>
        <v/>
      </c>
      <c r="D234" s="400">
        <f>SUM(D187,D197,D212,D214)-D215</f>
        <v/>
      </c>
      <c r="E234" s="400">
        <f>SUM(E187,E197,E212,E214)-E215</f>
        <v/>
      </c>
      <c r="F234" s="400">
        <f>SUM(F187,F197,F212,F214)-F215</f>
        <v/>
      </c>
      <c r="G234" s="400">
        <f>SUM(G187,G197,G212,G214)-G215</f>
        <v/>
      </c>
      <c r="H234" s="400">
        <f>SUM(H187,H197,H212,H214)-H215</f>
        <v/>
      </c>
      <c r="I234" s="400">
        <f>SUM(I187,I197,I212,I214)-I215</f>
        <v/>
      </c>
      <c r="J234" s="400">
        <f>SUM(J187,J197,J212,J214)-J215</f>
        <v/>
      </c>
      <c r="K234" s="400">
        <f>SUM(K187,K197,K212,K214)-K215</f>
        <v/>
      </c>
      <c r="L234" s="400">
        <f>SUM(L187,L197,L212,L214)-L215</f>
        <v/>
      </c>
      <c r="M234" s="400">
        <f>SUM(M187,M197,M212,M214)-M215</f>
        <v/>
      </c>
      <c r="N234" s="400">
        <f>SUM(N187,N197,N212,N214)-N215</f>
        <v/>
      </c>
      <c r="O234" s="400">
        <f>SUM(O187,O197,O212,O214)-O215</f>
        <v/>
      </c>
      <c r="P234" s="400">
        <f>SUM(P187,P197,P212,P214)-P215</f>
        <v/>
      </c>
      <c r="Q234" s="400">
        <f>SUM(Q187,Q197,Q212,Q214)-Q215</f>
        <v/>
      </c>
      <c r="R234" s="400">
        <f>SUM(R187,R197,R212,R214)-R215</f>
        <v/>
      </c>
      <c r="S234" s="400">
        <f>SUM(S187,S197,S212,S214)-S215</f>
        <v/>
      </c>
      <c r="T234" s="400">
        <f>SUM(T187,T197,T212,T214)-T215</f>
        <v/>
      </c>
      <c r="U234" s="400">
        <f>SUM(U187,U197,U212,U214)-U215</f>
        <v/>
      </c>
      <c r="V234" s="400">
        <f>SUM(V187,V197,V212,V214)-V215</f>
        <v/>
      </c>
      <c r="W234" s="400">
        <f>SUM(W187,W197,W212,W214)-W215</f>
        <v/>
      </c>
      <c r="X234" s="400">
        <f>SUM(X187,X197,X212,X214)-X215</f>
        <v/>
      </c>
      <c r="Y234" s="400">
        <f>SUM(Y187,Y197,Y212,Y214)-Y215</f>
        <v/>
      </c>
      <c r="Z234" s="400">
        <f>SUM(Z187,Z197,Z212,Z214)-Z215</f>
        <v/>
      </c>
      <c r="AA234" s="400">
        <f>SUM(AA187,AA197,AA212,AA214)-AA215</f>
        <v/>
      </c>
      <c r="AB234" s="400">
        <f>SUM(AB187,AB197,AB212,AB214)-AB215</f>
        <v/>
      </c>
      <c r="AC234" s="400">
        <f>SUM(AC187,AC197,AC212,AC214)-AC215</f>
        <v/>
      </c>
      <c r="AD234" s="400">
        <f>SUM(AD187,AD197,AD212,AD214)-AD215</f>
        <v/>
      </c>
      <c r="AE234" s="400">
        <f>SUM(AE187,AE197,AE212,AE214)-AE215</f>
        <v/>
      </c>
      <c r="AF234" s="400">
        <f>SUM(AF187,AF197,AF212,AF214)-AF215</f>
        <v/>
      </c>
      <c r="AG234" s="400">
        <f>SUM(AG187,AG197,AG212,AG214)-AG215</f>
        <v/>
      </c>
      <c r="AH234" s="400">
        <f>SUM(AH187,AH197,AH212,AH214)-AH215</f>
        <v/>
      </c>
      <c r="AI234" s="400">
        <f>SUM(AI187,AI197,AI212,AI214)-AI215</f>
        <v/>
      </c>
      <c r="AJ234" s="400">
        <f>SUM(AJ187,AJ197,AJ212,AJ214)-AJ215</f>
        <v/>
      </c>
      <c r="AK234" s="400">
        <f>SUM(AK187,AK197,AK212,AK214)-AK215</f>
        <v/>
      </c>
      <c r="AL234" s="400">
        <f>SUM(AL187,AL197,AL212,AL214)-AL215</f>
        <v/>
      </c>
      <c r="AM234" s="400">
        <f>SUM(AM187,AM197,AM212,AM214)-AM215</f>
        <v/>
      </c>
      <c r="AN234" s="400">
        <f>SUM(AN187,AN197,AN212,AN214)-AN215</f>
        <v/>
      </c>
      <c r="AO234" s="400">
        <f>SUM(AO187,AO197,AO212,AO214)-AO215</f>
        <v/>
      </c>
      <c r="AP234" s="400">
        <f>SUM(AP187,AP197,AP212,AP214)-AP215</f>
        <v/>
      </c>
      <c r="AQ234" s="400">
        <f>SUM(AQ187,AQ197,AQ212,AQ214)-AQ215</f>
        <v/>
      </c>
      <c r="AR234" s="400">
        <f>SUM(AR187,AR197,AR212,AR214)-AR215</f>
        <v/>
      </c>
      <c r="AS234" s="400">
        <f>SUM(AS187,AS197,AS212,AS214)-AS215</f>
        <v/>
      </c>
      <c r="AT234" s="400">
        <f>SUM(AT187,AT197,AT212,AT214)-AT215</f>
        <v/>
      </c>
      <c r="AU234" s="400">
        <f>SUM(AU187,AU197,AU212,AU214)-AU215</f>
        <v/>
      </c>
      <c r="AV234" s="400">
        <f>SUM(AV187,AV197,AV212,AV214)-AV215</f>
        <v/>
      </c>
      <c r="AW234" s="400">
        <f>SUM(AW187,AW197,AW212,AW214)-AW215</f>
        <v/>
      </c>
      <c r="AX234" s="400">
        <f>SUM(AX187,AX197,AX212,AX214)-AX215</f>
        <v/>
      </c>
      <c r="AY234" s="400">
        <f>SUM(AY187,AY197,AY212,AY214)-AY215</f>
        <v/>
      </c>
      <c r="AZ234" s="400">
        <f>SUM(AZ187,AZ197,AZ212,AZ214)-AZ215</f>
        <v/>
      </c>
      <c r="BA234" s="400">
        <f>SUM(BA187,BA197,BA212,BA214)-BA215</f>
        <v/>
      </c>
      <c r="BB234" s="400">
        <f>SUM(BB187,BB197,BB212,BB214)-BB215</f>
        <v/>
      </c>
      <c r="BC234" s="400">
        <f>SUM(BC187,BC197,BC212,BC214)-BC215</f>
        <v/>
      </c>
      <c r="BD234" s="400">
        <f>SUM(BD187,BD197,BD212,BD214)-BD215</f>
        <v/>
      </c>
      <c r="BE234" s="400">
        <f>SUM(BE187,BE197,BE212,BE214)-BE215</f>
        <v/>
      </c>
      <c r="BF234" s="400">
        <f>SUM(BF187,BF197,BF212,BF214)-BF215</f>
        <v/>
      </c>
      <c r="BG234" s="400">
        <f>SUM(BG187,BG197,BG212,BG214)-BG215</f>
        <v/>
      </c>
      <c r="BH234" s="400">
        <f>SUM(BH187,BH197,BH212,BH214)-BH215</f>
        <v/>
      </c>
      <c r="BI234" s="400">
        <f>SUM(BI187,BI197,BI212,BI214)-BI215</f>
        <v/>
      </c>
      <c r="BJ234" s="400">
        <f>SUM(BJ187,BJ197,BJ212,BJ214)-BJ215</f>
        <v/>
      </c>
      <c r="BK234" s="400">
        <f>SUM(BK187,BK197,BK212,BK214)-BK215</f>
        <v/>
      </c>
      <c r="BL234" s="400">
        <f>SUM(BL187,BL197,BL212,BL214)-BL215</f>
        <v/>
      </c>
      <c r="BM234" s="400">
        <f>SUM(BM187,BM197,BM212,BM214)-BM215</f>
        <v/>
      </c>
      <c r="BN234" s="400">
        <f>SUM(BN187,BN197,BN212,BN214)-BN215</f>
        <v/>
      </c>
      <c r="BO234" s="400">
        <f>SUM(BO187,BO197,BO212,BO214)-BO215</f>
        <v/>
      </c>
      <c r="BP234" s="400">
        <f>SUM(BP187,BP197,BP212,BP214)-BP215</f>
        <v/>
      </c>
      <c r="BQ234" s="400">
        <f>SUM(BQ187,BQ197,BQ212,BQ214)-BQ215</f>
        <v/>
      </c>
      <c r="BR234" s="400">
        <f>SUM(BR187,BR197,BR212,BR214)-BR215</f>
        <v/>
      </c>
      <c r="BS234" t="n">
        <v>0</v>
      </c>
      <c r="BT234" t="inlineStr">
        <is>
          <t>IPGP-Financial-Data-Workbook-2024-Q2.xlsx|Cash Flows|14|93</t>
        </is>
      </c>
    </row>
    <row r="235">
      <c r="A235" s="455" t="inlineStr">
        <is>
          <t>Check</t>
        </is>
      </c>
      <c r="B235" s="400">
        <f>B216+B215-B219</f>
        <v/>
      </c>
      <c r="C235" s="400">
        <f>C216+C215-C219</f>
        <v/>
      </c>
      <c r="D235" s="400">
        <f>D216+D215-D219</f>
        <v/>
      </c>
      <c r="E235" s="400">
        <f>E216+E215-E219</f>
        <v/>
      </c>
      <c r="F235" s="400">
        <f>F216+F215-F219</f>
        <v/>
      </c>
      <c r="G235" s="400">
        <f>G216+G215-G219</f>
        <v/>
      </c>
      <c r="H235" s="400">
        <f>H216+H215-H219</f>
        <v/>
      </c>
      <c r="I235" s="400">
        <f>I216+I215-I219</f>
        <v/>
      </c>
      <c r="J235" s="400">
        <f>J216+J215-J219</f>
        <v/>
      </c>
      <c r="K235" s="400">
        <f>K216+K215-K219</f>
        <v/>
      </c>
      <c r="L235" s="400">
        <f>L216+L215-L219</f>
        <v/>
      </c>
      <c r="M235" s="400">
        <f>M216+M215-M219</f>
        <v/>
      </c>
      <c r="N235" s="400">
        <f>N216+N215-N219</f>
        <v/>
      </c>
      <c r="O235" s="400">
        <f>O216+O215-O219</f>
        <v/>
      </c>
      <c r="P235" s="400">
        <f>P216+P215-P219</f>
        <v/>
      </c>
      <c r="Q235" s="400">
        <f>Q216+Q215-Q219</f>
        <v/>
      </c>
      <c r="R235" s="400">
        <f>R216+R215-R219</f>
        <v/>
      </c>
      <c r="S235" s="400">
        <f>S216+S215-S219</f>
        <v/>
      </c>
      <c r="T235" s="400">
        <f>T216+T215-T219</f>
        <v/>
      </c>
      <c r="U235" s="400">
        <f>U216+U215-U219</f>
        <v/>
      </c>
      <c r="V235" s="400">
        <f>V216+V215-V219</f>
        <v/>
      </c>
      <c r="W235" s="400">
        <f>W216+W215-W219</f>
        <v/>
      </c>
      <c r="X235" s="400">
        <f>X216+X215-X219</f>
        <v/>
      </c>
      <c r="Y235" s="400">
        <f>Y216+Y215-Y219</f>
        <v/>
      </c>
      <c r="Z235" s="400">
        <f>Z216+Z215-Z219</f>
        <v/>
      </c>
      <c r="AA235" s="400">
        <f>AA216+AA215-AA219</f>
        <v/>
      </c>
      <c r="AB235" s="400">
        <f>AB216+AB215-AB219</f>
        <v/>
      </c>
      <c r="AC235" s="400">
        <f>AC216+AC215-AC219</f>
        <v/>
      </c>
      <c r="AD235" s="400">
        <f>AD216+AD215-AD219</f>
        <v/>
      </c>
      <c r="AE235" s="400">
        <f>AE216+AE215-AE219</f>
        <v/>
      </c>
      <c r="AF235" s="400">
        <f>AF216+AF215-AF219</f>
        <v/>
      </c>
      <c r="AG235" s="400">
        <f>AG216+AG215-AG219</f>
        <v/>
      </c>
      <c r="AH235" s="400">
        <f>AH216+AH215-AH219</f>
        <v/>
      </c>
      <c r="AI235" s="400">
        <f>AI216+AI215-AI219</f>
        <v/>
      </c>
      <c r="AJ235" s="400">
        <f>AJ216+AJ215-AJ219</f>
        <v/>
      </c>
      <c r="AK235" s="400">
        <f>AK216+AK215-AK219</f>
        <v/>
      </c>
      <c r="AL235" s="400">
        <f>AL216+AL215-AL219</f>
        <v/>
      </c>
      <c r="AM235" s="400">
        <f>AM216+AM215-AM219</f>
        <v/>
      </c>
      <c r="AN235" s="400">
        <f>AN216+AN215-AN219</f>
        <v/>
      </c>
      <c r="AO235" s="400">
        <f>AO216+AO215-AO219</f>
        <v/>
      </c>
      <c r="AP235" s="400">
        <f>AP216+AP215-AP219</f>
        <v/>
      </c>
      <c r="AQ235" s="400">
        <f>AQ216+AQ215-AQ219</f>
        <v/>
      </c>
      <c r="AR235" s="400">
        <f>AR216+AR215-AR219</f>
        <v/>
      </c>
      <c r="AS235" s="400">
        <f>AS216+AS215-AS219</f>
        <v/>
      </c>
      <c r="AT235" s="400">
        <f>AT216+AT215-AT219</f>
        <v/>
      </c>
      <c r="AU235" s="400">
        <f>AU216+AU215-AU219</f>
        <v/>
      </c>
      <c r="AV235" s="400">
        <f>AV216+AV215-AV219</f>
        <v/>
      </c>
      <c r="AW235" s="400">
        <f>AW216+AW215-AW219</f>
        <v/>
      </c>
      <c r="AX235" s="400">
        <f>AX216+AX215-AX219</f>
        <v/>
      </c>
      <c r="AY235" s="400">
        <f>AY216+AY215-AY219</f>
        <v/>
      </c>
      <c r="AZ235" s="400">
        <f>AZ216+AZ215-AZ219</f>
        <v/>
      </c>
      <c r="BA235" s="400">
        <f>BA216+BA215-BA219-BA220-BA218</f>
        <v/>
      </c>
      <c r="BB235" s="400">
        <f>BB216+BB215-BB219-BB220-BB218</f>
        <v/>
      </c>
      <c r="BC235" s="400">
        <f>BC216+BC215-BC219-BC220-BC218</f>
        <v/>
      </c>
      <c r="BD235" s="400">
        <f>BD216+BD215-BD219-BD220-BD218</f>
        <v/>
      </c>
      <c r="BE235" s="400">
        <f>BE216+BE215-BE219-BE220-BE218</f>
        <v/>
      </c>
      <c r="BF235" s="400">
        <f>BF216+BF215-BF219-BF220-BF218</f>
        <v/>
      </c>
      <c r="BG235" s="400">
        <f>BG216+BG215-BG219-BG220-BG218</f>
        <v/>
      </c>
      <c r="BH235" s="400">
        <f>BH216+BH215-BH219-BH220-BH218</f>
        <v/>
      </c>
      <c r="BI235" s="400">
        <f>BI216+BI215-BI219-BI220-BI218</f>
        <v/>
      </c>
      <c r="BJ235" s="400">
        <f>BJ216+BJ215-BJ219-BJ220-BJ218</f>
        <v/>
      </c>
      <c r="BK235" s="400">
        <f>BK216+BK215-BK219-BK220-BK218</f>
        <v/>
      </c>
      <c r="BL235" s="400">
        <f>BL216+BL215-BL219-BL220-BL218</f>
        <v/>
      </c>
      <c r="BM235" s="400">
        <f>BM216+BM215-BM219-BM220-BM218</f>
        <v/>
      </c>
      <c r="BN235" s="400">
        <f>BN216+BN215-BN219-BN220-BN218</f>
        <v/>
      </c>
      <c r="BO235" s="400">
        <f>BO216+BO215-BO219-BO220-BO218</f>
        <v/>
      </c>
      <c r="BP235" s="400">
        <f>BP216+BP215-BP219-BP220-BP218</f>
        <v/>
      </c>
      <c r="BQ235" s="400">
        <f>BQ216+BQ215-BQ219-BQ220-BQ218</f>
        <v/>
      </c>
      <c r="BR235" s="400">
        <f>BR216+BR215-BR219-BR220-BR218</f>
        <v/>
      </c>
      <c r="BS235" t="n">
        <v>0</v>
      </c>
      <c r="BT235" t="inlineStr">
        <is>
          <t>IPGP-Financial-Data-Workbook-2024-Q2.xlsx|Cash Flows|28|93</t>
        </is>
      </c>
    </row>
    <row r="236">
      <c r="A236" s="455" t="inlineStr">
        <is>
          <t>Check</t>
        </is>
      </c>
      <c r="B236" s="400">
        <f>B219-B123</f>
        <v/>
      </c>
      <c r="C236" s="400">
        <f>C219-C123</f>
        <v/>
      </c>
      <c r="D236" s="400">
        <f>D219-D123</f>
        <v/>
      </c>
      <c r="E236" s="400">
        <f>E219-E123</f>
        <v/>
      </c>
      <c r="F236" s="400">
        <f>F219-F123</f>
        <v/>
      </c>
      <c r="G236" s="400">
        <f>G219-G123</f>
        <v/>
      </c>
      <c r="H236" s="400">
        <f>H219-H123</f>
        <v/>
      </c>
      <c r="I236" s="400">
        <f>I219-I123</f>
        <v/>
      </c>
      <c r="J236" s="400">
        <f>J219-J123</f>
        <v/>
      </c>
      <c r="K236" s="400">
        <f>K219-K123</f>
        <v/>
      </c>
      <c r="L236" s="400">
        <f>L219-L123</f>
        <v/>
      </c>
      <c r="M236" s="400">
        <f>M219-M123</f>
        <v/>
      </c>
      <c r="N236" s="400">
        <f>N219-N123</f>
        <v/>
      </c>
      <c r="O236" s="400">
        <f>O219-O123</f>
        <v/>
      </c>
      <c r="P236" s="400">
        <f>P219-P123</f>
        <v/>
      </c>
      <c r="Q236" s="400">
        <f>Q219-Q123</f>
        <v/>
      </c>
      <c r="R236" s="400">
        <f>R219-R123</f>
        <v/>
      </c>
      <c r="S236" s="400">
        <f>S219-S123</f>
        <v/>
      </c>
      <c r="T236" s="400">
        <f>T219-T123</f>
        <v/>
      </c>
      <c r="U236" s="400">
        <f>U219-U123</f>
        <v/>
      </c>
      <c r="V236" s="400">
        <f>V219-V123</f>
        <v/>
      </c>
      <c r="W236" s="400">
        <f>W219-W123</f>
        <v/>
      </c>
      <c r="X236" s="400">
        <f>X219-X123</f>
        <v/>
      </c>
      <c r="Y236" s="400">
        <f>Y219-Y123</f>
        <v/>
      </c>
      <c r="Z236" s="400">
        <f>Z219-Z123</f>
        <v/>
      </c>
      <c r="AA236" s="400">
        <f>AA219-AA123</f>
        <v/>
      </c>
      <c r="AB236" s="400">
        <f>AB219-AB123</f>
        <v/>
      </c>
      <c r="AC236" s="400">
        <f>AC219-AC123</f>
        <v/>
      </c>
      <c r="AD236" s="400">
        <f>AD219-AD123</f>
        <v/>
      </c>
      <c r="AE236" s="400">
        <f>AE219-AE123</f>
        <v/>
      </c>
      <c r="AF236" s="400">
        <f>AF219-AF123</f>
        <v/>
      </c>
      <c r="AG236" s="400">
        <f>AG219-AG123</f>
        <v/>
      </c>
      <c r="AH236" s="400">
        <f>AH219-AH123</f>
        <v/>
      </c>
      <c r="AI236" s="400">
        <f>AI219-AI123</f>
        <v/>
      </c>
      <c r="AJ236" s="400">
        <f>AJ219-AJ123</f>
        <v/>
      </c>
      <c r="AK236" s="400">
        <f>AK219-AK123</f>
        <v/>
      </c>
      <c r="AL236" s="400">
        <f>AL219-AL123</f>
        <v/>
      </c>
      <c r="AM236" s="400">
        <f>AM219-AM123</f>
        <v/>
      </c>
      <c r="AN236" s="400">
        <f>AN219-AN123</f>
        <v/>
      </c>
      <c r="AO236" s="400">
        <f>AO219-AO123</f>
        <v/>
      </c>
      <c r="AP236" s="400">
        <f>AP219-AP123</f>
        <v/>
      </c>
      <c r="AQ236" s="400">
        <f>AQ219-AQ123</f>
        <v/>
      </c>
      <c r="AR236" s="400">
        <f>AR219-AR123</f>
        <v/>
      </c>
      <c r="AS236" s="400">
        <f>AS219-AS123</f>
        <v/>
      </c>
      <c r="AT236" s="400">
        <f>AT219-AT123</f>
        <v/>
      </c>
      <c r="AU236" s="400">
        <f>AU219-AU123</f>
        <v/>
      </c>
      <c r="AV236" s="400">
        <f>AV219-AV123</f>
        <v/>
      </c>
      <c r="AW236" s="400">
        <f>AW219-AW123</f>
        <v/>
      </c>
      <c r="AX236" s="400">
        <f>AX219-AX123</f>
        <v/>
      </c>
      <c r="AY236" s="400">
        <f>AY219-AY123</f>
        <v/>
      </c>
      <c r="AZ236" s="400">
        <f>AZ219-AZ123</f>
        <v/>
      </c>
      <c r="BA236" s="400">
        <f>BA219-BA123</f>
        <v/>
      </c>
      <c r="BB236" s="400">
        <f>BB219-BB123</f>
        <v/>
      </c>
      <c r="BC236" s="400">
        <f>BC219-BC123</f>
        <v/>
      </c>
      <c r="BD236" s="400">
        <f>BD219-BD123</f>
        <v/>
      </c>
      <c r="BE236" s="400">
        <f>BE219-BE123</f>
        <v/>
      </c>
      <c r="BF236" s="400">
        <f>BF219-BF123</f>
        <v/>
      </c>
      <c r="BG236" s="400">
        <f>BG219-BG123</f>
        <v/>
      </c>
      <c r="BH236" s="400">
        <f>BH219-BH123</f>
        <v/>
      </c>
      <c r="BI236" s="400">
        <f>BI219-BI123</f>
        <v/>
      </c>
      <c r="BJ236" s="400">
        <f>BJ219-BJ123</f>
        <v/>
      </c>
      <c r="BK236" s="400">
        <f>BK219-BK123</f>
        <v/>
      </c>
      <c r="BL236" s="400">
        <f>BL219-BL123</f>
        <v/>
      </c>
      <c r="BM236" s="400">
        <f>BM219-BM123</f>
        <v/>
      </c>
      <c r="BN236" s="400">
        <f>BN219-BN123</f>
        <v/>
      </c>
      <c r="BO236" s="400">
        <f>BO219-BO123</f>
        <v/>
      </c>
      <c r="BP236" s="400">
        <f>BP219-BP123</f>
        <v/>
      </c>
      <c r="BQ236" s="400">
        <f>BQ219-BQ123</f>
        <v/>
      </c>
      <c r="BR236" s="400">
        <f>BR219-BR123</f>
        <v/>
      </c>
      <c r="BS236" t="n">
        <v>0</v>
      </c>
      <c r="BT236" t="inlineStr">
        <is>
          <t>IPGP-Financial-Data-Workbook-2024-Q2.xlsx|Cash Flows|32|93</t>
        </is>
      </c>
    </row>
    <row r="241">
      <c r="A241" s="81" t="inlineStr">
        <is>
          <t xml:space="preserve">Supplement information </t>
        </is>
      </c>
      <c r="B241" s="145" t="n"/>
      <c r="C241" s="145" t="n"/>
      <c r="D241" s="145" t="n"/>
      <c r="E241" s="145" t="n"/>
      <c r="F241" s="145" t="n"/>
      <c r="G241" s="145" t="n"/>
      <c r="H241" s="145" t="n"/>
      <c r="I241" s="145" t="n"/>
      <c r="J241" s="145" t="n"/>
      <c r="K241" s="145" t="n"/>
      <c r="L241" s="145" t="n"/>
      <c r="M241" s="145" t="n"/>
      <c r="N241" s="145" t="n"/>
      <c r="O241" s="145" t="n"/>
      <c r="P241" s="145" t="n"/>
      <c r="Q241" s="145" t="n"/>
      <c r="R241" s="145" t="n"/>
      <c r="S241" s="145" t="n"/>
      <c r="T241" s="145" t="n"/>
      <c r="U241" s="145" t="n"/>
      <c r="V241" s="145" t="n"/>
      <c r="W241" s="145" t="n"/>
      <c r="X241" s="145" t="n"/>
      <c r="Y241" s="145" t="n"/>
      <c r="Z241" s="145" t="n"/>
      <c r="AA241" s="145" t="n"/>
      <c r="AB241" s="145" t="n"/>
      <c r="AC241" s="145" t="n"/>
      <c r="AD241" s="145" t="n"/>
      <c r="AE241" s="145" t="n"/>
      <c r="AF241" s="20" t="n"/>
      <c r="AG241" s="20" t="n"/>
      <c r="AH241" s="20" t="n"/>
      <c r="AI241" s="20" t="n"/>
      <c r="AJ241" s="20" t="n"/>
      <c r="AK241" s="20" t="n"/>
      <c r="AL241" s="20" t="n"/>
      <c r="AM241" s="20" t="n"/>
      <c r="AN241" s="20" t="n"/>
      <c r="AO241" s="20" t="n"/>
      <c r="AP241" s="20" t="n"/>
      <c r="AQ241" s="20" t="n"/>
      <c r="AR241" s="20" t="n"/>
    </row>
    <row r="242">
      <c r="B242" s="145" t="n"/>
      <c r="C242" s="145" t="n"/>
      <c r="D242" s="145" t="n"/>
      <c r="E242" s="145" t="n"/>
      <c r="F242" s="145" t="n"/>
      <c r="G242" s="145" t="n"/>
      <c r="H242" s="145" t="n"/>
      <c r="I242" s="145" t="n"/>
      <c r="J242" s="145" t="n"/>
      <c r="K242" s="145" t="n"/>
      <c r="L242" s="145" t="n"/>
      <c r="M242" s="145" t="n"/>
      <c r="N242" s="145" t="n"/>
      <c r="O242" s="145" t="n"/>
      <c r="P242" s="145" t="n"/>
      <c r="Q242" s="145" t="n"/>
      <c r="R242" s="145" t="n"/>
      <c r="S242" s="145" t="n"/>
      <c r="T242" s="145" t="n"/>
      <c r="U242" s="145" t="n"/>
      <c r="V242" s="145" t="n"/>
      <c r="W242" s="145" t="n"/>
      <c r="X242" s="145" t="n"/>
      <c r="Y242" s="145" t="n"/>
      <c r="Z242" s="145" t="n"/>
      <c r="AA242" s="145" t="n"/>
      <c r="AB242" s="145" t="n"/>
      <c r="AC242" s="145" t="n"/>
      <c r="AD242" s="145" t="n"/>
      <c r="AE242" s="145" t="n"/>
      <c r="AF242" s="20" t="n"/>
      <c r="AG242" s="20" t="n"/>
      <c r="AH242" s="20" t="n"/>
      <c r="AI242" s="20" t="n"/>
      <c r="AJ242" s="20" t="n"/>
      <c r="AK242" s="20" t="n"/>
      <c r="AL242" s="20" t="n"/>
      <c r="AM242" s="20" t="n"/>
      <c r="AN242" s="20" t="n"/>
      <c r="AO242" s="20" t="n"/>
      <c r="AP242" s="20" t="n"/>
      <c r="AQ242" s="20" t="n"/>
      <c r="AR242" s="20" t="n"/>
    </row>
    <row r="243">
      <c r="A243" s="40" t="inlineStr">
        <is>
          <t>Backlog (in Mn USD)</t>
        </is>
      </c>
      <c r="B243" s="121" t="n"/>
      <c r="C243" s="121" t="n"/>
      <c r="D243" s="121" t="n"/>
      <c r="E243" s="121" t="n"/>
      <c r="F243" s="121" t="n"/>
      <c r="G243" s="121" t="n"/>
      <c r="H243" s="121" t="n"/>
      <c r="I243" s="121" t="n"/>
      <c r="J243" s="121" t="n"/>
      <c r="K243" s="121" t="n"/>
      <c r="L243" s="121" t="n"/>
      <c r="M243" s="121" t="n"/>
      <c r="N243" s="133" t="n"/>
      <c r="O243" s="133" t="n"/>
      <c r="P243" s="133" t="n"/>
      <c r="Q243" s="133" t="n"/>
      <c r="R243" s="133" t="n"/>
      <c r="S243" s="133" t="n"/>
      <c r="T243" s="133" t="n"/>
      <c r="U243" s="133" t="n"/>
      <c r="V243" s="133" t="n"/>
      <c r="W243" s="133" t="n"/>
      <c r="X243" s="133" t="n"/>
      <c r="Y243" s="133" t="n"/>
      <c r="Z243" s="133" t="n"/>
      <c r="AA243" s="133" t="n"/>
      <c r="AB243" s="133" t="n"/>
      <c r="AC243" s="133" t="n"/>
      <c r="AD243" s="133" t="n"/>
      <c r="AE243" s="133" t="n"/>
      <c r="AF243" s="133" t="n"/>
      <c r="AG243" s="133" t="n"/>
      <c r="AH243" s="133" t="n"/>
      <c r="AI243" s="133" t="n"/>
      <c r="AJ243" s="133" t="n"/>
      <c r="AK243" s="22" t="n"/>
      <c r="AL243" s="133" t="n"/>
      <c r="AM243" s="133" t="n"/>
      <c r="AN243" s="133" t="n"/>
      <c r="AO243" s="22" t="n"/>
      <c r="AP243" s="22" t="n"/>
      <c r="AQ243" s="22" t="n"/>
      <c r="AR243" s="22" t="n"/>
    </row>
    <row r="244">
      <c r="A244" s="74" t="inlineStr">
        <is>
          <t>Orders with firm shipment dates</t>
        </is>
      </c>
      <c r="B244" s="121" t="n"/>
      <c r="C244" s="121" t="n"/>
      <c r="D244" s="121" t="n"/>
      <c r="E244" s="121" t="n"/>
      <c r="F244" s="121" t="n"/>
      <c r="G244" s="121" t="n"/>
      <c r="H244" s="121" t="n"/>
      <c r="I244" s="121" t="n"/>
      <c r="J244" s="121" t="n"/>
      <c r="K244" s="121" t="n"/>
      <c r="L244" s="121" t="n"/>
      <c r="M244" s="121" t="n"/>
      <c r="N244" s="145" t="n"/>
      <c r="O244" s="145" t="n"/>
      <c r="P244" s="145" t="n"/>
      <c r="Q244" s="145" t="n">
        <v>98.59999999999999</v>
      </c>
      <c r="R244" s="145" t="n"/>
      <c r="S244" s="145" t="n"/>
      <c r="T244" s="145" t="n"/>
      <c r="U244" s="145" t="n">
        <v>124.1</v>
      </c>
      <c r="V244" s="145" t="n"/>
      <c r="W244" s="145" t="n"/>
      <c r="X244" s="145" t="n"/>
      <c r="Y244" s="145" t="n">
        <v>102</v>
      </c>
      <c r="Z244" s="145" t="n"/>
      <c r="AA244" s="145" t="n"/>
      <c r="AB244" s="145" t="n"/>
      <c r="AC244" s="145" t="n">
        <v>132.6</v>
      </c>
      <c r="AD244" s="145" t="n"/>
      <c r="AE244" s="145" t="n"/>
      <c r="AF244" s="145" t="n"/>
      <c r="AG244" s="145" t="n">
        <v>174.5</v>
      </c>
      <c r="AH244" s="145" t="n"/>
      <c r="AI244" s="145" t="n"/>
      <c r="AJ244" s="145" t="n"/>
      <c r="AK244" s="145" t="n">
        <v>185.1</v>
      </c>
      <c r="AL244" s="145" t="n"/>
      <c r="AM244" s="145" t="n"/>
      <c r="AN244" s="145" t="n"/>
      <c r="AO244" s="145" t="n">
        <v>226.7</v>
      </c>
      <c r="AP244" s="145" t="n"/>
      <c r="AQ244" s="145" t="n"/>
      <c r="AR244" s="145" t="n"/>
      <c r="AS244" s="145" t="n">
        <v>326.1</v>
      </c>
      <c r="AW244" s="145" t="n"/>
      <c r="AX244" s="145" t="n"/>
      <c r="AY244" s="145" t="n"/>
      <c r="AZ244" s="145" t="n"/>
      <c r="BA244" s="145" t="n"/>
      <c r="BB244" s="145" t="n"/>
      <c r="BC244" s="145" t="n"/>
      <c r="BD244" s="145" t="n"/>
      <c r="BE244" s="145" t="n"/>
      <c r="BF244" s="145" t="n"/>
      <c r="BG244" s="145" t="n"/>
      <c r="BH244" s="145" t="n"/>
      <c r="BJ244" s="145" t="n"/>
      <c r="BN244" s="145" t="n"/>
      <c r="BO244" s="145" t="n"/>
    </row>
    <row r="245">
      <c r="A245" s="74" t="inlineStr">
        <is>
          <t>Orders expected to ship within one year (frame agreement)</t>
        </is>
      </c>
      <c r="B245" s="121" t="n"/>
      <c r="C245" s="121" t="n"/>
      <c r="D245" s="121" t="n"/>
      <c r="E245" s="121" t="n"/>
      <c r="F245" s="121" t="n"/>
      <c r="G245" s="121" t="n"/>
      <c r="H245" s="121" t="n"/>
      <c r="I245" s="121" t="n"/>
      <c r="J245" s="121" t="n"/>
      <c r="K245" s="121" t="n"/>
      <c r="L245" s="121" t="n"/>
      <c r="M245" s="121" t="n"/>
      <c r="N245" s="145" t="n"/>
      <c r="O245" s="145" t="n"/>
      <c r="P245" s="145" t="n"/>
      <c r="Q245" s="145" t="n">
        <v>73</v>
      </c>
      <c r="R245" s="145" t="n"/>
      <c r="S245" s="145" t="n"/>
      <c r="T245" s="145" t="n"/>
      <c r="U245" s="145" t="n">
        <v>82.90000000000001</v>
      </c>
      <c r="V245" s="145" t="n"/>
      <c r="W245" s="145" t="n"/>
      <c r="X245" s="145" t="n"/>
      <c r="Y245" s="145" t="n">
        <v>101</v>
      </c>
      <c r="Z245" s="145" t="n"/>
      <c r="AA245" s="145" t="n"/>
      <c r="AB245" s="145" t="n"/>
      <c r="AC245" s="145" t="n">
        <v>132.4</v>
      </c>
      <c r="AD245" s="145" t="n"/>
      <c r="AE245" s="145" t="n"/>
      <c r="AF245" s="145" t="n"/>
      <c r="AG245" s="145" t="n">
        <v>146.5</v>
      </c>
      <c r="AH245" s="145" t="n"/>
      <c r="AI245" s="145" t="n"/>
      <c r="AJ245" s="145" t="n"/>
      <c r="AK245" s="145" t="n">
        <v>257.4</v>
      </c>
      <c r="AL245" s="145" t="n"/>
      <c r="AM245" s="145" t="n"/>
      <c r="AN245" s="145" t="n"/>
      <c r="AO245" s="145" t="n">
        <v>187.2</v>
      </c>
      <c r="AP245" s="145" t="n"/>
      <c r="AQ245" s="145" t="n"/>
      <c r="AR245" s="145" t="n"/>
      <c r="AS245" s="145" t="n">
        <v>417.4</v>
      </c>
      <c r="AW245" s="145" t="n"/>
      <c r="AX245" s="145" t="n"/>
      <c r="AY245" s="145" t="n"/>
      <c r="AZ245" s="145" t="n"/>
      <c r="BA245" s="145" t="n"/>
      <c r="BB245" s="145" t="n"/>
      <c r="BC245" s="145" t="n"/>
      <c r="BD245" s="145" t="n"/>
      <c r="BE245" s="145" t="n"/>
      <c r="BF245" s="145" t="n"/>
      <c r="BG245" s="145" t="n"/>
      <c r="BH245" s="145" t="n"/>
      <c r="BJ245" s="145" t="n"/>
      <c r="BN245" s="145" t="n"/>
      <c r="BO245" s="145" t="n"/>
    </row>
    <row r="246">
      <c r="A246" s="40" t="inlineStr">
        <is>
          <t>Total</t>
        </is>
      </c>
      <c r="B246" s="121" t="n"/>
      <c r="C246" s="121" t="n"/>
      <c r="D246" s="121" t="n"/>
      <c r="E246" s="121" t="n"/>
      <c r="F246" s="121" t="n"/>
      <c r="G246" s="121" t="n"/>
      <c r="H246" s="121" t="n"/>
      <c r="I246" s="121" t="n"/>
      <c r="J246" s="121" t="n"/>
      <c r="K246" s="121" t="n"/>
      <c r="L246" s="121" t="n"/>
      <c r="M246" s="121" t="n"/>
      <c r="N246" s="133" t="n"/>
      <c r="O246" s="133" t="n"/>
      <c r="P246" s="133" t="n"/>
      <c r="Q246" s="133" t="n">
        <v>171.6</v>
      </c>
      <c r="R246" s="133" t="n"/>
      <c r="S246" s="133" t="n"/>
      <c r="T246" s="133" t="n"/>
      <c r="U246" s="133" t="n">
        <v>207</v>
      </c>
      <c r="V246" s="133" t="n"/>
      <c r="W246" s="133" t="n"/>
      <c r="X246" s="133" t="n"/>
      <c r="Y246" s="133" t="n">
        <v>203</v>
      </c>
      <c r="Z246" s="133" t="n"/>
      <c r="AA246" s="133" t="n"/>
      <c r="AB246" s="133" t="n"/>
      <c r="AC246" s="133" t="n">
        <v>265</v>
      </c>
      <c r="AD246" s="133" t="n"/>
      <c r="AE246" s="133" t="n"/>
      <c r="AF246" s="133" t="n"/>
      <c r="AG246" s="133" t="n">
        <v>321</v>
      </c>
      <c r="AH246" s="133" t="n"/>
      <c r="AI246" s="133" t="n"/>
      <c r="AJ246" s="133" t="n"/>
      <c r="AK246" s="133" t="n">
        <v>442.5</v>
      </c>
      <c r="AL246" s="133" t="n"/>
      <c r="AM246" s="133" t="n"/>
      <c r="AN246" s="133" t="n"/>
      <c r="AO246" s="133" t="n">
        <v>413.9</v>
      </c>
      <c r="AP246" s="133" t="n"/>
      <c r="AQ246" s="133" t="n"/>
      <c r="AR246" s="133" t="n"/>
      <c r="AS246" s="133" t="n">
        <v>743.6</v>
      </c>
      <c r="AW246" s="133" t="n"/>
      <c r="AX246" s="133" t="n"/>
      <c r="AY246" s="133" t="n"/>
      <c r="AZ246" s="133" t="n"/>
      <c r="BA246" s="133" t="n"/>
      <c r="BB246" s="133" t="n"/>
      <c r="BC246" s="133" t="n"/>
      <c r="BD246" s="133" t="n"/>
      <c r="BE246" s="133" t="n"/>
      <c r="BF246" s="133" t="n"/>
      <c r="BG246" s="133" t="n"/>
      <c r="BH246" s="133" t="n"/>
      <c r="BJ246" s="133" t="n"/>
      <c r="BN246" s="133" t="n"/>
      <c r="BO246" s="133" t="n"/>
    </row>
    <row r="247">
      <c r="A247" s="22" t="n"/>
      <c r="B247" s="145" t="n"/>
      <c r="C247" s="145" t="n"/>
      <c r="D247" s="145" t="n"/>
      <c r="E247" s="145" t="n"/>
      <c r="F247" s="145" t="n"/>
      <c r="G247" s="145" t="n"/>
      <c r="H247" s="145" t="n"/>
      <c r="I247" s="145" t="n"/>
      <c r="J247" s="145" t="n"/>
      <c r="K247" s="145" t="n"/>
      <c r="L247" s="145" t="n"/>
      <c r="M247" s="145" t="n"/>
      <c r="N247" s="145" t="n"/>
      <c r="O247" s="145" t="n"/>
      <c r="P247" s="145" t="n"/>
      <c r="Q247" s="145" t="n"/>
      <c r="R247" s="145" t="n"/>
      <c r="S247" s="145" t="n"/>
      <c r="T247" s="145" t="n"/>
      <c r="U247" s="145" t="n"/>
      <c r="V247" s="145" t="n"/>
      <c r="W247" s="145" t="n"/>
      <c r="X247" s="145" t="n"/>
      <c r="Y247" s="145" t="n"/>
      <c r="Z247" s="145" t="n"/>
      <c r="AA247" s="145" t="n"/>
      <c r="AB247" s="145" t="n"/>
      <c r="AC247" s="145" t="n"/>
      <c r="AD247" s="145" t="n"/>
      <c r="AE247" s="145" t="n"/>
      <c r="AF247" s="20" t="n"/>
      <c r="AG247" s="20" t="n"/>
      <c r="AH247" s="20" t="n"/>
      <c r="AI247" s="20" t="n"/>
      <c r="AJ247" s="20" t="n"/>
      <c r="AK247" s="20" t="n"/>
      <c r="AL247" s="20" t="n"/>
      <c r="AM247" s="20" t="n"/>
      <c r="AN247" s="20" t="n"/>
      <c r="AO247" s="20" t="n"/>
      <c r="AP247" s="20" t="n"/>
      <c r="AQ247" s="20" t="n"/>
      <c r="AR247" s="20" t="n"/>
      <c r="AS247" s="20" t="n"/>
      <c r="AW247" s="20" t="n"/>
      <c r="AX247" s="20" t="n"/>
      <c r="AY247" s="20" t="n"/>
      <c r="AZ247" s="20" t="n"/>
      <c r="BA247" s="20" t="n"/>
      <c r="BB247" s="20" t="n"/>
      <c r="BC247" s="20" t="n"/>
      <c r="BD247" s="20" t="n"/>
      <c r="BE247" s="20" t="n"/>
      <c r="BF247" s="20" t="n"/>
      <c r="BG247" s="20" t="n"/>
      <c r="BH247" s="20" t="n"/>
      <c r="BJ247" s="20" t="n"/>
      <c r="BN247" s="20" t="n"/>
      <c r="BO247" s="20" t="n"/>
    </row>
    <row r="248">
      <c r="A248" s="40" t="inlineStr">
        <is>
          <t>Employees</t>
        </is>
      </c>
      <c r="B248" s="145" t="n"/>
      <c r="C248" s="145" t="n"/>
      <c r="D248" s="145" t="n"/>
      <c r="E248" s="145" t="n"/>
      <c r="F248" s="145" t="n"/>
      <c r="G248" s="145" t="n"/>
      <c r="H248" s="145" t="n"/>
      <c r="I248" s="145" t="n"/>
      <c r="J248" s="145" t="n"/>
      <c r="K248" s="145" t="n"/>
      <c r="L248" s="145" t="n"/>
      <c r="M248" s="145" t="n"/>
      <c r="N248" s="145" t="n"/>
      <c r="O248" s="145" t="n"/>
      <c r="P248" s="145" t="n"/>
      <c r="Q248" s="145" t="n"/>
      <c r="R248" s="145" t="n"/>
      <c r="S248" s="145" t="n"/>
      <c r="T248" s="145" t="n"/>
      <c r="U248" s="145" t="n"/>
      <c r="V248" s="145" t="n"/>
      <c r="W248" s="145" t="n"/>
      <c r="X248" s="145" t="n"/>
      <c r="Y248" s="145" t="n"/>
      <c r="Z248" s="145" t="n"/>
      <c r="AA248" s="145" t="n"/>
      <c r="AB248" s="145" t="n"/>
      <c r="AC248" s="145" t="n"/>
      <c r="AD248" s="145" t="n"/>
      <c r="AE248" s="145" t="n"/>
      <c r="AF248" s="145" t="n"/>
      <c r="AG248" s="145" t="n"/>
      <c r="AH248" s="145" t="n"/>
      <c r="AI248" s="145" t="n"/>
      <c r="AJ248" s="145" t="n"/>
      <c r="AK248" s="145" t="n"/>
      <c r="AL248" s="145" t="n"/>
      <c r="AM248" s="145" t="n"/>
      <c r="AN248" s="145" t="n"/>
      <c r="AO248" s="145" t="n"/>
      <c r="AP248" s="145" t="n"/>
      <c r="AQ248" s="145" t="n"/>
      <c r="AR248" s="145" t="n"/>
      <c r="AS248" s="145" t="n"/>
      <c r="AW248" s="145" t="n"/>
      <c r="AX248" s="145" t="n"/>
      <c r="AY248" s="145" t="n"/>
      <c r="AZ248" s="145" t="n"/>
      <c r="BA248" s="145" t="n"/>
      <c r="BB248" s="145" t="n"/>
      <c r="BC248" s="145" t="n"/>
      <c r="BD248" s="145" t="n"/>
      <c r="BE248" s="145" t="n"/>
      <c r="BF248" s="145" t="n"/>
      <c r="BG248" s="145" t="n"/>
      <c r="BH248" s="145" t="n"/>
      <c r="BJ248" s="145" t="n"/>
      <c r="BN248" s="145" t="n"/>
      <c r="BO248" s="145" t="n"/>
    </row>
    <row r="249">
      <c r="A249" s="74" t="inlineStr">
        <is>
          <t>R&amp;D</t>
        </is>
      </c>
      <c r="B249" s="145" t="n"/>
      <c r="C249" s="145" t="n"/>
      <c r="D249" s="145" t="n"/>
      <c r="E249" s="145" t="n"/>
      <c r="F249" s="145" t="n"/>
      <c r="G249" s="145" t="n"/>
      <c r="H249" s="145" t="n"/>
      <c r="I249" s="145" t="n"/>
      <c r="J249" s="145" t="n"/>
      <c r="K249" s="145" t="n"/>
      <c r="L249" s="145" t="n"/>
      <c r="M249" s="145" t="n"/>
      <c r="N249" s="145" t="n"/>
      <c r="O249" s="145" t="n"/>
      <c r="P249" s="145" t="n"/>
      <c r="Q249" s="145" t="n">
        <v>140</v>
      </c>
      <c r="R249" s="145" t="n"/>
      <c r="S249" s="145" t="n"/>
      <c r="T249" s="145" t="n"/>
      <c r="U249" s="145" t="n">
        <v>184</v>
      </c>
      <c r="V249" s="145" t="n"/>
      <c r="W249" s="145" t="n"/>
      <c r="X249" s="145" t="n"/>
      <c r="Y249" s="145" t="n">
        <v>260</v>
      </c>
      <c r="Z249" s="145" t="n"/>
      <c r="AA249" s="145" t="n"/>
      <c r="AB249" s="145" t="n"/>
      <c r="AC249" s="145" t="n">
        <v>269</v>
      </c>
      <c r="AD249" s="145" t="n"/>
      <c r="AE249" s="145" t="n"/>
      <c r="AF249" s="145" t="n"/>
      <c r="AG249" s="145" t="n">
        <v>329</v>
      </c>
      <c r="AH249" s="145" t="n"/>
      <c r="AI249" s="145" t="n"/>
      <c r="AJ249" s="145" t="n"/>
      <c r="AK249" s="145" t="n">
        <v>411</v>
      </c>
      <c r="AL249" s="145" t="n"/>
      <c r="AM249" s="145" t="n"/>
      <c r="AN249" s="145" t="n"/>
      <c r="AO249" s="145" t="n">
        <v>473</v>
      </c>
      <c r="AP249" s="145" t="n"/>
      <c r="AQ249" s="145" t="n"/>
      <c r="AR249" s="145" t="n"/>
      <c r="AS249" s="145" t="n">
        <v>556</v>
      </c>
      <c r="AW249" s="145" t="n">
        <v>697</v>
      </c>
      <c r="AX249" s="145" t="n"/>
      <c r="AY249" s="145" t="n"/>
      <c r="AZ249" s="145" t="n"/>
      <c r="BA249" s="145" t="n"/>
      <c r="BB249" s="145" t="n"/>
      <c r="BC249" s="145" t="n"/>
      <c r="BD249" s="145" t="n"/>
      <c r="BE249" s="145" t="n"/>
      <c r="BF249" s="145" t="n"/>
      <c r="BG249" s="145" t="n"/>
      <c r="BH249" s="145" t="n"/>
      <c r="BJ249" s="145" t="n"/>
      <c r="BN249" s="145" t="n"/>
      <c r="BO249" s="145" t="n"/>
    </row>
    <row r="250">
      <c r="A250" s="74" t="inlineStr">
        <is>
          <t>Manufacturing operations</t>
        </is>
      </c>
      <c r="B250" s="145" t="n"/>
      <c r="C250" s="145" t="n"/>
      <c r="D250" s="145" t="n"/>
      <c r="E250" s="145" t="n"/>
      <c r="F250" s="145" t="n"/>
      <c r="G250" s="145" t="n"/>
      <c r="H250" s="145" t="n"/>
      <c r="I250" s="145" t="n"/>
      <c r="J250" s="145" t="n"/>
      <c r="K250" s="145" t="n"/>
      <c r="L250" s="145" t="n"/>
      <c r="M250" s="145" t="n"/>
      <c r="N250" s="145" t="n"/>
      <c r="O250" s="145" t="n"/>
      <c r="P250" s="145" t="n"/>
      <c r="Q250" s="145" t="n">
        <v>1370</v>
      </c>
      <c r="R250" s="145" t="n"/>
      <c r="S250" s="145" t="n"/>
      <c r="T250" s="145" t="n"/>
      <c r="U250" s="145" t="n">
        <v>1646</v>
      </c>
      <c r="V250" s="145" t="n"/>
      <c r="W250" s="145" t="n"/>
      <c r="X250" s="145" t="n"/>
      <c r="Y250" s="145" t="n">
        <v>1840</v>
      </c>
      <c r="Z250" s="145" t="n"/>
      <c r="AA250" s="145" t="n"/>
      <c r="AB250" s="145" t="n"/>
      <c r="AC250" s="145" t="n">
        <v>2198</v>
      </c>
      <c r="AD250" s="145" t="n"/>
      <c r="AE250" s="145" t="n"/>
      <c r="AF250" s="145" t="n"/>
      <c r="AG250" s="145" t="n">
        <v>2338</v>
      </c>
      <c r="AH250" s="145" t="n"/>
      <c r="AI250" s="145" t="n"/>
      <c r="AJ250" s="145" t="n"/>
      <c r="AK250" s="145" t="n">
        <v>2934</v>
      </c>
      <c r="AL250" s="145" t="n"/>
      <c r="AM250" s="145" t="n"/>
      <c r="AN250" s="145" t="n"/>
      <c r="AO250" s="145" t="n">
        <v>3296</v>
      </c>
      <c r="AP250" s="145" t="n"/>
      <c r="AQ250" s="145" t="n"/>
      <c r="AR250" s="145" t="n"/>
      <c r="AS250" s="145" t="n">
        <v>3898</v>
      </c>
      <c r="AW250" s="145" t="n">
        <v>4530</v>
      </c>
      <c r="AX250" s="145" t="n"/>
      <c r="AY250" s="145" t="n"/>
      <c r="AZ250" s="145" t="n"/>
      <c r="BA250" s="145" t="n"/>
      <c r="BB250" s="145" t="n"/>
      <c r="BC250" s="145" t="n"/>
      <c r="BD250" s="145" t="n"/>
      <c r="BE250" s="145" t="n"/>
      <c r="BF250" s="145" t="n"/>
      <c r="BG250" s="145" t="n"/>
      <c r="BH250" s="145" t="n"/>
      <c r="BJ250" s="145" t="n"/>
      <c r="BN250" s="145" t="n"/>
      <c r="BO250" s="145" t="n"/>
    </row>
    <row r="251">
      <c r="A251" s="74" t="inlineStr">
        <is>
          <t>Sales, service and marketing</t>
        </is>
      </c>
      <c r="B251" s="145" t="n"/>
      <c r="C251" s="145" t="n"/>
      <c r="D251" s="145" t="n"/>
      <c r="E251" s="145" t="n"/>
      <c r="F251" s="145" t="n"/>
      <c r="G251" s="145" t="n"/>
      <c r="H251" s="145" t="n"/>
      <c r="I251" s="145" t="n"/>
      <c r="J251" s="145" t="n"/>
      <c r="K251" s="145" t="n"/>
      <c r="L251" s="145" t="n"/>
      <c r="M251" s="145" t="n"/>
      <c r="N251" s="145" t="n"/>
      <c r="O251" s="145" t="n"/>
      <c r="P251" s="145" t="n"/>
      <c r="Q251" s="145" t="n">
        <v>100</v>
      </c>
      <c r="R251" s="145" t="n"/>
      <c r="S251" s="145" t="n"/>
      <c r="T251" s="145" t="n"/>
      <c r="U251" s="145" t="n">
        <v>122</v>
      </c>
      <c r="V251" s="145" t="n"/>
      <c r="W251" s="145" t="n"/>
      <c r="X251" s="145" t="n"/>
      <c r="Y251" s="145" t="n">
        <v>110</v>
      </c>
      <c r="Z251" s="145" t="n"/>
      <c r="AA251" s="145" t="n"/>
      <c r="AB251" s="145" t="n"/>
      <c r="AC251" s="145" t="n">
        <v>121</v>
      </c>
      <c r="AD251" s="145" t="n"/>
      <c r="AE251" s="145" t="n"/>
      <c r="AF251" s="145" t="n"/>
      <c r="AG251" s="145" t="n">
        <v>145</v>
      </c>
      <c r="AH251" s="145" t="n"/>
      <c r="AI251" s="145" t="n"/>
      <c r="AJ251" s="145" t="n"/>
      <c r="AK251" s="145" t="n">
        <v>148</v>
      </c>
      <c r="AL251" s="145" t="n"/>
      <c r="AM251" s="145" t="n"/>
      <c r="AN251" s="145" t="n"/>
      <c r="AO251" s="145" t="n">
        <v>190</v>
      </c>
      <c r="AP251" s="145" t="n"/>
      <c r="AQ251" s="145" t="n"/>
      <c r="AR251" s="145" t="n"/>
      <c r="AS251" s="145" t="n">
        <v>240</v>
      </c>
      <c r="AW251" s="145" t="n">
        <v>331</v>
      </c>
      <c r="AX251" s="145" t="n"/>
      <c r="AY251" s="145" t="n"/>
      <c r="AZ251" s="145" t="n"/>
      <c r="BA251" s="145" t="n"/>
      <c r="BB251" s="145" t="n"/>
      <c r="BC251" s="145" t="n"/>
      <c r="BD251" s="145" t="n"/>
      <c r="BE251" s="145" t="n"/>
      <c r="BF251" s="145" t="n"/>
      <c r="BG251" s="145" t="n"/>
      <c r="BH251" s="145" t="n"/>
      <c r="BJ251" s="145" t="n"/>
      <c r="BN251" s="145" t="n"/>
      <c r="BO251" s="145" t="n"/>
    </row>
    <row r="252">
      <c r="A252" s="74" t="inlineStr">
        <is>
          <t>General and administraative</t>
        </is>
      </c>
      <c r="B252" s="145" t="n"/>
      <c r="C252" s="145" t="n"/>
      <c r="D252" s="145" t="n"/>
      <c r="E252" s="145" t="n"/>
      <c r="F252" s="145" t="n"/>
      <c r="G252" s="145" t="n"/>
      <c r="H252" s="145" t="n"/>
      <c r="I252" s="145" t="n"/>
      <c r="J252" s="145" t="n"/>
      <c r="K252" s="145" t="n"/>
      <c r="L252" s="145" t="n"/>
      <c r="M252" s="145" t="n"/>
      <c r="N252" s="145" t="n"/>
      <c r="O252" s="145" t="n"/>
      <c r="P252" s="145" t="n"/>
      <c r="Q252" s="145" t="n">
        <v>150</v>
      </c>
      <c r="R252" s="145" t="n"/>
      <c r="S252" s="145" t="n"/>
      <c r="T252" s="145" t="n"/>
      <c r="U252" s="145" t="n">
        <v>185</v>
      </c>
      <c r="V252" s="145" t="n"/>
      <c r="W252" s="145" t="n"/>
      <c r="X252" s="145" t="n"/>
      <c r="Y252" s="145" t="n">
        <v>190</v>
      </c>
      <c r="Z252" s="145" t="n"/>
      <c r="AA252" s="145" t="n"/>
      <c r="AB252" s="145" t="n"/>
      <c r="AC252" s="145" t="n">
        <v>207</v>
      </c>
      <c r="AD252" s="145" t="n"/>
      <c r="AE252" s="145" t="n"/>
      <c r="AF252" s="145" t="n"/>
      <c r="AG252" s="145" t="n">
        <v>231</v>
      </c>
      <c r="AH252" s="145" t="n"/>
      <c r="AI252" s="145" t="n"/>
      <c r="AJ252" s="145" t="n"/>
      <c r="AK252" s="145" t="n">
        <v>249</v>
      </c>
      <c r="AL252" s="145" t="n"/>
      <c r="AM252" s="145" t="n"/>
      <c r="AN252" s="145" t="n"/>
      <c r="AO252" s="145" t="n">
        <v>271</v>
      </c>
      <c r="AP252" s="145" t="n"/>
      <c r="AQ252" s="145" t="n"/>
      <c r="AR252" s="145" t="n"/>
      <c r="AS252" s="145" t="n">
        <v>332</v>
      </c>
      <c r="AW252" s="145" t="n">
        <v>428</v>
      </c>
      <c r="AX252" s="145" t="n"/>
      <c r="AY252" s="145" t="n"/>
      <c r="AZ252" s="145" t="n"/>
      <c r="BA252" s="145" t="n"/>
      <c r="BB252" s="145" t="n"/>
      <c r="BC252" s="145" t="n"/>
      <c r="BD252" s="145" t="n"/>
      <c r="BE252" s="145" t="n"/>
      <c r="BF252" s="145" t="n"/>
      <c r="BG252" s="145" t="n"/>
      <c r="BH252" s="145" t="n"/>
      <c r="BJ252" s="145" t="n"/>
      <c r="BN252" s="145" t="n"/>
      <c r="BO252" s="145" t="n"/>
    </row>
    <row r="253">
      <c r="A253" s="74" t="inlineStr">
        <is>
          <t>Contractors</t>
        </is>
      </c>
      <c r="B253" s="145" t="n"/>
      <c r="C253" s="145" t="n"/>
      <c r="D253" s="145" t="n"/>
      <c r="E253" s="145" t="n"/>
      <c r="F253" s="145" t="n"/>
      <c r="G253" s="145" t="n"/>
      <c r="H253" s="145" t="n"/>
      <c r="I253" s="145" t="n"/>
      <c r="J253" s="145" t="n"/>
      <c r="K253" s="145" t="n"/>
      <c r="L253" s="145" t="n"/>
      <c r="M253" s="145" t="n"/>
      <c r="N253" s="145" t="n"/>
      <c r="O253" s="145" t="n"/>
      <c r="P253" s="145" t="n"/>
      <c r="Q253" s="145" t="n"/>
      <c r="R253" s="145" t="n"/>
      <c r="S253" s="145" t="n"/>
      <c r="T253" s="145" t="n"/>
      <c r="U253" s="145" t="n"/>
      <c r="V253" s="145" t="n"/>
      <c r="W253" s="145" t="n"/>
      <c r="X253" s="145" t="n"/>
      <c r="Y253" s="145" t="n"/>
      <c r="Z253" s="145" t="n"/>
      <c r="AA253" s="145" t="n"/>
      <c r="AB253" s="145" t="n"/>
      <c r="AC253" s="145" t="n">
        <v>191</v>
      </c>
      <c r="AD253" s="145" t="n"/>
      <c r="AE253" s="145" t="n"/>
      <c r="AF253" s="145" t="n"/>
      <c r="AG253" s="145" t="n">
        <v>220</v>
      </c>
      <c r="AH253" s="145" t="n"/>
      <c r="AI253" s="145" t="n"/>
      <c r="AJ253" s="145" t="n"/>
      <c r="AK253" s="145" t="n">
        <v>279</v>
      </c>
      <c r="AL253" s="145" t="n"/>
      <c r="AM253" s="145" t="n"/>
      <c r="AN253" s="145" t="n"/>
      <c r="AO253" s="145" t="n">
        <v>281</v>
      </c>
      <c r="AP253" s="145" t="n"/>
      <c r="AQ253" s="145" t="n"/>
      <c r="AR253" s="145" t="n"/>
      <c r="AS253" s="145" t="n">
        <v>363</v>
      </c>
      <c r="AW253" s="145" t="n">
        <v>245</v>
      </c>
      <c r="AX253" s="145" t="n"/>
      <c r="AY253" s="145" t="n"/>
      <c r="AZ253" s="145" t="n"/>
      <c r="BA253" s="145" t="n"/>
      <c r="BB253" s="145" t="n"/>
      <c r="BC253" s="145" t="n"/>
      <c r="BD253" s="145" t="n"/>
      <c r="BE253" s="145" t="n"/>
      <c r="BF253" s="145" t="n"/>
      <c r="BG253" s="145" t="n"/>
      <c r="BH253" s="145" t="n"/>
      <c r="BJ253" s="145" t="n"/>
      <c r="BN253" s="145" t="n"/>
      <c r="BO253" s="145" t="n"/>
    </row>
    <row r="254">
      <c r="A254" s="40" t="inlineStr">
        <is>
          <t>Total</t>
        </is>
      </c>
      <c r="B254" s="133" t="n"/>
      <c r="C254" s="133" t="n"/>
      <c r="D254" s="133" t="n"/>
      <c r="E254" s="133" t="n"/>
      <c r="F254" s="133" t="n"/>
      <c r="G254" s="133" t="n"/>
      <c r="H254" s="133" t="n"/>
      <c r="I254" s="133" t="n"/>
      <c r="J254" s="133" t="n"/>
      <c r="K254" s="133" t="n"/>
      <c r="L254" s="133" t="n"/>
      <c r="M254" s="133" t="n"/>
      <c r="N254" s="133" t="n"/>
      <c r="O254" s="133" t="n"/>
      <c r="P254" s="133" t="n"/>
      <c r="Q254" s="133" t="n">
        <v>1760</v>
      </c>
      <c r="R254" s="133" t="n"/>
      <c r="S254" s="133" t="n"/>
      <c r="T254" s="133" t="n"/>
      <c r="U254" s="133" t="n">
        <v>2137</v>
      </c>
      <c r="V254" s="133" t="n"/>
      <c r="W254" s="133" t="n"/>
      <c r="X254" s="133" t="n"/>
      <c r="Y254" s="133" t="n">
        <v>2400</v>
      </c>
      <c r="Z254" s="133" t="n"/>
      <c r="AA254" s="133" t="n"/>
      <c r="AB254" s="133" t="n"/>
      <c r="AC254" s="133" t="n">
        <v>2986</v>
      </c>
      <c r="AD254" s="133" t="n"/>
      <c r="AE254" s="133" t="n"/>
      <c r="AF254" s="133" t="n"/>
      <c r="AG254" s="133" t="n">
        <v>3263</v>
      </c>
      <c r="AH254" s="133" t="n"/>
      <c r="AI254" s="133" t="n"/>
      <c r="AJ254" s="133" t="n"/>
      <c r="AK254" s="133" t="n">
        <v>4021</v>
      </c>
      <c r="AL254" s="133" t="n"/>
      <c r="AM254" s="133" t="n"/>
      <c r="AN254" s="133" t="n"/>
      <c r="AO254" s="133" t="n">
        <v>4511</v>
      </c>
      <c r="AP254" s="133" t="n"/>
      <c r="AQ254" s="133" t="n"/>
      <c r="AR254" s="133" t="n"/>
      <c r="AS254" s="133" t="n">
        <v>5389</v>
      </c>
      <c r="AW254" s="133" t="n">
        <v>6231</v>
      </c>
      <c r="AX254" s="133" t="n"/>
      <c r="AY254" s="133" t="n"/>
      <c r="AZ254" s="133" t="n"/>
      <c r="BA254" s="133" t="n"/>
      <c r="BB254" s="133" t="n"/>
      <c r="BC254" s="133" t="n"/>
      <c r="BD254" s="133" t="n"/>
      <c r="BE254" s="133" t="n"/>
      <c r="BF254" s="133" t="n"/>
      <c r="BG254" s="133" t="n"/>
      <c r="BH254" s="133" t="n"/>
      <c r="BJ254" s="133" t="n"/>
      <c r="BN254" s="133" t="n"/>
      <c r="BO254" s="133" t="n"/>
    </row>
    <row r="255">
      <c r="A255" s="40" t="n"/>
      <c r="B255" s="133" t="n"/>
      <c r="C255" s="133" t="n"/>
      <c r="D255" s="133" t="n"/>
      <c r="E255" s="133" t="n"/>
      <c r="F255" s="133" t="n"/>
      <c r="G255" s="133" t="n"/>
      <c r="H255" s="133" t="n"/>
      <c r="I255" s="133" t="n"/>
      <c r="J255" s="133" t="n"/>
      <c r="K255" s="133" t="n"/>
      <c r="L255" s="133" t="n"/>
      <c r="M255" s="133" t="n"/>
      <c r="N255" s="133" t="n"/>
      <c r="O255" s="133" t="n"/>
      <c r="P255" s="133" t="n"/>
      <c r="Q255" s="133" t="n"/>
      <c r="R255" s="133" t="n"/>
      <c r="S255" s="133" t="n"/>
      <c r="T255" s="133" t="n"/>
      <c r="U255" s="133" t="n"/>
      <c r="V255" s="133" t="n"/>
      <c r="W255" s="133" t="n"/>
      <c r="X255" s="133" t="n"/>
      <c r="Y255" s="133" t="n"/>
      <c r="Z255" s="133" t="n"/>
      <c r="AA255" s="133" t="n"/>
      <c r="AB255" s="133" t="n"/>
      <c r="AC255" s="133" t="n"/>
      <c r="AD255" s="147" t="n"/>
      <c r="AE255" s="147" t="n"/>
      <c r="AF255" s="147" t="n"/>
      <c r="AG255" s="147" t="n"/>
      <c r="AH255" s="133" t="n"/>
      <c r="AI255" s="133" t="n"/>
      <c r="AJ255" s="133" t="n"/>
      <c r="AK255" s="133" t="n"/>
      <c r="AL255" s="133" t="n"/>
      <c r="AM255" s="133" t="n"/>
      <c r="AN255" s="133" t="n"/>
      <c r="AO255" s="133" t="n"/>
      <c r="AP255" s="133" t="n"/>
      <c r="AQ255" s="133" t="n"/>
      <c r="AR255" s="133" t="n"/>
      <c r="AS255" s="133" t="n"/>
      <c r="AW255" s="133" t="n"/>
      <c r="AX255" s="133" t="n"/>
      <c r="AY255" s="133" t="n"/>
      <c r="AZ255" s="133" t="n"/>
      <c r="BA255" s="133" t="n"/>
      <c r="BB255" s="133" t="n"/>
      <c r="BC255" s="133" t="n"/>
      <c r="BD255" s="133" t="n"/>
      <c r="BE255" s="133" t="n"/>
      <c r="BF255" s="133" t="n"/>
      <c r="BG255" s="133" t="n"/>
      <c r="BH255" s="133" t="n"/>
      <c r="BJ255" s="133" t="n"/>
      <c r="BN255" s="133" t="n"/>
      <c r="BO255" s="133" t="n"/>
    </row>
    <row r="256">
      <c r="A256" s="40" t="inlineStr">
        <is>
          <t>Property, plant, and equipment (in '000 USD)</t>
        </is>
      </c>
      <c r="B256" s="133" t="n"/>
      <c r="C256" s="133" t="n"/>
      <c r="D256" s="133" t="n"/>
      <c r="E256" s="133" t="n"/>
      <c r="F256" s="133" t="n"/>
      <c r="G256" s="133" t="n"/>
      <c r="H256" s="133" t="n"/>
      <c r="I256" s="133" t="n"/>
      <c r="J256" s="133" t="n"/>
      <c r="K256" s="133" t="n"/>
      <c r="L256" s="133" t="n"/>
      <c r="M256" s="133" t="n"/>
      <c r="N256" s="133" t="n"/>
      <c r="O256" s="133" t="n"/>
      <c r="P256" s="133" t="n"/>
      <c r="Q256" s="133" t="n"/>
      <c r="R256" s="133" t="n"/>
      <c r="S256" s="133" t="n"/>
      <c r="T256" s="133" t="n"/>
      <c r="U256" s="133" t="n"/>
      <c r="V256" s="133" t="n"/>
      <c r="W256" s="133" t="n"/>
      <c r="X256" s="133" t="n"/>
      <c r="Y256" s="133" t="n"/>
      <c r="Z256" s="133" t="n"/>
      <c r="AA256" s="133" t="n"/>
      <c r="AB256" s="133" t="n"/>
      <c r="AC256" s="133" t="n"/>
      <c r="AD256" s="147" t="n"/>
      <c r="AE256" s="147" t="n"/>
      <c r="AF256" s="147" t="n"/>
      <c r="AG256" s="147" t="n"/>
      <c r="AH256" s="133" t="n"/>
      <c r="AI256" s="133" t="n"/>
      <c r="AJ256" s="133" t="n"/>
      <c r="AK256" s="133" t="n"/>
      <c r="AL256" s="133" t="n"/>
      <c r="AM256" s="133" t="n"/>
      <c r="AN256" s="133" t="n"/>
      <c r="AO256" s="133" t="n"/>
      <c r="AP256" s="133" t="n"/>
      <c r="AQ256" s="133" t="n"/>
      <c r="AR256" s="133" t="n"/>
      <c r="AS256" s="133" t="n"/>
      <c r="AW256" s="133" t="n"/>
      <c r="AX256" s="133" t="n"/>
      <c r="AY256" s="133" t="n"/>
      <c r="AZ256" s="133" t="n"/>
      <c r="BA256" s="133" t="n"/>
      <c r="BB256" s="133" t="n"/>
      <c r="BC256" s="133" t="n"/>
      <c r="BD256" s="133" t="n"/>
      <c r="BE256" s="133" t="n"/>
      <c r="BF256" s="133" t="n"/>
      <c r="BG256" s="133" t="n"/>
      <c r="BH256" s="133" t="n"/>
      <c r="BJ256" s="133" t="n"/>
      <c r="BN256" s="133" t="n"/>
      <c r="BO256" s="133" t="n"/>
    </row>
    <row r="257">
      <c r="A257" s="74" t="inlineStr">
        <is>
          <t>Land</t>
        </is>
      </c>
      <c r="B257" s="133" t="n"/>
      <c r="C257" s="133" t="n"/>
      <c r="D257" s="133" t="n"/>
      <c r="E257" s="133" t="n"/>
      <c r="F257" s="133" t="n"/>
      <c r="G257" s="133" t="n"/>
      <c r="H257" s="133" t="n"/>
      <c r="I257" s="133" t="n"/>
      <c r="J257" s="133" t="n"/>
      <c r="K257" s="133" t="n"/>
      <c r="L257" s="133" t="n"/>
      <c r="M257" s="133" t="n"/>
      <c r="N257" s="133" t="n"/>
      <c r="O257" s="133" t="n"/>
      <c r="P257" s="133" t="n"/>
      <c r="Q257" s="133" t="n">
        <v>12380</v>
      </c>
      <c r="R257" s="133" t="n"/>
      <c r="S257" s="133" t="n"/>
      <c r="T257" s="133" t="n"/>
      <c r="U257" s="133" t="n">
        <v>16168</v>
      </c>
      <c r="V257" s="133" t="n"/>
      <c r="W257" s="133" t="n"/>
      <c r="X257" s="133" t="n"/>
      <c r="Y257" s="133" t="n">
        <v>17303</v>
      </c>
      <c r="Z257" s="133" t="n"/>
      <c r="AA257" s="133" t="n"/>
      <c r="AB257" s="133" t="n"/>
      <c r="AC257" s="133" t="n">
        <v>15448</v>
      </c>
      <c r="AD257" s="133" t="n"/>
      <c r="AE257" s="133" t="n"/>
      <c r="AF257" s="133" t="n"/>
      <c r="AG257" s="133" t="n">
        <v>19248</v>
      </c>
      <c r="AH257" s="133" t="n"/>
      <c r="AI257" s="133" t="n"/>
      <c r="AJ257" s="133" t="n"/>
      <c r="AK257" s="133" t="n">
        <v>18962</v>
      </c>
      <c r="AL257" s="133" t="n"/>
      <c r="AM257" s="133" t="n"/>
      <c r="AN257" s="133" t="n"/>
      <c r="AO257" s="133" t="n">
        <v>21811</v>
      </c>
      <c r="AP257" s="133" t="n"/>
      <c r="AQ257" s="133" t="n"/>
      <c r="AR257" s="133" t="n"/>
      <c r="AS257" s="133" t="n">
        <v>26623</v>
      </c>
      <c r="AW257" s="133" t="n"/>
      <c r="AX257" s="133" t="n"/>
      <c r="AY257" s="133" t="n"/>
      <c r="AZ257" s="133" t="n"/>
      <c r="BA257" s="133" t="n"/>
      <c r="BB257" s="133" t="n"/>
      <c r="BC257" s="133" t="n"/>
      <c r="BD257" s="133" t="n"/>
      <c r="BE257" s="133" t="n"/>
      <c r="BF257" s="133" t="n"/>
      <c r="BG257" s="133" t="n"/>
      <c r="BH257" s="133" t="n"/>
      <c r="BJ257" s="133" t="n"/>
      <c r="BN257" s="133" t="n"/>
      <c r="BO257" s="133" t="n"/>
    </row>
    <row r="258">
      <c r="A258" s="74" t="inlineStr">
        <is>
          <t>Buildings</t>
        </is>
      </c>
      <c r="B258" s="133" t="n"/>
      <c r="C258" s="133" t="n"/>
      <c r="D258" s="133" t="n"/>
      <c r="E258" s="133" t="n"/>
      <c r="F258" s="133" t="n"/>
      <c r="G258" s="133" t="n"/>
      <c r="H258" s="133" t="n"/>
      <c r="I258" s="133" t="n"/>
      <c r="J258" s="133" t="n"/>
      <c r="K258" s="133" t="n"/>
      <c r="L258" s="133" t="n"/>
      <c r="M258" s="133" t="n"/>
      <c r="N258" s="145" t="n"/>
      <c r="O258" s="145" t="n"/>
      <c r="P258" s="145" t="n"/>
      <c r="Q258" s="145" t="n">
        <v>87492</v>
      </c>
      <c r="R258" s="145" t="n"/>
      <c r="S258" s="145" t="n"/>
      <c r="T258" s="145" t="n"/>
      <c r="U258" s="145" t="n">
        <v>96556</v>
      </c>
      <c r="V258" s="145" t="n"/>
      <c r="W258" s="145" t="n"/>
      <c r="X258" s="145" t="n"/>
      <c r="Y258" s="145" t="n">
        <v>109288</v>
      </c>
      <c r="Z258" s="145" t="n"/>
      <c r="AA258" s="145" t="n"/>
      <c r="AB258" s="145" t="n"/>
      <c r="AC258" s="145" t="n">
        <v>146730</v>
      </c>
      <c r="AD258" s="145" t="n"/>
      <c r="AE258" s="145" t="n"/>
      <c r="AF258" s="145" t="n"/>
      <c r="AG258" s="145" t="n">
        <v>144629</v>
      </c>
      <c r="AH258" s="145" t="n"/>
      <c r="AI258" s="145" t="n"/>
      <c r="AJ258" s="145" t="n"/>
      <c r="AK258" s="145" t="n">
        <v>166784</v>
      </c>
      <c r="AL258" s="145" t="n"/>
      <c r="AM258" s="145" t="n"/>
      <c r="AN258" s="145" t="n"/>
      <c r="AO258" s="145" t="n">
        <v>214830</v>
      </c>
      <c r="AP258" s="145" t="n"/>
      <c r="AQ258" s="145" t="n"/>
      <c r="AR258" s="145" t="n"/>
      <c r="AS258" s="145" t="n">
        <v>267256</v>
      </c>
      <c r="AW258" s="145" t="n"/>
      <c r="AX258" s="145" t="n"/>
      <c r="AY258" s="145" t="n"/>
      <c r="AZ258" s="145" t="n"/>
      <c r="BA258" s="145" t="n"/>
      <c r="BB258" s="145" t="n"/>
      <c r="BC258" s="145" t="n"/>
      <c r="BD258" s="145" t="n"/>
      <c r="BE258" s="145" t="n"/>
      <c r="BF258" s="145" t="n"/>
      <c r="BG258" s="145" t="n"/>
      <c r="BH258" s="145" t="n"/>
      <c r="BJ258" s="145" t="n"/>
      <c r="BN258" s="145" t="n"/>
      <c r="BO258" s="145" t="n"/>
    </row>
    <row r="259">
      <c r="A259" s="74" t="inlineStr">
        <is>
          <t>Machinery and equipment</t>
        </is>
      </c>
      <c r="B259" s="133" t="n"/>
      <c r="C259" s="133" t="n"/>
      <c r="D259" s="133" t="n"/>
      <c r="E259" s="133" t="n"/>
      <c r="F259" s="133" t="n"/>
      <c r="G259" s="133" t="n"/>
      <c r="H259" s="133" t="n"/>
      <c r="I259" s="133" t="n"/>
      <c r="J259" s="133" t="n"/>
      <c r="K259" s="133" t="n"/>
      <c r="L259" s="133" t="n"/>
      <c r="M259" s="133" t="n"/>
      <c r="N259" s="145" t="n"/>
      <c r="O259" s="145" t="n"/>
      <c r="P259" s="145" t="n"/>
      <c r="Q259" s="145" t="n">
        <v>92363</v>
      </c>
      <c r="R259" s="145" t="n"/>
      <c r="S259" s="145" t="n"/>
      <c r="T259" s="145" t="n"/>
      <c r="U259" s="145" t="n">
        <v>110331</v>
      </c>
      <c r="V259" s="145" t="n"/>
      <c r="W259" s="145" t="n"/>
      <c r="X259" s="145" t="n"/>
      <c r="Y259" s="145" t="n">
        <v>135756</v>
      </c>
      <c r="Z259" s="145" t="n"/>
      <c r="AA259" s="145" t="n"/>
      <c r="AB259" s="145" t="n"/>
      <c r="AC259" s="145" t="n">
        <v>165050</v>
      </c>
      <c r="AD259" s="145" t="n"/>
      <c r="AE259" s="145" t="n"/>
      <c r="AF259" s="145" t="n"/>
      <c r="AG259" s="145" t="n">
        <v>202075</v>
      </c>
      <c r="AH259" s="145" t="n"/>
      <c r="AI259" s="145" t="n"/>
      <c r="AJ259" s="145" t="n"/>
      <c r="AK259" s="145" t="n">
        <v>226724</v>
      </c>
      <c r="AL259" s="145" t="n"/>
      <c r="AM259" s="145" t="n"/>
      <c r="AN259" s="145" t="n"/>
      <c r="AO259" s="145" t="n">
        <v>279372</v>
      </c>
      <c r="AP259" s="145" t="n"/>
      <c r="AQ259" s="145" t="n"/>
      <c r="AR259" s="145" t="n"/>
      <c r="AS259" s="145" t="n">
        <v>344905</v>
      </c>
      <c r="AW259" s="145" t="n"/>
      <c r="AX259" s="145" t="n"/>
      <c r="AY259" s="145" t="n"/>
      <c r="AZ259" s="145" t="n"/>
      <c r="BA259" s="145" t="n"/>
      <c r="BB259" s="145" t="n"/>
      <c r="BC259" s="145" t="n"/>
      <c r="BD259" s="145" t="n"/>
      <c r="BE259" s="145" t="n"/>
      <c r="BF259" s="145" t="n"/>
      <c r="BG259" s="145" t="n"/>
      <c r="BH259" s="145" t="n"/>
      <c r="BJ259" s="145" t="n"/>
      <c r="BN259" s="145" t="n"/>
      <c r="BO259" s="145" t="n"/>
    </row>
    <row r="260">
      <c r="A260" s="74" t="inlineStr">
        <is>
          <t>Office furniture and fixtures</t>
        </is>
      </c>
      <c r="B260" s="133" t="n"/>
      <c r="C260" s="133" t="n"/>
      <c r="D260" s="133" t="n"/>
      <c r="E260" s="133" t="n"/>
      <c r="F260" s="133" t="n"/>
      <c r="G260" s="133" t="n"/>
      <c r="H260" s="133" t="n"/>
      <c r="I260" s="133" t="n"/>
      <c r="J260" s="133" t="n"/>
      <c r="K260" s="133" t="n"/>
      <c r="L260" s="133" t="n"/>
      <c r="M260" s="133" t="n"/>
      <c r="N260" s="145" t="n"/>
      <c r="O260" s="145" t="n"/>
      <c r="P260" s="145" t="n"/>
      <c r="Q260" s="145" t="n">
        <v>16607</v>
      </c>
      <c r="R260" s="145" t="n"/>
      <c r="S260" s="145" t="n"/>
      <c r="T260" s="145" t="n"/>
      <c r="U260" s="145" t="n">
        <v>18268</v>
      </c>
      <c r="V260" s="145" t="n"/>
      <c r="W260" s="145" t="n"/>
      <c r="X260" s="145" t="n"/>
      <c r="Y260" s="145" t="n">
        <v>22446</v>
      </c>
      <c r="Z260" s="145" t="n"/>
      <c r="AA260" s="145" t="n"/>
      <c r="AB260" s="145" t="n"/>
      <c r="AC260" s="145" t="n">
        <v>23589</v>
      </c>
      <c r="AD260" s="145" t="n"/>
      <c r="AE260" s="145" t="n"/>
      <c r="AF260" s="145" t="n"/>
      <c r="AG260" s="145" t="n">
        <v>25816</v>
      </c>
      <c r="AH260" s="145" t="n"/>
      <c r="AI260" s="145" t="n"/>
      <c r="AJ260" s="145" t="n"/>
      <c r="AK260" s="145" t="n">
        <v>26981</v>
      </c>
      <c r="AL260" s="145" t="n"/>
      <c r="AM260" s="145" t="n"/>
      <c r="AN260" s="145" t="n"/>
      <c r="AO260" s="145" t="n">
        <v>31210</v>
      </c>
      <c r="AP260" s="145" t="n"/>
      <c r="AQ260" s="145" t="n"/>
      <c r="AR260" s="145" t="n"/>
      <c r="AS260" s="145" t="n">
        <v>55885</v>
      </c>
      <c r="AW260" s="145" t="n"/>
      <c r="AX260" s="145" t="n"/>
      <c r="AY260" s="145" t="n"/>
      <c r="AZ260" s="145" t="n"/>
      <c r="BA260" s="145" t="n"/>
      <c r="BB260" s="145" t="n"/>
      <c r="BC260" s="145" t="n"/>
      <c r="BD260" s="145" t="n"/>
      <c r="BE260" s="145" t="n"/>
      <c r="BF260" s="145" t="n"/>
      <c r="BG260" s="145" t="n"/>
      <c r="BH260" s="145" t="n"/>
      <c r="BJ260" s="145" t="n"/>
      <c r="BN260" s="145" t="n"/>
      <c r="BO260" s="145" t="n"/>
    </row>
    <row r="261">
      <c r="A261" s="74" t="inlineStr">
        <is>
          <t>Construction-in-progress</t>
        </is>
      </c>
      <c r="B261" s="133" t="n"/>
      <c r="C261" s="133" t="n"/>
      <c r="D261" s="133" t="n"/>
      <c r="E261" s="133" t="n"/>
      <c r="F261" s="133" t="n"/>
      <c r="G261" s="133" t="n"/>
      <c r="H261" s="133" t="n"/>
      <c r="I261" s="133" t="n"/>
      <c r="J261" s="133" t="n"/>
      <c r="K261" s="133" t="n"/>
      <c r="L261" s="133" t="n"/>
      <c r="M261" s="133" t="n"/>
      <c r="N261" s="145" t="n"/>
      <c r="O261" s="145" t="n"/>
      <c r="P261" s="145" t="n"/>
      <c r="Q261" s="145" t="n">
        <v>5392</v>
      </c>
      <c r="R261" s="145" t="n"/>
      <c r="S261" s="145" t="n"/>
      <c r="T261" s="145" t="n"/>
      <c r="U261" s="145" t="n">
        <v>20953</v>
      </c>
      <c r="V261" s="145" t="n"/>
      <c r="W261" s="145" t="n"/>
      <c r="X261" s="145" t="n"/>
      <c r="Y261" s="145" t="n">
        <v>52457</v>
      </c>
      <c r="Z261" s="145" t="n"/>
      <c r="AA261" s="145" t="n"/>
      <c r="AB261" s="145" t="n"/>
      <c r="AC261" s="145" t="n">
        <v>52911</v>
      </c>
      <c r="AD261" s="145" t="n"/>
      <c r="AE261" s="145" t="n"/>
      <c r="AF261" s="145" t="n"/>
      <c r="AG261" s="145" t="n">
        <v>47285</v>
      </c>
      <c r="AH261" s="145" t="n"/>
      <c r="AI261" s="145" t="n"/>
      <c r="AJ261" s="145" t="n"/>
      <c r="AK261" s="145" t="n">
        <v>35946</v>
      </c>
      <c r="AL261" s="145" t="n"/>
      <c r="AM261" s="145" t="n"/>
      <c r="AN261" s="145" t="n"/>
      <c r="AO261" s="145" t="n">
        <v>59391</v>
      </c>
      <c r="AP261" s="145" t="n"/>
      <c r="AQ261" s="145" t="n"/>
      <c r="AR261" s="145" t="n"/>
      <c r="AS261" s="145" t="n">
        <v>49256</v>
      </c>
      <c r="AW261" s="145" t="n"/>
      <c r="AX261" s="145" t="n"/>
      <c r="AY261" s="145" t="n"/>
      <c r="AZ261" s="145" t="n"/>
      <c r="BA261" s="145" t="n"/>
      <c r="BB261" s="145" t="n"/>
      <c r="BC261" s="145" t="n"/>
      <c r="BD261" s="145" t="n"/>
      <c r="BE261" s="145" t="n"/>
      <c r="BF261" s="145" t="n"/>
      <c r="BG261" s="145" t="n"/>
      <c r="BH261" s="145" t="n"/>
      <c r="BJ261" s="145" t="n"/>
      <c r="BN261" s="145" t="n"/>
      <c r="BO261" s="145" t="n"/>
    </row>
    <row r="262">
      <c r="A262" s="40" t="inlineStr">
        <is>
          <t>Total property, plant and equipment</t>
        </is>
      </c>
      <c r="B262" s="133" t="n"/>
      <c r="C262" s="133" t="n"/>
      <c r="D262" s="133" t="n"/>
      <c r="E262" s="133" t="n"/>
      <c r="F262" s="133" t="n"/>
      <c r="G262" s="133" t="n"/>
      <c r="H262" s="133" t="n"/>
      <c r="I262" s="133" t="n"/>
      <c r="J262" s="133" t="n"/>
      <c r="K262" s="133" t="n"/>
      <c r="L262" s="133" t="n"/>
      <c r="M262" s="133" t="n"/>
      <c r="N262" s="133" t="n"/>
      <c r="O262" s="133" t="n"/>
      <c r="P262" s="133" t="n"/>
      <c r="Q262" s="133" t="n">
        <v>214234</v>
      </c>
      <c r="R262" s="133" t="n"/>
      <c r="S262" s="133" t="n"/>
      <c r="T262" s="133" t="n"/>
      <c r="U262" s="133" t="n">
        <v>262276</v>
      </c>
      <c r="V262" s="133" t="n"/>
      <c r="W262" s="133" t="n"/>
      <c r="X262" s="133" t="n"/>
      <c r="Y262" s="133" t="n">
        <v>337250</v>
      </c>
      <c r="Z262" s="133" t="n"/>
      <c r="AA262" s="133" t="n"/>
      <c r="AB262" s="133" t="n"/>
      <c r="AC262" s="133" t="n">
        <v>403728</v>
      </c>
      <c r="AD262" s="133" t="n"/>
      <c r="AE262" s="133" t="n"/>
      <c r="AF262" s="133" t="n"/>
      <c r="AG262" s="133" t="n">
        <v>439053</v>
      </c>
      <c r="AH262" s="133" t="n"/>
      <c r="AI262" s="133" t="n"/>
      <c r="AJ262" s="133" t="n"/>
      <c r="AK262" s="133" t="n">
        <v>475397</v>
      </c>
      <c r="AL262" s="133" t="n"/>
      <c r="AM262" s="133" t="n"/>
      <c r="AN262" s="133" t="n"/>
      <c r="AO262" s="133" t="n">
        <v>606614</v>
      </c>
      <c r="AP262" s="133" t="n"/>
      <c r="AQ262" s="133" t="n"/>
      <c r="AR262" s="133" t="n"/>
      <c r="AS262" s="133" t="n">
        <v>743925</v>
      </c>
      <c r="AW262" s="133" t="n"/>
      <c r="AX262" s="133" t="n"/>
      <c r="AY262" s="133" t="n"/>
      <c r="AZ262" s="133" t="n"/>
      <c r="BA262" s="133" t="n"/>
      <c r="BB262" s="133" t="n"/>
      <c r="BC262" s="133" t="n"/>
      <c r="BD262" s="133" t="n"/>
      <c r="BE262" s="133" t="n"/>
      <c r="BF262" s="133" t="n"/>
      <c r="BG262" s="133" t="n"/>
      <c r="BH262" s="133" t="n"/>
      <c r="BJ262" s="133" t="n"/>
      <c r="BN262" s="133" t="n"/>
      <c r="BO262" s="133" t="n"/>
    </row>
    <row r="263">
      <c r="A263" s="74" t="inlineStr">
        <is>
          <t>Accumulated depreciation</t>
        </is>
      </c>
      <c r="B263" s="133" t="n"/>
      <c r="C263" s="133" t="n"/>
      <c r="D263" s="133" t="n"/>
      <c r="E263" s="133" t="n"/>
      <c r="F263" s="133" t="n"/>
      <c r="G263" s="133" t="n"/>
      <c r="H263" s="133" t="n"/>
      <c r="I263" s="133" t="n"/>
      <c r="J263" s="133" t="n"/>
      <c r="K263" s="133" t="n"/>
      <c r="L263" s="133" t="n"/>
      <c r="M263" s="133" t="n"/>
      <c r="N263" s="145" t="n"/>
      <c r="O263" s="145" t="n"/>
      <c r="P263" s="145" t="n"/>
      <c r="Q263" s="145" t="n">
        <v>-93551</v>
      </c>
      <c r="R263" s="145" t="n"/>
      <c r="S263" s="145" t="n"/>
      <c r="T263" s="145" t="n"/>
      <c r="U263" s="145" t="n">
        <v>-107074</v>
      </c>
      <c r="V263" s="145" t="n"/>
      <c r="W263" s="145" t="n"/>
      <c r="X263" s="145" t="n"/>
      <c r="Y263" s="145" t="n">
        <v>-126687</v>
      </c>
      <c r="Z263" s="145" t="n"/>
      <c r="AA263" s="145" t="n"/>
      <c r="AB263" s="145" t="n"/>
      <c r="AC263" s="145" t="n">
        <v>-151483</v>
      </c>
      <c r="AD263" s="145" t="n"/>
      <c r="AE263" s="145" t="n"/>
      <c r="AF263" s="145" t="n"/>
      <c r="AG263" s="145" t="n">
        <v>-163971</v>
      </c>
      <c r="AH263" s="145" t="n"/>
      <c r="AI263" s="145" t="n"/>
      <c r="AJ263" s="145" t="n"/>
      <c r="AK263" s="145" t="n">
        <v>-186793</v>
      </c>
      <c r="AL263" s="145" t="n"/>
      <c r="AM263" s="145" t="n"/>
      <c r="AN263" s="145" t="n"/>
      <c r="AO263" s="145" t="n">
        <v>-227239</v>
      </c>
      <c r="AP263" s="145" t="n"/>
      <c r="AQ263" s="145" t="n"/>
      <c r="AR263" s="145" t="n"/>
      <c r="AS263" s="145" t="n">
        <v>-283719</v>
      </c>
      <c r="AW263" s="145" t="n"/>
      <c r="AX263" s="145" t="n"/>
      <c r="AY263" s="145" t="n"/>
      <c r="AZ263" s="145" t="n"/>
      <c r="BA263" s="145" t="n"/>
      <c r="BB263" s="145" t="n"/>
      <c r="BC263" s="145" t="n"/>
      <c r="BD263" s="145" t="n"/>
      <c r="BE263" s="145" t="n"/>
      <c r="BF263" s="145" t="n"/>
      <c r="BG263" s="145" t="n"/>
      <c r="BH263" s="145" t="n"/>
      <c r="BJ263" s="145" t="n"/>
      <c r="BN263" s="145" t="n"/>
      <c r="BO263" s="145" t="n"/>
    </row>
    <row r="264">
      <c r="A264" s="40" t="inlineStr">
        <is>
          <t>Total property, plant and equipment — net</t>
        </is>
      </c>
      <c r="B264" s="133" t="n"/>
      <c r="C264" s="133" t="n"/>
      <c r="D264" s="133" t="n"/>
      <c r="E264" s="133" t="n"/>
      <c r="F264" s="133" t="n"/>
      <c r="G264" s="133" t="n"/>
      <c r="H264" s="133" t="n"/>
      <c r="I264" s="133" t="n"/>
      <c r="J264" s="133" t="n"/>
      <c r="K264" s="133" t="n"/>
      <c r="L264" s="133" t="n"/>
      <c r="M264" s="133" t="n"/>
      <c r="N264" s="133" t="n"/>
      <c r="O264" s="133" t="n"/>
      <c r="P264" s="133" t="n"/>
      <c r="Q264" s="133" t="n">
        <v>120683</v>
      </c>
      <c r="R264" s="133" t="n"/>
      <c r="S264" s="133" t="n"/>
      <c r="T264" s="133" t="n"/>
      <c r="U264" s="133" t="n">
        <v>155202</v>
      </c>
      <c r="V264" s="133" t="n"/>
      <c r="W264" s="133" t="n"/>
      <c r="X264" s="133" t="n"/>
      <c r="Y264" s="133" t="n">
        <v>210563</v>
      </c>
      <c r="Z264" s="133" t="n"/>
      <c r="AA264" s="133" t="n"/>
      <c r="AB264" s="133" t="n"/>
      <c r="AC264" s="133" t="n">
        <v>252245</v>
      </c>
      <c r="AD264" s="133" t="n"/>
      <c r="AE264" s="133" t="n"/>
      <c r="AF264" s="133" t="n"/>
      <c r="AG264" s="133" t="n">
        <v>275082</v>
      </c>
      <c r="AH264" s="133" t="n"/>
      <c r="AI264" s="133" t="n"/>
      <c r="AJ264" s="133" t="n"/>
      <c r="AK264" s="133" t="n">
        <v>288604</v>
      </c>
      <c r="AL264" s="133" t="n"/>
      <c r="AM264" s="133" t="n"/>
      <c r="AN264" s="133" t="n"/>
      <c r="AO264" s="133" t="n">
        <v>379375</v>
      </c>
      <c r="AP264" s="133" t="n"/>
      <c r="AQ264" s="133" t="n"/>
      <c r="AR264" s="133" t="n"/>
      <c r="AS264" s="133" t="n">
        <v>460206</v>
      </c>
      <c r="AW264" s="133" t="n">
        <v>543068</v>
      </c>
      <c r="AX264" s="133" t="n"/>
      <c r="AY264" s="133" t="n"/>
      <c r="AZ264" s="133" t="n"/>
      <c r="BA264" s="133" t="n"/>
      <c r="BB264" s="133" t="n"/>
      <c r="BC264" s="133" t="n"/>
      <c r="BD264" s="133" t="n"/>
      <c r="BE264" s="133" t="n"/>
      <c r="BF264" s="133" t="n"/>
      <c r="BG264" s="133" t="n"/>
      <c r="BH264" s="133" t="n"/>
      <c r="BJ264" s="133" t="n"/>
      <c r="BN264" s="133" t="n"/>
      <c r="BO264" s="133" t="n"/>
    </row>
    <row r="265">
      <c r="A265" s="40" t="n"/>
      <c r="B265" s="133" t="n"/>
      <c r="C265" s="133" t="n"/>
      <c r="D265" s="133" t="n"/>
      <c r="E265" s="133" t="n"/>
      <c r="F265" s="133" t="n"/>
      <c r="G265" s="133" t="n"/>
      <c r="H265" s="133" t="n"/>
      <c r="I265" s="133" t="n"/>
      <c r="J265" s="133" t="n"/>
      <c r="K265" s="133" t="n"/>
      <c r="L265" s="133" t="n"/>
      <c r="M265" s="133" t="n"/>
      <c r="N265" s="133" t="n"/>
      <c r="O265" s="133" t="n"/>
      <c r="P265" s="133" t="n"/>
      <c r="Q265" s="133" t="n"/>
      <c r="R265" s="133" t="n"/>
      <c r="S265" s="133" t="n"/>
      <c r="T265" s="133" t="n"/>
      <c r="U265" s="133" t="n"/>
      <c r="V265" s="133" t="n"/>
      <c r="W265" s="133" t="n"/>
      <c r="X265" s="133" t="n"/>
      <c r="Y265" s="133" t="n"/>
      <c r="Z265" s="133" t="n"/>
      <c r="AA265" s="133" t="n"/>
      <c r="AB265" s="133" t="n"/>
      <c r="AC265" s="133" t="n"/>
      <c r="AD265" s="133" t="n"/>
      <c r="AE265" s="133" t="n"/>
      <c r="AF265" s="133" t="n"/>
      <c r="AG265" s="133" t="n"/>
      <c r="AH265" s="133" t="n"/>
      <c r="AI265" s="133" t="n"/>
      <c r="AJ265" s="133" t="n"/>
      <c r="AK265" s="133" t="n"/>
      <c r="AL265" s="133" t="n"/>
      <c r="AM265" s="133" t="n"/>
      <c r="AN265" s="133" t="n"/>
      <c r="AO265" s="133" t="n"/>
      <c r="AP265" s="133" t="n"/>
      <c r="AQ265" s="133" t="n"/>
      <c r="AR265" s="133" t="n"/>
      <c r="AS265" s="133" t="n"/>
      <c r="AW265" s="133" t="n"/>
      <c r="AX265" s="133" t="n"/>
      <c r="AY265" s="133" t="n"/>
      <c r="AZ265" s="133" t="n"/>
      <c r="BA265" s="133" t="n"/>
      <c r="BB265" s="133" t="n"/>
      <c r="BC265" s="133" t="n"/>
      <c r="BD265" s="133" t="n"/>
      <c r="BE265" s="133" t="n"/>
      <c r="BF265" s="133" t="n"/>
      <c r="BG265" s="133" t="n"/>
      <c r="BH265" s="133" t="n"/>
      <c r="BJ265" s="133" t="n"/>
      <c r="BN265" s="133" t="n"/>
      <c r="BO265" s="133" t="n"/>
    </row>
    <row r="266">
      <c r="A266" s="40" t="inlineStr">
        <is>
          <t>Depreciation and amortization (YTD, in '000 USD)</t>
        </is>
      </c>
      <c r="B266" s="133" t="n"/>
      <c r="C266" s="133" t="n"/>
      <c r="D266" s="133" t="n"/>
      <c r="E266" s="133" t="n"/>
      <c r="F266" s="133" t="n"/>
      <c r="G266" s="133" t="n"/>
      <c r="H266" s="133" t="n"/>
      <c r="I266" s="133" t="n"/>
      <c r="J266" s="133" t="n"/>
      <c r="K266" s="133" t="n"/>
      <c r="L266" s="133" t="n"/>
      <c r="M266" s="133" t="n"/>
      <c r="N266" s="133" t="n"/>
      <c r="O266" s="133" t="n"/>
      <c r="P266" s="133" t="n"/>
      <c r="Q266" s="133" t="n"/>
      <c r="R266" s="133" t="n"/>
      <c r="S266" s="133" t="n"/>
      <c r="T266" s="133" t="n"/>
      <c r="U266" s="133" t="n"/>
      <c r="V266" s="133" t="n"/>
      <c r="W266" s="133" t="n"/>
      <c r="X266" s="133" t="n"/>
      <c r="Y266" s="133" t="n"/>
      <c r="Z266" s="133" t="n"/>
      <c r="AA266" s="133" t="n"/>
      <c r="AB266" s="133" t="n"/>
      <c r="AC266" s="133" t="n"/>
      <c r="AD266" s="147" t="n"/>
      <c r="AE266" s="147" t="n"/>
      <c r="AF266" s="147" t="n"/>
      <c r="AG266" s="147" t="n"/>
      <c r="AH266" s="133" t="n"/>
      <c r="AI266" s="133" t="n"/>
      <c r="AJ266" s="133" t="n"/>
      <c r="AK266" s="133" t="n"/>
      <c r="AL266" s="133" t="n"/>
      <c r="AM266" s="133" t="n"/>
      <c r="AN266" s="133" t="n"/>
      <c r="AO266" s="133" t="n"/>
      <c r="AP266" s="133" t="n"/>
      <c r="AQ266" s="133" t="n"/>
      <c r="AR266" s="133" t="n"/>
      <c r="AS266" s="133" t="n"/>
      <c r="AW266" s="133" t="n"/>
      <c r="AX266" s="133" t="n"/>
      <c r="AY266" s="133" t="n"/>
      <c r="AZ266" s="133" t="n"/>
      <c r="BA266" s="133" t="n"/>
      <c r="BB266" s="133" t="n"/>
      <c r="BC266" s="133" t="n"/>
      <c r="BD266" s="133" t="n"/>
      <c r="BE266" s="133" t="n"/>
      <c r="BF266" s="133" t="n"/>
      <c r="BG266" s="133" t="n"/>
      <c r="BH266" s="133" t="n"/>
      <c r="BJ266" s="133" t="n"/>
      <c r="BN266" s="133" t="n"/>
      <c r="BO266" s="133" t="n"/>
    </row>
    <row r="267">
      <c r="A267" s="74" t="inlineStr">
        <is>
          <t>Depreciation</t>
        </is>
      </c>
      <c r="B267" s="133" t="n"/>
      <c r="C267" s="133" t="n"/>
      <c r="D267" s="133" t="n"/>
      <c r="E267" s="133" t="n"/>
      <c r="F267" s="133" t="n"/>
      <c r="G267" s="133" t="n"/>
      <c r="H267" s="133" t="n"/>
      <c r="I267" s="133" t="n"/>
      <c r="J267" s="133" t="n"/>
      <c r="K267" s="133" t="n"/>
      <c r="L267" s="133" t="n"/>
      <c r="M267" s="133" t="n"/>
      <c r="N267" s="133" t="n"/>
      <c r="O267" s="133" t="n"/>
      <c r="P267" s="133" t="n"/>
      <c r="Q267" s="133" t="n">
        <v>16212</v>
      </c>
      <c r="R267" s="133" t="n"/>
      <c r="S267" s="133" t="n"/>
      <c r="T267" s="133" t="n"/>
      <c r="U267" s="133" t="n">
        <v>18796</v>
      </c>
      <c r="V267" s="133" t="n"/>
      <c r="W267" s="133" t="n"/>
      <c r="X267" s="133" t="n"/>
      <c r="Y267" s="133" t="n">
        <v>21108</v>
      </c>
      <c r="Z267" s="133" t="n"/>
      <c r="AA267" s="133" t="n"/>
      <c r="AB267" s="133" t="n"/>
      <c r="AC267" s="133" t="n">
        <v>26489</v>
      </c>
      <c r="AD267" s="133" t="n"/>
      <c r="AE267" s="133" t="n"/>
      <c r="AF267" s="133" t="n"/>
      <c r="AG267" s="133" t="n">
        <v>31334</v>
      </c>
      <c r="AH267" s="133" t="n"/>
      <c r="AI267" s="133" t="n"/>
      <c r="AJ267" s="133" t="n"/>
      <c r="AK267" s="133" t="n">
        <v>37796</v>
      </c>
      <c r="AL267" s="133" t="n"/>
      <c r="AM267" s="133" t="n"/>
      <c r="AN267" s="133" t="n"/>
      <c r="AO267" s="133" t="n">
        <v>44757</v>
      </c>
      <c r="AP267" s="133" t="n"/>
      <c r="AQ267" s="133" t="n"/>
      <c r="AR267" s="133" t="n"/>
      <c r="AS267" s="133" t="n">
        <v>54900</v>
      </c>
      <c r="AW267" s="133" t="n"/>
      <c r="AX267" s="133" t="n"/>
      <c r="AY267" s="133" t="n"/>
      <c r="AZ267" s="133" t="n"/>
      <c r="BA267" s="133" t="n"/>
      <c r="BB267" s="133" t="n"/>
      <c r="BC267" s="133" t="n"/>
      <c r="BD267" s="133" t="n"/>
      <c r="BE267" s="133" t="n"/>
      <c r="BF267" s="133" t="n"/>
      <c r="BG267" s="133" t="n"/>
      <c r="BH267" s="133" t="n"/>
      <c r="BJ267" s="133" t="n"/>
      <c r="BN267" s="133" t="n"/>
      <c r="BO267" s="133" t="n"/>
    </row>
    <row r="268">
      <c r="A268" s="74" t="inlineStr">
        <is>
          <t>Amortization</t>
        </is>
      </c>
      <c r="B268" s="133" t="n"/>
      <c r="C268" s="133" t="n"/>
      <c r="D268" s="133" t="n"/>
      <c r="E268" s="133" t="n"/>
      <c r="F268" s="133" t="n"/>
      <c r="G268" s="133" t="n"/>
      <c r="H268" s="133" t="n"/>
      <c r="I268" s="133" t="n"/>
      <c r="J268" s="133" t="n"/>
      <c r="K268" s="133" t="n"/>
      <c r="L268" s="133" t="n"/>
      <c r="M268" s="133" t="n"/>
      <c r="N268" s="133" t="n"/>
      <c r="O268" s="133" t="n"/>
      <c r="P268" s="133" t="n"/>
      <c r="Q268" s="133" t="n">
        <v>3694</v>
      </c>
      <c r="R268" s="133" t="n"/>
      <c r="S268" s="133" t="n"/>
      <c r="T268" s="133" t="n"/>
      <c r="U268" s="133" t="n">
        <v>2920</v>
      </c>
      <c r="V268" s="133" t="n"/>
      <c r="W268" s="133" t="n"/>
      <c r="X268" s="133" t="n"/>
      <c r="Y268" s="133" t="n">
        <v>2797</v>
      </c>
      <c r="Z268" s="133" t="n"/>
      <c r="AA268" s="133" t="n"/>
      <c r="AB268" s="133" t="n"/>
      <c r="AC268" s="133" t="n">
        <v>2725</v>
      </c>
      <c r="AD268" s="133" t="n"/>
      <c r="AE268" s="133" t="n"/>
      <c r="AF268" s="133" t="n"/>
      <c r="AG268" s="133" t="n">
        <v>2210</v>
      </c>
      <c r="AH268" s="133" t="n"/>
      <c r="AI268" s="133" t="n"/>
      <c r="AJ268" s="133" t="n"/>
      <c r="AK268" s="133" t="n">
        <v>2274</v>
      </c>
      <c r="AL268" s="133" t="n"/>
      <c r="AM268" s="133" t="n"/>
      <c r="AN268" s="133" t="n"/>
      <c r="AO268" s="133" t="n">
        <v>3759</v>
      </c>
      <c r="AP268" s="133" t="n"/>
      <c r="AQ268" s="133" t="n"/>
      <c r="AR268" s="133" t="n"/>
      <c r="AS268" s="133" t="n">
        <v>5899</v>
      </c>
      <c r="AW268" s="133" t="n"/>
      <c r="AX268" s="133" t="n"/>
      <c r="AY268" s="133" t="n"/>
      <c r="AZ268" s="133" t="n"/>
      <c r="BA268" s="133" t="n"/>
      <c r="BB268" s="133" t="n"/>
      <c r="BC268" s="133" t="n"/>
      <c r="BD268" s="133" t="n"/>
      <c r="BE268" s="133" t="n"/>
      <c r="BF268" s="133" t="n"/>
      <c r="BG268" s="133" t="n"/>
      <c r="BH268" s="133" t="n"/>
      <c r="BJ268" s="133" t="n"/>
      <c r="BN268" s="133" t="n"/>
      <c r="BO268" s="133" t="n"/>
    </row>
    <row r="269">
      <c r="A269" s="74" t="inlineStr">
        <is>
          <t>Others</t>
        </is>
      </c>
      <c r="B269" s="133" t="n"/>
      <c r="C269" s="133" t="n"/>
      <c r="D269" s="133" t="n"/>
      <c r="E269" s="133" t="n"/>
      <c r="F269" s="133" t="n"/>
      <c r="G269" s="133" t="n"/>
      <c r="H269" s="133" t="n"/>
      <c r="I269" s="133" t="n"/>
      <c r="J269" s="133" t="n"/>
      <c r="K269" s="133" t="n"/>
      <c r="L269" s="133" t="n"/>
      <c r="M269" s="133" t="n"/>
      <c r="N269" s="147" t="n"/>
      <c r="O269" s="147" t="n"/>
      <c r="P269" s="147" t="n"/>
      <c r="Q269" s="147">
        <f>Q270-SUM(Q267:Q268)</f>
        <v/>
      </c>
      <c r="R269" s="147" t="n"/>
      <c r="S269" s="147" t="n"/>
      <c r="T269" s="147" t="n"/>
      <c r="U269" s="147">
        <f>U270-SUM(U267:U268)</f>
        <v/>
      </c>
      <c r="V269" s="147" t="n"/>
      <c r="W269" s="147" t="n"/>
      <c r="X269" s="147" t="n"/>
      <c r="Y269" s="147">
        <f>Y270-SUM(Y267:Y268)</f>
        <v/>
      </c>
      <c r="Z269" s="147" t="n"/>
      <c r="AA269" s="147" t="n"/>
      <c r="AB269" s="147" t="n"/>
      <c r="AC269" s="147">
        <f>AC270-SUM(AC267:AC268)</f>
        <v/>
      </c>
      <c r="AD269" s="147" t="n"/>
      <c r="AE269" s="147" t="n"/>
      <c r="AF269" s="147" t="n"/>
      <c r="AG269" s="147">
        <f>AG270-SUM(AG267:AG268)</f>
        <v/>
      </c>
      <c r="AH269" s="147" t="n"/>
      <c r="AI269" s="147" t="n"/>
      <c r="AJ269" s="147" t="n"/>
      <c r="AK269" s="147">
        <f>AK270-SUM(AK267:AK268)</f>
        <v/>
      </c>
      <c r="AL269" s="147" t="n"/>
      <c r="AM269" s="147" t="n"/>
      <c r="AN269" s="147" t="n"/>
      <c r="AO269" s="147">
        <f>AO270-SUM(AO267:AO268)</f>
        <v/>
      </c>
      <c r="AP269" s="147" t="n"/>
      <c r="AQ269" s="147" t="n"/>
      <c r="AR269" s="147" t="n"/>
      <c r="AS269" s="147">
        <f>AS270-SUM(AS267:AS268)</f>
        <v/>
      </c>
      <c r="AW269" s="147" t="n"/>
      <c r="AX269" s="147" t="n"/>
      <c r="AY269" s="147" t="n"/>
      <c r="AZ269" s="147" t="n"/>
      <c r="BA269" s="147" t="n"/>
      <c r="BB269" s="147" t="n"/>
      <c r="BC269" s="147" t="n"/>
      <c r="BD269" s="147" t="n"/>
      <c r="BE269" s="147" t="n"/>
      <c r="BF269" s="147" t="n"/>
      <c r="BG269" s="147" t="n"/>
      <c r="BH269" s="147" t="n"/>
      <c r="BJ269" s="147" t="n"/>
      <c r="BN269" s="147" t="n"/>
      <c r="BO269" s="147" t="n"/>
    </row>
    <row r="270">
      <c r="A270" s="40" t="inlineStr">
        <is>
          <t>Total</t>
        </is>
      </c>
      <c r="B270" s="133" t="n"/>
      <c r="C270" s="133" t="n"/>
      <c r="D270" s="133" t="n"/>
      <c r="E270" s="133" t="n"/>
      <c r="F270" s="133" t="n"/>
      <c r="G270" s="133" t="n"/>
      <c r="H270" s="133" t="n"/>
      <c r="I270" s="133" t="n"/>
      <c r="J270" s="133" t="n"/>
      <c r="K270" s="133" t="n"/>
      <c r="L270" s="133" t="n"/>
      <c r="M270" s="133" t="n"/>
      <c r="N270" s="671" t="n"/>
      <c r="O270" s="671" t="n"/>
      <c r="P270" s="671" t="n"/>
      <c r="Q270" s="671">
        <f>Q173</f>
        <v/>
      </c>
      <c r="R270" s="671" t="n"/>
      <c r="S270" s="671" t="n"/>
      <c r="T270" s="671" t="n"/>
      <c r="U270" s="671">
        <f>U173</f>
        <v/>
      </c>
      <c r="V270" s="671" t="n"/>
      <c r="W270" s="671" t="n"/>
      <c r="X270" s="671" t="n"/>
      <c r="Y270" s="671">
        <f>Y173</f>
        <v/>
      </c>
      <c r="Z270" s="671" t="n"/>
      <c r="AA270" s="671" t="n"/>
      <c r="AB270" s="671" t="n"/>
      <c r="AC270" s="671">
        <f>AC173</f>
        <v/>
      </c>
      <c r="AD270" s="671" t="n"/>
      <c r="AE270" s="671" t="n"/>
      <c r="AF270" s="671" t="n"/>
      <c r="AG270" s="671">
        <f>AG173</f>
        <v/>
      </c>
      <c r="AH270" s="671" t="n"/>
      <c r="AI270" s="671" t="n"/>
      <c r="AJ270" s="671" t="n"/>
      <c r="AK270" s="671">
        <f>AK173</f>
        <v/>
      </c>
      <c r="AL270" s="671" t="n"/>
      <c r="AM270" s="671" t="n"/>
      <c r="AN270" s="671" t="n"/>
      <c r="AO270" s="671">
        <f>AO173</f>
        <v/>
      </c>
      <c r="AP270" s="671" t="n"/>
      <c r="AQ270" s="671" t="n"/>
      <c r="AR270" s="671" t="n"/>
      <c r="AS270" s="671">
        <f>AS173</f>
        <v/>
      </c>
      <c r="AW270" s="671" t="n"/>
      <c r="AX270" s="671" t="n"/>
      <c r="AY270" s="671" t="n"/>
      <c r="AZ270" s="671" t="n"/>
      <c r="BA270" s="671" t="n"/>
      <c r="BB270" s="671" t="n"/>
      <c r="BC270" s="671" t="n"/>
      <c r="BD270" s="671" t="n"/>
      <c r="BE270" s="671" t="n"/>
      <c r="BF270" s="671" t="n"/>
      <c r="BG270" s="671" t="n"/>
      <c r="BH270" s="671" t="n"/>
      <c r="BJ270" s="671" t="n"/>
      <c r="BN270" s="671" t="n"/>
      <c r="BO270" s="671" t="n"/>
    </row>
    <row r="271">
      <c r="A271" s="40" t="n"/>
      <c r="B271" s="133" t="n"/>
      <c r="C271" s="133" t="n"/>
      <c r="D271" s="133" t="n"/>
      <c r="E271" s="133" t="n"/>
      <c r="F271" s="133" t="n"/>
      <c r="G271" s="133" t="n"/>
      <c r="H271" s="133" t="n"/>
      <c r="I271" s="133" t="n"/>
      <c r="J271" s="133" t="n"/>
      <c r="K271" s="133" t="n"/>
      <c r="L271" s="133" t="n"/>
      <c r="M271" s="133" t="n"/>
      <c r="N271" s="671" t="n"/>
      <c r="O271" s="671" t="n"/>
      <c r="P271" s="671" t="n"/>
      <c r="Q271" s="671" t="n"/>
      <c r="R271" s="671" t="n"/>
      <c r="S271" s="671" t="n"/>
      <c r="T271" s="671" t="n"/>
      <c r="U271" s="671" t="n"/>
      <c r="V271" s="671" t="n"/>
      <c r="W271" s="671" t="n"/>
      <c r="X271" s="671" t="n"/>
      <c r="Y271" s="671" t="n"/>
      <c r="Z271" s="671" t="n"/>
      <c r="AA271" s="671" t="n"/>
      <c r="AB271" s="671" t="n"/>
      <c r="AC271" s="671" t="n"/>
      <c r="AD271" s="671" t="n"/>
      <c r="AE271" s="671" t="n"/>
      <c r="AF271" s="671" t="n"/>
      <c r="AG271" s="671" t="n"/>
      <c r="AH271" s="671" t="n"/>
      <c r="AI271" s="671" t="n"/>
      <c r="AJ271" s="671" t="n"/>
      <c r="AK271" s="671" t="n"/>
      <c r="AL271" s="671" t="n"/>
      <c r="AM271" s="671" t="n"/>
      <c r="AN271" s="671" t="n"/>
      <c r="AO271" s="671" t="n"/>
      <c r="AP271" s="671" t="n"/>
      <c r="AQ271" s="671" t="n"/>
      <c r="AR271" s="671" t="n"/>
      <c r="AS271" s="671" t="n"/>
      <c r="AW271" s="671" t="n"/>
      <c r="AX271" s="671" t="n"/>
      <c r="AY271" s="671" t="n"/>
      <c r="AZ271" s="671" t="n"/>
      <c r="BA271" s="671" t="n"/>
      <c r="BB271" s="671" t="n"/>
      <c r="BC271" s="671" t="n"/>
      <c r="BD271" s="671" t="n"/>
      <c r="BE271" s="671" t="n"/>
      <c r="BF271" s="671" t="n"/>
      <c r="BG271" s="671" t="n"/>
      <c r="BH271" s="671" t="n"/>
      <c r="BJ271" s="671" t="n"/>
      <c r="BN271" s="671" t="n"/>
      <c r="BO271" s="671" t="n"/>
    </row>
    <row r="272">
      <c r="A272" s="40" t="inlineStr">
        <is>
          <t>Inventories (in '000 USD)</t>
        </is>
      </c>
      <c r="B272" s="133" t="n"/>
      <c r="C272" s="133" t="n"/>
      <c r="D272" s="133" t="n"/>
      <c r="E272" s="133" t="n"/>
      <c r="F272" s="133" t="n"/>
      <c r="G272" s="133" t="n"/>
      <c r="H272" s="133" t="n"/>
      <c r="I272" s="133" t="n"/>
      <c r="J272" s="133" t="n"/>
      <c r="K272" s="133" t="n"/>
      <c r="L272" s="133" t="n"/>
      <c r="M272" s="133" t="n"/>
      <c r="N272" s="671" t="n"/>
      <c r="O272" s="671" t="n"/>
      <c r="P272" s="671" t="n"/>
      <c r="Q272" s="671" t="n"/>
      <c r="R272" s="671" t="n"/>
      <c r="S272" s="671" t="n"/>
      <c r="T272" s="671" t="n"/>
      <c r="U272" s="671" t="n"/>
      <c r="V272" s="671" t="n"/>
      <c r="W272" s="671" t="n"/>
      <c r="X272" s="671" t="n"/>
      <c r="Y272" s="671" t="n"/>
      <c r="Z272" s="671" t="n"/>
      <c r="AA272" s="671" t="n"/>
      <c r="AB272" s="671" t="n"/>
      <c r="AC272" s="671" t="n"/>
      <c r="AD272" s="671" t="n"/>
      <c r="AE272" s="671" t="n"/>
      <c r="AF272" s="671" t="n"/>
      <c r="AG272" s="671" t="n"/>
      <c r="AH272" s="671" t="n"/>
      <c r="AI272" s="671" t="n"/>
      <c r="AJ272" s="671" t="n"/>
      <c r="AK272" s="671" t="n"/>
      <c r="AL272" s="671" t="n"/>
      <c r="AM272" s="671" t="n"/>
      <c r="AN272" s="671" t="n"/>
      <c r="AO272" s="671" t="n"/>
      <c r="AP272" s="671" t="n"/>
      <c r="AQ272" s="671" t="n"/>
      <c r="AR272" s="671" t="n"/>
      <c r="AS272" s="671" t="n"/>
      <c r="AW272" s="671" t="n"/>
      <c r="AX272" s="671" t="n"/>
      <c r="AY272" s="671" t="n"/>
      <c r="AZ272" s="671" t="n"/>
      <c r="BA272" s="671" t="n"/>
      <c r="BB272" s="671" t="n"/>
      <c r="BC272" s="671" t="n"/>
      <c r="BD272" s="671" t="n"/>
      <c r="BE272" s="671" t="n"/>
      <c r="BF272" s="671" t="n"/>
      <c r="BG272" s="671" t="n"/>
      <c r="BH272" s="671" t="n"/>
      <c r="BJ272" s="671" t="n"/>
      <c r="BN272" s="671" t="n"/>
      <c r="BO272" s="671" t="n"/>
    </row>
    <row r="273">
      <c r="A273" s="74" t="inlineStr">
        <is>
          <t>Components and raw materials</t>
        </is>
      </c>
      <c r="B273" s="133" t="n"/>
      <c r="C273" s="133" t="n"/>
      <c r="D273" s="133" t="n"/>
      <c r="E273" s="133" t="n"/>
      <c r="F273" s="133" t="n"/>
      <c r="G273" s="133" t="n"/>
      <c r="H273" s="133" t="n"/>
      <c r="I273" s="133" t="n"/>
      <c r="J273" s="133" t="n"/>
      <c r="K273" s="133" t="n"/>
      <c r="L273" s="133" t="n"/>
      <c r="M273" s="133" t="n"/>
      <c r="N273" s="145" t="n">
        <v>17092</v>
      </c>
      <c r="O273" s="145" t="n">
        <v>17605</v>
      </c>
      <c r="P273" s="145" t="n">
        <v>22261</v>
      </c>
      <c r="Q273" s="145" t="n">
        <v>25126</v>
      </c>
      <c r="R273" s="145" t="n">
        <v>29772</v>
      </c>
      <c r="S273" s="145" t="n">
        <v>38963</v>
      </c>
      <c r="T273" s="145" t="n">
        <v>42428</v>
      </c>
      <c r="U273" s="145" t="n">
        <v>41107</v>
      </c>
      <c r="V273" s="145" t="n">
        <v>42380</v>
      </c>
      <c r="W273" s="145" t="n">
        <v>44053</v>
      </c>
      <c r="X273" s="145" t="n">
        <v>48744</v>
      </c>
      <c r="Y273" s="145" t="n">
        <v>53436</v>
      </c>
      <c r="Z273" s="145" t="n">
        <v>53603</v>
      </c>
      <c r="AA273" s="145" t="n">
        <v>58578</v>
      </c>
      <c r="AB273" s="145" t="n">
        <v>56738</v>
      </c>
      <c r="AC273" s="145" t="n">
        <v>54539</v>
      </c>
      <c r="AD273" s="145" t="n">
        <v>48513</v>
      </c>
      <c r="AE273" s="145" t="n">
        <v>54376</v>
      </c>
      <c r="AF273" s="145" t="n">
        <v>58172</v>
      </c>
      <c r="AG273" s="145" t="n">
        <v>54925</v>
      </c>
      <c r="AH273" s="145" t="n">
        <v>54004</v>
      </c>
      <c r="AI273" s="145" t="n">
        <v>66618</v>
      </c>
      <c r="AJ273" s="145" t="n">
        <v>71297</v>
      </c>
      <c r="AK273" s="145" t="n">
        <v>70394</v>
      </c>
      <c r="AL273" s="145" t="n">
        <v>81922</v>
      </c>
      <c r="AM273" s="145" t="n">
        <v>89686</v>
      </c>
      <c r="AN273" s="145" t="n">
        <v>99251</v>
      </c>
      <c r="AO273" s="145" t="n">
        <v>93284</v>
      </c>
      <c r="AP273" s="145" t="n">
        <v>106829</v>
      </c>
      <c r="AQ273" s="145" t="n">
        <v>116399</v>
      </c>
      <c r="AR273" s="145" t="n">
        <v>131920</v>
      </c>
      <c r="AS273" s="145" t="n">
        <v>145261</v>
      </c>
      <c r="AT273" s="660" t="n"/>
      <c r="AU273" s="660" t="n"/>
      <c r="AV273" s="660" t="n"/>
      <c r="AW273" s="145" t="n"/>
      <c r="AX273" s="145" t="n"/>
      <c r="AY273" s="145" t="n"/>
      <c r="AZ273" s="145" t="n"/>
      <c r="BA273" s="145" t="n"/>
      <c r="BB273" s="145" t="n"/>
      <c r="BC273" s="145" t="n"/>
      <c r="BD273" s="145" t="n"/>
      <c r="BE273" s="145" t="n"/>
      <c r="BF273" s="145" t="n"/>
      <c r="BG273" s="145" t="n"/>
      <c r="BH273" s="145" t="n"/>
      <c r="BJ273" s="145" t="n"/>
      <c r="BN273" s="145" t="n"/>
      <c r="BO273" s="145" t="n"/>
    </row>
    <row r="274">
      <c r="A274" s="74" t="inlineStr">
        <is>
          <t>Work-in-process</t>
        </is>
      </c>
      <c r="B274" s="133" t="n"/>
      <c r="C274" s="133" t="n"/>
      <c r="D274" s="133" t="n"/>
      <c r="E274" s="133" t="n"/>
      <c r="F274" s="133" t="n"/>
      <c r="G274" s="133" t="n"/>
      <c r="H274" s="133" t="n"/>
      <c r="I274" s="133" t="n"/>
      <c r="J274" s="133" t="n"/>
      <c r="K274" s="133" t="n"/>
      <c r="L274" s="133" t="n"/>
      <c r="M274" s="133" t="n"/>
      <c r="N274" s="145" t="n">
        <v>22089</v>
      </c>
      <c r="O274" s="145" t="n">
        <v>21240</v>
      </c>
      <c r="P274" s="145" t="n">
        <v>23008</v>
      </c>
      <c r="Q274" s="145" t="n">
        <v>24392</v>
      </c>
      <c r="R274" s="145" t="n">
        <v>30666</v>
      </c>
      <c r="S274" s="145" t="n">
        <v>36929</v>
      </c>
      <c r="T274" s="145" t="n">
        <v>39300</v>
      </c>
      <c r="U274" s="145" t="n">
        <v>40380</v>
      </c>
      <c r="V274" s="145" t="n">
        <v>45614</v>
      </c>
      <c r="W274" s="145" t="n">
        <v>40586</v>
      </c>
      <c r="X274" s="145" t="n">
        <v>43002</v>
      </c>
      <c r="Y274" s="145" t="n">
        <v>46240</v>
      </c>
      <c r="Z274" s="145" t="n">
        <v>50394</v>
      </c>
      <c r="AA274" s="145" t="n">
        <v>50412</v>
      </c>
      <c r="AB274" s="145" t="n">
        <v>60391</v>
      </c>
      <c r="AC274" s="145" t="n">
        <v>64927</v>
      </c>
      <c r="AD274" s="145" t="n">
        <v>64385</v>
      </c>
      <c r="AE274" s="145" t="n">
        <v>67886</v>
      </c>
      <c r="AF274" s="145" t="n">
        <v>63823</v>
      </c>
      <c r="AG274" s="145" t="n">
        <v>58603</v>
      </c>
      <c r="AH274" s="145" t="n">
        <v>52016</v>
      </c>
      <c r="AI274" s="145" t="n">
        <v>46387</v>
      </c>
      <c r="AJ274" s="145" t="n">
        <v>35272</v>
      </c>
      <c r="AK274" s="145" t="n">
        <v>43259</v>
      </c>
      <c r="AL274" s="145" t="n">
        <v>39648</v>
      </c>
      <c r="AM274" s="145" t="n">
        <v>35353</v>
      </c>
      <c r="AN274" s="145" t="n">
        <v>29316</v>
      </c>
      <c r="AO274" s="145" t="n">
        <v>44723</v>
      </c>
      <c r="AP274" s="145" t="n">
        <v>24666</v>
      </c>
      <c r="AQ274" s="145" t="n">
        <v>26755</v>
      </c>
      <c r="AR274" s="145" t="n">
        <v>35097</v>
      </c>
      <c r="AS274" s="145" t="n">
        <v>43646</v>
      </c>
      <c r="AT274" s="660" t="n"/>
      <c r="AU274" s="660" t="n"/>
      <c r="AV274" s="660" t="n"/>
      <c r="AW274" s="145" t="n"/>
      <c r="AX274" s="145" t="n"/>
      <c r="AY274" s="145" t="n"/>
      <c r="AZ274" s="145" t="n"/>
      <c r="BA274" s="145" t="n"/>
      <c r="BB274" s="145" t="n"/>
      <c r="BC274" s="145" t="n"/>
      <c r="BD274" s="145" t="n"/>
      <c r="BE274" s="145" t="n"/>
      <c r="BF274" s="145" t="n"/>
      <c r="BG274" s="145" t="n"/>
      <c r="BH274" s="145" t="n"/>
      <c r="BJ274" s="145" t="n"/>
      <c r="BN274" s="145" t="n"/>
      <c r="BO274" s="145" t="n"/>
    </row>
    <row r="275">
      <c r="A275" s="74" t="inlineStr">
        <is>
          <t>Finished goods</t>
        </is>
      </c>
      <c r="B275" s="133" t="n"/>
      <c r="C275" s="133" t="n"/>
      <c r="D275" s="133" t="n"/>
      <c r="E275" s="133" t="n"/>
      <c r="F275" s="133" t="n"/>
      <c r="G275" s="133" t="n"/>
      <c r="H275" s="133" t="n"/>
      <c r="I275" s="133" t="n"/>
      <c r="J275" s="133" t="n"/>
      <c r="K275" s="133" t="n"/>
      <c r="L275" s="133" t="n"/>
      <c r="M275" s="133" t="n"/>
      <c r="N275" s="145" t="n">
        <v>12954</v>
      </c>
      <c r="O275" s="145" t="n">
        <v>15184</v>
      </c>
      <c r="P275" s="145" t="n">
        <v>19629</v>
      </c>
      <c r="Q275" s="145" t="n">
        <v>22952</v>
      </c>
      <c r="R275" s="145" t="n">
        <v>28260</v>
      </c>
      <c r="S275" s="145" t="n">
        <v>33381</v>
      </c>
      <c r="T275" s="145" t="n">
        <v>35548</v>
      </c>
      <c r="U275" s="145" t="n">
        <v>35491</v>
      </c>
      <c r="V275" s="145" t="n">
        <v>35436</v>
      </c>
      <c r="W275" s="145" t="n">
        <v>37340</v>
      </c>
      <c r="X275" s="145" t="n">
        <v>43375</v>
      </c>
      <c r="Y275" s="145" t="n">
        <v>39942</v>
      </c>
      <c r="Z275" s="145" t="n">
        <v>38099</v>
      </c>
      <c r="AA275" s="145" t="n">
        <v>45103</v>
      </c>
      <c r="AB275" s="145" t="n">
        <v>54139</v>
      </c>
      <c r="AC275" s="145" t="n">
        <v>53234</v>
      </c>
      <c r="AD275" s="145" t="n">
        <v>57658</v>
      </c>
      <c r="AE275" s="145" t="n">
        <v>56663</v>
      </c>
      <c r="AF275" s="145" t="n">
        <v>57481</v>
      </c>
      <c r="AG275" s="145" t="n">
        <v>57481</v>
      </c>
      <c r="AH275" s="145" t="n">
        <v>68120</v>
      </c>
      <c r="AI275" s="145" t="n">
        <v>77843</v>
      </c>
      <c r="AJ275" s="145" t="n">
        <v>91066</v>
      </c>
      <c r="AK275" s="145" t="n">
        <v>90085</v>
      </c>
      <c r="AL275" s="145" t="n">
        <v>105337</v>
      </c>
      <c r="AM275" s="145" t="n">
        <v>116243</v>
      </c>
      <c r="AN275" s="145" t="n">
        <v>113803</v>
      </c>
      <c r="AO275" s="145" t="n">
        <v>101003</v>
      </c>
      <c r="AP275" s="145" t="n">
        <v>130398</v>
      </c>
      <c r="AQ275" s="145" t="n">
        <v>117507</v>
      </c>
      <c r="AR275" s="145" t="n">
        <v>115478</v>
      </c>
      <c r="AS275" s="145" t="n">
        <v>118805</v>
      </c>
      <c r="AT275" s="660" t="n"/>
      <c r="AU275" s="660" t="n"/>
      <c r="AV275" s="660" t="n"/>
      <c r="AW275" s="145" t="n"/>
      <c r="AX275" s="145" t="n"/>
      <c r="AY275" s="145" t="n"/>
      <c r="AZ275" s="145" t="n"/>
      <c r="BA275" s="145" t="n"/>
      <c r="BB275" s="145" t="n"/>
      <c r="BC275" s="145" t="n"/>
      <c r="BD275" s="145" t="n"/>
      <c r="BE275" s="145" t="n"/>
      <c r="BF275" s="145" t="n"/>
      <c r="BG275" s="145" t="n"/>
      <c r="BH275" s="145" t="n"/>
      <c r="BJ275" s="145" t="n"/>
      <c r="BN275" s="145" t="n"/>
      <c r="BO275" s="145" t="n"/>
    </row>
    <row r="276">
      <c r="A276" s="40" t="inlineStr">
        <is>
          <t>Total</t>
        </is>
      </c>
      <c r="B276" s="145" t="n"/>
      <c r="C276" s="145" t="n"/>
      <c r="D276" s="145" t="n"/>
      <c r="E276" s="145" t="n"/>
      <c r="F276" s="145" t="n"/>
      <c r="G276" s="145" t="n"/>
      <c r="H276" s="145" t="n"/>
      <c r="I276" s="145" t="n"/>
      <c r="J276" s="145" t="n"/>
      <c r="K276" s="145" t="n"/>
      <c r="L276" s="145" t="n"/>
      <c r="M276" s="145" t="n"/>
      <c r="N276" s="133" t="n">
        <v>52135</v>
      </c>
      <c r="O276" s="133" t="n">
        <v>54029</v>
      </c>
      <c r="P276" s="133" t="n">
        <v>64898</v>
      </c>
      <c r="Q276" s="133" t="n">
        <v>72470</v>
      </c>
      <c r="R276" s="133" t="n">
        <v>88698</v>
      </c>
      <c r="S276" s="133" t="n">
        <v>109273</v>
      </c>
      <c r="T276" s="133" t="n">
        <v>117276</v>
      </c>
      <c r="U276" s="133" t="n">
        <v>116978</v>
      </c>
      <c r="V276" s="133" t="n">
        <v>123430</v>
      </c>
      <c r="W276" s="133" t="n">
        <v>121979</v>
      </c>
      <c r="X276" s="133" t="n">
        <v>135121</v>
      </c>
      <c r="Y276" s="133" t="n">
        <v>139618</v>
      </c>
      <c r="Z276" s="133" t="n">
        <v>142096</v>
      </c>
      <c r="AA276" s="133" t="n">
        <v>154093</v>
      </c>
      <c r="AB276" s="133" t="n">
        <v>171268</v>
      </c>
      <c r="AC276" s="133" t="n">
        <v>172700</v>
      </c>
      <c r="AD276" s="133" t="n">
        <v>170556</v>
      </c>
      <c r="AE276" s="133" t="n">
        <v>178925</v>
      </c>
      <c r="AF276" s="133" t="n">
        <v>179476</v>
      </c>
      <c r="AG276" s="133" t="n">
        <v>171009</v>
      </c>
      <c r="AH276" s="133" t="n">
        <v>174140</v>
      </c>
      <c r="AI276" s="133" t="n">
        <v>190848</v>
      </c>
      <c r="AJ276" s="133" t="n">
        <v>197635</v>
      </c>
      <c r="AK276" s="133" t="n">
        <v>203738</v>
      </c>
      <c r="AL276" s="133" t="n">
        <v>226907</v>
      </c>
      <c r="AM276" s="133" t="n">
        <v>241282</v>
      </c>
      <c r="AN276" s="133" t="n">
        <v>242370</v>
      </c>
      <c r="AO276" s="133" t="n">
        <v>239010</v>
      </c>
      <c r="AP276" s="133" t="n">
        <v>261893</v>
      </c>
      <c r="AQ276" s="133" t="n">
        <v>260661</v>
      </c>
      <c r="AR276" s="133" t="n">
        <v>282495</v>
      </c>
      <c r="AS276" s="133" t="n">
        <v>307712</v>
      </c>
      <c r="AT276" s="660" t="n"/>
      <c r="AU276" s="660" t="n"/>
      <c r="AV276" s="660" t="n"/>
      <c r="AW276" s="133" t="n"/>
      <c r="AX276" s="133" t="n"/>
      <c r="AY276" s="133" t="n"/>
      <c r="AZ276" s="133" t="n"/>
      <c r="BA276" s="133" t="n"/>
      <c r="BB276" s="133" t="n"/>
      <c r="BC276" s="133" t="n"/>
      <c r="BD276" s="133" t="n"/>
      <c r="BE276" s="133" t="n"/>
      <c r="BF276" s="133" t="n"/>
      <c r="BG276" s="133" t="n"/>
      <c r="BH276" s="133" t="n"/>
      <c r="BJ276" s="133" t="n"/>
      <c r="BN276" s="133" t="n"/>
      <c r="BO276" s="133" t="n"/>
    </row>
    <row r="277">
      <c r="A277" s="105" t="n"/>
      <c r="B277" s="145" t="n"/>
      <c r="C277" s="145" t="n"/>
      <c r="D277" s="145" t="n"/>
      <c r="E277" s="145" t="n"/>
      <c r="F277" s="145" t="n"/>
      <c r="G277" s="145" t="n"/>
      <c r="H277" s="145" t="n"/>
      <c r="I277" s="145" t="n"/>
      <c r="J277" s="145" t="n"/>
      <c r="K277" s="145" t="n"/>
      <c r="L277" s="145" t="n"/>
      <c r="M277" s="145" t="n"/>
      <c r="N277" s="145" t="n"/>
      <c r="O277" s="145" t="n"/>
      <c r="P277" s="145" t="n"/>
      <c r="Q277" s="145" t="n"/>
      <c r="R277" s="145" t="n"/>
      <c r="S277" s="145" t="n"/>
      <c r="T277" s="145" t="n"/>
      <c r="U277" s="145" t="n"/>
      <c r="V277" s="145" t="n"/>
      <c r="W277" s="145" t="n"/>
      <c r="X277" s="145" t="n"/>
      <c r="Y277" s="145" t="n"/>
      <c r="Z277" s="145" t="n"/>
      <c r="AA277" s="145" t="n"/>
      <c r="AB277" s="145" t="n"/>
      <c r="AC277" s="145" t="n"/>
      <c r="AD277" s="145" t="n"/>
      <c r="AE277" s="145" t="n"/>
      <c r="AF277" s="145" t="n"/>
      <c r="AG277" s="145" t="n"/>
      <c r="AH277" s="145" t="n"/>
      <c r="AI277" s="145" t="n"/>
      <c r="AJ277" s="145" t="n"/>
      <c r="AK277" s="145" t="n"/>
      <c r="AL277" s="145" t="n"/>
      <c r="AM277" s="145" t="n"/>
      <c r="AN277" s="145" t="n"/>
      <c r="AO277" s="145" t="n"/>
      <c r="AP277" s="145" t="n"/>
      <c r="AQ277" s="145" t="n"/>
      <c r="AR277" s="145" t="n"/>
      <c r="AS277" s="145" t="n"/>
      <c r="AW277" s="145" t="n"/>
      <c r="AX277" s="145" t="n"/>
      <c r="AY277" s="145" t="n"/>
      <c r="AZ277" s="145" t="n"/>
      <c r="BA277" s="145" t="n"/>
      <c r="BB277" s="145" t="n"/>
      <c r="BC277" s="145" t="n"/>
      <c r="BD277" s="145" t="n"/>
      <c r="BE277" s="145" t="n"/>
      <c r="BF277" s="145" t="n"/>
      <c r="BG277" s="145" t="n"/>
      <c r="BH277" s="145" t="n"/>
      <c r="BJ277" s="145" t="n"/>
      <c r="BN277" s="145" t="n"/>
      <c r="BO277" s="145" t="n"/>
    </row>
    <row r="278">
      <c r="A278" s="455" t="inlineStr">
        <is>
          <t>Check</t>
        </is>
      </c>
      <c r="B278" s="145" t="n"/>
      <c r="C278" s="145" t="n"/>
      <c r="D278" s="145" t="n"/>
      <c r="E278" s="145" t="n"/>
      <c r="F278" s="145" t="n"/>
      <c r="G278" s="145" t="n"/>
      <c r="H278" s="145" t="n"/>
      <c r="I278" s="145" t="n"/>
      <c r="J278" s="145" t="n"/>
      <c r="K278" s="145" t="n"/>
      <c r="L278" s="145" t="n"/>
      <c r="M278" s="145" t="n"/>
      <c r="N278" s="400">
        <f>SUM(N244:N245)-N246</f>
        <v/>
      </c>
      <c r="O278" s="400">
        <f>SUM(O244:O245)-O246</f>
        <v/>
      </c>
      <c r="P278" s="400">
        <f>SUM(P244:P245)-P246</f>
        <v/>
      </c>
      <c r="Q278" s="400">
        <f>SUM(Q244:Q245)-Q246</f>
        <v/>
      </c>
      <c r="R278" s="400">
        <f>SUM(R244:R245)-R246</f>
        <v/>
      </c>
      <c r="S278" s="400">
        <f>SUM(S244:S245)-S246</f>
        <v/>
      </c>
      <c r="T278" s="400">
        <f>SUM(T244:T245)-T246</f>
        <v/>
      </c>
      <c r="U278" s="400">
        <f>SUM(U244:U245)-U246</f>
        <v/>
      </c>
      <c r="V278" s="400">
        <f>SUM(V244:V245)-V246</f>
        <v/>
      </c>
      <c r="W278" s="400">
        <f>SUM(W244:W245)-W246</f>
        <v/>
      </c>
      <c r="X278" s="400">
        <f>SUM(X244:X245)-X246</f>
        <v/>
      </c>
      <c r="Y278" s="400">
        <f>SUM(Y244:Y245)-Y246</f>
        <v/>
      </c>
      <c r="Z278" s="400">
        <f>SUM(Z244:Z245)-Z246</f>
        <v/>
      </c>
      <c r="AA278" s="400">
        <f>SUM(AA244:AA245)-AA246</f>
        <v/>
      </c>
      <c r="AB278" s="400">
        <f>SUM(AB244:AB245)-AB246</f>
        <v/>
      </c>
      <c r="AC278" s="400">
        <f>SUM(AC244:AC245)-AC246</f>
        <v/>
      </c>
      <c r="AD278" s="400">
        <f>SUM(AD244:AD245)-AD246</f>
        <v/>
      </c>
      <c r="AE278" s="400">
        <f>SUM(AE244:AE245)-AE246</f>
        <v/>
      </c>
      <c r="AF278" s="400">
        <f>SUM(AF244:AF245)-AF246</f>
        <v/>
      </c>
      <c r="AG278" s="400">
        <f>SUM(AG244:AG245)-AG246</f>
        <v/>
      </c>
      <c r="AH278" s="400">
        <f>SUM(AH244:AH245)-AH246</f>
        <v/>
      </c>
      <c r="AI278" s="400">
        <f>SUM(AI244:AI245)-AI246</f>
        <v/>
      </c>
      <c r="AJ278" s="400">
        <f>SUM(AJ244:AJ245)-AJ246</f>
        <v/>
      </c>
      <c r="AK278" s="400">
        <f>SUM(AK244:AK245)-AK246</f>
        <v/>
      </c>
      <c r="AL278" s="400">
        <f>SUM(AL244:AL245)-AL246</f>
        <v/>
      </c>
      <c r="AM278" s="400">
        <f>SUM(AM244:AM245)-AM246</f>
        <v/>
      </c>
      <c r="AN278" s="400">
        <f>SUM(AN244:AN245)-AN246</f>
        <v/>
      </c>
      <c r="AO278" s="400">
        <f>SUM(AO244:AO245)-AO246</f>
        <v/>
      </c>
      <c r="AP278" s="400">
        <f>SUM(AP244:AP245)-AP246</f>
        <v/>
      </c>
      <c r="AQ278" s="400">
        <f>SUM(AQ244:AQ245)-AQ246</f>
        <v/>
      </c>
      <c r="AR278" s="400">
        <f>SUM(AR244:AR245)-AR246</f>
        <v/>
      </c>
      <c r="AS278" s="400">
        <f>SUM(AS244:AS245)-AS246</f>
        <v/>
      </c>
      <c r="AW278" s="400" t="n"/>
      <c r="AX278" s="400" t="n"/>
      <c r="AY278" s="400" t="n"/>
      <c r="AZ278" s="400" t="n"/>
      <c r="BA278" s="400" t="n"/>
      <c r="BB278" s="400" t="n"/>
      <c r="BC278" s="400" t="n"/>
      <c r="BD278" s="400" t="n"/>
      <c r="BE278" s="400" t="n"/>
      <c r="BF278" s="400" t="n"/>
      <c r="BG278" s="400" t="n"/>
      <c r="BH278" s="400" t="n"/>
      <c r="BJ278" s="400" t="n"/>
      <c r="BN278" s="400" t="n"/>
      <c r="BO278" s="400" t="n"/>
    </row>
    <row r="279">
      <c r="A279" s="455">
        <f>A278</f>
        <v/>
      </c>
      <c r="B279" s="145" t="n"/>
      <c r="C279" s="145" t="n"/>
      <c r="D279" s="145" t="n"/>
      <c r="E279" s="145" t="n"/>
      <c r="F279" s="145" t="n"/>
      <c r="G279" s="145" t="n"/>
      <c r="H279" s="145" t="n"/>
      <c r="I279" s="145" t="n"/>
      <c r="J279" s="145" t="n"/>
      <c r="K279" s="145" t="n"/>
      <c r="L279" s="145" t="n"/>
      <c r="M279" s="145" t="n"/>
      <c r="N279" s="400">
        <f>SUM(N249:N253)-N254</f>
        <v/>
      </c>
      <c r="O279" s="400">
        <f>SUM(O249:O253)-O254</f>
        <v/>
      </c>
      <c r="P279" s="400">
        <f>SUM(P249:P253)-P254</f>
        <v/>
      </c>
      <c r="Q279" s="400">
        <f>SUM(Q249:Q253)-Q254</f>
        <v/>
      </c>
      <c r="R279" s="400">
        <f>SUM(R249:R253)-R254</f>
        <v/>
      </c>
      <c r="S279" s="400">
        <f>SUM(S249:S253)-S254</f>
        <v/>
      </c>
      <c r="T279" s="400">
        <f>SUM(T249:T253)-T254</f>
        <v/>
      </c>
      <c r="U279" s="400">
        <f>SUM(U249:U253)-U254</f>
        <v/>
      </c>
      <c r="V279" s="400">
        <f>SUM(V249:V253)-V254</f>
        <v/>
      </c>
      <c r="W279" s="400">
        <f>SUM(W249:W253)-W254</f>
        <v/>
      </c>
      <c r="X279" s="400">
        <f>SUM(X249:X253)-X254</f>
        <v/>
      </c>
      <c r="Y279" s="400">
        <f>SUM(Y249:Y253)-Y254</f>
        <v/>
      </c>
      <c r="Z279" s="400">
        <f>SUM(Z249:Z253)-Z254</f>
        <v/>
      </c>
      <c r="AA279" s="400">
        <f>SUM(AA249:AA253)-AA254</f>
        <v/>
      </c>
      <c r="AB279" s="400">
        <f>SUM(AB249:AB253)-AB254</f>
        <v/>
      </c>
      <c r="AC279" s="400">
        <f>SUM(AC249:AC253)-AC254</f>
        <v/>
      </c>
      <c r="AD279" s="400">
        <f>SUM(AD249:AD253)-AD254</f>
        <v/>
      </c>
      <c r="AE279" s="400">
        <f>SUM(AE249:AE253)-AE254</f>
        <v/>
      </c>
      <c r="AF279" s="400">
        <f>SUM(AF249:AF253)-AF254</f>
        <v/>
      </c>
      <c r="AG279" s="400">
        <f>SUM(AG249:AG253)-AG254</f>
        <v/>
      </c>
      <c r="AH279" s="400">
        <f>SUM(AH249:AH253)-AH254</f>
        <v/>
      </c>
      <c r="AI279" s="400">
        <f>SUM(AI249:AI253)-AI254</f>
        <v/>
      </c>
      <c r="AJ279" s="400">
        <f>SUM(AJ249:AJ253)-AJ254</f>
        <v/>
      </c>
      <c r="AK279" s="400">
        <f>SUM(AK249:AK253)-AK254</f>
        <v/>
      </c>
      <c r="AL279" s="400">
        <f>SUM(AL249:AL253)-AL254</f>
        <v/>
      </c>
      <c r="AM279" s="400">
        <f>SUM(AM249:AM253)-AM254</f>
        <v/>
      </c>
      <c r="AN279" s="400">
        <f>SUM(AN249:AN253)-AN254</f>
        <v/>
      </c>
      <c r="AO279" s="400">
        <f>SUM(AO249:AO253)-AO254</f>
        <v/>
      </c>
      <c r="AP279" s="400">
        <f>SUM(AP249:AP253)-AP254</f>
        <v/>
      </c>
      <c r="AQ279" s="400">
        <f>SUM(AQ249:AQ253)-AQ254</f>
        <v/>
      </c>
      <c r="AR279" s="400">
        <f>SUM(AR249:AR253)-AR254</f>
        <v/>
      </c>
      <c r="AS279" s="400">
        <f>SUM(AS249:AS253)-AS254</f>
        <v/>
      </c>
      <c r="AW279" s="400" t="n"/>
      <c r="AX279" s="400" t="n"/>
      <c r="AY279" s="400" t="n"/>
      <c r="AZ279" s="400" t="n"/>
      <c r="BA279" s="400" t="n"/>
      <c r="BB279" s="400" t="n"/>
      <c r="BC279" s="400" t="n"/>
      <c r="BD279" s="400" t="n"/>
      <c r="BE279" s="400" t="n"/>
      <c r="BF279" s="400" t="n"/>
      <c r="BG279" s="400" t="n"/>
      <c r="BH279" s="400" t="n"/>
      <c r="BJ279" s="400" t="n"/>
      <c r="BN279" s="400" t="n"/>
      <c r="BO279" s="400" t="n"/>
    </row>
    <row r="280">
      <c r="A280" s="455">
        <f>A278</f>
        <v/>
      </c>
      <c r="B280" s="145" t="n"/>
      <c r="C280" s="145" t="n"/>
      <c r="D280" s="145" t="n"/>
      <c r="E280" s="145" t="n"/>
      <c r="F280" s="145" t="n"/>
      <c r="G280" s="145" t="n"/>
      <c r="H280" s="145" t="n"/>
      <c r="I280" s="145" t="n"/>
      <c r="J280" s="145" t="n"/>
      <c r="K280" s="145" t="n"/>
      <c r="L280" s="145" t="n"/>
      <c r="M280" s="145" t="n"/>
      <c r="N280" s="400">
        <f>SUM(N257:N261)+N263-N264</f>
        <v/>
      </c>
      <c r="O280" s="400">
        <f>SUM(O257:O261)+O263-O264</f>
        <v/>
      </c>
      <c r="P280" s="400">
        <f>SUM(P257:P261)+P263-P264</f>
        <v/>
      </c>
      <c r="Q280" s="400">
        <f>SUM(Q257:Q261)+Q263-Q264</f>
        <v/>
      </c>
      <c r="R280" s="400">
        <f>SUM(R257:R261)+R263-R264</f>
        <v/>
      </c>
      <c r="S280" s="400">
        <f>SUM(S257:S261)+S263-S264</f>
        <v/>
      </c>
      <c r="T280" s="400">
        <f>SUM(T257:T261)+T263-T264</f>
        <v/>
      </c>
      <c r="U280" s="400">
        <f>SUM(U257:U261)+U263-U264</f>
        <v/>
      </c>
      <c r="V280" s="400">
        <f>SUM(V257:V261)+V263-V264</f>
        <v/>
      </c>
      <c r="W280" s="400">
        <f>SUM(W257:W261)+W263-W264</f>
        <v/>
      </c>
      <c r="X280" s="400">
        <f>SUM(X257:X261)+X263-X264</f>
        <v/>
      </c>
      <c r="Y280" s="400">
        <f>SUM(Y257:Y261)+Y263-Y264</f>
        <v/>
      </c>
      <c r="Z280" s="400">
        <f>SUM(Z257:Z261)+Z263-Z264</f>
        <v/>
      </c>
      <c r="AA280" s="400">
        <f>SUM(AA257:AA261)+AA263-AA264</f>
        <v/>
      </c>
      <c r="AB280" s="400">
        <f>SUM(AB257:AB261)+AB263-AB264</f>
        <v/>
      </c>
      <c r="AC280" s="400">
        <f>SUM(AC257:AC261)+AC263-AC264</f>
        <v/>
      </c>
      <c r="AD280" s="400">
        <f>SUM(AD257:AD261)+AD263-AD264</f>
        <v/>
      </c>
      <c r="AE280" s="400">
        <f>SUM(AE257:AE261)+AE263-AE264</f>
        <v/>
      </c>
      <c r="AF280" s="400">
        <f>SUM(AF257:AF261)+AF263-AF264</f>
        <v/>
      </c>
      <c r="AG280" s="400">
        <f>SUM(AG257:AG261)+AG263-AG264</f>
        <v/>
      </c>
      <c r="AH280" s="400">
        <f>SUM(AH257:AH261)+AH263-AH264</f>
        <v/>
      </c>
      <c r="AI280" s="400">
        <f>SUM(AI257:AI261)+AI263-AI264</f>
        <v/>
      </c>
      <c r="AJ280" s="400">
        <f>SUM(AJ257:AJ261)+AJ263-AJ264</f>
        <v/>
      </c>
      <c r="AK280" s="400">
        <f>SUM(AK257:AK261)+AK263-AK264</f>
        <v/>
      </c>
      <c r="AL280" s="400">
        <f>SUM(AL257:AL261)+AL263-AL264</f>
        <v/>
      </c>
      <c r="AM280" s="400">
        <f>SUM(AM257:AM261)+AM263-AM264</f>
        <v/>
      </c>
      <c r="AN280" s="400">
        <f>SUM(AN257:AN261)+AN263-AN264</f>
        <v/>
      </c>
      <c r="AO280" s="400">
        <f>SUM(AO257:AO261)+AO263-AO264</f>
        <v/>
      </c>
      <c r="AP280" s="400">
        <f>SUM(AP257:AP261)+AP263-AP264</f>
        <v/>
      </c>
      <c r="AQ280" s="400">
        <f>SUM(AQ257:AQ261)+AQ263-AQ264</f>
        <v/>
      </c>
      <c r="AR280" s="400">
        <f>SUM(AR257:AR261)+AR263-AR264</f>
        <v/>
      </c>
      <c r="AS280" s="400">
        <f>SUM(AS257:AS261)+AS263-AS264</f>
        <v/>
      </c>
      <c r="AW280" s="400" t="n"/>
      <c r="AX280" s="400" t="n"/>
      <c r="AY280" s="400" t="n"/>
      <c r="AZ280" s="400" t="n"/>
      <c r="BA280" s="400" t="n"/>
      <c r="BB280" s="400" t="n"/>
      <c r="BC280" s="400" t="n"/>
      <c r="BD280" s="400" t="n"/>
      <c r="BE280" s="400" t="n"/>
      <c r="BF280" s="400" t="n"/>
      <c r="BG280" s="400" t="n"/>
      <c r="BH280" s="400" t="n"/>
      <c r="BJ280" s="400" t="n"/>
      <c r="BN280" s="400" t="n"/>
      <c r="BO280" s="400" t="n"/>
    </row>
    <row r="281">
      <c r="A281" s="455">
        <f>A279</f>
        <v/>
      </c>
      <c r="B281" s="145" t="n"/>
      <c r="C281" s="145" t="n"/>
      <c r="D281" s="145" t="n"/>
      <c r="E281" s="145" t="n"/>
      <c r="F281" s="145" t="n"/>
      <c r="G281" s="145" t="n"/>
      <c r="H281" s="145" t="n"/>
      <c r="I281" s="145" t="n"/>
      <c r="J281" s="145" t="n"/>
      <c r="K281" s="145" t="n"/>
      <c r="L281" s="145" t="n"/>
      <c r="M281" s="145" t="n"/>
      <c r="N281" s="400">
        <f>SUM(N273:N275)-N276</f>
        <v/>
      </c>
      <c r="O281" s="400">
        <f>SUM(O273:O275)-O276</f>
        <v/>
      </c>
      <c r="P281" s="400">
        <f>SUM(P273:P275)-P276</f>
        <v/>
      </c>
      <c r="Q281" s="400">
        <f>SUM(Q273:Q275)-Q276</f>
        <v/>
      </c>
      <c r="R281" s="400">
        <f>SUM(R273:R275)-R276</f>
        <v/>
      </c>
      <c r="S281" s="400">
        <f>SUM(S273:S275)-S276</f>
        <v/>
      </c>
      <c r="T281" s="400">
        <f>SUM(T273:T275)-T276</f>
        <v/>
      </c>
      <c r="U281" s="400">
        <f>SUM(U273:U275)-U276</f>
        <v/>
      </c>
      <c r="V281" s="400">
        <f>SUM(V273:V275)-V276</f>
        <v/>
      </c>
      <c r="W281" s="400">
        <f>SUM(W273:W275)-W276</f>
        <v/>
      </c>
      <c r="X281" s="400">
        <f>SUM(X273:X275)-X276</f>
        <v/>
      </c>
      <c r="Y281" s="400">
        <f>SUM(Y273:Y275)-Y276</f>
        <v/>
      </c>
      <c r="Z281" s="400">
        <f>SUM(Z273:Z275)-Z276</f>
        <v/>
      </c>
      <c r="AA281" s="400">
        <f>SUM(AA273:AA275)-AA276</f>
        <v/>
      </c>
      <c r="AB281" s="400">
        <f>SUM(AB273:AB275)-AB276</f>
        <v/>
      </c>
      <c r="AC281" s="400">
        <f>SUM(AC273:AC275)-AC276</f>
        <v/>
      </c>
      <c r="AD281" s="400">
        <f>SUM(AD273:AD275)-AD276</f>
        <v/>
      </c>
      <c r="AE281" s="400">
        <f>SUM(AE273:AE275)-AE276</f>
        <v/>
      </c>
      <c r="AF281" s="400">
        <f>SUM(AF273:AF275)-AF276</f>
        <v/>
      </c>
      <c r="AG281" s="400">
        <f>SUM(AG273:AG275)-AG276</f>
        <v/>
      </c>
      <c r="AH281" s="400">
        <f>SUM(AH273:AH275)-AH276</f>
        <v/>
      </c>
      <c r="AI281" s="400">
        <f>SUM(AI273:AI275)-AI276</f>
        <v/>
      </c>
      <c r="AJ281" s="400">
        <f>SUM(AJ273:AJ275)-AJ276</f>
        <v/>
      </c>
      <c r="AK281" s="400">
        <f>SUM(AK273:AK275)-AK276</f>
        <v/>
      </c>
      <c r="AL281" s="400">
        <f>SUM(AL273:AL275)-AL276</f>
        <v/>
      </c>
      <c r="AM281" s="400">
        <f>SUM(AM273:AM275)-AM276</f>
        <v/>
      </c>
      <c r="AN281" s="400">
        <f>SUM(AN273:AN275)-AN276</f>
        <v/>
      </c>
      <c r="AO281" s="400">
        <f>SUM(AO273:AO275)-AO276</f>
        <v/>
      </c>
      <c r="AP281" s="400">
        <f>SUM(AP273:AP275)-AP276</f>
        <v/>
      </c>
      <c r="AQ281" s="400">
        <f>SUM(AQ273:AQ275)-AQ276</f>
        <v/>
      </c>
      <c r="AR281" s="400">
        <f>SUM(AR273:AR275)-AR276</f>
        <v/>
      </c>
      <c r="AS281" s="400">
        <f>SUM(AS273:AS275)-AS276</f>
        <v/>
      </c>
      <c r="AW281" s="400" t="n"/>
      <c r="AX281" s="400" t="n"/>
      <c r="AY281" s="400" t="n"/>
      <c r="AZ281" s="400" t="n"/>
      <c r="BA281" s="400" t="n"/>
      <c r="BB281" s="400" t="n"/>
      <c r="BC281" s="400" t="n"/>
      <c r="BD281" s="400" t="n"/>
      <c r="BE281" s="400" t="n"/>
      <c r="BF281" s="400" t="n"/>
      <c r="BG281" s="400" t="n"/>
      <c r="BH281" s="400" t="n"/>
      <c r="BJ281" s="400" t="n"/>
      <c r="BN281" s="400" t="n"/>
      <c r="BO281" s="400" t="n"/>
    </row>
    <row r="282">
      <c r="A282" s="455">
        <f>A280</f>
        <v/>
      </c>
      <c r="B282" s="145" t="n"/>
      <c r="C282" s="145" t="n"/>
      <c r="D282" s="145" t="n"/>
      <c r="E282" s="145" t="n"/>
      <c r="F282" s="145" t="n"/>
      <c r="G282" s="145" t="n"/>
      <c r="H282" s="145" t="n"/>
      <c r="I282" s="145" t="n"/>
      <c r="J282" s="145" t="n"/>
      <c r="K282" s="145" t="n"/>
      <c r="L282" s="145" t="n"/>
      <c r="M282" s="145" t="n"/>
      <c r="N282" s="400">
        <f>IF(ISBLANK(N264),0,N264-N134)</f>
        <v/>
      </c>
      <c r="O282" s="400">
        <f>IF(ISBLANK(O264),0,O264-O134)</f>
        <v/>
      </c>
      <c r="P282" s="400">
        <f>IF(ISBLANK(P264),0,P264-P134)</f>
        <v/>
      </c>
      <c r="Q282" s="400">
        <f>IF(ISBLANK(Q264),0,Q264-Q134)</f>
        <v/>
      </c>
      <c r="R282" s="400">
        <f>IF(ISBLANK(R264),0,R264-R134)</f>
        <v/>
      </c>
      <c r="S282" s="400">
        <f>IF(ISBLANK(S264),0,S264-S134)</f>
        <v/>
      </c>
      <c r="T282" s="400">
        <f>IF(ISBLANK(T264),0,T264-T134)</f>
        <v/>
      </c>
      <c r="U282" s="400">
        <f>IF(ISBLANK(U264),0,U264-U134)</f>
        <v/>
      </c>
      <c r="V282" s="400">
        <f>IF(ISBLANK(V264),0,V264-V134)</f>
        <v/>
      </c>
      <c r="W282" s="400">
        <f>IF(ISBLANK(W264),0,W264-W134)</f>
        <v/>
      </c>
      <c r="X282" s="400">
        <f>IF(ISBLANK(X264),0,X264-X134)</f>
        <v/>
      </c>
      <c r="Y282" s="400">
        <f>IF(ISBLANK(Y264),0,Y264-Y134)</f>
        <v/>
      </c>
      <c r="Z282" s="400">
        <f>IF(ISBLANK(Z264),0,Z264-Z134)</f>
        <v/>
      </c>
      <c r="AA282" s="400">
        <f>IF(ISBLANK(AA264),0,AA264-AA134)</f>
        <v/>
      </c>
      <c r="AB282" s="400">
        <f>IF(ISBLANK(AB264),0,AB264-AB134)</f>
        <v/>
      </c>
      <c r="AC282" s="400">
        <f>IF(ISBLANK(AC264),0,AC264-AC134)</f>
        <v/>
      </c>
      <c r="AD282" s="400">
        <f>IF(ISBLANK(AD264),0,AD264-AD134)</f>
        <v/>
      </c>
      <c r="AE282" s="400">
        <f>IF(ISBLANK(AE264),0,AE264-AE134)</f>
        <v/>
      </c>
      <c r="AF282" s="400">
        <f>IF(ISBLANK(AF264),0,AF264-AF134)</f>
        <v/>
      </c>
      <c r="AG282" s="400">
        <f>IF(ISBLANK(AG264),0,AG264-AG134)</f>
        <v/>
      </c>
      <c r="AH282" s="400">
        <f>IF(ISBLANK(AH264),0,AH264-AH134)</f>
        <v/>
      </c>
      <c r="AI282" s="400">
        <f>IF(ISBLANK(AI264),0,AI264-AI134)</f>
        <v/>
      </c>
      <c r="AJ282" s="400">
        <f>IF(ISBLANK(AJ264),0,AJ264-AJ134)</f>
        <v/>
      </c>
      <c r="AK282" s="400">
        <f>IF(ISBLANK(AK264),0,AK264-AK134)</f>
        <v/>
      </c>
      <c r="AL282" s="400">
        <f>IF(ISBLANK(AL264),0,AL264-AL134)</f>
        <v/>
      </c>
      <c r="AM282" s="400">
        <f>IF(ISBLANK(AM264),0,AM264-AM134)</f>
        <v/>
      </c>
      <c r="AN282" s="400">
        <f>IF(ISBLANK(AN264),0,AN264-AN134)</f>
        <v/>
      </c>
      <c r="AO282" s="400">
        <f>IF(ISBLANK(AO264),0,AO264-AO134)</f>
        <v/>
      </c>
      <c r="AP282" s="400">
        <f>IF(ISBLANK(AP264),0,AP264-AP134)</f>
        <v/>
      </c>
      <c r="AQ282" s="400">
        <f>IF(ISBLANK(AQ264),0,AQ264-AQ134)</f>
        <v/>
      </c>
      <c r="AR282" s="400">
        <f>IF(ISBLANK(AR264),0,AR264-AR134)</f>
        <v/>
      </c>
      <c r="AS282" s="400">
        <f>IF(ISBLANK(AS264),0,AS264-AS134)</f>
        <v/>
      </c>
      <c r="AW282" s="400" t="n"/>
      <c r="AX282" s="400" t="n"/>
      <c r="AY282" s="400" t="n"/>
      <c r="AZ282" s="400" t="n"/>
      <c r="BA282" s="400" t="n"/>
      <c r="BB282" s="400" t="n"/>
      <c r="BC282" s="400" t="n"/>
      <c r="BD282" s="400" t="n"/>
      <c r="BE282" s="400" t="n"/>
      <c r="BF282" s="400" t="n"/>
      <c r="BG282" s="400" t="n"/>
      <c r="BH282" s="400" t="n"/>
      <c r="BJ282" s="400" t="n"/>
      <c r="BN282" s="400" t="n"/>
      <c r="BO282" s="400" t="n"/>
    </row>
    <row r="283">
      <c r="A283" s="455">
        <f>A281</f>
        <v/>
      </c>
      <c r="B283" s="145" t="n"/>
      <c r="C283" s="145" t="n"/>
      <c r="D283" s="145" t="n"/>
      <c r="E283" s="145" t="n"/>
      <c r="F283" s="145" t="n"/>
      <c r="G283" s="145" t="n"/>
      <c r="H283" s="145" t="n"/>
      <c r="I283" s="145" t="n"/>
      <c r="J283" s="145" t="n"/>
      <c r="K283" s="145" t="n"/>
      <c r="L283" s="145" t="n"/>
      <c r="M283" s="145" t="n"/>
      <c r="N283" s="400">
        <f>N276-N126</f>
        <v/>
      </c>
      <c r="O283" s="400">
        <f>O276-O126</f>
        <v/>
      </c>
      <c r="P283" s="400">
        <f>P276-P126</f>
        <v/>
      </c>
      <c r="Q283" s="400">
        <f>Q276-Q126</f>
        <v/>
      </c>
      <c r="R283" s="400">
        <f>R276-R126</f>
        <v/>
      </c>
      <c r="S283" s="400">
        <f>S276-S126</f>
        <v/>
      </c>
      <c r="T283" s="400">
        <f>T276-T126</f>
        <v/>
      </c>
      <c r="U283" s="400">
        <f>U276-U126</f>
        <v/>
      </c>
      <c r="V283" s="400">
        <f>V276-V126</f>
        <v/>
      </c>
      <c r="W283" s="400">
        <f>W276-W126</f>
        <v/>
      </c>
      <c r="X283" s="400">
        <f>X276-X126</f>
        <v/>
      </c>
      <c r="Y283" s="400">
        <f>Y276-Y126</f>
        <v/>
      </c>
      <c r="Z283" s="400">
        <f>Z276-Z126</f>
        <v/>
      </c>
      <c r="AA283" s="400">
        <f>AA276-AA126</f>
        <v/>
      </c>
      <c r="AB283" s="400">
        <f>AB276-AB126</f>
        <v/>
      </c>
      <c r="AC283" s="400">
        <f>AC276-AC126</f>
        <v/>
      </c>
      <c r="AD283" s="400">
        <f>AD276-AD126</f>
        <v/>
      </c>
      <c r="AE283" s="400">
        <f>AE276-AE126</f>
        <v/>
      </c>
      <c r="AF283" s="400">
        <f>AF276-AF126</f>
        <v/>
      </c>
      <c r="AG283" s="400">
        <f>AG276-AG126</f>
        <v/>
      </c>
      <c r="AH283" s="400">
        <f>AH276-AH126</f>
        <v/>
      </c>
      <c r="AI283" s="400">
        <f>AI276-AI126</f>
        <v/>
      </c>
      <c r="AJ283" s="400">
        <f>AJ276-AJ126</f>
        <v/>
      </c>
      <c r="AK283" s="400">
        <f>AK276-AK126</f>
        <v/>
      </c>
      <c r="AL283" s="400">
        <f>AL276-AL126</f>
        <v/>
      </c>
      <c r="AM283" s="400">
        <f>AM276-AM126</f>
        <v/>
      </c>
      <c r="AN283" s="400">
        <f>AN276-AN126</f>
        <v/>
      </c>
      <c r="AO283" s="400">
        <f>AO276-AO126</f>
        <v/>
      </c>
      <c r="AP283" s="400">
        <f>AP276-AP126</f>
        <v/>
      </c>
      <c r="AQ283" s="400">
        <f>AQ276-AQ126</f>
        <v/>
      </c>
      <c r="AR283" s="400">
        <f>AR276-AR126</f>
        <v/>
      </c>
      <c r="AS283" s="400">
        <f>AS276-AS126</f>
        <v/>
      </c>
      <c r="AW283" s="400" t="n"/>
      <c r="AX283" s="400" t="n"/>
      <c r="AY283" s="400" t="n"/>
      <c r="AZ283" s="400" t="n"/>
      <c r="BA283" s="400" t="n"/>
      <c r="BB283" s="400" t="n"/>
      <c r="BC283" s="400" t="n"/>
      <c r="BD283" s="400" t="n"/>
      <c r="BE283" s="400" t="n"/>
      <c r="BF283" s="400" t="n"/>
      <c r="BG283" s="400" t="n"/>
      <c r="BH283" s="400" t="n"/>
      <c r="BJ283" s="400" t="n"/>
      <c r="BN283" s="400" t="n"/>
      <c r="BO283" s="400" t="n"/>
    </row>
  </sheetData>
  <pageMargins left="0.7" right="0.7" top="0.75" bottom="0.75" header="0.3" footer="0.3"/>
  <pageSetup orientation="portrait" paperSize="9"/>
  <legacyDrawing xmlns:r="http://schemas.openxmlformats.org/officeDocument/2006/relationships" r:id="anysvml"/>
</worksheet>
</file>

<file path=xl/worksheets/sheet10.xml><?xml version="1.0" encoding="utf-8"?>
<worksheet xmlns="http://schemas.openxmlformats.org/spreadsheetml/2006/main">
  <sheetPr codeName="Sheet2">
    <tabColor rgb="FF96D8CF"/>
    <outlinePr summaryBelow="1" summaryRight="1"/>
    <pageSetUpPr/>
  </sheetPr>
  <dimension ref="B1:T139"/>
  <sheetViews>
    <sheetView workbookViewId="0">
      <selection activeCell="V42" sqref="V42"/>
    </sheetView>
  </sheetViews>
  <sheetFormatPr baseColWidth="10" defaultColWidth="9.33203125" defaultRowHeight="14"/>
  <cols>
    <col width="9.33203125" customWidth="1" style="566" min="1" max="1"/>
    <col width="29.6640625" bestFit="1" customWidth="1" style="566" min="2" max="2"/>
    <col hidden="1" style="567" min="3" max="3"/>
    <col hidden="1" style="568" min="4" max="4"/>
    <col hidden="1" width="8.6640625" customWidth="1" style="566" min="5" max="5"/>
    <col hidden="1" style="566" min="6" max="7"/>
    <col hidden="1" style="568" min="8" max="8"/>
    <col hidden="1" style="566" min="9" max="12"/>
    <col width="11.33203125" bestFit="1" customWidth="1" style="566" min="13" max="13"/>
    <col width="12" bestFit="1" customWidth="1" style="566" min="14" max="16"/>
    <col width="9.33203125" customWidth="1" style="566" min="17" max="16384"/>
  </cols>
  <sheetData>
    <row r="1" ht="42.75" customHeight="1">
      <c r="B1" s="576" t="inlineStr">
        <is>
          <t>IPG Photonics Corp</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IPGP</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2044</v>
      </c>
      <c r="N5" s="588" t="n"/>
      <c r="O5" s="578" t="n"/>
      <c r="P5" s="578" t="n"/>
      <c r="R5" s="646" t="inlineStr">
        <is>
          <t>DATA LAST SUBMITTED</t>
        </is>
      </c>
      <c r="S5" s="644" t="n"/>
      <c r="T5" s="645" t="inlineStr">
        <is>
          <t>Feb 16, 2022 02:07 PM</t>
        </is>
      </c>
    </row>
    <row r="6">
      <c r="B6" s="577" t="inlineStr">
        <is>
          <t>BERN CompanyId</t>
        </is>
      </c>
      <c r="C6" s="579" t="inlineStr">
        <is>
          <t>COMPANYID</t>
        </is>
      </c>
      <c r="D6" s="580" t="inlineStr">
        <is>
          <t>T</t>
        </is>
      </c>
      <c r="E6" s="577" t="n"/>
      <c r="F6" s="577" t="n"/>
      <c r="G6" s="577" t="n"/>
      <c r="H6" s="580" t="n"/>
      <c r="I6" s="577" t="n"/>
      <c r="J6" s="577" t="n"/>
      <c r="K6" s="577" t="n"/>
      <c r="L6" s="577" t="n"/>
      <c r="M6" s="582" t="n">
        <v>1573</v>
      </c>
      <c r="N6" s="588" t="n"/>
      <c r="O6" s="578" t="n"/>
      <c r="P6" s="578" t="n"/>
      <c r="R6" s="646" t="inlineStr">
        <is>
          <t>ESTIMATES SUBMITTED</t>
        </is>
      </c>
      <c r="S6" s="644" t="n"/>
      <c r="T6" s="644" t="inlineStr">
        <is>
          <t>Yes</t>
        </is>
      </c>
    </row>
    <row r="7">
      <c r="B7" s="577" t="inlineStr">
        <is>
          <t>BERN CoverageId</t>
        </is>
      </c>
      <c r="C7" s="579" t="inlineStr">
        <is>
          <t>COVERAGEID</t>
        </is>
      </c>
      <c r="D7" s="580" t="inlineStr">
        <is>
          <t>T</t>
        </is>
      </c>
      <c r="E7" s="577" t="n"/>
      <c r="F7" s="577" t="n"/>
      <c r="G7" s="577" t="n"/>
      <c r="H7" s="580" t="n"/>
      <c r="I7" s="577" t="n"/>
      <c r="J7" s="577" t="n"/>
      <c r="K7" s="577" t="n"/>
      <c r="L7" s="577" t="n"/>
      <c r="M7" s="582" t="n">
        <v>2288</v>
      </c>
      <c r="N7" s="588" t="n"/>
      <c r="O7" s="578" t="n"/>
      <c r="P7" s="578" t="n"/>
      <c r="R7" s="646" t="inlineStr">
        <is>
          <t>SUBMITTED BY</t>
        </is>
      </c>
      <c r="S7" s="644" t="n"/>
      <c r="T7" s="644" t="inlineStr">
        <is>
          <t>kxiao</t>
        </is>
      </c>
    </row>
    <row r="8">
      <c r="B8" s="577" t="inlineStr">
        <is>
          <t>Benchmark Index</t>
        </is>
      </c>
      <c r="C8" s="579" t="inlineStr">
        <is>
          <t>BENCHMARKINDEX</t>
        </is>
      </c>
      <c r="D8" s="580" t="inlineStr">
        <is>
          <t>T</t>
        </is>
      </c>
      <c r="E8" s="577" t="n"/>
      <c r="F8" s="577" t="n"/>
      <c r="G8" s="577" t="n"/>
      <c r="H8" s="580" t="n"/>
      <c r="I8" s="577" t="n"/>
      <c r="J8" s="577" t="n"/>
      <c r="K8" s="577" t="n"/>
      <c r="L8" s="577" t="n"/>
      <c r="M8" s="582" t="inlineStr">
        <is>
          <t>SPX</t>
        </is>
      </c>
      <c r="N8" s="588" t="n"/>
      <c r="O8" s="578" t="n"/>
      <c r="P8" s="578" t="n"/>
    </row>
    <row r="9">
      <c r="B9" s="577" t="inlineStr">
        <is>
          <t>Exchange</t>
        </is>
      </c>
      <c r="C9" s="579" t="inlineStr">
        <is>
          <t>EXCHANGE</t>
        </is>
      </c>
      <c r="D9" s="580" t="inlineStr">
        <is>
          <t>T</t>
        </is>
      </c>
      <c r="E9" s="577" t="n"/>
      <c r="F9" s="577" t="n"/>
      <c r="G9" s="577" t="n"/>
      <c r="H9" s="580" t="n"/>
      <c r="I9" s="577" t="n"/>
      <c r="J9" s="577" t="n"/>
      <c r="K9" s="577" t="n"/>
      <c r="L9" s="577" t="n"/>
      <c r="M9" s="582" t="inlineStr">
        <is>
          <t>NASDAQ</t>
        </is>
      </c>
      <c r="N9" s="588" t="n"/>
      <c r="O9" s="578" t="n"/>
      <c r="P9" s="578" t="n"/>
    </row>
    <row r="10">
      <c r="B10" s="577" t="inlineStr">
        <is>
          <t>Exchange Currency</t>
        </is>
      </c>
      <c r="C10" s="579" t="inlineStr">
        <is>
          <t>CURRENCY</t>
        </is>
      </c>
      <c r="D10" s="580" t="inlineStr">
        <is>
          <t>T</t>
        </is>
      </c>
      <c r="E10" s="577" t="n"/>
      <c r="F10" s="577" t="n"/>
      <c r="G10" s="577" t="n"/>
      <c r="H10" s="580" t="n"/>
      <c r="I10" s="577" t="n"/>
      <c r="J10" s="577" t="n"/>
      <c r="K10" s="577" t="n"/>
      <c r="L10" s="577" t="n"/>
      <c r="M10" s="582" t="inlineStr">
        <is>
          <t>USD</t>
        </is>
      </c>
      <c r="N10" s="588" t="n"/>
      <c r="O10" s="578" t="n"/>
      <c r="P10" s="578" t="n"/>
    </row>
    <row r="11">
      <c r="B11" s="577" t="inlineStr">
        <is>
          <t>Estimate Currency</t>
        </is>
      </c>
      <c r="C11" s="579" t="inlineStr">
        <is>
          <t>ESTIMATECURRENCY</t>
        </is>
      </c>
      <c r="D11" s="580" t="inlineStr">
        <is>
          <t>T</t>
        </is>
      </c>
      <c r="E11" s="577" t="n"/>
      <c r="F11" s="577" t="n"/>
      <c r="G11" s="577" t="n"/>
      <c r="H11" s="580" t="n"/>
      <c r="I11" s="577" t="n"/>
      <c r="J11" s="577" t="n"/>
      <c r="K11" s="577" t="n"/>
      <c r="L11" s="577" t="n"/>
      <c r="M11" s="582" t="inlineStr">
        <is>
          <t>USD</t>
        </is>
      </c>
      <c r="N11" s="588" t="n"/>
      <c r="O11" s="578" t="n"/>
      <c r="P11" s="578" t="n"/>
    </row>
    <row r="12">
      <c r="B12" s="577" t="inlineStr">
        <is>
          <t>Primary Ticker</t>
        </is>
      </c>
      <c r="C12" s="579" t="inlineStr">
        <is>
          <t>ISPRIMARY</t>
        </is>
      </c>
      <c r="D12" s="580" t="inlineStr">
        <is>
          <t>T</t>
        </is>
      </c>
      <c r="E12" s="577" t="n"/>
      <c r="F12" s="577" t="n"/>
      <c r="G12" s="577" t="n"/>
      <c r="H12" s="580" t="n"/>
      <c r="I12" s="577" t="n"/>
      <c r="J12" s="577" t="n"/>
      <c r="K12" s="577" t="n"/>
      <c r="L12" s="577" t="n"/>
      <c r="M12" s="582" t="inlineStr">
        <is>
          <t>Yes</t>
        </is>
      </c>
      <c r="N12" s="588" t="n"/>
      <c r="O12" s="578" t="n"/>
      <c r="P12" s="578" t="n"/>
    </row>
    <row r="13">
      <c r="B13" s="577" t="inlineStr">
        <is>
          <t>Last Reported Year</t>
        </is>
      </c>
      <c r="C13" s="579" t="inlineStr">
        <is>
          <t>BASEYEARACTUAL</t>
        </is>
      </c>
      <c r="D13" s="580" t="inlineStr">
        <is>
          <t>T</t>
        </is>
      </c>
      <c r="E13" s="577" t="n"/>
      <c r="F13" s="577" t="n"/>
      <c r="G13" s="577" t="n"/>
      <c r="H13" s="580" t="n"/>
      <c r="I13" s="577" t="n"/>
      <c r="J13" s="577" t="n"/>
      <c r="K13" s="577" t="n"/>
      <c r="L13" s="577" t="n"/>
      <c r="M13" s="582" t="n">
        <v>2021</v>
      </c>
      <c r="N13" s="588" t="n"/>
      <c r="O13" s="578" t="n"/>
      <c r="P13" s="578" t="n"/>
    </row>
    <row r="14" ht="15" customHeight="1" thickBot="1">
      <c r="B14" s="577" t="inlineStr">
        <is>
          <t>Model Units</t>
        </is>
      </c>
      <c r="C14" s="579" t="inlineStr">
        <is>
          <t>MODELUNITS</t>
        </is>
      </c>
      <c r="D14" s="580" t="inlineStr">
        <is>
          <t>T</t>
        </is>
      </c>
      <c r="E14" s="577" t="n"/>
      <c r="F14" s="577" t="n"/>
      <c r="G14" s="577" t="n"/>
      <c r="H14" s="580" t="n"/>
      <c r="I14" s="577" t="n"/>
      <c r="J14" s="577" t="n"/>
      <c r="K14" s="577" t="n"/>
      <c r="L14" s="577" t="n"/>
      <c r="M14" s="647" t="n">
        <v>1000</v>
      </c>
      <c r="N14" s="588" t="n"/>
      <c r="O14" s="578" t="n"/>
      <c r="P14" s="578" t="n"/>
    </row>
    <row r="15" ht="17" customHeight="1" thickBot="1" thickTop="1">
      <c r="B15" s="584" t="inlineStr">
        <is>
          <t>ANALYST DATA</t>
        </is>
      </c>
      <c r="C15" s="585" t="n">
        <v>2</v>
      </c>
      <c r="D15" s="585" t="n"/>
      <c r="E15" s="585" t="n"/>
      <c r="F15" s="585" t="n"/>
      <c r="G15" s="585" t="n"/>
      <c r="H15" s="585" t="n"/>
      <c r="I15" s="585" t="n"/>
      <c r="J15" s="585" t="n"/>
      <c r="K15" s="585" t="n"/>
      <c r="L15" s="585" t="n"/>
      <c r="M15" s="585" t="n"/>
      <c r="N15" s="587" t="n"/>
      <c r="O15" s="585" t="n"/>
      <c r="P15" s="585" t="n"/>
    </row>
    <row r="16" ht="15" customHeight="1" thickTop="1">
      <c r="B16" s="581" t="inlineStr">
        <is>
          <t>Rating</t>
        </is>
      </c>
      <c r="C16" s="579" t="inlineStr">
        <is>
          <t>RATING</t>
        </is>
      </c>
      <c r="D16" s="580" t="inlineStr">
        <is>
          <t>A</t>
        </is>
      </c>
      <c r="E16" s="590" t="n">
        <v>1</v>
      </c>
      <c r="F16" s="577" t="n">
        <v>1</v>
      </c>
      <c r="G16" s="577" t="n">
        <v>0</v>
      </c>
      <c r="H16" s="580" t="n"/>
      <c r="I16" s="577" t="n"/>
      <c r="J16" s="577" t="n">
        <v>10</v>
      </c>
      <c r="K16" s="577" t="n"/>
      <c r="L16" s="577" t="n"/>
      <c r="M16" s="592" t="inlineStr">
        <is>
          <t>M</t>
        </is>
      </c>
      <c r="N16" s="568" t="n"/>
    </row>
    <row r="17">
      <c r="B17" s="648" t="inlineStr">
        <is>
          <t>Draft</t>
        </is>
      </c>
      <c r="C17" s="594" t="inlineStr">
        <is>
          <t>RATING_DRAFT</t>
        </is>
      </c>
      <c r="D17" s="595" t="inlineStr">
        <is>
          <t>A</t>
        </is>
      </c>
      <c r="E17" s="596" t="n">
        <v>1</v>
      </c>
      <c r="F17" s="597" t="n">
        <v>1</v>
      </c>
      <c r="G17" s="597" t="n">
        <v>1</v>
      </c>
      <c r="H17" s="595" t="n"/>
      <c r="I17" s="597" t="n"/>
      <c r="J17" s="597" t="n">
        <v>11</v>
      </c>
      <c r="K17" s="597" t="n"/>
      <c r="L17" s="597" t="n"/>
      <c r="M17" s="599" t="inlineStr">
        <is>
          <t>M</t>
        </is>
      </c>
      <c r="N17" s="568" t="n"/>
    </row>
    <row r="18">
      <c r="B18" s="581" t="inlineStr">
        <is>
          <t>Target Price</t>
        </is>
      </c>
      <c r="C18" s="579" t="inlineStr">
        <is>
          <t>TARGETPRICE</t>
        </is>
      </c>
      <c r="D18" s="580" t="inlineStr">
        <is>
          <t>A</t>
        </is>
      </c>
      <c r="E18" s="590" t="n">
        <v>2</v>
      </c>
      <c r="F18" s="577" t="n">
        <v>2</v>
      </c>
      <c r="G18" s="577" t="n">
        <v>0</v>
      </c>
      <c r="H18" s="580" t="n"/>
      <c r="I18" s="577" t="n"/>
      <c r="J18" s="577" t="n">
        <v>20</v>
      </c>
      <c r="K18" s="577" t="n"/>
      <c r="L18" s="577" t="n"/>
      <c r="M18" s="592" t="n">
        <v>160</v>
      </c>
      <c r="N18" s="568" t="n"/>
    </row>
    <row r="19" ht="15" customHeight="1" thickBot="1">
      <c r="B19" s="648" t="inlineStr">
        <is>
          <t>Draft</t>
        </is>
      </c>
      <c r="C19" s="594" t="inlineStr">
        <is>
          <t>TARGETPRICE_DRAFT</t>
        </is>
      </c>
      <c r="D19" s="595" t="inlineStr">
        <is>
          <t>A</t>
        </is>
      </c>
      <c r="E19" s="596" t="n">
        <v>2</v>
      </c>
      <c r="F19" s="597" t="n">
        <v>2</v>
      </c>
      <c r="G19" s="597" t="n">
        <v>1</v>
      </c>
      <c r="H19" s="595" t="n"/>
      <c r="I19" s="597" t="n"/>
      <c r="J19" s="597" t="n">
        <v>21</v>
      </c>
      <c r="K19" s="597" t="n"/>
      <c r="L19" s="597" t="n"/>
      <c r="M19" s="599">
        <f>Valuation!B53</f>
        <v/>
      </c>
      <c r="N19" s="568" t="n"/>
    </row>
    <row r="20" ht="17" customHeight="1" thickBot="1" thickTop="1">
      <c r="B20" s="584" t="inlineStr">
        <is>
          <t>ESTIMATES - ANNUALS</t>
        </is>
      </c>
      <c r="C20" s="585" t="n">
        <v>103</v>
      </c>
      <c r="D20" s="585" t="n">
        <v>4</v>
      </c>
      <c r="E20" s="585" t="n"/>
      <c r="F20" s="585" t="n"/>
      <c r="G20" s="585" t="n"/>
      <c r="H20" s="585" t="n"/>
      <c r="I20" s="585" t="n"/>
      <c r="J20" s="585" t="n"/>
      <c r="K20" s="585" t="n"/>
      <c r="L20" s="585" t="n"/>
      <c r="M20" s="602" t="inlineStr">
        <is>
          <t>2021A</t>
        </is>
      </c>
      <c r="N20" s="603" t="inlineStr">
        <is>
          <t>2022E</t>
        </is>
      </c>
      <c r="O20" s="603" t="inlineStr">
        <is>
          <t>2023E</t>
        </is>
      </c>
      <c r="P20" s="585" t="inlineStr">
        <is>
          <t>2024E</t>
        </is>
      </c>
      <c r="Q20" s="589" t="n"/>
      <c r="R20" s="589" t="n"/>
    </row>
    <row r="21" hidden="1" ht="15" customFormat="1" customHeight="1" s="569" thickTop="1">
      <c r="B21" s="591" t="inlineStr">
        <is>
          <t>Year PeriodId</t>
        </is>
      </c>
      <c r="C21" s="604" t="n"/>
      <c r="D21" s="605" t="n"/>
      <c r="E21" s="590" t="n"/>
      <c r="F21" s="591" t="n"/>
      <c r="G21" s="591" t="n"/>
      <c r="H21" s="605" t="n"/>
      <c r="I21" s="577" t="n"/>
      <c r="J21" s="591" t="n"/>
      <c r="K21" s="591" t="n"/>
      <c r="L21" s="591" t="n"/>
      <c r="M21" s="606" t="n">
        <v>1</v>
      </c>
      <c r="N21" s="607" t="n">
        <v>2</v>
      </c>
      <c r="O21" s="607" t="n">
        <v>3</v>
      </c>
      <c r="P21" s="592" t="n">
        <v>4</v>
      </c>
      <c r="Q21" s="589" t="n"/>
      <c r="R21" s="589" t="n"/>
    </row>
    <row r="22" ht="15" customFormat="1" customHeight="1" s="569" thickTop="1">
      <c r="B22" s="608" t="inlineStr">
        <is>
          <t>EPS Reported</t>
        </is>
      </c>
      <c r="C22" s="604" t="inlineStr">
        <is>
          <t>EPSRPT</t>
        </is>
      </c>
      <c r="D22" s="605" t="inlineStr">
        <is>
          <t>E</t>
        </is>
      </c>
      <c r="E22" s="590" t="n">
        <v>3</v>
      </c>
      <c r="F22" s="591" t="n">
        <v>1</v>
      </c>
      <c r="G22" s="591" t="n">
        <v>0</v>
      </c>
      <c r="H22" s="605" t="n"/>
      <c r="I22" s="577" t="inlineStr">
        <is>
          <t>USD</t>
        </is>
      </c>
      <c r="J22" s="591" t="n">
        <v>30</v>
      </c>
      <c r="K22" s="591" t="n">
        <v>1</v>
      </c>
      <c r="L22" s="591" t="n"/>
      <c r="M22" s="606" t="n">
        <v>2.97</v>
      </c>
      <c r="N22" s="607" t="n">
        <v>6.1262</v>
      </c>
      <c r="O22" s="607" t="n">
        <v>6.8989</v>
      </c>
      <c r="P22" s="592" t="n"/>
      <c r="Q22" s="589" t="n"/>
      <c r="R22" s="589" t="n"/>
    </row>
    <row r="23" customFormat="1" s="569">
      <c r="B23" s="649" t="inlineStr">
        <is>
          <t>Draft</t>
        </is>
      </c>
      <c r="C23" s="610" t="inlineStr">
        <is>
          <t>EPSRPT_DRAFT</t>
        </is>
      </c>
      <c r="D23" s="611" t="inlineStr">
        <is>
          <t>E</t>
        </is>
      </c>
      <c r="E23" s="596" t="n">
        <v>3</v>
      </c>
      <c r="F23" s="598" t="n">
        <v>1</v>
      </c>
      <c r="G23" s="598" t="n">
        <v>1</v>
      </c>
      <c r="H23" s="611" t="n"/>
      <c r="I23" s="597" t="inlineStr">
        <is>
          <t>USD</t>
        </is>
      </c>
      <c r="J23" s="598" t="n">
        <v>31</v>
      </c>
      <c r="K23" s="598" t="n">
        <v>1</v>
      </c>
      <c r="L23" s="598" t="n"/>
      <c r="M23" s="612">
        <f>FS_Y!P30</f>
        <v/>
      </c>
      <c r="N23" s="612">
        <f>FS_Y!Q30</f>
        <v/>
      </c>
      <c r="O23" s="612">
        <f>FS_Y!R30</f>
        <v/>
      </c>
      <c r="P23" s="612">
        <f>FS_Y!S30</f>
        <v/>
      </c>
      <c r="Q23" s="589" t="n"/>
      <c r="R23" s="589" t="n"/>
    </row>
    <row r="24" customFormat="1" s="569">
      <c r="B24" s="591" t="inlineStr">
        <is>
          <t>EPS Adjusted</t>
        </is>
      </c>
      <c r="C24" s="604" t="inlineStr">
        <is>
          <t>EPSADJ</t>
        </is>
      </c>
      <c r="D24" s="605" t="inlineStr">
        <is>
          <t>E</t>
        </is>
      </c>
      <c r="E24" s="590" t="n">
        <v>4</v>
      </c>
      <c r="F24" s="591" t="n">
        <v>2</v>
      </c>
      <c r="G24" s="591" t="n">
        <v>0</v>
      </c>
      <c r="H24" s="605" t="n"/>
      <c r="I24" s="577" t="inlineStr">
        <is>
          <t>USD</t>
        </is>
      </c>
      <c r="J24" s="591" t="n">
        <v>40</v>
      </c>
      <c r="K24" s="591" t="n">
        <v>1</v>
      </c>
      <c r="L24" s="591" t="n"/>
      <c r="M24" s="606" t="n"/>
      <c r="N24" s="607" t="n"/>
      <c r="O24" s="607" t="n"/>
      <c r="P24" s="592" t="n"/>
      <c r="Q24" s="589" t="n"/>
      <c r="R24" s="589" t="n"/>
    </row>
    <row r="25" customFormat="1" s="569">
      <c r="B25" s="650" t="inlineStr">
        <is>
          <t>Draft</t>
        </is>
      </c>
      <c r="C25" s="610" t="inlineStr">
        <is>
          <t>EPSADJ_DRAFT</t>
        </is>
      </c>
      <c r="D25" s="611" t="inlineStr">
        <is>
          <t>E</t>
        </is>
      </c>
      <c r="E25" s="596" t="n">
        <v>4</v>
      </c>
      <c r="F25" s="598" t="n">
        <v>2</v>
      </c>
      <c r="G25" s="598" t="n">
        <v>1</v>
      </c>
      <c r="H25" s="611" t="n"/>
      <c r="I25" s="597" t="inlineStr">
        <is>
          <t>USD</t>
        </is>
      </c>
      <c r="J25" s="598" t="n">
        <v>41</v>
      </c>
      <c r="K25" s="598" t="n">
        <v>1</v>
      </c>
      <c r="L25" s="598" t="n"/>
      <c r="M25" s="612" t="n"/>
      <c r="N25" s="613" t="n"/>
      <c r="O25" s="613" t="n"/>
      <c r="P25" s="599" t="n"/>
      <c r="Q25" s="589" t="n"/>
      <c r="R25" s="589" t="n"/>
    </row>
    <row r="26" customFormat="1" s="569">
      <c r="B26" s="608" t="inlineStr">
        <is>
          <t>Revenues</t>
        </is>
      </c>
      <c r="C26" s="604" t="inlineStr">
        <is>
          <t>SALES</t>
        </is>
      </c>
      <c r="D26" s="605" t="inlineStr">
        <is>
          <t>E</t>
        </is>
      </c>
      <c r="E26" s="590" t="n">
        <v>5</v>
      </c>
      <c r="F26" s="591" t="n">
        <v>10</v>
      </c>
      <c r="G26" s="591" t="n">
        <v>0</v>
      </c>
      <c r="H26" s="605" t="n"/>
      <c r="I26" s="577" t="inlineStr">
        <is>
          <t>USD</t>
        </is>
      </c>
      <c r="J26" s="591" t="n">
        <v>50</v>
      </c>
      <c r="K26" s="591" t="n">
        <v>0</v>
      </c>
      <c r="L26" s="591" t="n"/>
      <c r="M26" s="606" t="n">
        <v>1200724</v>
      </c>
      <c r="N26" s="607" t="n">
        <v>1541012.227</v>
      </c>
      <c r="O26" s="607" t="n">
        <v>1625978.2753</v>
      </c>
      <c r="P26" s="592" t="n"/>
      <c r="Q26" s="589" t="n"/>
      <c r="R26" s="589" t="n"/>
    </row>
    <row r="27" customFormat="1" s="569">
      <c r="B27" s="649" t="inlineStr">
        <is>
          <t>Draft</t>
        </is>
      </c>
      <c r="C27" s="610" t="inlineStr">
        <is>
          <t>SALES_DRAFT</t>
        </is>
      </c>
      <c r="D27" s="611" t="inlineStr">
        <is>
          <t>E</t>
        </is>
      </c>
      <c r="E27" s="596" t="n">
        <v>5</v>
      </c>
      <c r="F27" s="598" t="n">
        <v>10</v>
      </c>
      <c r="G27" s="598" t="n">
        <v>1</v>
      </c>
      <c r="H27" s="611" t="n"/>
      <c r="I27" s="597" t="inlineStr">
        <is>
          <t>USD</t>
        </is>
      </c>
      <c r="J27" s="598" t="n">
        <v>51</v>
      </c>
      <c r="K27" s="598" t="n">
        <v>0</v>
      </c>
      <c r="L27" s="598" t="n"/>
      <c r="M27" s="612">
        <f>FS_Y!P11</f>
        <v/>
      </c>
      <c r="N27" s="612">
        <f>FS_Y!Q11</f>
        <v/>
      </c>
      <c r="O27" s="612">
        <f>FS_Y!R11</f>
        <v/>
      </c>
      <c r="P27" s="612">
        <f>FS_Y!S11</f>
        <v/>
      </c>
      <c r="Q27" s="589" t="n"/>
      <c r="R27" s="589" t="n"/>
    </row>
    <row r="28" customFormat="1" s="569">
      <c r="B28" s="591" t="inlineStr">
        <is>
          <t>Cost of Goods Sold</t>
        </is>
      </c>
      <c r="C28" s="604" t="inlineStr">
        <is>
          <t>COGS</t>
        </is>
      </c>
      <c r="D28" s="605" t="inlineStr">
        <is>
          <t>E</t>
        </is>
      </c>
      <c r="E28" s="590" t="n">
        <v>32</v>
      </c>
      <c r="F28" s="591" t="n">
        <v>11</v>
      </c>
      <c r="G28" s="591" t="n">
        <v>0</v>
      </c>
      <c r="H28" s="605" t="n"/>
      <c r="I28" s="577" t="inlineStr">
        <is>
          <t>USD</t>
        </is>
      </c>
      <c r="J28" s="591" t="n">
        <v>320</v>
      </c>
      <c r="K28" s="591" t="n">
        <v>0</v>
      </c>
      <c r="L28" s="591" t="n"/>
      <c r="M28" s="606" t="n">
        <v>661728</v>
      </c>
      <c r="N28" s="607" t="n">
        <v>784230.8408</v>
      </c>
      <c r="O28" s="607" t="n">
        <v>825315.387</v>
      </c>
      <c r="P28" s="592" t="n"/>
      <c r="Q28" s="589" t="n"/>
      <c r="R28" s="589" t="n"/>
    </row>
    <row r="29" customFormat="1" s="569">
      <c r="B29" s="650" t="inlineStr">
        <is>
          <t>Draft</t>
        </is>
      </c>
      <c r="C29" s="610" t="inlineStr">
        <is>
          <t>COGS_DRAFT</t>
        </is>
      </c>
      <c r="D29" s="611" t="inlineStr">
        <is>
          <t>E</t>
        </is>
      </c>
      <c r="E29" s="596" t="n">
        <v>32</v>
      </c>
      <c r="F29" s="598" t="n">
        <v>11</v>
      </c>
      <c r="G29" s="598" t="n">
        <v>1</v>
      </c>
      <c r="H29" s="611" t="n"/>
      <c r="I29" s="597" t="inlineStr">
        <is>
          <t>USD</t>
        </is>
      </c>
      <c r="J29" s="598" t="n">
        <v>321</v>
      </c>
      <c r="K29" s="598" t="n">
        <v>0</v>
      </c>
      <c r="L29" s="598" t="n"/>
      <c r="M29" s="612">
        <f>FS_Y!P12</f>
        <v/>
      </c>
      <c r="N29" s="612">
        <f>FS_Y!Q12</f>
        <v/>
      </c>
      <c r="O29" s="612">
        <f>FS_Y!R12</f>
        <v/>
      </c>
      <c r="P29" s="612">
        <f>FS_Y!S12</f>
        <v/>
      </c>
      <c r="Q29" s="589" t="n"/>
      <c r="R29" s="589" t="n"/>
    </row>
    <row r="30" customFormat="1" s="569">
      <c r="B30" s="591" t="inlineStr">
        <is>
          <t>Gross Profit</t>
        </is>
      </c>
      <c r="C30" s="604" t="inlineStr">
        <is>
          <t>GROSSPROFIT</t>
        </is>
      </c>
      <c r="D30" s="605" t="inlineStr">
        <is>
          <t>E</t>
        </is>
      </c>
      <c r="E30" s="590" t="n">
        <v>33</v>
      </c>
      <c r="F30" s="591" t="n">
        <v>12</v>
      </c>
      <c r="G30" s="591" t="n">
        <v>0</v>
      </c>
      <c r="H30" s="605" t="n"/>
      <c r="I30" s="577" t="inlineStr">
        <is>
          <t>USD</t>
        </is>
      </c>
      <c r="J30" s="591" t="n">
        <v>330</v>
      </c>
      <c r="K30" s="591" t="n">
        <v>0</v>
      </c>
      <c r="L30" s="591" t="n"/>
      <c r="M30" s="606" t="n">
        <v>538996</v>
      </c>
      <c r="N30" s="607" t="n">
        <v>756781.3861</v>
      </c>
      <c r="O30" s="607" t="n">
        <v>800662.8882</v>
      </c>
      <c r="P30" s="592" t="n"/>
      <c r="Q30" s="589" t="n"/>
      <c r="R30" s="589" t="n"/>
    </row>
    <row r="31" customFormat="1" s="569">
      <c r="B31" s="650" t="inlineStr">
        <is>
          <t>Draft</t>
        </is>
      </c>
      <c r="C31" s="610" t="inlineStr">
        <is>
          <t>GROSSPROFIT_DRAFT</t>
        </is>
      </c>
      <c r="D31" s="611" t="inlineStr">
        <is>
          <t>E</t>
        </is>
      </c>
      <c r="E31" s="596" t="n">
        <v>33</v>
      </c>
      <c r="F31" s="598" t="n">
        <v>12</v>
      </c>
      <c r="G31" s="598" t="n">
        <v>1</v>
      </c>
      <c r="H31" s="611" t="n"/>
      <c r="I31" s="597" t="inlineStr">
        <is>
          <t>USD</t>
        </is>
      </c>
      <c r="J31" s="598" t="n">
        <v>331</v>
      </c>
      <c r="K31" s="598" t="n">
        <v>0</v>
      </c>
      <c r="L31" s="598" t="n"/>
      <c r="M31" s="612">
        <f>FS_Y!P13</f>
        <v/>
      </c>
      <c r="N31" s="612">
        <f>FS_Y!Q13</f>
        <v/>
      </c>
      <c r="O31" s="612">
        <f>FS_Y!R13</f>
        <v/>
      </c>
      <c r="P31" s="612">
        <f>FS_Y!S13</f>
        <v/>
      </c>
      <c r="Q31" s="589" t="n"/>
      <c r="R31" s="589" t="n"/>
    </row>
    <row r="32" customFormat="1" s="569">
      <c r="B32" s="591" t="inlineStr">
        <is>
          <t>SG&amp;A</t>
        </is>
      </c>
      <c r="C32" s="604" t="inlineStr">
        <is>
          <t>SGA</t>
        </is>
      </c>
      <c r="D32" s="605" t="inlineStr">
        <is>
          <t>E</t>
        </is>
      </c>
      <c r="E32" s="590" t="n">
        <v>101</v>
      </c>
      <c r="F32" s="591" t="n">
        <v>14</v>
      </c>
      <c r="G32" s="591" t="n">
        <v>0</v>
      </c>
      <c r="H32" s="605" t="n"/>
      <c r="I32" s="577" t="inlineStr">
        <is>
          <t>USD</t>
        </is>
      </c>
      <c r="J32" s="591" t="n">
        <v>1010</v>
      </c>
      <c r="K32" s="591" t="n">
        <v>0</v>
      </c>
      <c r="L32" s="591" t="n"/>
      <c r="M32" s="606" t="n"/>
      <c r="N32" s="607" t="n"/>
      <c r="O32" s="607" t="n"/>
      <c r="P32" s="592" t="n"/>
      <c r="Q32" s="589" t="n"/>
      <c r="R32" s="589" t="n"/>
    </row>
    <row r="33" customFormat="1" s="569">
      <c r="B33" s="650" t="inlineStr">
        <is>
          <t>Draft</t>
        </is>
      </c>
      <c r="C33" s="610" t="inlineStr">
        <is>
          <t>SGA_DRAFT</t>
        </is>
      </c>
      <c r="D33" s="611" t="inlineStr">
        <is>
          <t>E</t>
        </is>
      </c>
      <c r="E33" s="596" t="n">
        <v>101</v>
      </c>
      <c r="F33" s="598" t="n">
        <v>14</v>
      </c>
      <c r="G33" s="598" t="n">
        <v>1</v>
      </c>
      <c r="H33" s="611" t="n"/>
      <c r="I33" s="597" t="inlineStr">
        <is>
          <t>USD</t>
        </is>
      </c>
      <c r="J33" s="598" t="n">
        <v>1011</v>
      </c>
      <c r="K33" s="598" t="n">
        <v>0</v>
      </c>
      <c r="L33" s="598" t="n"/>
      <c r="M33" s="612" t="n"/>
      <c r="N33" s="613" t="n"/>
      <c r="O33" s="613" t="n"/>
      <c r="P33" s="599" t="n"/>
      <c r="Q33" s="589" t="n"/>
      <c r="R33" s="589" t="n"/>
    </row>
    <row r="34" customFormat="1" s="569">
      <c r="B34" s="591" t="inlineStr">
        <is>
          <t>R&amp;D</t>
        </is>
      </c>
      <c r="C34" s="604" t="inlineStr">
        <is>
          <t>RD</t>
        </is>
      </c>
      <c r="D34" s="605" t="inlineStr">
        <is>
          <t>E</t>
        </is>
      </c>
      <c r="E34" s="590" t="n">
        <v>102</v>
      </c>
      <c r="F34" s="591" t="n">
        <v>15</v>
      </c>
      <c r="G34" s="591" t="n">
        <v>0</v>
      </c>
      <c r="H34" s="605" t="n"/>
      <c r="I34" s="577" t="inlineStr">
        <is>
          <t>USD</t>
        </is>
      </c>
      <c r="J34" s="591" t="n">
        <v>1020</v>
      </c>
      <c r="K34" s="591" t="n">
        <v>0</v>
      </c>
      <c r="L34" s="591" t="n"/>
      <c r="M34" s="606" t="n"/>
      <c r="N34" s="607" t="n"/>
      <c r="O34" s="607" t="n"/>
      <c r="P34" s="592" t="n"/>
      <c r="Q34" s="589" t="n"/>
      <c r="R34" s="589" t="n"/>
    </row>
    <row r="35" customFormat="1" s="569">
      <c r="B35" s="650" t="inlineStr">
        <is>
          <t>Draft</t>
        </is>
      </c>
      <c r="C35" s="610" t="inlineStr">
        <is>
          <t>RD_DRAFT</t>
        </is>
      </c>
      <c r="D35" s="611" t="inlineStr">
        <is>
          <t>E</t>
        </is>
      </c>
      <c r="E35" s="596" t="n">
        <v>102</v>
      </c>
      <c r="F35" s="598" t="n">
        <v>15</v>
      </c>
      <c r="G35" s="598" t="n">
        <v>1</v>
      </c>
      <c r="H35" s="611" t="n"/>
      <c r="I35" s="597" t="inlineStr">
        <is>
          <t>USD</t>
        </is>
      </c>
      <c r="J35" s="598" t="n">
        <v>1021</v>
      </c>
      <c r="K35" s="598" t="n">
        <v>0</v>
      </c>
      <c r="L35" s="598" t="n"/>
      <c r="M35" s="612" t="n"/>
      <c r="N35" s="613" t="n"/>
      <c r="O35" s="613" t="n"/>
      <c r="P35" s="599" t="n"/>
      <c r="Q35" s="589" t="n"/>
      <c r="R35" s="589" t="n"/>
    </row>
    <row r="36" customFormat="1" s="569">
      <c r="B36" s="608" t="inlineStr">
        <is>
          <t>EBITDA</t>
        </is>
      </c>
      <c r="C36" s="604" t="inlineStr">
        <is>
          <t>EBITDA</t>
        </is>
      </c>
      <c r="D36" s="605" t="inlineStr">
        <is>
          <t>E</t>
        </is>
      </c>
      <c r="E36" s="590" t="n">
        <v>7</v>
      </c>
      <c r="F36" s="591" t="n">
        <v>24</v>
      </c>
      <c r="G36" s="591" t="n">
        <v>0</v>
      </c>
      <c r="H36" s="605" t="n"/>
      <c r="I36" s="577" t="inlineStr">
        <is>
          <t>USD</t>
        </is>
      </c>
      <c r="J36" s="591" t="n">
        <v>70</v>
      </c>
      <c r="K36" s="591" t="n">
        <v>0</v>
      </c>
      <c r="L36" s="591" t="n"/>
      <c r="M36" s="606" t="n">
        <v>293213</v>
      </c>
      <c r="N36" s="607" t="n">
        <v>512703.2821</v>
      </c>
      <c r="O36" s="607" t="n">
        <v>565361.7463999999</v>
      </c>
      <c r="P36" s="592" t="n"/>
      <c r="Q36" s="589" t="n"/>
      <c r="R36" s="589" t="n"/>
    </row>
    <row r="37" customFormat="1" s="569">
      <c r="B37" s="649" t="inlineStr">
        <is>
          <t>Draft</t>
        </is>
      </c>
      <c r="C37" s="610" t="inlineStr">
        <is>
          <t>EBITDA_DRAFT</t>
        </is>
      </c>
      <c r="D37" s="611" t="inlineStr">
        <is>
          <t>E</t>
        </is>
      </c>
      <c r="E37" s="596" t="n">
        <v>7</v>
      </c>
      <c r="F37" s="598" t="n">
        <v>24</v>
      </c>
      <c r="G37" s="598" t="n">
        <v>1</v>
      </c>
      <c r="H37" s="611" t="n"/>
      <c r="I37" s="597" t="inlineStr">
        <is>
          <t>USD</t>
        </is>
      </c>
      <c r="J37" s="598" t="n">
        <v>71</v>
      </c>
      <c r="K37" s="598" t="n">
        <v>0</v>
      </c>
      <c r="L37" s="598" t="n"/>
      <c r="M37" s="612">
        <f>FS_Y!P137</f>
        <v/>
      </c>
      <c r="N37" s="612">
        <f>FS_Y!Q137</f>
        <v/>
      </c>
      <c r="O37" s="612">
        <f>FS_Y!R137</f>
        <v/>
      </c>
      <c r="P37" s="612">
        <f>FS_Y!S137</f>
        <v/>
      </c>
      <c r="Q37" s="589" t="n"/>
      <c r="R37" s="589" t="n"/>
    </row>
    <row r="38" customFormat="1" s="569">
      <c r="B38" s="591" t="inlineStr">
        <is>
          <t>EBIT</t>
        </is>
      </c>
      <c r="C38" s="604" t="inlineStr">
        <is>
          <t>EBIT</t>
        </is>
      </c>
      <c r="D38" s="605" t="inlineStr">
        <is>
          <t>E</t>
        </is>
      </c>
      <c r="E38" s="590" t="n">
        <v>6</v>
      </c>
      <c r="F38" s="591" t="n">
        <v>26</v>
      </c>
      <c r="G38" s="591" t="n">
        <v>0</v>
      </c>
      <c r="H38" s="605" t="n"/>
      <c r="I38" s="577" t="inlineStr">
        <is>
          <t>USD</t>
        </is>
      </c>
      <c r="J38" s="591" t="n">
        <v>60</v>
      </c>
      <c r="K38" s="591" t="n">
        <v>0</v>
      </c>
      <c r="L38" s="591" t="n"/>
      <c r="M38" s="606" t="n">
        <v>198659</v>
      </c>
      <c r="N38" s="607" t="n">
        <v>411503.5631</v>
      </c>
      <c r="O38" s="607" t="n">
        <v>460998.1976</v>
      </c>
      <c r="P38" s="592" t="n"/>
      <c r="Q38" s="589" t="n"/>
      <c r="R38" s="589" t="n"/>
    </row>
    <row r="39" customFormat="1" s="569">
      <c r="B39" s="650" t="inlineStr">
        <is>
          <t>Draft</t>
        </is>
      </c>
      <c r="C39" s="610" t="inlineStr">
        <is>
          <t>EBIT_DRAFT</t>
        </is>
      </c>
      <c r="D39" s="611" t="inlineStr">
        <is>
          <t>E</t>
        </is>
      </c>
      <c r="E39" s="596" t="n">
        <v>6</v>
      </c>
      <c r="F39" s="598" t="n">
        <v>26</v>
      </c>
      <c r="G39" s="598" t="n">
        <v>1</v>
      </c>
      <c r="H39" s="611" t="n"/>
      <c r="I39" s="597" t="inlineStr">
        <is>
          <t>USD</t>
        </is>
      </c>
      <c r="J39" s="598" t="n">
        <v>61</v>
      </c>
      <c r="K39" s="598" t="n">
        <v>0</v>
      </c>
      <c r="L39" s="598" t="n"/>
      <c r="M39" s="612">
        <f>FS_Y!P19</f>
        <v/>
      </c>
      <c r="N39" s="612">
        <f>FS_Y!Q19</f>
        <v/>
      </c>
      <c r="O39" s="612">
        <f>FS_Y!R19</f>
        <v/>
      </c>
      <c r="P39" s="612">
        <f>FS_Y!S19</f>
        <v/>
      </c>
      <c r="Q39" s="589" t="n"/>
      <c r="R39" s="589" t="n"/>
    </row>
    <row r="40" customFormat="1" s="569">
      <c r="B40" s="591" t="inlineStr">
        <is>
          <t>Pre-Tax Earnings</t>
        </is>
      </c>
      <c r="C40" s="604" t="inlineStr">
        <is>
          <t>EBT</t>
        </is>
      </c>
      <c r="D40" s="605" t="inlineStr">
        <is>
          <t>E</t>
        </is>
      </c>
      <c r="E40" s="590" t="n">
        <v>9</v>
      </c>
      <c r="F40" s="591" t="n">
        <v>27</v>
      </c>
      <c r="G40" s="591" t="n">
        <v>0</v>
      </c>
      <c r="H40" s="605" t="n"/>
      <c r="I40" s="577" t="inlineStr">
        <is>
          <t>USD</t>
        </is>
      </c>
      <c r="J40" s="591" t="n">
        <v>90</v>
      </c>
      <c r="K40" s="591" t="n">
        <v>0</v>
      </c>
      <c r="L40" s="591" t="n"/>
      <c r="M40" s="606" t="n">
        <v>205692</v>
      </c>
      <c r="N40" s="607" t="n">
        <v>426047.917</v>
      </c>
      <c r="O40" s="607" t="n">
        <v>479782.7249</v>
      </c>
      <c r="P40" s="592" t="n"/>
      <c r="Q40" s="589" t="n"/>
      <c r="R40" s="589" t="n"/>
    </row>
    <row r="41" customFormat="1" s="569">
      <c r="B41" s="650" t="inlineStr">
        <is>
          <t>Draft</t>
        </is>
      </c>
      <c r="C41" s="610" t="inlineStr">
        <is>
          <t>EBT_DRAFT</t>
        </is>
      </c>
      <c r="D41" s="611" t="inlineStr">
        <is>
          <t>E</t>
        </is>
      </c>
      <c r="E41" s="596" t="n">
        <v>9</v>
      </c>
      <c r="F41" s="598" t="n">
        <v>27</v>
      </c>
      <c r="G41" s="598" t="n">
        <v>1</v>
      </c>
      <c r="H41" s="611" t="n"/>
      <c r="I41" s="597" t="inlineStr">
        <is>
          <t>USD</t>
        </is>
      </c>
      <c r="J41" s="598" t="n">
        <v>91</v>
      </c>
      <c r="K41" s="598" t="n">
        <v>0</v>
      </c>
      <c r="L41" s="598" t="n"/>
      <c r="M41" s="612">
        <f>FS_Y!P23</f>
        <v/>
      </c>
      <c r="N41" s="612">
        <f>FS_Y!Q23</f>
        <v/>
      </c>
      <c r="O41" s="612">
        <f>FS_Y!R23</f>
        <v/>
      </c>
      <c r="P41" s="612">
        <f>FS_Y!S23</f>
        <v/>
      </c>
      <c r="Q41" s="589" t="n"/>
      <c r="R41" s="589" t="n"/>
    </row>
    <row r="42" customFormat="1" s="569">
      <c r="B42" s="591" t="inlineStr">
        <is>
          <t>Net Earnings</t>
        </is>
      </c>
      <c r="C42" s="604" t="inlineStr">
        <is>
          <t>NI</t>
        </is>
      </c>
      <c r="D42" s="605" t="inlineStr">
        <is>
          <t>E</t>
        </is>
      </c>
      <c r="E42" s="590" t="n">
        <v>10</v>
      </c>
      <c r="F42" s="591" t="n">
        <v>29</v>
      </c>
      <c r="G42" s="591" t="n">
        <v>0</v>
      </c>
      <c r="H42" s="605" t="n"/>
      <c r="I42" s="577" t="inlineStr">
        <is>
          <t>USD</t>
        </is>
      </c>
      <c r="J42" s="591" t="n">
        <v>100</v>
      </c>
      <c r="K42" s="591" t="n">
        <v>0</v>
      </c>
      <c r="L42" s="591" t="n"/>
      <c r="M42" s="606" t="n">
        <v>160338</v>
      </c>
      <c r="N42" s="607" t="n">
        <v>328056.8961</v>
      </c>
      <c r="O42" s="607" t="n">
        <v>369432.6982</v>
      </c>
      <c r="P42" s="592" t="n"/>
      <c r="Q42" s="589" t="n"/>
      <c r="R42" s="589" t="n"/>
    </row>
    <row r="43" customFormat="1" s="569">
      <c r="B43" s="650" t="inlineStr">
        <is>
          <t>Draft</t>
        </is>
      </c>
      <c r="C43" s="610" t="inlineStr">
        <is>
          <t>NI_DRAFT</t>
        </is>
      </c>
      <c r="D43" s="611" t="inlineStr">
        <is>
          <t>E</t>
        </is>
      </c>
      <c r="E43" s="596" t="n">
        <v>10</v>
      </c>
      <c r="F43" s="598" t="n">
        <v>29</v>
      </c>
      <c r="G43" s="598" t="n">
        <v>1</v>
      </c>
      <c r="H43" s="611" t="n"/>
      <c r="I43" s="597" t="inlineStr">
        <is>
          <t>USD</t>
        </is>
      </c>
      <c r="J43" s="598" t="n">
        <v>101</v>
      </c>
      <c r="K43" s="598" t="n">
        <v>0</v>
      </c>
      <c r="L43" s="598" t="n"/>
      <c r="M43" s="612">
        <f>FS_Y!P25</f>
        <v/>
      </c>
      <c r="N43" s="612">
        <f>FS_Y!Q25</f>
        <v/>
      </c>
      <c r="O43" s="612">
        <f>FS_Y!R25</f>
        <v/>
      </c>
      <c r="P43" s="612">
        <f>FS_Y!S25</f>
        <v/>
      </c>
      <c r="Q43" s="589" t="n"/>
      <c r="R43" s="589" t="n"/>
    </row>
    <row r="44" customFormat="1" s="569">
      <c r="B44" s="591" t="inlineStr">
        <is>
          <t>Distribution/Share</t>
        </is>
      </c>
      <c r="C44" s="604" t="inlineStr">
        <is>
          <t>DIST_PS</t>
        </is>
      </c>
      <c r="D44" s="605" t="inlineStr">
        <is>
          <t>E</t>
        </is>
      </c>
      <c r="E44" s="590" t="n">
        <v>106</v>
      </c>
      <c r="F44" s="591" t="n">
        <v>31</v>
      </c>
      <c r="G44" s="591" t="n">
        <v>0</v>
      </c>
      <c r="H44" s="605" t="n"/>
      <c r="I44" s="577" t="inlineStr">
        <is>
          <t>USD</t>
        </is>
      </c>
      <c r="J44" s="591" t="n">
        <v>1060</v>
      </c>
      <c r="K44" s="591" t="n">
        <v>1</v>
      </c>
      <c r="L44" s="591" t="n"/>
      <c r="M44" s="606" t="n"/>
      <c r="N44" s="607" t="n"/>
      <c r="O44" s="607" t="n"/>
      <c r="P44" s="592" t="n"/>
      <c r="Q44" s="589" t="n"/>
      <c r="R44" s="589" t="n"/>
    </row>
    <row r="45" customFormat="1" s="569">
      <c r="B45" s="650" t="inlineStr">
        <is>
          <t>Draft</t>
        </is>
      </c>
      <c r="C45" s="610" t="inlineStr">
        <is>
          <t>DIST_PS_DRAFT</t>
        </is>
      </c>
      <c r="D45" s="611" t="inlineStr">
        <is>
          <t>E</t>
        </is>
      </c>
      <c r="E45" s="596" t="n">
        <v>106</v>
      </c>
      <c r="F45" s="598" t="n">
        <v>31</v>
      </c>
      <c r="G45" s="598" t="n">
        <v>1</v>
      </c>
      <c r="H45" s="611" t="n"/>
      <c r="I45" s="597" t="inlineStr">
        <is>
          <t>USD</t>
        </is>
      </c>
      <c r="J45" s="598" t="n">
        <v>1061</v>
      </c>
      <c r="K45" s="598" t="n">
        <v>1</v>
      </c>
      <c r="L45" s="598" t="n"/>
      <c r="M45" s="612" t="n"/>
      <c r="N45" s="613" t="n"/>
      <c r="O45" s="613" t="n"/>
      <c r="P45" s="599" t="n"/>
      <c r="Q45" s="589" t="n"/>
      <c r="R45" s="589" t="n"/>
    </row>
    <row r="46" customFormat="1" s="569">
      <c r="B46" s="591" t="inlineStr">
        <is>
          <t>Fee Related Earnings/Share</t>
        </is>
      </c>
      <c r="C46" s="604" t="inlineStr">
        <is>
          <t>FEE_REL_EPS</t>
        </is>
      </c>
      <c r="D46" s="605" t="inlineStr">
        <is>
          <t>E</t>
        </is>
      </c>
      <c r="E46" s="590" t="n">
        <v>107</v>
      </c>
      <c r="F46" s="591" t="n">
        <v>32</v>
      </c>
      <c r="G46" s="591" t="n">
        <v>0</v>
      </c>
      <c r="H46" s="605" t="n"/>
      <c r="I46" s="577" t="inlineStr">
        <is>
          <t>USD</t>
        </is>
      </c>
      <c r="J46" s="591" t="n">
        <v>1070</v>
      </c>
      <c r="K46" s="591" t="n">
        <v>1</v>
      </c>
      <c r="L46" s="591" t="n"/>
      <c r="M46" s="606" t="n"/>
      <c r="N46" s="607" t="n"/>
      <c r="O46" s="607" t="n"/>
      <c r="P46" s="592" t="n"/>
      <c r="Q46" s="589" t="n"/>
      <c r="R46" s="589" t="n"/>
    </row>
    <row r="47" customFormat="1" s="569">
      <c r="B47" s="650" t="inlineStr">
        <is>
          <t>Draft</t>
        </is>
      </c>
      <c r="C47" s="610" t="inlineStr">
        <is>
          <t>FEE_REL_EPS_DRAFT</t>
        </is>
      </c>
      <c r="D47" s="611" t="inlineStr">
        <is>
          <t>E</t>
        </is>
      </c>
      <c r="E47" s="596" t="n">
        <v>107</v>
      </c>
      <c r="F47" s="598" t="n">
        <v>32</v>
      </c>
      <c r="G47" s="598" t="n">
        <v>1</v>
      </c>
      <c r="H47" s="611" t="n"/>
      <c r="I47" s="597" t="inlineStr">
        <is>
          <t>USD</t>
        </is>
      </c>
      <c r="J47" s="598" t="n">
        <v>1071</v>
      </c>
      <c r="K47" s="598" t="n">
        <v>1</v>
      </c>
      <c r="L47" s="598" t="n"/>
      <c r="M47" s="612" t="n"/>
      <c r="N47" s="613" t="n"/>
      <c r="O47" s="613" t="n"/>
      <c r="P47" s="599" t="n"/>
      <c r="Q47" s="589" t="n"/>
      <c r="R47" s="589" t="n"/>
    </row>
    <row r="48" customFormat="1" s="569">
      <c r="B48" s="591" t="inlineStr">
        <is>
          <t>Net Realized Performance Fee/Share</t>
        </is>
      </c>
      <c r="C48" s="604" t="inlineStr">
        <is>
          <t>NET_REAL_PERF_FEE_PS</t>
        </is>
      </c>
      <c r="D48" s="605" t="inlineStr">
        <is>
          <t>E</t>
        </is>
      </c>
      <c r="E48" s="590" t="n">
        <v>108</v>
      </c>
      <c r="F48" s="591" t="n">
        <v>33</v>
      </c>
      <c r="G48" s="591" t="n">
        <v>0</v>
      </c>
      <c r="H48" s="605" t="n"/>
      <c r="I48" s="577" t="inlineStr">
        <is>
          <t>USD</t>
        </is>
      </c>
      <c r="J48" s="591" t="n">
        <v>1080</v>
      </c>
      <c r="K48" s="591" t="n">
        <v>1</v>
      </c>
      <c r="L48" s="591" t="n"/>
      <c r="M48" s="606" t="n"/>
      <c r="N48" s="607" t="n"/>
      <c r="O48" s="607" t="n"/>
      <c r="P48" s="592" t="n"/>
      <c r="Q48" s="589" t="n"/>
      <c r="R48" s="589" t="n"/>
    </row>
    <row r="49" customFormat="1" s="569">
      <c r="B49" s="650" t="inlineStr">
        <is>
          <t>Draft</t>
        </is>
      </c>
      <c r="C49" s="610" t="inlineStr">
        <is>
          <t>NET_REAL_PERF_FEE_PS_DRAFT</t>
        </is>
      </c>
      <c r="D49" s="611" t="inlineStr">
        <is>
          <t>E</t>
        </is>
      </c>
      <c r="E49" s="596" t="n">
        <v>108</v>
      </c>
      <c r="F49" s="598" t="n">
        <v>33</v>
      </c>
      <c r="G49" s="598" t="n">
        <v>1</v>
      </c>
      <c r="H49" s="611" t="n"/>
      <c r="I49" s="597" t="inlineStr">
        <is>
          <t>USD</t>
        </is>
      </c>
      <c r="J49" s="598" t="n">
        <v>1081</v>
      </c>
      <c r="K49" s="598" t="n">
        <v>1</v>
      </c>
      <c r="L49" s="598" t="n"/>
      <c r="M49" s="612" t="n"/>
      <c r="N49" s="613" t="n"/>
      <c r="O49" s="613" t="n"/>
      <c r="P49" s="599" t="n"/>
      <c r="Q49" s="589" t="n"/>
      <c r="R49" s="589" t="n"/>
    </row>
    <row r="50" customFormat="1" s="569">
      <c r="B50" s="591" t="inlineStr">
        <is>
          <t>Economic Net Income/Share</t>
        </is>
      </c>
      <c r="C50" s="604" t="inlineStr">
        <is>
          <t>ECON_NET_INC_PS</t>
        </is>
      </c>
      <c r="D50" s="605" t="inlineStr">
        <is>
          <t>E</t>
        </is>
      </c>
      <c r="E50" s="590" t="n">
        <v>109</v>
      </c>
      <c r="F50" s="591" t="n">
        <v>34</v>
      </c>
      <c r="G50" s="591" t="n">
        <v>0</v>
      </c>
      <c r="H50" s="605" t="n"/>
      <c r="I50" s="577" t="inlineStr">
        <is>
          <t>USD</t>
        </is>
      </c>
      <c r="J50" s="591" t="n">
        <v>1090</v>
      </c>
      <c r="K50" s="591" t="n">
        <v>1</v>
      </c>
      <c r="L50" s="591" t="n"/>
      <c r="M50" s="606" t="n"/>
      <c r="N50" s="607" t="n"/>
      <c r="O50" s="607" t="n"/>
      <c r="P50" s="592" t="n"/>
      <c r="Q50" s="589" t="n"/>
      <c r="R50" s="589" t="n"/>
    </row>
    <row r="51" customFormat="1" s="569">
      <c r="B51" s="650" t="inlineStr">
        <is>
          <t>Draft</t>
        </is>
      </c>
      <c r="C51" s="610" t="inlineStr">
        <is>
          <t>ECON_NET_INC_PS_DRAFT</t>
        </is>
      </c>
      <c r="D51" s="611" t="inlineStr">
        <is>
          <t>E</t>
        </is>
      </c>
      <c r="E51" s="596" t="n">
        <v>109</v>
      </c>
      <c r="F51" s="598" t="n">
        <v>34</v>
      </c>
      <c r="G51" s="598" t="n">
        <v>1</v>
      </c>
      <c r="H51" s="611" t="n"/>
      <c r="I51" s="597" t="inlineStr">
        <is>
          <t>USD</t>
        </is>
      </c>
      <c r="J51" s="598" t="n">
        <v>1091</v>
      </c>
      <c r="K51" s="598" t="n">
        <v>1</v>
      </c>
      <c r="L51" s="598" t="n"/>
      <c r="M51" s="612" t="n"/>
      <c r="N51" s="613" t="n"/>
      <c r="O51" s="613" t="n"/>
      <c r="P51" s="599" t="n"/>
      <c r="Q51" s="589" t="n"/>
      <c r="R51" s="589" t="n"/>
    </row>
    <row r="52" customFormat="1" s="569">
      <c r="B52" s="591" t="inlineStr">
        <is>
          <t>Revenue/Share</t>
        </is>
      </c>
      <c r="C52" s="604" t="inlineStr">
        <is>
          <t>SALESPS</t>
        </is>
      </c>
      <c r="D52" s="605" t="inlineStr">
        <is>
          <t>E</t>
        </is>
      </c>
      <c r="E52" s="590" t="n">
        <v>21</v>
      </c>
      <c r="F52" s="591" t="n">
        <v>35</v>
      </c>
      <c r="G52" s="591" t="n">
        <v>0</v>
      </c>
      <c r="H52" s="605" t="n"/>
      <c r="I52" s="577" t="inlineStr">
        <is>
          <t>USD</t>
        </is>
      </c>
      <c r="J52" s="591" t="n">
        <v>210</v>
      </c>
      <c r="K52" s="591" t="n">
        <v>1</v>
      </c>
      <c r="L52" s="591" t="n"/>
      <c r="M52" s="606" t="n"/>
      <c r="N52" s="607" t="n"/>
      <c r="O52" s="607" t="n"/>
      <c r="P52" s="592" t="n"/>
      <c r="Q52" s="589" t="n"/>
      <c r="R52" s="589" t="n"/>
    </row>
    <row r="53" customFormat="1" s="569">
      <c r="B53" s="650" t="inlineStr">
        <is>
          <t>Draft</t>
        </is>
      </c>
      <c r="C53" s="610" t="inlineStr">
        <is>
          <t>SALESPS_DRAFT</t>
        </is>
      </c>
      <c r="D53" s="611" t="inlineStr">
        <is>
          <t>E</t>
        </is>
      </c>
      <c r="E53" s="596" t="n">
        <v>21</v>
      </c>
      <c r="F53" s="598" t="n">
        <v>35</v>
      </c>
      <c r="G53" s="598" t="n">
        <v>1</v>
      </c>
      <c r="H53" s="611" t="n"/>
      <c r="I53" s="597" t="inlineStr">
        <is>
          <t>USD</t>
        </is>
      </c>
      <c r="J53" s="598" t="n">
        <v>211</v>
      </c>
      <c r="K53" s="598" t="n">
        <v>1</v>
      </c>
      <c r="L53" s="598" t="n"/>
      <c r="M53" s="612" t="n"/>
      <c r="N53" s="613" t="n"/>
      <c r="O53" s="613" t="n"/>
      <c r="P53" s="599" t="n"/>
      <c r="Q53" s="589" t="n"/>
      <c r="R53" s="589" t="n"/>
    </row>
    <row r="54" customFormat="1" s="569">
      <c r="B54" s="591" t="inlineStr">
        <is>
          <t>Net Debt (Cash)</t>
        </is>
      </c>
      <c r="C54" s="604" t="inlineStr">
        <is>
          <t>NETDEBT_EST</t>
        </is>
      </c>
      <c r="D54" s="605" t="inlineStr">
        <is>
          <t>E</t>
        </is>
      </c>
      <c r="E54" s="590" t="n">
        <v>96</v>
      </c>
      <c r="F54" s="591" t="n">
        <v>37</v>
      </c>
      <c r="G54" s="591" t="n">
        <v>0</v>
      </c>
      <c r="H54" s="605" t="n"/>
      <c r="I54" s="577" t="inlineStr">
        <is>
          <t>USD</t>
        </is>
      </c>
      <c r="J54" s="591" t="n">
        <v>960</v>
      </c>
      <c r="K54" s="591" t="n">
        <v>0</v>
      </c>
      <c r="L54" s="591" t="n"/>
      <c r="M54" s="606" t="n">
        <v>-838264</v>
      </c>
      <c r="N54" s="607" t="n">
        <v>-1230279.7969</v>
      </c>
      <c r="O54" s="607" t="n">
        <v>-1435263.1661</v>
      </c>
      <c r="P54" s="592" t="n"/>
      <c r="Q54" s="589" t="n"/>
      <c r="R54" s="589" t="n"/>
    </row>
    <row r="55" customFormat="1" s="569">
      <c r="B55" s="650" t="inlineStr">
        <is>
          <t>Draft</t>
        </is>
      </c>
      <c r="C55" s="610" t="inlineStr">
        <is>
          <t>NETDEBT_EST_DRAFT</t>
        </is>
      </c>
      <c r="D55" s="611" t="inlineStr">
        <is>
          <t>E</t>
        </is>
      </c>
      <c r="E55" s="596" t="n">
        <v>96</v>
      </c>
      <c r="F55" s="598" t="n">
        <v>37</v>
      </c>
      <c r="G55" s="598" t="n">
        <v>1</v>
      </c>
      <c r="H55" s="611" t="n"/>
      <c r="I55" s="597" t="inlineStr">
        <is>
          <t>USD</t>
        </is>
      </c>
      <c r="J55" s="598" t="n">
        <v>961</v>
      </c>
      <c r="K55" s="598" t="n">
        <v>0</v>
      </c>
      <c r="L55" s="598" t="n"/>
      <c r="M55" s="612">
        <f>-FS_Y!P149</f>
        <v/>
      </c>
      <c r="N55" s="612">
        <f>-FS_Y!Q149</f>
        <v/>
      </c>
      <c r="O55" s="612">
        <f>-FS_Y!R149</f>
        <v/>
      </c>
      <c r="P55" s="612">
        <f>-FS_Y!S149</f>
        <v/>
      </c>
      <c r="Q55" s="589" t="n"/>
      <c r="R55" s="589" t="n"/>
    </row>
    <row r="56" customFormat="1" s="569">
      <c r="B56" s="591" t="inlineStr">
        <is>
          <t>BV/Share</t>
        </is>
      </c>
      <c r="C56" s="604" t="inlineStr">
        <is>
          <t>BVPS</t>
        </is>
      </c>
      <c r="D56" s="605" t="inlineStr">
        <is>
          <t>E</t>
        </is>
      </c>
      <c r="E56" s="590" t="n">
        <v>23</v>
      </c>
      <c r="F56" s="591" t="n">
        <v>41</v>
      </c>
      <c r="G56" s="591" t="n">
        <v>0</v>
      </c>
      <c r="H56" s="605" t="n"/>
      <c r="I56" s="577" t="inlineStr">
        <is>
          <t>USD</t>
        </is>
      </c>
      <c r="J56" s="591" t="n">
        <v>230</v>
      </c>
      <c r="K56" s="591" t="n">
        <v>1</v>
      </c>
      <c r="L56" s="591" t="n"/>
      <c r="M56" s="606" t="n">
        <v>48.7743</v>
      </c>
      <c r="N56" s="607" t="n">
        <v>58.6427</v>
      </c>
      <c r="O56" s="607" t="n">
        <v>65.5479</v>
      </c>
      <c r="P56" s="592" t="n"/>
      <c r="Q56" s="589" t="n"/>
      <c r="R56" s="589" t="n"/>
    </row>
    <row r="57" customFormat="1" s="569">
      <c r="B57" s="650" t="inlineStr">
        <is>
          <t>Draft</t>
        </is>
      </c>
      <c r="C57" s="610" t="inlineStr">
        <is>
          <t>BVPS_DRAFT</t>
        </is>
      </c>
      <c r="D57" s="611" t="inlineStr">
        <is>
          <t>E</t>
        </is>
      </c>
      <c r="E57" s="596" t="n">
        <v>23</v>
      </c>
      <c r="F57" s="598" t="n">
        <v>41</v>
      </c>
      <c r="G57" s="598" t="n">
        <v>1</v>
      </c>
      <c r="H57" s="611" t="n"/>
      <c r="I57" s="597" t="inlineStr">
        <is>
          <t>USD</t>
        </is>
      </c>
      <c r="J57" s="598" t="n">
        <v>231</v>
      </c>
      <c r="K57" s="598" t="n">
        <v>1</v>
      </c>
      <c r="L57" s="598" t="n"/>
      <c r="M57" s="612">
        <f>FS_Y!P181</f>
        <v/>
      </c>
      <c r="N57" s="612">
        <f>FS_Y!Q181</f>
        <v/>
      </c>
      <c r="O57" s="612">
        <f>FS_Y!R181</f>
        <v/>
      </c>
      <c r="P57" s="612">
        <f>FS_Y!S181</f>
        <v/>
      </c>
      <c r="Q57" s="589" t="n"/>
      <c r="R57" s="589" t="n"/>
    </row>
    <row r="58" customFormat="1" s="569">
      <c r="B58" s="591" t="inlineStr">
        <is>
          <t>TB/Share</t>
        </is>
      </c>
      <c r="C58" s="604" t="inlineStr">
        <is>
          <t>TBVPS</t>
        </is>
      </c>
      <c r="D58" s="605" t="inlineStr">
        <is>
          <t>E</t>
        </is>
      </c>
      <c r="E58" s="590" t="n">
        <v>24</v>
      </c>
      <c r="F58" s="591" t="n">
        <v>42</v>
      </c>
      <c r="G58" s="591" t="n">
        <v>0</v>
      </c>
      <c r="H58" s="605" t="n"/>
      <c r="I58" s="577" t="inlineStr">
        <is>
          <t>USD</t>
        </is>
      </c>
      <c r="J58" s="591" t="n">
        <v>240</v>
      </c>
      <c r="K58" s="591" t="n">
        <v>1</v>
      </c>
      <c r="L58" s="591" t="n"/>
      <c r="M58" s="606" t="n"/>
      <c r="N58" s="607" t="n"/>
      <c r="O58" s="607" t="n"/>
      <c r="P58" s="592" t="n"/>
      <c r="Q58" s="589" t="n"/>
      <c r="R58" s="589" t="n"/>
    </row>
    <row r="59" customFormat="1" s="569">
      <c r="B59" s="650" t="inlineStr">
        <is>
          <t>Draft</t>
        </is>
      </c>
      <c r="C59" s="610" t="inlineStr">
        <is>
          <t>TBVPS_DRAFT</t>
        </is>
      </c>
      <c r="D59" s="611" t="inlineStr">
        <is>
          <t>E</t>
        </is>
      </c>
      <c r="E59" s="596" t="n">
        <v>24</v>
      </c>
      <c r="F59" s="598" t="n">
        <v>42</v>
      </c>
      <c r="G59" s="598" t="n">
        <v>1</v>
      </c>
      <c r="H59" s="611" t="n"/>
      <c r="I59" s="597" t="inlineStr">
        <is>
          <t>USD</t>
        </is>
      </c>
      <c r="J59" s="598" t="n">
        <v>241</v>
      </c>
      <c r="K59" s="598" t="n">
        <v>1</v>
      </c>
      <c r="L59" s="598" t="n"/>
      <c r="M59" s="612" t="n"/>
      <c r="N59" s="613" t="n"/>
      <c r="O59" s="613" t="n"/>
      <c r="P59" s="599" t="n"/>
      <c r="Q59" s="589" t="n"/>
      <c r="R59" s="589" t="n"/>
    </row>
    <row r="60" customFormat="1" s="569">
      <c r="B60" s="591" t="inlineStr">
        <is>
          <t>CFO</t>
        </is>
      </c>
      <c r="C60" s="604" t="inlineStr">
        <is>
          <t>OCF</t>
        </is>
      </c>
      <c r="D60" s="605" t="inlineStr">
        <is>
          <t>E</t>
        </is>
      </c>
      <c r="E60" s="590" t="n">
        <v>11</v>
      </c>
      <c r="F60" s="591" t="n">
        <v>48</v>
      </c>
      <c r="G60" s="591" t="n">
        <v>0</v>
      </c>
      <c r="H60" s="605" t="n"/>
      <c r="I60" s="577" t="inlineStr">
        <is>
          <t>USD</t>
        </is>
      </c>
      <c r="J60" s="591" t="n">
        <v>110</v>
      </c>
      <c r="K60" s="591" t="n">
        <v>0</v>
      </c>
      <c r="L60" s="591" t="n"/>
      <c r="M60" s="606" t="n">
        <v>285335</v>
      </c>
      <c r="N60" s="607" t="n">
        <v>421196.0776</v>
      </c>
      <c r="O60" s="607" t="n">
        <v>411733.9802</v>
      </c>
      <c r="P60" s="592" t="n"/>
      <c r="Q60" s="589" t="n"/>
      <c r="R60" s="589" t="n"/>
    </row>
    <row r="61" customFormat="1" s="569">
      <c r="B61" s="650" t="inlineStr">
        <is>
          <t>Draft</t>
        </is>
      </c>
      <c r="C61" s="610" t="inlineStr">
        <is>
          <t>OCF_DRAFT</t>
        </is>
      </c>
      <c r="D61" s="611" t="inlineStr">
        <is>
          <t>E</t>
        </is>
      </c>
      <c r="E61" s="596" t="n">
        <v>11</v>
      </c>
      <c r="F61" s="598" t="n">
        <v>48</v>
      </c>
      <c r="G61" s="598" t="n">
        <v>1</v>
      </c>
      <c r="H61" s="611" t="n"/>
      <c r="I61" s="597" t="inlineStr">
        <is>
          <t>USD</t>
        </is>
      </c>
      <c r="J61" s="598" t="n">
        <v>111</v>
      </c>
      <c r="K61" s="598" t="n">
        <v>0</v>
      </c>
      <c r="L61" s="598" t="n"/>
      <c r="M61" s="612">
        <f>FS_Y!P102</f>
        <v/>
      </c>
      <c r="N61" s="612">
        <f>FS_Y!Q102</f>
        <v/>
      </c>
      <c r="O61" s="612">
        <f>FS_Y!R102</f>
        <v/>
      </c>
      <c r="P61" s="612">
        <f>FS_Y!S102</f>
        <v/>
      </c>
      <c r="Q61" s="589" t="n"/>
      <c r="R61" s="589" t="n"/>
    </row>
    <row r="62" customFormat="1" s="569">
      <c r="B62" s="591" t="inlineStr">
        <is>
          <t>CapEx</t>
        </is>
      </c>
      <c r="C62" s="604" t="inlineStr">
        <is>
          <t>CAPEX</t>
        </is>
      </c>
      <c r="D62" s="605" t="inlineStr">
        <is>
          <t>E</t>
        </is>
      </c>
      <c r="E62" s="590" t="n">
        <v>18</v>
      </c>
      <c r="F62" s="591" t="n">
        <v>49</v>
      </c>
      <c r="G62" s="591" t="n">
        <v>0</v>
      </c>
      <c r="H62" s="605" t="n"/>
      <c r="I62" s="577" t="inlineStr">
        <is>
          <t>USD</t>
        </is>
      </c>
      <c r="J62" s="591" t="n">
        <v>180</v>
      </c>
      <c r="K62" s="591" t="n">
        <v>0</v>
      </c>
      <c r="L62" s="591" t="n"/>
      <c r="M62" s="606" t="n">
        <v>86807</v>
      </c>
      <c r="N62" s="607" t="n">
        <v>123280.9781</v>
      </c>
      <c r="O62" s="607" t="n">
        <v>130078.262</v>
      </c>
      <c r="P62" s="592" t="n"/>
      <c r="Q62" s="589" t="n"/>
      <c r="R62" s="589" t="n"/>
    </row>
    <row r="63" customFormat="1" s="569">
      <c r="B63" s="650" t="inlineStr">
        <is>
          <t>Draft</t>
        </is>
      </c>
      <c r="C63" s="610" t="inlineStr">
        <is>
          <t>CAPEX_DRAFT</t>
        </is>
      </c>
      <c r="D63" s="611" t="inlineStr">
        <is>
          <t>E</t>
        </is>
      </c>
      <c r="E63" s="596" t="n">
        <v>18</v>
      </c>
      <c r="F63" s="598" t="n">
        <v>49</v>
      </c>
      <c r="G63" s="598" t="n">
        <v>1</v>
      </c>
      <c r="H63" s="611" t="n"/>
      <c r="I63" s="597" t="inlineStr">
        <is>
          <t>USD</t>
        </is>
      </c>
      <c r="J63" s="598" t="n">
        <v>181</v>
      </c>
      <c r="K63" s="598" t="n">
        <v>0</v>
      </c>
      <c r="L63" s="598" t="n"/>
      <c r="M63" s="612">
        <f>FS_Y!P158</f>
        <v/>
      </c>
      <c r="N63" s="612">
        <f>FS_Y!Q158</f>
        <v/>
      </c>
      <c r="O63" s="612">
        <f>FS_Y!R158</f>
        <v/>
      </c>
      <c r="P63" s="612">
        <f>FS_Y!S158</f>
        <v/>
      </c>
      <c r="Q63" s="589" t="n"/>
      <c r="R63" s="589" t="n"/>
    </row>
    <row r="64" customFormat="1" s="569">
      <c r="B64" s="591" t="inlineStr">
        <is>
          <t>FCF</t>
        </is>
      </c>
      <c r="C64" s="604" t="inlineStr">
        <is>
          <t>FCF</t>
        </is>
      </c>
      <c r="D64" s="605" t="inlineStr">
        <is>
          <t>E</t>
        </is>
      </c>
      <c r="E64" s="590" t="n">
        <v>12</v>
      </c>
      <c r="F64" s="591" t="n">
        <v>50</v>
      </c>
      <c r="G64" s="591" t="n">
        <v>0</v>
      </c>
      <c r="H64" s="605" t="n"/>
      <c r="I64" s="577" t="inlineStr">
        <is>
          <t>USD</t>
        </is>
      </c>
      <c r="J64" s="591" t="n">
        <v>120</v>
      </c>
      <c r="K64" s="591" t="n">
        <v>0</v>
      </c>
      <c r="L64" s="591" t="n"/>
      <c r="M64" s="606" t="n">
        <v>193045.7393</v>
      </c>
      <c r="N64" s="607" t="n">
        <v>286715.947</v>
      </c>
      <c r="O64" s="607" t="n">
        <v>267191.6321</v>
      </c>
      <c r="P64" s="592" t="n"/>
      <c r="Q64" s="589" t="n"/>
      <c r="R64" s="589" t="n"/>
    </row>
    <row r="65" customFormat="1" s="569">
      <c r="B65" s="650" t="inlineStr">
        <is>
          <t>Draft</t>
        </is>
      </c>
      <c r="C65" s="610" t="inlineStr">
        <is>
          <t>FCF_DRAFT</t>
        </is>
      </c>
      <c r="D65" s="611" t="inlineStr">
        <is>
          <t>E</t>
        </is>
      </c>
      <c r="E65" s="596" t="n">
        <v>12</v>
      </c>
      <c r="F65" s="598" t="n">
        <v>50</v>
      </c>
      <c r="G65" s="598" t="n">
        <v>1</v>
      </c>
      <c r="H65" s="611" t="n"/>
      <c r="I65" s="597" t="inlineStr">
        <is>
          <t>USD</t>
        </is>
      </c>
      <c r="J65" s="598" t="n">
        <v>121</v>
      </c>
      <c r="K65" s="598" t="n">
        <v>0</v>
      </c>
      <c r="L65" s="598" t="n"/>
      <c r="M65" s="612">
        <f>FS_Y!P173</f>
        <v/>
      </c>
      <c r="N65" s="612">
        <f>FS_Y!Q173</f>
        <v/>
      </c>
      <c r="O65" s="612">
        <f>FS_Y!R173</f>
        <v/>
      </c>
      <c r="P65" s="612">
        <f>FS_Y!S173</f>
        <v/>
      </c>
      <c r="Q65" s="589" t="n"/>
      <c r="R65" s="589" t="n"/>
    </row>
    <row r="66" customFormat="1" s="569">
      <c r="B66" s="591" t="inlineStr">
        <is>
          <t>CFO/Share</t>
        </is>
      </c>
      <c r="C66" s="604" t="inlineStr">
        <is>
          <t>OCFPS</t>
        </is>
      </c>
      <c r="D66" s="605" t="inlineStr">
        <is>
          <t>E</t>
        </is>
      </c>
      <c r="E66" s="590" t="n">
        <v>22</v>
      </c>
      <c r="F66" s="591" t="n">
        <v>52</v>
      </c>
      <c r="G66" s="591" t="n">
        <v>0</v>
      </c>
      <c r="H66" s="605" t="n"/>
      <c r="I66" s="577" t="inlineStr">
        <is>
          <t>USD</t>
        </is>
      </c>
      <c r="J66" s="591" t="n">
        <v>220</v>
      </c>
      <c r="K66" s="591" t="n">
        <v>1</v>
      </c>
      <c r="L66" s="591" t="n"/>
      <c r="M66" s="606" t="n"/>
      <c r="N66" s="607" t="n"/>
      <c r="O66" s="607" t="n"/>
      <c r="P66" s="592" t="n"/>
      <c r="Q66" s="589" t="n"/>
      <c r="R66" s="589" t="n"/>
    </row>
    <row r="67" customFormat="1" s="569">
      <c r="B67" s="650" t="inlineStr">
        <is>
          <t>Draft</t>
        </is>
      </c>
      <c r="C67" s="610" t="inlineStr">
        <is>
          <t>OCFPS_DRAFT</t>
        </is>
      </c>
      <c r="D67" s="611" t="inlineStr">
        <is>
          <t>E</t>
        </is>
      </c>
      <c r="E67" s="596" t="n">
        <v>22</v>
      </c>
      <c r="F67" s="598" t="n">
        <v>52</v>
      </c>
      <c r="G67" s="598" t="n">
        <v>1</v>
      </c>
      <c r="H67" s="611" t="n"/>
      <c r="I67" s="597" t="inlineStr">
        <is>
          <t>USD</t>
        </is>
      </c>
      <c r="J67" s="598" t="n">
        <v>221</v>
      </c>
      <c r="K67" s="598" t="n">
        <v>1</v>
      </c>
      <c r="L67" s="598" t="n"/>
      <c r="M67" s="612" t="n"/>
      <c r="N67" s="613" t="n"/>
      <c r="O67" s="613" t="n"/>
      <c r="P67" s="599" t="n"/>
      <c r="Q67" s="589" t="n"/>
      <c r="R67" s="589" t="n"/>
    </row>
    <row r="68" customFormat="1" s="569">
      <c r="B68" s="591" t="inlineStr">
        <is>
          <t>Dividend/Share</t>
        </is>
      </c>
      <c r="C68" s="604" t="inlineStr">
        <is>
          <t>DIVPS</t>
        </is>
      </c>
      <c r="D68" s="605" t="inlineStr">
        <is>
          <t>E</t>
        </is>
      </c>
      <c r="E68" s="590" t="n">
        <v>25</v>
      </c>
      <c r="F68" s="591" t="n">
        <v>53</v>
      </c>
      <c r="G68" s="591" t="n">
        <v>0</v>
      </c>
      <c r="H68" s="605" t="n"/>
      <c r="I68" s="577" t="inlineStr">
        <is>
          <t>USD</t>
        </is>
      </c>
      <c r="J68" s="591" t="n">
        <v>250</v>
      </c>
      <c r="K68" s="591" t="n">
        <v>1</v>
      </c>
      <c r="L68" s="591" t="n"/>
      <c r="M68" s="606" t="n"/>
      <c r="N68" s="607" t="n"/>
      <c r="O68" s="607" t="n"/>
      <c r="P68" s="592" t="n"/>
      <c r="Q68" s="589" t="n"/>
      <c r="R68" s="589" t="n"/>
    </row>
    <row r="69" customFormat="1" s="569">
      <c r="B69" s="650" t="inlineStr">
        <is>
          <t>Draft</t>
        </is>
      </c>
      <c r="C69" s="610" t="inlineStr">
        <is>
          <t>DIVPS_DRAFT</t>
        </is>
      </c>
      <c r="D69" s="611" t="inlineStr">
        <is>
          <t>E</t>
        </is>
      </c>
      <c r="E69" s="596" t="n">
        <v>25</v>
      </c>
      <c r="F69" s="598" t="n">
        <v>53</v>
      </c>
      <c r="G69" s="598" t="n">
        <v>1</v>
      </c>
      <c r="H69" s="611" t="n"/>
      <c r="I69" s="597" t="inlineStr">
        <is>
          <t>USD</t>
        </is>
      </c>
      <c r="J69" s="598" t="n">
        <v>251</v>
      </c>
      <c r="K69" s="598" t="n">
        <v>1</v>
      </c>
      <c r="L69" s="598" t="n"/>
      <c r="M69" s="612" t="n"/>
      <c r="N69" s="613" t="n"/>
      <c r="O69" s="613" t="n"/>
      <c r="P69" s="599" t="n"/>
      <c r="Q69" s="589" t="n"/>
      <c r="R69" s="589" t="n"/>
    </row>
    <row r="70" customFormat="1" s="569">
      <c r="B70" s="591" t="inlineStr">
        <is>
          <t>FCF/Share</t>
        </is>
      </c>
      <c r="C70" s="604" t="inlineStr">
        <is>
          <t>FCFPS</t>
        </is>
      </c>
      <c r="D70" s="605" t="inlineStr">
        <is>
          <t>E</t>
        </is>
      </c>
      <c r="E70" s="590" t="n">
        <v>26</v>
      </c>
      <c r="F70" s="591" t="n">
        <v>54</v>
      </c>
      <c r="G70" s="591" t="n">
        <v>0</v>
      </c>
      <c r="H70" s="605" t="n"/>
      <c r="I70" s="577" t="inlineStr">
        <is>
          <t>USD</t>
        </is>
      </c>
      <c r="J70" s="591" t="n">
        <v>260</v>
      </c>
      <c r="K70" s="591" t="n">
        <v>1</v>
      </c>
      <c r="L70" s="591" t="n"/>
      <c r="M70" s="606" t="n"/>
      <c r="N70" s="607" t="n"/>
      <c r="O70" s="607" t="n"/>
      <c r="P70" s="592" t="n"/>
      <c r="Q70" s="589" t="n"/>
      <c r="R70" s="589" t="n"/>
    </row>
    <row r="71" customFormat="1" s="569">
      <c r="B71" s="650" t="inlineStr">
        <is>
          <t>Draft</t>
        </is>
      </c>
      <c r="C71" s="610" t="inlineStr">
        <is>
          <t>FCFPS_DRAFT</t>
        </is>
      </c>
      <c r="D71" s="611" t="inlineStr">
        <is>
          <t>E</t>
        </is>
      </c>
      <c r="E71" s="596" t="n">
        <v>26</v>
      </c>
      <c r="F71" s="598" t="n">
        <v>54</v>
      </c>
      <c r="G71" s="598" t="n">
        <v>1</v>
      </c>
      <c r="H71" s="611" t="n"/>
      <c r="I71" s="597" t="inlineStr">
        <is>
          <t>USD</t>
        </is>
      </c>
      <c r="J71" s="598" t="n">
        <v>261</v>
      </c>
      <c r="K71" s="598" t="n">
        <v>1</v>
      </c>
      <c r="L71" s="598" t="n"/>
      <c r="M71" s="612" t="n"/>
      <c r="N71" s="613" t="n"/>
      <c r="O71" s="613" t="n"/>
      <c r="P71" s="599" t="n"/>
      <c r="Q71" s="589" t="n"/>
      <c r="R71" s="589" t="n"/>
    </row>
    <row r="72" customFormat="1" s="569">
      <c r="B72" s="608" t="inlineStr">
        <is>
          <t>Gross Margin (%)</t>
        </is>
      </c>
      <c r="C72" s="604" t="inlineStr">
        <is>
          <t>GM</t>
        </is>
      </c>
      <c r="D72" s="605" t="inlineStr">
        <is>
          <t>E</t>
        </is>
      </c>
      <c r="E72" s="590" t="n">
        <v>42</v>
      </c>
      <c r="F72" s="591" t="n">
        <v>55</v>
      </c>
      <c r="G72" s="591" t="n">
        <v>0</v>
      </c>
      <c r="H72" s="605" t="n"/>
      <c r="I72" s="577" t="inlineStr">
        <is>
          <t>USD</t>
        </is>
      </c>
      <c r="J72" s="591" t="n">
        <v>420</v>
      </c>
      <c r="K72" s="591" t="n">
        <v>0</v>
      </c>
      <c r="L72" s="591" t="inlineStr">
        <is>
          <t>%</t>
        </is>
      </c>
      <c r="M72" s="651" t="n">
        <v>0.448892</v>
      </c>
      <c r="N72" s="652" t="n">
        <v>0.491093</v>
      </c>
      <c r="O72" s="652" t="n">
        <v>0.492419</v>
      </c>
      <c r="P72" s="653" t="n"/>
      <c r="Q72" s="589" t="n"/>
      <c r="R72" s="589" t="n"/>
    </row>
    <row r="73" customFormat="1" s="569">
      <c r="B73" s="649" t="inlineStr">
        <is>
          <t>Draft</t>
        </is>
      </c>
      <c r="C73" s="610" t="inlineStr">
        <is>
          <t>GM_DRAFT</t>
        </is>
      </c>
      <c r="D73" s="611" t="inlineStr">
        <is>
          <t>E</t>
        </is>
      </c>
      <c r="E73" s="596" t="n">
        <v>42</v>
      </c>
      <c r="F73" s="598" t="n">
        <v>55</v>
      </c>
      <c r="G73" s="598" t="n">
        <v>1</v>
      </c>
      <c r="H73" s="611" t="n"/>
      <c r="I73" s="597" t="inlineStr">
        <is>
          <t>USD</t>
        </is>
      </c>
      <c r="J73" s="598" t="n">
        <v>421</v>
      </c>
      <c r="K73" s="598" t="n">
        <v>0</v>
      </c>
      <c r="L73" s="598" t="inlineStr">
        <is>
          <t>%</t>
        </is>
      </c>
      <c r="M73" s="640">
        <f>Summary!O23</f>
        <v/>
      </c>
      <c r="N73" s="640">
        <f>Summary!P23</f>
        <v/>
      </c>
      <c r="O73" s="640">
        <f>Summary!Q23</f>
        <v/>
      </c>
      <c r="P73" s="640">
        <f>Summary!R23</f>
        <v/>
      </c>
      <c r="Q73" s="589" t="n"/>
      <c r="R73" s="589" t="n"/>
    </row>
    <row r="74" customFormat="1" s="569">
      <c r="B74" s="591" t="inlineStr">
        <is>
          <t>EBITDA Margin (%)</t>
        </is>
      </c>
      <c r="C74" s="604" t="inlineStr">
        <is>
          <t>EBITDAMARGIN</t>
        </is>
      </c>
      <c r="D74" s="605" t="inlineStr">
        <is>
          <t>E</t>
        </is>
      </c>
      <c r="E74" s="590" t="n">
        <v>43</v>
      </c>
      <c r="F74" s="591" t="n">
        <v>56</v>
      </c>
      <c r="G74" s="591" t="n">
        <v>0</v>
      </c>
      <c r="H74" s="605" t="n"/>
      <c r="I74" s="577" t="inlineStr">
        <is>
          <t>USD</t>
        </is>
      </c>
      <c r="J74" s="591" t="n">
        <v>430</v>
      </c>
      <c r="K74" s="591" t="n">
        <v>0</v>
      </c>
      <c r="L74" s="591" t="inlineStr">
        <is>
          <t>%</t>
        </is>
      </c>
      <c r="M74" s="651" t="n"/>
      <c r="N74" s="652" t="n"/>
      <c r="O74" s="652" t="n"/>
      <c r="P74" s="653" t="n"/>
      <c r="Q74" s="589" t="n"/>
      <c r="R74" s="589" t="n"/>
    </row>
    <row r="75" customFormat="1" s="569">
      <c r="B75" s="650" t="inlineStr">
        <is>
          <t>Draft</t>
        </is>
      </c>
      <c r="C75" s="610" t="inlineStr">
        <is>
          <t>EBITDAMARGIN_DRAFT</t>
        </is>
      </c>
      <c r="D75" s="611" t="inlineStr">
        <is>
          <t>E</t>
        </is>
      </c>
      <c r="E75" s="596" t="n">
        <v>43</v>
      </c>
      <c r="F75" s="598" t="n">
        <v>56</v>
      </c>
      <c r="G75" s="598" t="n">
        <v>1</v>
      </c>
      <c r="H75" s="611" t="n"/>
      <c r="I75" s="597" t="inlineStr">
        <is>
          <t>USD</t>
        </is>
      </c>
      <c r="J75" s="598" t="n">
        <v>431</v>
      </c>
      <c r="K75" s="598" t="n">
        <v>0</v>
      </c>
      <c r="L75" s="598" t="inlineStr">
        <is>
          <t>%</t>
        </is>
      </c>
      <c r="M75" s="640" t="n"/>
      <c r="N75" s="654" t="n"/>
      <c r="O75" s="654" t="n"/>
      <c r="P75" s="637" t="n"/>
      <c r="Q75" s="589" t="n"/>
      <c r="R75" s="589" t="n"/>
    </row>
    <row r="76" customFormat="1" s="569">
      <c r="B76" s="608" t="inlineStr">
        <is>
          <t>Operating Margin (%)</t>
        </is>
      </c>
      <c r="C76" s="604" t="inlineStr">
        <is>
          <t>OM</t>
        </is>
      </c>
      <c r="D76" s="605" t="inlineStr">
        <is>
          <t>E</t>
        </is>
      </c>
      <c r="E76" s="590" t="n">
        <v>44</v>
      </c>
      <c r="F76" s="591" t="n">
        <v>57</v>
      </c>
      <c r="G76" s="591" t="n">
        <v>0</v>
      </c>
      <c r="H76" s="605" t="n"/>
      <c r="I76" s="577" t="inlineStr">
        <is>
          <t>USD</t>
        </is>
      </c>
      <c r="J76" s="591" t="n">
        <v>440</v>
      </c>
      <c r="K76" s="591" t="n">
        <v>0</v>
      </c>
      <c r="L76" s="591" t="inlineStr">
        <is>
          <t>%</t>
        </is>
      </c>
      <c r="M76" s="651" t="n">
        <v>0.165449</v>
      </c>
      <c r="N76" s="652" t="n">
        <v>0.267034</v>
      </c>
      <c r="O76" s="652" t="n">
        <v>0.28352</v>
      </c>
      <c r="P76" s="653" t="n"/>
      <c r="Q76" s="589" t="n"/>
      <c r="R76" s="589" t="n"/>
    </row>
    <row r="77" customFormat="1" s="569">
      <c r="B77" s="649" t="inlineStr">
        <is>
          <t>Draft</t>
        </is>
      </c>
      <c r="C77" s="610" t="inlineStr">
        <is>
          <t>OM_DRAFT</t>
        </is>
      </c>
      <c r="D77" s="611" t="inlineStr">
        <is>
          <t>E</t>
        </is>
      </c>
      <c r="E77" s="596" t="n">
        <v>44</v>
      </c>
      <c r="F77" s="598" t="n">
        <v>57</v>
      </c>
      <c r="G77" s="598" t="n">
        <v>1</v>
      </c>
      <c r="H77" s="611" t="n"/>
      <c r="I77" s="597" t="inlineStr">
        <is>
          <t>USD</t>
        </is>
      </c>
      <c r="J77" s="598" t="n">
        <v>441</v>
      </c>
      <c r="K77" s="598" t="n">
        <v>0</v>
      </c>
      <c r="L77" s="598" t="inlineStr">
        <is>
          <t>%</t>
        </is>
      </c>
      <c r="M77" s="640">
        <f>Summary!O24</f>
        <v/>
      </c>
      <c r="N77" s="640">
        <f>Summary!P24</f>
        <v/>
      </c>
      <c r="O77" s="640">
        <f>Summary!Q24</f>
        <v/>
      </c>
      <c r="P77" s="640">
        <f>Summary!R24</f>
        <v/>
      </c>
      <c r="Q77" s="589" t="n"/>
      <c r="R77" s="589" t="n"/>
    </row>
    <row r="78" customFormat="1" s="569">
      <c r="B78" s="608" t="inlineStr">
        <is>
          <t>Net Income Margin (%)</t>
        </is>
      </c>
      <c r="C78" s="604" t="inlineStr">
        <is>
          <t>NETMARGIN</t>
        </is>
      </c>
      <c r="D78" s="605" t="inlineStr">
        <is>
          <t>E</t>
        </is>
      </c>
      <c r="E78" s="590" t="n">
        <v>45</v>
      </c>
      <c r="F78" s="591" t="n">
        <v>63</v>
      </c>
      <c r="G78" s="591" t="n">
        <v>0</v>
      </c>
      <c r="H78" s="605" t="n"/>
      <c r="I78" s="577" t="inlineStr">
        <is>
          <t>USD</t>
        </is>
      </c>
      <c r="J78" s="591" t="n">
        <v>450</v>
      </c>
      <c r="K78" s="591" t="n">
        <v>0</v>
      </c>
      <c r="L78" s="591" t="inlineStr">
        <is>
          <t>%</t>
        </is>
      </c>
      <c r="M78" s="651" t="n">
        <v>0.132896</v>
      </c>
      <c r="N78" s="652" t="n">
        <v>0.214887</v>
      </c>
      <c r="O78" s="652" t="n">
        <v>0.229344</v>
      </c>
      <c r="P78" s="653" t="n"/>
      <c r="Q78" s="589" t="n"/>
      <c r="R78" s="589" t="n"/>
    </row>
    <row r="79" customFormat="1" s="569">
      <c r="B79" s="649" t="inlineStr">
        <is>
          <t>Draft</t>
        </is>
      </c>
      <c r="C79" s="610" t="inlineStr">
        <is>
          <t>NETMARGIN_DRAFT</t>
        </is>
      </c>
      <c r="D79" s="611" t="inlineStr">
        <is>
          <t>E</t>
        </is>
      </c>
      <c r="E79" s="596" t="n">
        <v>45</v>
      </c>
      <c r="F79" s="598" t="n">
        <v>63</v>
      </c>
      <c r="G79" s="598" t="n">
        <v>1</v>
      </c>
      <c r="H79" s="611" t="n"/>
      <c r="I79" s="597" t="inlineStr">
        <is>
          <t>USD</t>
        </is>
      </c>
      <c r="J79" s="598" t="n">
        <v>451</v>
      </c>
      <c r="K79" s="598" t="n">
        <v>0</v>
      </c>
      <c r="L79" s="598" t="inlineStr">
        <is>
          <t>%</t>
        </is>
      </c>
      <c r="M79" s="640">
        <f>Summary!O25</f>
        <v/>
      </c>
      <c r="N79" s="640">
        <f>Summary!P25</f>
        <v/>
      </c>
      <c r="O79" s="640">
        <f>Summary!Q25</f>
        <v/>
      </c>
      <c r="P79" s="640">
        <f>Summary!R25</f>
        <v/>
      </c>
      <c r="Q79" s="589" t="n"/>
      <c r="R79" s="589" t="n"/>
    </row>
    <row r="80" customFormat="1" s="569">
      <c r="B80" s="608" t="inlineStr">
        <is>
          <t>ROIC (%)</t>
        </is>
      </c>
      <c r="C80" s="604" t="inlineStr">
        <is>
          <t>ROIC</t>
        </is>
      </c>
      <c r="D80" s="605" t="inlineStr">
        <is>
          <t>E</t>
        </is>
      </c>
      <c r="E80" s="590" t="n">
        <v>15</v>
      </c>
      <c r="F80" s="591" t="n">
        <v>65</v>
      </c>
      <c r="G80" s="591" t="n">
        <v>0</v>
      </c>
      <c r="H80" s="605" t="n"/>
      <c r="I80" s="577" t="inlineStr">
        <is>
          <t>USD</t>
        </is>
      </c>
      <c r="J80" s="591" t="n">
        <v>150</v>
      </c>
      <c r="K80" s="591" t="n">
        <v>0</v>
      </c>
      <c r="L80" s="591" t="inlineStr">
        <is>
          <t>%</t>
        </is>
      </c>
      <c r="M80" s="651" t="n">
        <v>0.213609</v>
      </c>
      <c r="N80" s="652" t="n">
        <v>0.239669</v>
      </c>
      <c r="O80" s="652" t="n"/>
      <c r="P80" s="653" t="n"/>
      <c r="Q80" s="589" t="n"/>
      <c r="R80" s="589" t="n"/>
    </row>
    <row r="81" customFormat="1" s="569">
      <c r="B81" s="649" t="inlineStr">
        <is>
          <t>Draft</t>
        </is>
      </c>
      <c r="C81" s="610" t="inlineStr">
        <is>
          <t>ROIC_DRAFT</t>
        </is>
      </c>
      <c r="D81" s="611" t="inlineStr">
        <is>
          <t>E</t>
        </is>
      </c>
      <c r="E81" s="596" t="n">
        <v>15</v>
      </c>
      <c r="F81" s="598" t="n">
        <v>65</v>
      </c>
      <c r="G81" s="598" t="n">
        <v>1</v>
      </c>
      <c r="H81" s="611" t="n"/>
      <c r="I81" s="597" t="inlineStr">
        <is>
          <t>USD</t>
        </is>
      </c>
      <c r="J81" s="598" t="n">
        <v>151</v>
      </c>
      <c r="K81" s="598" t="n">
        <v>0</v>
      </c>
      <c r="L81" s="598" t="inlineStr">
        <is>
          <t>%</t>
        </is>
      </c>
      <c r="M81" s="640" t="n"/>
      <c r="N81" s="654" t="n"/>
      <c r="O81" s="654" t="n"/>
      <c r="P81" s="637" t="n"/>
      <c r="Q81" s="589" t="n"/>
      <c r="R81" s="589" t="n"/>
    </row>
    <row r="82" customFormat="1" s="569">
      <c r="B82" s="608" t="inlineStr">
        <is>
          <t>ROE (%)</t>
        </is>
      </c>
      <c r="C82" s="604" t="inlineStr">
        <is>
          <t>ROE</t>
        </is>
      </c>
      <c r="D82" s="605" t="inlineStr">
        <is>
          <t>E</t>
        </is>
      </c>
      <c r="E82" s="590" t="n">
        <v>16</v>
      </c>
      <c r="F82" s="591" t="n">
        <v>69</v>
      </c>
      <c r="G82" s="591" t="n">
        <v>0</v>
      </c>
      <c r="H82" s="605" t="n"/>
      <c r="I82" s="577" t="inlineStr">
        <is>
          <t>USD</t>
        </is>
      </c>
      <c r="J82" s="591" t="n">
        <v>160</v>
      </c>
      <c r="K82" s="591" t="n">
        <v>0</v>
      </c>
      <c r="L82" s="591" t="inlineStr">
        <is>
          <t>%</t>
        </is>
      </c>
      <c r="M82" s="651" t="n">
        <v>0.064179</v>
      </c>
      <c r="N82" s="652" t="n">
        <v>0.110329</v>
      </c>
      <c r="O82" s="652" t="n">
        <v>0.111202</v>
      </c>
      <c r="P82" s="653" t="n"/>
      <c r="Q82" s="589" t="n"/>
      <c r="R82" s="589" t="n"/>
    </row>
    <row r="83" customFormat="1" s="569">
      <c r="B83" s="649" t="inlineStr">
        <is>
          <t>Draft</t>
        </is>
      </c>
      <c r="C83" s="610" t="inlineStr">
        <is>
          <t>ROE_DRAFT</t>
        </is>
      </c>
      <c r="D83" s="611" t="inlineStr">
        <is>
          <t>E</t>
        </is>
      </c>
      <c r="E83" s="596" t="n">
        <v>16</v>
      </c>
      <c r="F83" s="598" t="n">
        <v>69</v>
      </c>
      <c r="G83" s="598" t="n">
        <v>1</v>
      </c>
      <c r="H83" s="611" t="n"/>
      <c r="I83" s="597" t="inlineStr">
        <is>
          <t>USD</t>
        </is>
      </c>
      <c r="J83" s="598" t="n">
        <v>161</v>
      </c>
      <c r="K83" s="598" t="n">
        <v>0</v>
      </c>
      <c r="L83" s="598" t="inlineStr">
        <is>
          <t>%</t>
        </is>
      </c>
      <c r="M83" s="640">
        <f>Summary!O22</f>
        <v/>
      </c>
      <c r="N83" s="654">
        <f>Summary!P22</f>
        <v/>
      </c>
      <c r="O83" s="654">
        <f>Summary!Q22</f>
        <v/>
      </c>
      <c r="P83" s="640">
        <f>Summary!R22</f>
        <v/>
      </c>
      <c r="Q83" s="589" t="n"/>
      <c r="R83" s="589" t="n"/>
    </row>
    <row r="84" customFormat="1" s="569">
      <c r="B84" s="591" t="inlineStr">
        <is>
          <t>EPS Growth (%)</t>
        </is>
      </c>
      <c r="C84" s="604" t="inlineStr">
        <is>
          <t>EPSGROWTH</t>
        </is>
      </c>
      <c r="D84" s="605" t="inlineStr">
        <is>
          <t>E</t>
        </is>
      </c>
      <c r="E84" s="590" t="n">
        <v>27</v>
      </c>
      <c r="F84" s="591" t="n">
        <v>75</v>
      </c>
      <c r="G84" s="591" t="n">
        <v>0</v>
      </c>
      <c r="H84" s="605" t="n"/>
      <c r="I84" s="577" t="inlineStr">
        <is>
          <t>USD</t>
        </is>
      </c>
      <c r="J84" s="591" t="n">
        <v>270</v>
      </c>
      <c r="K84" s="591" t="n">
        <v>1</v>
      </c>
      <c r="L84" s="591" t="inlineStr">
        <is>
          <t>%</t>
        </is>
      </c>
      <c r="M84" s="651" t="n"/>
      <c r="N84" s="652" t="n"/>
      <c r="O84" s="652" t="n"/>
      <c r="P84" s="653" t="n"/>
      <c r="Q84" s="589" t="n"/>
      <c r="R84" s="589" t="n"/>
    </row>
    <row r="85" customFormat="1" s="569">
      <c r="B85" s="650" t="inlineStr">
        <is>
          <t>Draft</t>
        </is>
      </c>
      <c r="C85" s="610" t="inlineStr">
        <is>
          <t>EPSGROWTH_DRAFT</t>
        </is>
      </c>
      <c r="D85" s="611" t="inlineStr">
        <is>
          <t>E</t>
        </is>
      </c>
      <c r="E85" s="596" t="n">
        <v>27</v>
      </c>
      <c r="F85" s="598" t="n">
        <v>75</v>
      </c>
      <c r="G85" s="598" t="n">
        <v>1</v>
      </c>
      <c r="H85" s="611" t="n"/>
      <c r="I85" s="597" t="inlineStr">
        <is>
          <t>USD</t>
        </is>
      </c>
      <c r="J85" s="598" t="n">
        <v>271</v>
      </c>
      <c r="K85" s="598" t="n">
        <v>1</v>
      </c>
      <c r="L85" s="598" t="inlineStr">
        <is>
          <t>%</t>
        </is>
      </c>
      <c r="M85" s="640" t="n"/>
      <c r="N85" s="654" t="n"/>
      <c r="O85" s="654" t="n"/>
      <c r="P85" s="637" t="n"/>
      <c r="Q85" s="589" t="n"/>
      <c r="R85" s="589" t="n"/>
    </row>
    <row r="86" customFormat="1" s="569">
      <c r="B86" s="591" t="inlineStr">
        <is>
          <t>Net Debt/EBITDA (x)</t>
        </is>
      </c>
      <c r="C86" s="604" t="inlineStr">
        <is>
          <t>NETDEBTEBITDA</t>
        </is>
      </c>
      <c r="D86" s="605" t="inlineStr">
        <is>
          <t>E</t>
        </is>
      </c>
      <c r="E86" s="590" t="n">
        <v>97</v>
      </c>
      <c r="F86" s="591" t="n">
        <v>80</v>
      </c>
      <c r="G86" s="591" t="n">
        <v>0</v>
      </c>
      <c r="H86" s="605" t="n"/>
      <c r="I86" s="577" t="inlineStr">
        <is>
          <t>USD</t>
        </is>
      </c>
      <c r="J86" s="591" t="n">
        <v>970</v>
      </c>
      <c r="K86" s="591" t="n">
        <v>1</v>
      </c>
      <c r="L86" s="591" t="inlineStr">
        <is>
          <t>x</t>
        </is>
      </c>
      <c r="M86" s="606" t="n"/>
      <c r="N86" s="607" t="n"/>
      <c r="O86" s="607" t="n"/>
      <c r="P86" s="592" t="n"/>
      <c r="Q86" s="589" t="n"/>
      <c r="R86" s="589" t="n"/>
    </row>
    <row r="87" customFormat="1" s="569">
      <c r="B87" s="650" t="inlineStr">
        <is>
          <t>Draft</t>
        </is>
      </c>
      <c r="C87" s="610" t="inlineStr">
        <is>
          <t>NETDEBTEBITDA_DRAFT</t>
        </is>
      </c>
      <c r="D87" s="611" t="inlineStr">
        <is>
          <t>E</t>
        </is>
      </c>
      <c r="E87" s="596" t="n">
        <v>97</v>
      </c>
      <c r="F87" s="598" t="n">
        <v>80</v>
      </c>
      <c r="G87" s="598" t="n">
        <v>1</v>
      </c>
      <c r="H87" s="611" t="n"/>
      <c r="I87" s="597" t="inlineStr">
        <is>
          <t>USD</t>
        </is>
      </c>
      <c r="J87" s="598" t="n">
        <v>971</v>
      </c>
      <c r="K87" s="598" t="n">
        <v>1</v>
      </c>
      <c r="L87" s="598" t="inlineStr">
        <is>
          <t>x</t>
        </is>
      </c>
      <c r="M87" s="612" t="n"/>
      <c r="N87" s="613" t="n"/>
      <c r="O87" s="613" t="n"/>
      <c r="P87" s="599" t="n"/>
      <c r="Q87" s="589" t="n"/>
      <c r="R87" s="589" t="n"/>
    </row>
    <row r="88" customFormat="1" s="569">
      <c r="B88" s="591" t="inlineStr">
        <is>
          <t>Loan to Deposit ratio (%)</t>
        </is>
      </c>
      <c r="C88" s="604" t="inlineStr">
        <is>
          <t>LOAN_TO_DEP_RATIO</t>
        </is>
      </c>
      <c r="D88" s="605" t="inlineStr">
        <is>
          <t>E</t>
        </is>
      </c>
      <c r="E88" s="590" t="n">
        <v>147</v>
      </c>
      <c r="F88" s="591" t="n">
        <v>103</v>
      </c>
      <c r="G88" s="591" t="n">
        <v>0</v>
      </c>
      <c r="H88" s="605" t="n"/>
      <c r="I88" s="577" t="inlineStr">
        <is>
          <t>USD</t>
        </is>
      </c>
      <c r="J88" s="591" t="n">
        <v>1470</v>
      </c>
      <c r="K88" s="591" t="n">
        <v>1</v>
      </c>
      <c r="L88" s="591" t="inlineStr">
        <is>
          <t>%</t>
        </is>
      </c>
      <c r="M88" s="651" t="n"/>
      <c r="N88" s="652" t="n"/>
      <c r="O88" s="652" t="n"/>
      <c r="P88" s="653" t="n"/>
      <c r="Q88" s="589" t="n"/>
      <c r="R88" s="589" t="n"/>
    </row>
    <row r="89" ht="15" customFormat="1" customHeight="1" s="569" thickBot="1">
      <c r="B89" s="650" t="inlineStr">
        <is>
          <t>Draft</t>
        </is>
      </c>
      <c r="C89" s="610" t="inlineStr">
        <is>
          <t>LOAN_TO_DEP_RATIO_DRAFT</t>
        </is>
      </c>
      <c r="D89" s="611" t="inlineStr">
        <is>
          <t>E</t>
        </is>
      </c>
      <c r="E89" s="596" t="n">
        <v>147</v>
      </c>
      <c r="F89" s="598" t="n">
        <v>103</v>
      </c>
      <c r="G89" s="598" t="n">
        <v>1</v>
      </c>
      <c r="H89" s="611" t="n"/>
      <c r="I89" s="597" t="inlineStr">
        <is>
          <t>USD</t>
        </is>
      </c>
      <c r="J89" s="598" t="n">
        <v>1471</v>
      </c>
      <c r="K89" s="598" t="n">
        <v>1</v>
      </c>
      <c r="L89" s="598" t="inlineStr">
        <is>
          <t>%</t>
        </is>
      </c>
      <c r="M89" s="640" t="n"/>
      <c r="N89" s="654" t="n"/>
      <c r="O89" s="654" t="n"/>
      <c r="P89" s="637" t="n"/>
      <c r="Q89" s="589" t="n"/>
      <c r="R89" s="589" t="n"/>
    </row>
    <row r="90" hidden="1" ht="17" customHeight="1" thickBot="1" thickTop="1">
      <c r="B90" s="584" t="inlineStr">
        <is>
          <t>ESTIMATES - QUARTERS</t>
        </is>
      </c>
      <c r="C90" s="585" t="n">
        <v>103</v>
      </c>
      <c r="D90" s="585" t="n">
        <v>0</v>
      </c>
      <c r="E90" s="585" t="n"/>
      <c r="F90" s="585" t="n"/>
      <c r="G90" s="585" t="n"/>
      <c r="H90" s="585" t="n"/>
      <c r="I90" s="585" t="n"/>
      <c r="J90" s="585" t="n"/>
      <c r="K90" s="602" t="n"/>
      <c r="L90" s="615" t="n"/>
      <c r="M90" s="600" t="n"/>
      <c r="N90" s="614" t="n"/>
      <c r="O90" s="575" t="n"/>
      <c r="P90" s="575" t="n"/>
    </row>
    <row r="91" hidden="1" ht="15" customFormat="1" customHeight="1" s="569" thickBot="1">
      <c r="B91" s="591" t="inlineStr">
        <is>
          <t>Quarter PeriodId</t>
        </is>
      </c>
      <c r="C91" s="604" t="n"/>
      <c r="D91" s="605" t="n"/>
      <c r="E91" s="591" t="n"/>
      <c r="F91" s="591" t="n"/>
      <c r="G91" s="591" t="n"/>
      <c r="H91" s="605" t="n"/>
      <c r="I91" s="577" t="n"/>
      <c r="J91" s="591" t="n"/>
      <c r="K91" s="616" t="n"/>
      <c r="L91" s="617" t="n"/>
      <c r="M91" s="601" t="n"/>
      <c r="N91" s="589" t="n"/>
    </row>
    <row r="92" ht="17" customHeight="1" thickBot="1" thickTop="1">
      <c r="B92" s="584" t="inlineStr">
        <is>
          <t>VALUATIONS</t>
        </is>
      </c>
      <c r="C92" s="585" t="n">
        <v>22</v>
      </c>
      <c r="D92" s="585" t="n">
        <v>4</v>
      </c>
      <c r="E92" s="585" t="n"/>
      <c r="F92" s="585" t="n"/>
      <c r="G92" s="585" t="n"/>
      <c r="H92" s="585" t="n"/>
      <c r="I92" s="585" t="n"/>
      <c r="J92" s="585" t="n"/>
      <c r="K92" s="585" t="n"/>
      <c r="L92" s="585" t="n"/>
      <c r="M92" s="585" t="n">
        <v>2021</v>
      </c>
      <c r="N92" s="585" t="n">
        <v>2022</v>
      </c>
      <c r="O92" s="585" t="n">
        <v>2023</v>
      </c>
      <c r="P92" s="585" t="n">
        <v>2024</v>
      </c>
      <c r="Q92" s="589" t="n"/>
      <c r="R92" s="589" t="n"/>
    </row>
    <row r="93" ht="15" customFormat="1" customHeight="1" s="569" thickTop="1">
      <c r="B93" s="618" t="inlineStr">
        <is>
          <t>P/E Reported (x)</t>
        </is>
      </c>
      <c r="C93" s="604" t="inlineStr">
        <is>
          <t>P/EPSRPT</t>
        </is>
      </c>
      <c r="D93" s="605" t="inlineStr">
        <is>
          <t>V</t>
        </is>
      </c>
      <c r="E93" s="591" t="n">
        <v>55</v>
      </c>
      <c r="F93" s="591" t="n">
        <v>1</v>
      </c>
      <c r="G93" s="591" t="n">
        <v>0</v>
      </c>
      <c r="H93" s="605" t="inlineStr">
        <is>
          <t>[[CLOSEPRICE]/[EPSRPT]]</t>
        </is>
      </c>
      <c r="I93" s="577" t="n"/>
      <c r="J93" s="591" t="n">
        <v>550</v>
      </c>
      <c r="K93" s="591" t="n"/>
      <c r="L93" s="591" t="inlineStr">
        <is>
          <t>x</t>
        </is>
      </c>
      <c r="M93" s="619">
        <f>IF(ISERROR(($P$125)/(M22)),"",($P$125)/(M22))</f>
        <v/>
      </c>
      <c r="N93" s="619">
        <f>IF(ISERROR(($P$125)/(N22)),"",($P$125)/(N22))</f>
        <v/>
      </c>
      <c r="O93" s="619">
        <f>IF(ISERROR(($P$125)/(O22)),"",($P$125)/(O22))</f>
        <v/>
      </c>
      <c r="P93" s="619">
        <f>IF(ISERROR(($P$125)/(P22)),"",($P$125)/(P22))</f>
        <v/>
      </c>
      <c r="Q93" s="589" t="n"/>
      <c r="R93" s="589" t="n"/>
    </row>
    <row r="94" customFormat="1" s="569">
      <c r="B94" s="655" t="inlineStr">
        <is>
          <t>Draft</t>
        </is>
      </c>
      <c r="C94" s="621" t="inlineStr">
        <is>
          <t>P/EPSRPT_DRAFT</t>
        </is>
      </c>
      <c r="D94" s="622" t="inlineStr">
        <is>
          <t>V</t>
        </is>
      </c>
      <c r="E94" s="623" t="n">
        <v>55</v>
      </c>
      <c r="F94" s="623" t="n">
        <v>1</v>
      </c>
      <c r="G94" s="623" t="n">
        <v>1</v>
      </c>
      <c r="H94" s="622" t="inlineStr">
        <is>
          <t>[[CLOSEPRICE]/[EPSRPT]]</t>
        </is>
      </c>
      <c r="I94" s="641" t="n"/>
      <c r="J94" s="623" t="n">
        <v>551</v>
      </c>
      <c r="K94" s="623" t="n"/>
      <c r="L94" s="623" t="inlineStr">
        <is>
          <t>x</t>
        </is>
      </c>
      <c r="M94" s="624">
        <f>IF(ISERROR(($P$125)/(M23)),"",($P$125)/(M23))</f>
        <v/>
      </c>
      <c r="N94" s="624">
        <f>IF(ISERROR(($P$125)/(N23)),"",($P$125)/(N23))</f>
        <v/>
      </c>
      <c r="O94" s="624">
        <f>IF(ISERROR(($P$125)/(O23)),"",($P$125)/(O23))</f>
        <v/>
      </c>
      <c r="P94" s="624">
        <f>IF(ISERROR(($P$125)/(P23)),"",($P$125)/(P23))</f>
        <v/>
      </c>
      <c r="Q94" s="589" t="n"/>
      <c r="R94" s="589" t="n"/>
    </row>
    <row r="95" customFormat="1" s="569">
      <c r="B95" s="604" t="inlineStr">
        <is>
          <t>P/E Adjusted (x)</t>
        </is>
      </c>
      <c r="C95" s="604" t="inlineStr">
        <is>
          <t>P/EPSADJ</t>
        </is>
      </c>
      <c r="D95" s="605" t="inlineStr">
        <is>
          <t>V</t>
        </is>
      </c>
      <c r="E95" s="591" t="n">
        <v>56</v>
      </c>
      <c r="F95" s="591" t="n">
        <v>2</v>
      </c>
      <c r="G95" s="591" t="n">
        <v>0</v>
      </c>
      <c r="H95" s="605" t="inlineStr">
        <is>
          <t>[[CLOSEPRICE]/[EPSADJ]]</t>
        </is>
      </c>
      <c r="I95" s="577" t="n"/>
      <c r="J95" s="591" t="n">
        <v>560</v>
      </c>
      <c r="K95" s="591" t="n"/>
      <c r="L95" s="591" t="inlineStr">
        <is>
          <t>x</t>
        </is>
      </c>
      <c r="M95" s="619">
        <f>IF(ISERROR(($P$125)/(M24)),"",($P$125)/(M24))</f>
        <v/>
      </c>
      <c r="N95" s="619">
        <f>IF(ISERROR(($P$125)/(N24)),"",($P$125)/(N24))</f>
        <v/>
      </c>
      <c r="O95" s="619">
        <f>IF(ISERROR(($P$125)/(O24)),"",($P$125)/(O24))</f>
        <v/>
      </c>
      <c r="P95" s="619">
        <f>IF(ISERROR(($P$125)/(P24)),"",($P$125)/(P24))</f>
        <v/>
      </c>
      <c r="Q95" s="589" t="n"/>
      <c r="R95" s="589" t="n"/>
    </row>
    <row r="96" customFormat="1" s="569">
      <c r="B96" s="656" t="inlineStr">
        <is>
          <t>Draft</t>
        </is>
      </c>
      <c r="C96" s="621" t="inlineStr">
        <is>
          <t>P/EPSADJ_DRAFT</t>
        </is>
      </c>
      <c r="D96" s="622" t="inlineStr">
        <is>
          <t>V</t>
        </is>
      </c>
      <c r="E96" s="623" t="n">
        <v>56</v>
      </c>
      <c r="F96" s="623" t="n">
        <v>2</v>
      </c>
      <c r="G96" s="623" t="n">
        <v>1</v>
      </c>
      <c r="H96" s="622" t="inlineStr">
        <is>
          <t>[[CLOSEPRICE]/[EPSADJ]]</t>
        </is>
      </c>
      <c r="I96" s="641" t="n"/>
      <c r="J96" s="623" t="n">
        <v>561</v>
      </c>
      <c r="K96" s="623" t="n"/>
      <c r="L96" s="623" t="inlineStr">
        <is>
          <t>x</t>
        </is>
      </c>
      <c r="M96" s="624">
        <f>IF(ISERROR(($P$125)/(M25)),"",($P$125)/(M25))</f>
        <v/>
      </c>
      <c r="N96" s="624">
        <f>IF(ISERROR(($P$125)/(N25)),"",($P$125)/(N25))</f>
        <v/>
      </c>
      <c r="O96" s="624">
        <f>IF(ISERROR(($P$125)/(O25)),"",($P$125)/(O25))</f>
        <v/>
      </c>
      <c r="P96" s="624">
        <f>IF(ISERROR(($P$125)/(P25)),"",($P$125)/(P25))</f>
        <v/>
      </c>
      <c r="Q96" s="589" t="n"/>
      <c r="R96" s="589" t="n"/>
    </row>
    <row r="97" customFormat="1" s="569">
      <c r="B97" s="604" t="inlineStr">
        <is>
          <t>REL P/E Adjusted (x)</t>
        </is>
      </c>
      <c r="C97" s="604" t="inlineStr">
        <is>
          <t>REL_EPSADJ</t>
        </is>
      </c>
      <c r="D97" s="605" t="inlineStr">
        <is>
          <t>V</t>
        </is>
      </c>
      <c r="E97" s="591" t="n">
        <v>58</v>
      </c>
      <c r="F97" s="591" t="n">
        <v>4</v>
      </c>
      <c r="G97" s="591" t="n">
        <v>0</v>
      </c>
      <c r="H97" s="605" t="inlineStr">
        <is>
          <t>[[P/EPSADJ]/[IDX!P/EPSADJ]]</t>
        </is>
      </c>
      <c r="I97" s="577" t="n"/>
      <c r="J97" s="591" t="n">
        <v>580</v>
      </c>
      <c r="K97" s="591" t="n"/>
      <c r="L97" s="591" t="inlineStr">
        <is>
          <t>x</t>
        </is>
      </c>
      <c r="M97" s="619">
        <f>IF(ISERROR((ROUND(M95,2))/(ROUND(SPX!N23,2))),"",(ROUND(M95,2))/(ROUND(SPX!N23,2)))</f>
        <v/>
      </c>
      <c r="N97" s="619">
        <f>IF(ISERROR((ROUND(N95,2))/(ROUND(SPX!O23,2))),"",(ROUND(N95,2))/(ROUND(SPX!O23,2)))</f>
        <v/>
      </c>
      <c r="O97" s="619">
        <f>IF(ISERROR((ROUND(O95,2))/(ROUND(SPX!P23,2))),"",(ROUND(O95,2))/(ROUND(SPX!P23,2)))</f>
        <v/>
      </c>
      <c r="P97" s="619">
        <f>IF(ISERROR((ROUND(P95,2))/(ROUND(SPX!Q23,2))),"",(ROUND(P95,2))/(ROUND(SPX!Q23,2)))</f>
        <v/>
      </c>
      <c r="Q97" s="589" t="n"/>
      <c r="R97" s="589" t="n"/>
    </row>
    <row r="98" customFormat="1" s="569">
      <c r="B98" s="656" t="inlineStr">
        <is>
          <t>Draft</t>
        </is>
      </c>
      <c r="C98" s="621" t="inlineStr">
        <is>
          <t>REL_EPSADJ_DRAFT</t>
        </is>
      </c>
      <c r="D98" s="622" t="inlineStr">
        <is>
          <t>V</t>
        </is>
      </c>
      <c r="E98" s="623" t="n">
        <v>58</v>
      </c>
      <c r="F98" s="623" t="n">
        <v>4</v>
      </c>
      <c r="G98" s="623" t="n">
        <v>1</v>
      </c>
      <c r="H98" s="622" t="inlineStr">
        <is>
          <t>[[P/EPSADJ]/[IDX!P/EPSADJ]]</t>
        </is>
      </c>
      <c r="I98" s="641" t="n"/>
      <c r="J98" s="623" t="n">
        <v>581</v>
      </c>
      <c r="K98" s="623" t="n"/>
      <c r="L98" s="623" t="inlineStr">
        <is>
          <t>x</t>
        </is>
      </c>
      <c r="M98" s="624">
        <f>IF(ISERROR((ROUND(M96,2))/(ROUND(SPX!N23,2))),"",(ROUND(M96,2))/(ROUND(SPX!N23,2)))</f>
        <v/>
      </c>
      <c r="N98" s="624">
        <f>IF(ISERROR((ROUND(N96,2))/(ROUND(SPX!O23,2))),"",(ROUND(N96,2))/(ROUND(SPX!O23,2)))</f>
        <v/>
      </c>
      <c r="O98" s="624">
        <f>IF(ISERROR((ROUND(O96,2))/(ROUND(SPX!P23,2))),"",(ROUND(O96,2))/(ROUND(SPX!P23,2)))</f>
        <v/>
      </c>
      <c r="P98" s="624">
        <f>IF(ISERROR((ROUND(P96,2))/(ROUND(SPX!Q23,2))),"",(ROUND(P96,2))/(ROUND(SPX!Q23,2)))</f>
        <v/>
      </c>
      <c r="Q98" s="589" t="n"/>
      <c r="R98" s="589" t="n"/>
    </row>
    <row r="99" customFormat="1" s="569">
      <c r="B99" s="604" t="inlineStr">
        <is>
          <t>PEG Adjusted (x)</t>
        </is>
      </c>
      <c r="C99" s="604" t="inlineStr">
        <is>
          <t>PEGADJ</t>
        </is>
      </c>
      <c r="D99" s="605" t="inlineStr">
        <is>
          <t>V</t>
        </is>
      </c>
      <c r="E99" s="591" t="n">
        <v>93</v>
      </c>
      <c r="F99" s="591" t="n">
        <v>6</v>
      </c>
      <c r="G99" s="591" t="n">
        <v>0</v>
      </c>
      <c r="H99" s="605" t="inlineStr">
        <is>
          <t>[[P/EPSADJ]/[EPSGROWTH]]</t>
        </is>
      </c>
      <c r="I99" s="577" t="n"/>
      <c r="J99" s="591" t="n">
        <v>930</v>
      </c>
      <c r="K99" s="591" t="n"/>
      <c r="L99" s="591" t="inlineStr">
        <is>
          <t>x</t>
        </is>
      </c>
      <c r="M99" s="619">
        <f>IF(ISERROR((ROUND(M95,2))/(M84*100)),"",(ROUND(M95,2))/(M84*100))</f>
        <v/>
      </c>
      <c r="N99" s="619">
        <f>IF(ISERROR((ROUND(N95,2))/(N84*100)),"",(ROUND(N95,2))/(N84*100))</f>
        <v/>
      </c>
      <c r="O99" s="619">
        <f>IF(ISERROR((ROUND(O95,2))/(O84*100)),"",(ROUND(O95,2))/(O84*100))</f>
        <v/>
      </c>
      <c r="P99" s="619">
        <f>IF(ISERROR((ROUND(P95,2))/(P84*100)),"",(ROUND(P95,2))/(P84*100))</f>
        <v/>
      </c>
      <c r="Q99" s="589" t="n"/>
      <c r="R99" s="589" t="n"/>
    </row>
    <row r="100" customFormat="1" s="569">
      <c r="B100" s="656" t="inlineStr">
        <is>
          <t>Draft</t>
        </is>
      </c>
      <c r="C100" s="621" t="inlineStr">
        <is>
          <t>PEGADJ_DRAFT</t>
        </is>
      </c>
      <c r="D100" s="622" t="inlineStr">
        <is>
          <t>V</t>
        </is>
      </c>
      <c r="E100" s="623" t="n">
        <v>93</v>
      </c>
      <c r="F100" s="623" t="n">
        <v>6</v>
      </c>
      <c r="G100" s="623" t="n">
        <v>1</v>
      </c>
      <c r="H100" s="622" t="inlineStr">
        <is>
          <t>[[P/EPSADJ]/[EPSGROWTH]]</t>
        </is>
      </c>
      <c r="I100" s="641" t="n"/>
      <c r="J100" s="623" t="n">
        <v>931</v>
      </c>
      <c r="K100" s="623" t="n"/>
      <c r="L100" s="623" t="inlineStr">
        <is>
          <t>x</t>
        </is>
      </c>
      <c r="M100" s="624">
        <f>IF(ISERROR((ROUND(M96,2))/(M85*100)),"",(ROUND(M96,2))/(M85*100))</f>
        <v/>
      </c>
      <c r="N100" s="624">
        <f>IF(ISERROR((ROUND(N96,2))/(N85*100)),"",(ROUND(N96,2))/(N85*100))</f>
        <v/>
      </c>
      <c r="O100" s="624">
        <f>IF(ISERROR((ROUND(O96,2))/(O85*100)),"",(ROUND(O96,2))/(O85*100))</f>
        <v/>
      </c>
      <c r="P100" s="624">
        <f>IF(ISERROR((ROUND(P96,2))/(P85*100)),"",(ROUND(P96,2))/(P85*100))</f>
        <v/>
      </c>
      <c r="Q100" s="589" t="n"/>
      <c r="R100" s="589" t="n"/>
    </row>
    <row r="101" customFormat="1" s="569">
      <c r="B101" s="604" t="inlineStr">
        <is>
          <t>P/B (x)</t>
        </is>
      </c>
      <c r="C101" s="604" t="inlineStr">
        <is>
          <t>P/BV</t>
        </is>
      </c>
      <c r="D101" s="605" t="inlineStr">
        <is>
          <t>V</t>
        </is>
      </c>
      <c r="E101" s="591" t="n">
        <v>60</v>
      </c>
      <c r="F101" s="591" t="n">
        <v>7</v>
      </c>
      <c r="G101" s="591" t="n">
        <v>0</v>
      </c>
      <c r="H101" s="605" t="inlineStr">
        <is>
          <t>[[CLOSEPRICE]/[BVPS]]</t>
        </is>
      </c>
      <c r="I101" s="577" t="n"/>
      <c r="J101" s="591" t="n">
        <v>600</v>
      </c>
      <c r="K101" s="591" t="n"/>
      <c r="L101" s="591" t="inlineStr">
        <is>
          <t>x</t>
        </is>
      </c>
      <c r="M101" s="619">
        <f>IF(ISERROR(($P$125)/(M56)),"",($P$125)/(M56))</f>
        <v/>
      </c>
      <c r="N101" s="619">
        <f>IF(ISERROR(($P$125)/(N56)),"",($P$125)/(N56))</f>
        <v/>
      </c>
      <c r="O101" s="619">
        <f>IF(ISERROR(($P$125)/(O56)),"",($P$125)/(O56))</f>
        <v/>
      </c>
      <c r="P101" s="619">
        <f>IF(ISERROR(($P$125)/(P56)),"",($P$125)/(P56))</f>
        <v/>
      </c>
      <c r="Q101" s="589" t="n"/>
      <c r="R101" s="589" t="n"/>
    </row>
    <row r="102" customFormat="1" s="569">
      <c r="B102" s="656" t="inlineStr">
        <is>
          <t>Draft</t>
        </is>
      </c>
      <c r="C102" s="621" t="inlineStr">
        <is>
          <t>P/BV_DRAFT</t>
        </is>
      </c>
      <c r="D102" s="622" t="inlineStr">
        <is>
          <t>V</t>
        </is>
      </c>
      <c r="E102" s="623" t="n">
        <v>60</v>
      </c>
      <c r="F102" s="623" t="n">
        <v>7</v>
      </c>
      <c r="G102" s="623" t="n">
        <v>1</v>
      </c>
      <c r="H102" s="622" t="inlineStr">
        <is>
          <t>[[CLOSEPRICE]/[BVPS]]</t>
        </is>
      </c>
      <c r="I102" s="641" t="n"/>
      <c r="J102" s="623" t="n">
        <v>601</v>
      </c>
      <c r="K102" s="623" t="n"/>
      <c r="L102" s="623" t="inlineStr">
        <is>
          <t>x</t>
        </is>
      </c>
      <c r="M102" s="624">
        <f>IF(ISERROR(($P$125)/(M57)),"",($P$125)/(M57))</f>
        <v/>
      </c>
      <c r="N102" s="624">
        <f>IF(ISERROR(($P$125)/(N57)),"",($P$125)/(N57))</f>
        <v/>
      </c>
      <c r="O102" s="624">
        <f>IF(ISERROR(($P$125)/(O57)),"",($P$125)/(O57))</f>
        <v/>
      </c>
      <c r="P102" s="624">
        <f>IF(ISERROR(($P$125)/(P57)),"",($P$125)/(P57))</f>
        <v/>
      </c>
      <c r="Q102" s="589" t="n"/>
      <c r="R102" s="589" t="n"/>
    </row>
    <row r="103" customFormat="1" s="569">
      <c r="B103" s="604" t="inlineStr">
        <is>
          <t>P/TB (x)</t>
        </is>
      </c>
      <c r="C103" s="604" t="inlineStr">
        <is>
          <t>P/TBV</t>
        </is>
      </c>
      <c r="D103" s="605" t="inlineStr">
        <is>
          <t>V</t>
        </is>
      </c>
      <c r="E103" s="591" t="n">
        <v>61</v>
      </c>
      <c r="F103" s="591" t="n">
        <v>8</v>
      </c>
      <c r="G103" s="591" t="n">
        <v>0</v>
      </c>
      <c r="H103" s="605" t="inlineStr">
        <is>
          <t>[[CLOSEPRICE]/[TBVPS]]</t>
        </is>
      </c>
      <c r="I103" s="577" t="n"/>
      <c r="J103" s="591" t="n">
        <v>610</v>
      </c>
      <c r="K103" s="591" t="n"/>
      <c r="L103" s="591" t="inlineStr">
        <is>
          <t>x</t>
        </is>
      </c>
      <c r="M103" s="619">
        <f>IF(ISERROR(($P$125)/(M58)),"",($P$125)/(M58))</f>
        <v/>
      </c>
      <c r="N103" s="619">
        <f>IF(ISERROR(($P$125)/(N58)),"",($P$125)/(N58))</f>
        <v/>
      </c>
      <c r="O103" s="619">
        <f>IF(ISERROR(($P$125)/(O58)),"",($P$125)/(O58))</f>
        <v/>
      </c>
      <c r="P103" s="619">
        <f>IF(ISERROR(($P$125)/(P58)),"",($P$125)/(P58))</f>
        <v/>
      </c>
      <c r="Q103" s="589" t="n"/>
      <c r="R103" s="589" t="n"/>
    </row>
    <row r="104" customFormat="1" s="569">
      <c r="B104" s="656" t="inlineStr">
        <is>
          <t>Draft</t>
        </is>
      </c>
      <c r="C104" s="621" t="inlineStr">
        <is>
          <t>P/TBV_DRAFT</t>
        </is>
      </c>
      <c r="D104" s="622" t="inlineStr">
        <is>
          <t>V</t>
        </is>
      </c>
      <c r="E104" s="623" t="n">
        <v>61</v>
      </c>
      <c r="F104" s="623" t="n">
        <v>8</v>
      </c>
      <c r="G104" s="623" t="n">
        <v>1</v>
      </c>
      <c r="H104" s="622" t="inlineStr">
        <is>
          <t>[[CLOSEPRICE]/[TBVPS]]</t>
        </is>
      </c>
      <c r="I104" s="641" t="n"/>
      <c r="J104" s="623" t="n">
        <v>611</v>
      </c>
      <c r="K104" s="623" t="n"/>
      <c r="L104" s="623" t="inlineStr">
        <is>
          <t>x</t>
        </is>
      </c>
      <c r="M104" s="624">
        <f>IF(ISERROR(($P$125)/(M59)),"",($P$125)/(M59))</f>
        <v/>
      </c>
      <c r="N104" s="624">
        <f>IF(ISERROR(($P$125)/(N59)),"",($P$125)/(N59))</f>
        <v/>
      </c>
      <c r="O104" s="624">
        <f>IF(ISERROR(($P$125)/(O59)),"",($P$125)/(O59))</f>
        <v/>
      </c>
      <c r="P104" s="624">
        <f>IF(ISERROR(($P$125)/(P59)),"",($P$125)/(P59))</f>
        <v/>
      </c>
      <c r="Q104" s="589" t="n"/>
      <c r="R104" s="589" t="n"/>
    </row>
    <row r="105" customFormat="1" s="569">
      <c r="B105" s="604" t="inlineStr">
        <is>
          <t>P/CFO (x)</t>
        </is>
      </c>
      <c r="C105" s="604" t="inlineStr">
        <is>
          <t>P/OCF</t>
        </is>
      </c>
      <c r="D105" s="605" t="inlineStr">
        <is>
          <t>V</t>
        </is>
      </c>
      <c r="E105" s="591" t="n">
        <v>62</v>
      </c>
      <c r="F105" s="591" t="n">
        <v>9</v>
      </c>
      <c r="G105" s="591" t="n">
        <v>0</v>
      </c>
      <c r="H105" s="605" t="inlineStr">
        <is>
          <t>[[CLOSEPRICE]/[OCFPS]]</t>
        </is>
      </c>
      <c r="I105" s="577" t="n"/>
      <c r="J105" s="591" t="n">
        <v>620</v>
      </c>
      <c r="K105" s="591" t="n"/>
      <c r="L105" s="591" t="inlineStr">
        <is>
          <t>x</t>
        </is>
      </c>
      <c r="M105" s="619">
        <f>IF(ISERROR(($P$125)/(M66)),"",($P$125)/(M66))</f>
        <v/>
      </c>
      <c r="N105" s="619">
        <f>IF(ISERROR(($P$125)/(N66)),"",($P$125)/(N66))</f>
        <v/>
      </c>
      <c r="O105" s="619">
        <f>IF(ISERROR(($P$125)/(O66)),"",($P$125)/(O66))</f>
        <v/>
      </c>
      <c r="P105" s="619">
        <f>IF(ISERROR(($P$125)/(P66)),"",($P$125)/(P66))</f>
        <v/>
      </c>
      <c r="Q105" s="589" t="n"/>
      <c r="R105" s="589" t="n"/>
    </row>
    <row r="106" customFormat="1" s="569">
      <c r="B106" s="656" t="inlineStr">
        <is>
          <t>Draft</t>
        </is>
      </c>
      <c r="C106" s="621" t="inlineStr">
        <is>
          <t>P/OCF_DRAFT</t>
        </is>
      </c>
      <c r="D106" s="622" t="inlineStr">
        <is>
          <t>V</t>
        </is>
      </c>
      <c r="E106" s="623" t="n">
        <v>62</v>
      </c>
      <c r="F106" s="623" t="n">
        <v>9</v>
      </c>
      <c r="G106" s="623" t="n">
        <v>1</v>
      </c>
      <c r="H106" s="622" t="inlineStr">
        <is>
          <t>[[CLOSEPRICE]/[OCFPS]]</t>
        </is>
      </c>
      <c r="I106" s="641" t="n"/>
      <c r="J106" s="623" t="n">
        <v>621</v>
      </c>
      <c r="K106" s="623" t="n"/>
      <c r="L106" s="623" t="inlineStr">
        <is>
          <t>x</t>
        </is>
      </c>
      <c r="M106" s="624">
        <f>IF(ISERROR(($P$125)/(M67)),"",($P$125)/(M67))</f>
        <v/>
      </c>
      <c r="N106" s="624">
        <f>IF(ISERROR(($P$125)/(N67)),"",($P$125)/(N67))</f>
        <v/>
      </c>
      <c r="O106" s="624">
        <f>IF(ISERROR(($P$125)/(O67)),"",($P$125)/(O67))</f>
        <v/>
      </c>
      <c r="P106" s="624">
        <f>IF(ISERROR(($P$125)/(P67)),"",($P$125)/(P67))</f>
        <v/>
      </c>
      <c r="Q106" s="589" t="n"/>
      <c r="R106" s="589" t="n"/>
    </row>
    <row r="107" customFormat="1" s="569">
      <c r="B107" s="604" t="inlineStr">
        <is>
          <t>P/Sales (x)</t>
        </is>
      </c>
      <c r="C107" s="604" t="inlineStr">
        <is>
          <t>P/SALES</t>
        </is>
      </c>
      <c r="D107" s="605" t="inlineStr">
        <is>
          <t>V</t>
        </is>
      </c>
      <c r="E107" s="591" t="n">
        <v>63</v>
      </c>
      <c r="F107" s="591" t="n">
        <v>10</v>
      </c>
      <c r="G107" s="591" t="n">
        <v>0</v>
      </c>
      <c r="H107" s="605" t="inlineStr">
        <is>
          <t>[[CLOSEPRICE]/[SALESPS]]</t>
        </is>
      </c>
      <c r="I107" s="577" t="n"/>
      <c r="J107" s="591" t="n">
        <v>630</v>
      </c>
      <c r="K107" s="591" t="n"/>
      <c r="L107" s="591" t="inlineStr">
        <is>
          <t>x</t>
        </is>
      </c>
      <c r="M107" s="619">
        <f>IF(ISERROR(($P$125)/(M52)),"",($P$125)/(M52))</f>
        <v/>
      </c>
      <c r="N107" s="619">
        <f>IF(ISERROR(($P$125)/(N52)),"",($P$125)/(N52))</f>
        <v/>
      </c>
      <c r="O107" s="619">
        <f>IF(ISERROR(($P$125)/(O52)),"",($P$125)/(O52))</f>
        <v/>
      </c>
      <c r="P107" s="619">
        <f>IF(ISERROR(($P$125)/(P52)),"",($P$125)/(P52))</f>
        <v/>
      </c>
      <c r="Q107" s="589" t="n"/>
      <c r="R107" s="589" t="n"/>
    </row>
    <row r="108" customFormat="1" s="569">
      <c r="B108" s="656" t="inlineStr">
        <is>
          <t>Draft</t>
        </is>
      </c>
      <c r="C108" s="621" t="inlineStr">
        <is>
          <t>P/SALES_DRAFT</t>
        </is>
      </c>
      <c r="D108" s="622" t="inlineStr">
        <is>
          <t>V</t>
        </is>
      </c>
      <c r="E108" s="623" t="n">
        <v>63</v>
      </c>
      <c r="F108" s="623" t="n">
        <v>10</v>
      </c>
      <c r="G108" s="623" t="n">
        <v>1</v>
      </c>
      <c r="H108" s="622" t="inlineStr">
        <is>
          <t>[[CLOSEPRICE]/[SALESPS]]</t>
        </is>
      </c>
      <c r="I108" s="641" t="n"/>
      <c r="J108" s="623" t="n">
        <v>631</v>
      </c>
      <c r="K108" s="623" t="n"/>
      <c r="L108" s="623" t="inlineStr">
        <is>
          <t>x</t>
        </is>
      </c>
      <c r="M108" s="624">
        <f>IF(ISERROR(($P$125)/(M53)),"",($P$125)/(M53))</f>
        <v/>
      </c>
      <c r="N108" s="624">
        <f>IF(ISERROR(($P$125)/(N53)),"",($P$125)/(N53))</f>
        <v/>
      </c>
      <c r="O108" s="624">
        <f>IF(ISERROR(($P$125)/(O53)),"",($P$125)/(O53))</f>
        <v/>
      </c>
      <c r="P108" s="624">
        <f>IF(ISERROR(($P$125)/(P53)),"",($P$125)/(P53))</f>
        <v/>
      </c>
      <c r="Q108" s="589" t="n"/>
      <c r="R108" s="589" t="n"/>
    </row>
    <row r="109" customFormat="1" s="569">
      <c r="B109" s="604" t="inlineStr">
        <is>
          <t>P/FCF (x)</t>
        </is>
      </c>
      <c r="C109" s="604" t="inlineStr">
        <is>
          <t>P/FCF</t>
        </is>
      </c>
      <c r="D109" s="605" t="inlineStr">
        <is>
          <t>V</t>
        </is>
      </c>
      <c r="E109" s="591" t="n">
        <v>73</v>
      </c>
      <c r="F109" s="591" t="n">
        <v>11</v>
      </c>
      <c r="G109" s="591" t="n">
        <v>0</v>
      </c>
      <c r="H109" s="605" t="inlineStr">
        <is>
          <t>[[CLOSEPRICE]/[FCFPS]]</t>
        </is>
      </c>
      <c r="I109" s="577" t="n"/>
      <c r="J109" s="591" t="n">
        <v>730</v>
      </c>
      <c r="K109" s="591" t="n"/>
      <c r="L109" s="591" t="inlineStr">
        <is>
          <t>x</t>
        </is>
      </c>
      <c r="M109" s="619">
        <f>IF(ISERROR(($P$125)/(M70)),"",($P$125)/(M70))</f>
        <v/>
      </c>
      <c r="N109" s="619">
        <f>IF(ISERROR(($P$125)/(N70)),"",($P$125)/(N70))</f>
        <v/>
      </c>
      <c r="O109" s="619">
        <f>IF(ISERROR(($P$125)/(O70)),"",($P$125)/(O70))</f>
        <v/>
      </c>
      <c r="P109" s="619">
        <f>IF(ISERROR(($P$125)/(P70)),"",($P$125)/(P70))</f>
        <v/>
      </c>
      <c r="Q109" s="589" t="n"/>
      <c r="R109" s="589" t="n"/>
    </row>
    <row r="110" customFormat="1" s="569">
      <c r="B110" s="656" t="inlineStr">
        <is>
          <t>Draft</t>
        </is>
      </c>
      <c r="C110" s="621" t="inlineStr">
        <is>
          <t>P/FCF_DRAFT</t>
        </is>
      </c>
      <c r="D110" s="622" t="inlineStr">
        <is>
          <t>V</t>
        </is>
      </c>
      <c r="E110" s="623" t="n">
        <v>73</v>
      </c>
      <c r="F110" s="623" t="n">
        <v>11</v>
      </c>
      <c r="G110" s="623" t="n">
        <v>1</v>
      </c>
      <c r="H110" s="622" t="inlineStr">
        <is>
          <t>[[CLOSEPRICE]/[FCFPS]]</t>
        </is>
      </c>
      <c r="I110" s="641" t="n"/>
      <c r="J110" s="623" t="n">
        <v>731</v>
      </c>
      <c r="K110" s="623" t="n"/>
      <c r="L110" s="623" t="inlineStr">
        <is>
          <t>x</t>
        </is>
      </c>
      <c r="M110" s="624">
        <f>IF(ISERROR(($P$125)/(M71)),"",($P$125)/(M71))</f>
        <v/>
      </c>
      <c r="N110" s="624">
        <f>IF(ISERROR(($P$125)/(N71)),"",($P$125)/(N71))</f>
        <v/>
      </c>
      <c r="O110" s="624">
        <f>IF(ISERROR(($P$125)/(O71)),"",($P$125)/(O71))</f>
        <v/>
      </c>
      <c r="P110" s="624">
        <f>IF(ISERROR(($P$125)/(P71)),"",($P$125)/(P71))</f>
        <v/>
      </c>
      <c r="Q110" s="589" t="n"/>
      <c r="R110" s="589" t="n"/>
    </row>
    <row r="111" customFormat="1" s="569">
      <c r="B111" s="604" t="inlineStr">
        <is>
          <t>EV/Sales (x)</t>
        </is>
      </c>
      <c r="C111" s="604" t="inlineStr">
        <is>
          <t>EV/SALES</t>
        </is>
      </c>
      <c r="D111" s="605" t="inlineStr">
        <is>
          <t>V</t>
        </is>
      </c>
      <c r="E111" s="591" t="n">
        <v>64</v>
      </c>
      <c r="F111" s="591" t="n">
        <v>12</v>
      </c>
      <c r="G111" s="591" t="n">
        <v>0</v>
      </c>
      <c r="H111" s="605" t="inlineStr">
        <is>
          <t>[[EV]/[SALES]]</t>
        </is>
      </c>
      <c r="I111" s="577" t="n"/>
      <c r="J111" s="591" t="n">
        <v>640</v>
      </c>
      <c r="K111" s="591" t="n"/>
      <c r="L111" s="591" t="inlineStr">
        <is>
          <t>x</t>
        </is>
      </c>
      <c r="M111" s="619">
        <f>IF(ISERROR(($P$127*1000000)/(M26*$M$14)),"",($P$127*1000000)/(M26*$M$14))</f>
        <v/>
      </c>
      <c r="N111" s="619">
        <f>IF(ISERROR(($P$127*1000000)/(N26*$M$14)),"",($P$127*1000000)/(N26*$M$14))</f>
        <v/>
      </c>
      <c r="O111" s="619">
        <f>IF(ISERROR(($P$127*1000000)/(O26*$M$14)),"",($P$127*1000000)/(O26*$M$14))</f>
        <v/>
      </c>
      <c r="P111" s="619">
        <f>IF(ISERROR(($P$127*1000000)/(P26*$M$14)),"",($P$127*1000000)/(P26*$M$14))</f>
        <v/>
      </c>
      <c r="Q111" s="589" t="n"/>
      <c r="R111" s="589" t="n"/>
    </row>
    <row r="112" customFormat="1" s="569">
      <c r="B112" s="656" t="inlineStr">
        <is>
          <t>Draft</t>
        </is>
      </c>
      <c r="C112" s="621" t="inlineStr">
        <is>
          <t>EV/SALES_DRAFT</t>
        </is>
      </c>
      <c r="D112" s="622" t="inlineStr">
        <is>
          <t>V</t>
        </is>
      </c>
      <c r="E112" s="623" t="n">
        <v>64</v>
      </c>
      <c r="F112" s="623" t="n">
        <v>12</v>
      </c>
      <c r="G112" s="623" t="n">
        <v>1</v>
      </c>
      <c r="H112" s="622" t="inlineStr">
        <is>
          <t>[[EV]/[SALES]]</t>
        </is>
      </c>
      <c r="I112" s="641" t="n"/>
      <c r="J112" s="623" t="n">
        <v>641</v>
      </c>
      <c r="K112" s="623" t="n"/>
      <c r="L112" s="623" t="inlineStr">
        <is>
          <t>x</t>
        </is>
      </c>
      <c r="M112" s="624">
        <f>IF(ISERROR(($P$127*1000000)/(M27*$M$14)),"",($P$127*1000000)/(M27*$M$14))</f>
        <v/>
      </c>
      <c r="N112" s="624">
        <f>IF(ISERROR(($P$127*1000000)/(N27*$M$14)),"",($P$127*1000000)/(N27*$M$14))</f>
        <v/>
      </c>
      <c r="O112" s="624">
        <f>IF(ISERROR(($P$127*1000000)/(O27*$M$14)),"",($P$127*1000000)/(O27*$M$14))</f>
        <v/>
      </c>
      <c r="P112" s="624">
        <f>IF(ISERROR(($P$127*1000000)/(P27*$M$14)),"",($P$127*1000000)/(P27*$M$14))</f>
        <v/>
      </c>
      <c r="Q112" s="589" t="n"/>
      <c r="R112" s="589" t="n"/>
    </row>
    <row r="113" customFormat="1" s="569">
      <c r="B113" s="618" t="inlineStr">
        <is>
          <t>EV/EBITDA (x)</t>
        </is>
      </c>
      <c r="C113" s="604" t="inlineStr">
        <is>
          <t>EV/EBITDA</t>
        </is>
      </c>
      <c r="D113" s="605" t="inlineStr">
        <is>
          <t>V</t>
        </is>
      </c>
      <c r="E113" s="591" t="n">
        <v>65</v>
      </c>
      <c r="F113" s="591" t="n">
        <v>13</v>
      </c>
      <c r="G113" s="591" t="n">
        <v>0</v>
      </c>
      <c r="H113" s="605" t="inlineStr">
        <is>
          <t>[[EV]/[EBITDA]]</t>
        </is>
      </c>
      <c r="I113" s="577" t="n"/>
      <c r="J113" s="591" t="n">
        <v>650</v>
      </c>
      <c r="K113" s="591" t="n"/>
      <c r="L113" s="591" t="inlineStr">
        <is>
          <t>x</t>
        </is>
      </c>
      <c r="M113" s="619">
        <f>IF(ISERROR(($P$127*1000000)/(M36*$M$14)),"",($P$127*1000000)/(M36*$M$14))</f>
        <v/>
      </c>
      <c r="N113" s="619">
        <f>IF(ISERROR(($P$127*1000000)/(N36*$M$14)),"",($P$127*1000000)/(N36*$M$14))</f>
        <v/>
      </c>
      <c r="O113" s="619">
        <f>IF(ISERROR(($P$127*1000000)/(O36*$M$14)),"",($P$127*1000000)/(O36*$M$14))</f>
        <v/>
      </c>
      <c r="P113" s="619">
        <f>IF(ISERROR(($P$127*1000000)/(P36*$M$14)),"",($P$127*1000000)/(P36*$M$14))</f>
        <v/>
      </c>
      <c r="Q113" s="589" t="n"/>
      <c r="R113" s="589" t="n"/>
    </row>
    <row r="114" customFormat="1" s="569">
      <c r="B114" s="655" t="inlineStr">
        <is>
          <t>Draft</t>
        </is>
      </c>
      <c r="C114" s="621" t="inlineStr">
        <is>
          <t>EV/EBITDA_DRAFT</t>
        </is>
      </c>
      <c r="D114" s="622" t="inlineStr">
        <is>
          <t>V</t>
        </is>
      </c>
      <c r="E114" s="623" t="n">
        <v>65</v>
      </c>
      <c r="F114" s="623" t="n">
        <v>13</v>
      </c>
      <c r="G114" s="623" t="n">
        <v>1</v>
      </c>
      <c r="H114" s="622" t="inlineStr">
        <is>
          <t>[[EV]/[EBITDA]]</t>
        </is>
      </c>
      <c r="I114" s="641" t="n"/>
      <c r="J114" s="623" t="n">
        <v>651</v>
      </c>
      <c r="K114" s="623" t="n"/>
      <c r="L114" s="623" t="inlineStr">
        <is>
          <t>x</t>
        </is>
      </c>
      <c r="M114" s="624">
        <f>IF(ISERROR(($P$127*1000000)/(M37*$M$14)),"",($P$127*1000000)/(M37*$M$14))</f>
        <v/>
      </c>
      <c r="N114" s="624">
        <f>IF(ISERROR(($P$127*1000000)/(N37*$M$14)),"",($P$127*1000000)/(N37*$M$14))</f>
        <v/>
      </c>
      <c r="O114" s="624">
        <f>IF(ISERROR(($P$127*1000000)/(O37*$M$14)),"",($P$127*1000000)/(O37*$M$14))</f>
        <v/>
      </c>
      <c r="P114" s="624">
        <f>IF(ISERROR(($P$127*1000000)/(P37*$M$14)),"",($P$127*1000000)/(P37*$M$14))</f>
        <v/>
      </c>
      <c r="Q114" s="589" t="n"/>
      <c r="R114" s="589" t="n"/>
    </row>
    <row r="115" customFormat="1" s="569">
      <c r="B115" s="604" t="inlineStr">
        <is>
          <t>EV/EBIT (x)</t>
        </is>
      </c>
      <c r="C115" s="604" t="inlineStr">
        <is>
          <t>EV/EBIT</t>
        </is>
      </c>
      <c r="D115" s="605" t="inlineStr">
        <is>
          <t>V</t>
        </is>
      </c>
      <c r="E115" s="591" t="n">
        <v>67</v>
      </c>
      <c r="F115" s="591" t="n">
        <v>15</v>
      </c>
      <c r="G115" s="591" t="n">
        <v>0</v>
      </c>
      <c r="H115" s="605" t="inlineStr">
        <is>
          <t>[[EV]/[EBIT]]</t>
        </is>
      </c>
      <c r="I115" s="577" t="n"/>
      <c r="J115" s="591" t="n">
        <v>670</v>
      </c>
      <c r="K115" s="591" t="n"/>
      <c r="L115" s="591" t="inlineStr">
        <is>
          <t>x</t>
        </is>
      </c>
      <c r="M115" s="619">
        <f>IF(ISERROR(($P$127*1000000)/(M38*$M$14)),"",($P$127*1000000)/(M38*$M$14))</f>
        <v/>
      </c>
      <c r="N115" s="619">
        <f>IF(ISERROR(($P$127*1000000)/(N38*$M$14)),"",($P$127*1000000)/(N38*$M$14))</f>
        <v/>
      </c>
      <c r="O115" s="619">
        <f>IF(ISERROR(($P$127*1000000)/(O38*$M$14)),"",($P$127*1000000)/(O38*$M$14))</f>
        <v/>
      </c>
      <c r="P115" s="619">
        <f>IF(ISERROR(($P$127*1000000)/(P38*$M$14)),"",($P$127*1000000)/(P38*$M$14))</f>
        <v/>
      </c>
      <c r="Q115" s="589" t="n"/>
      <c r="R115" s="589" t="n"/>
    </row>
    <row r="116" customFormat="1" s="569">
      <c r="B116" s="656" t="inlineStr">
        <is>
          <t>Draft</t>
        </is>
      </c>
      <c r="C116" s="621" t="inlineStr">
        <is>
          <t>EV/EBIT_DRAFT</t>
        </is>
      </c>
      <c r="D116" s="622" t="inlineStr">
        <is>
          <t>V</t>
        </is>
      </c>
      <c r="E116" s="623" t="n">
        <v>67</v>
      </c>
      <c r="F116" s="623" t="n">
        <v>15</v>
      </c>
      <c r="G116" s="623" t="n">
        <v>1</v>
      </c>
      <c r="H116" s="622" t="inlineStr">
        <is>
          <t>[[EV]/[EBIT]]</t>
        </is>
      </c>
      <c r="I116" s="641" t="n"/>
      <c r="J116" s="623" t="n">
        <v>671</v>
      </c>
      <c r="K116" s="623" t="n"/>
      <c r="L116" s="623" t="inlineStr">
        <is>
          <t>x</t>
        </is>
      </c>
      <c r="M116" s="624">
        <f>IF(ISERROR(($P$127*1000000)/(M39*$M$14)),"",($P$127*1000000)/(M39*$M$14))</f>
        <v/>
      </c>
      <c r="N116" s="624">
        <f>IF(ISERROR(($P$127*1000000)/(N39*$M$14)),"",($P$127*1000000)/(N39*$M$14))</f>
        <v/>
      </c>
      <c r="O116" s="624">
        <f>IF(ISERROR(($P$127*1000000)/(O39*$M$14)),"",($P$127*1000000)/(O39*$M$14))</f>
        <v/>
      </c>
      <c r="P116" s="624">
        <f>IF(ISERROR(($P$127*1000000)/(P39*$M$14)),"",($P$127*1000000)/(P39*$M$14))</f>
        <v/>
      </c>
      <c r="Q116" s="589" t="n"/>
      <c r="R116" s="589" t="n"/>
    </row>
    <row r="117" customFormat="1" s="569">
      <c r="B117" s="604" t="inlineStr">
        <is>
          <t>EV/FCF (x)</t>
        </is>
      </c>
      <c r="C117" s="604" t="inlineStr">
        <is>
          <t>EV/FCF</t>
        </is>
      </c>
      <c r="D117" s="605" t="inlineStr">
        <is>
          <t>V</t>
        </is>
      </c>
      <c r="E117" s="591" t="n">
        <v>74</v>
      </c>
      <c r="F117" s="591" t="n">
        <v>17</v>
      </c>
      <c r="G117" s="591" t="n">
        <v>0</v>
      </c>
      <c r="H117" s="605" t="inlineStr">
        <is>
          <t>[[EV]/[FCF]]</t>
        </is>
      </c>
      <c r="I117" s="577" t="n"/>
      <c r="J117" s="591" t="n">
        <v>740</v>
      </c>
      <c r="K117" s="591" t="n"/>
      <c r="L117" s="591" t="inlineStr">
        <is>
          <t>x</t>
        </is>
      </c>
      <c r="M117" s="619">
        <f>IF(ISERROR(($P$127*1000000)/(M64*$M$14)),"",($P$127*1000000)/(M64*$M$14))</f>
        <v/>
      </c>
      <c r="N117" s="619">
        <f>IF(ISERROR(($P$127*1000000)/(N64*$M$14)),"",($P$127*1000000)/(N64*$M$14))</f>
        <v/>
      </c>
      <c r="O117" s="619">
        <f>IF(ISERROR(($P$127*1000000)/(O64*$M$14)),"",($P$127*1000000)/(O64*$M$14))</f>
        <v/>
      </c>
      <c r="P117" s="619">
        <f>IF(ISERROR(($P$127*1000000)/(P64*$M$14)),"",($P$127*1000000)/(P64*$M$14))</f>
        <v/>
      </c>
      <c r="Q117" s="589" t="n"/>
      <c r="R117" s="589" t="n"/>
    </row>
    <row r="118" customFormat="1" s="569">
      <c r="B118" s="656" t="inlineStr">
        <is>
          <t>Draft</t>
        </is>
      </c>
      <c r="C118" s="621" t="inlineStr">
        <is>
          <t>EV/FCF_DRAFT</t>
        </is>
      </c>
      <c r="D118" s="622" t="inlineStr">
        <is>
          <t>V</t>
        </is>
      </c>
      <c r="E118" s="623" t="n">
        <v>74</v>
      </c>
      <c r="F118" s="623" t="n">
        <v>17</v>
      </c>
      <c r="G118" s="623" t="n">
        <v>1</v>
      </c>
      <c r="H118" s="622" t="inlineStr">
        <is>
          <t>[[EV]/[FCF]]</t>
        </is>
      </c>
      <c r="I118" s="641" t="n"/>
      <c r="J118" s="623" t="n">
        <v>741</v>
      </c>
      <c r="K118" s="623" t="n"/>
      <c r="L118" s="623" t="inlineStr">
        <is>
          <t>x</t>
        </is>
      </c>
      <c r="M118" s="624">
        <f>IF(ISERROR(($P$127*1000000)/(M65*$M$14)),"",($P$127*1000000)/(M65*$M$14))</f>
        <v/>
      </c>
      <c r="N118" s="624">
        <f>IF(ISERROR(($P$127*1000000)/(N65*$M$14)),"",($P$127*1000000)/(N65*$M$14))</f>
        <v/>
      </c>
      <c r="O118" s="624">
        <f>IF(ISERROR(($P$127*1000000)/(O65*$M$14)),"",($P$127*1000000)/(O65*$M$14))</f>
        <v/>
      </c>
      <c r="P118" s="624">
        <f>IF(ISERROR(($P$127*1000000)/(P65*$M$14)),"",($P$127*1000000)/(P65*$M$14))</f>
        <v/>
      </c>
      <c r="Q118" s="589" t="n"/>
      <c r="R118" s="589" t="n"/>
    </row>
    <row r="119" customFormat="1" s="569">
      <c r="B119" s="604" t="inlineStr">
        <is>
          <t>Div Yield (%)</t>
        </is>
      </c>
      <c r="C119" s="604" t="inlineStr">
        <is>
          <t>DIVYIELD</t>
        </is>
      </c>
      <c r="D119" s="605" t="inlineStr">
        <is>
          <t>V</t>
        </is>
      </c>
      <c r="E119" s="591" t="n">
        <v>69</v>
      </c>
      <c r="F119" s="591" t="n">
        <v>19</v>
      </c>
      <c r="G119" s="591" t="n">
        <v>0</v>
      </c>
      <c r="H119" s="605" t="inlineStr">
        <is>
          <t>[[DIVPS]/[CLOSEPRICE]]</t>
        </is>
      </c>
      <c r="I119" s="577" t="n"/>
      <c r="J119" s="591" t="n">
        <v>690</v>
      </c>
      <c r="K119" s="591" t="n"/>
      <c r="L119" s="591" t="inlineStr">
        <is>
          <t>%</t>
        </is>
      </c>
      <c r="M119" s="657">
        <f>IF(ISERROR((M68)/($P$125)),"",(M68)/($P$125))</f>
        <v/>
      </c>
      <c r="N119" s="657">
        <f>IF(ISERROR((N68)/($P$125)),"",(N68)/($P$125))</f>
        <v/>
      </c>
      <c r="O119" s="657">
        <f>IF(ISERROR((O68)/($P$125)),"",(O68)/($P$125))</f>
        <v/>
      </c>
      <c r="P119" s="657">
        <f>IF(ISERROR((P68)/($P$125)),"",(P68)/($P$125))</f>
        <v/>
      </c>
      <c r="Q119" s="589" t="n"/>
      <c r="R119" s="589" t="n"/>
    </row>
    <row r="120" customFormat="1" s="569">
      <c r="B120" s="656" t="inlineStr">
        <is>
          <t>Draft</t>
        </is>
      </c>
      <c r="C120" s="621" t="inlineStr">
        <is>
          <t>DIVYIELD_DRAFT</t>
        </is>
      </c>
      <c r="D120" s="622" t="inlineStr">
        <is>
          <t>V</t>
        </is>
      </c>
      <c r="E120" s="623" t="n">
        <v>69</v>
      </c>
      <c r="F120" s="623" t="n">
        <v>19</v>
      </c>
      <c r="G120" s="623" t="n">
        <v>1</v>
      </c>
      <c r="H120" s="622" t="inlineStr">
        <is>
          <t>[[DIVPS]/[CLOSEPRICE]]</t>
        </is>
      </c>
      <c r="I120" s="641" t="n"/>
      <c r="J120" s="623" t="n">
        <v>691</v>
      </c>
      <c r="K120" s="623" t="n"/>
      <c r="L120" s="623" t="inlineStr">
        <is>
          <t>%</t>
        </is>
      </c>
      <c r="M120" s="658">
        <f>IF(ISERROR((M69)/($P$125)),"",(M69)/($P$125))</f>
        <v/>
      </c>
      <c r="N120" s="658">
        <f>IF(ISERROR((N69)/($P$125)),"",(N69)/($P$125))</f>
        <v/>
      </c>
      <c r="O120" s="658">
        <f>IF(ISERROR((O69)/($P$125)),"",(O69)/($P$125))</f>
        <v/>
      </c>
      <c r="P120" s="658">
        <f>IF(ISERROR((P69)/($P$125)),"",(P69)/($P$125))</f>
        <v/>
      </c>
      <c r="Q120" s="589" t="n"/>
      <c r="R120" s="589" t="n"/>
    </row>
    <row r="121" customFormat="1" s="569">
      <c r="B121" s="604" t="inlineStr">
        <is>
          <t>FCF Yield (%)</t>
        </is>
      </c>
      <c r="C121" s="604" t="inlineStr">
        <is>
          <t>FCFYIELD</t>
        </is>
      </c>
      <c r="D121" s="605" t="inlineStr">
        <is>
          <t>V</t>
        </is>
      </c>
      <c r="E121" s="591" t="n">
        <v>70</v>
      </c>
      <c r="F121" s="591" t="n">
        <v>20</v>
      </c>
      <c r="G121" s="591" t="n">
        <v>0</v>
      </c>
      <c r="H121" s="605" t="inlineStr">
        <is>
          <t>[[FCFPS]/[CLOSEPRICE]]</t>
        </is>
      </c>
      <c r="I121" s="577" t="n"/>
      <c r="J121" s="591" t="n">
        <v>700</v>
      </c>
      <c r="K121" s="591" t="n"/>
      <c r="L121" s="591" t="inlineStr">
        <is>
          <t>%</t>
        </is>
      </c>
      <c r="M121" s="657">
        <f>IF(ISERROR((M70)/($P$125)),"",(M70)/($P$125))</f>
        <v/>
      </c>
      <c r="N121" s="657">
        <f>IF(ISERROR((N70)/($P$125)),"",(N70)/($P$125))</f>
        <v/>
      </c>
      <c r="O121" s="657">
        <f>IF(ISERROR((O70)/($P$125)),"",(O70)/($P$125))</f>
        <v/>
      </c>
      <c r="P121" s="657">
        <f>IF(ISERROR((P70)/($P$125)),"",(P70)/($P$125))</f>
        <v/>
      </c>
      <c r="Q121" s="589" t="n"/>
      <c r="R121" s="589" t="n"/>
    </row>
    <row r="122" ht="15" customFormat="1" customHeight="1" s="569" thickBot="1">
      <c r="B122" s="656" t="inlineStr">
        <is>
          <t>Draft</t>
        </is>
      </c>
      <c r="C122" s="621" t="inlineStr">
        <is>
          <t>FCFYIELD_DRAFT</t>
        </is>
      </c>
      <c r="D122" s="622" t="inlineStr">
        <is>
          <t>V</t>
        </is>
      </c>
      <c r="E122" s="623" t="n">
        <v>70</v>
      </c>
      <c r="F122" s="623" t="n">
        <v>20</v>
      </c>
      <c r="G122" s="623" t="n">
        <v>1</v>
      </c>
      <c r="H122" s="622" t="inlineStr">
        <is>
          <t>[[FCFPS]/[CLOSEPRICE]]</t>
        </is>
      </c>
      <c r="I122" s="641" t="n"/>
      <c r="J122" s="623" t="n">
        <v>701</v>
      </c>
      <c r="K122" s="623" t="n"/>
      <c r="L122" s="623" t="inlineStr">
        <is>
          <t>%</t>
        </is>
      </c>
      <c r="M122" s="658">
        <f>IF(ISERROR((M71)/($P$125)),"",(M71)/($P$125))</f>
        <v/>
      </c>
      <c r="N122" s="658">
        <f>IF(ISERROR((N71)/($P$125)),"",(N71)/($P$125))</f>
        <v/>
      </c>
      <c r="O122" s="658">
        <f>IF(ISERROR((O71)/($P$125)),"",(O71)/($P$125))</f>
        <v/>
      </c>
      <c r="P122" s="658">
        <f>IF(ISERROR((P71)/($P$125)),"",(P71)/($P$125))</f>
        <v/>
      </c>
      <c r="Q122" s="589" t="n"/>
      <c r="R122" s="589" t="n"/>
    </row>
    <row r="123" ht="17" customHeight="1" thickBot="1" thickTop="1">
      <c r="B123" s="584" t="inlineStr">
        <is>
          <t>MARKET DATA</t>
        </is>
      </c>
      <c r="C123" s="585" t="n">
        <v>18</v>
      </c>
      <c r="D123" s="585" t="n"/>
      <c r="E123" s="585" t="n"/>
      <c r="F123" s="585" t="n"/>
      <c r="G123" s="585" t="n"/>
      <c r="H123" s="585" t="n"/>
      <c r="I123" s="585" t="n"/>
      <c r="J123" s="585" t="n"/>
      <c r="K123" s="585" t="n"/>
      <c r="L123" s="585" t="n"/>
      <c r="M123" s="585" t="inlineStr">
        <is>
          <t>Bloomberg</t>
        </is>
      </c>
      <c r="N123" s="583" t="inlineStr">
        <is>
          <t>Override</t>
        </is>
      </c>
      <c r="O123" s="636" t="inlineStr">
        <is>
          <t>Corrections</t>
        </is>
      </c>
      <c r="P123" s="585" t="inlineStr">
        <is>
          <t>Effective</t>
        </is>
      </c>
    </row>
    <row r="124" ht="15" customHeight="1" thickTop="1">
      <c r="B124" s="579" t="inlineStr">
        <is>
          <t>Close Date</t>
        </is>
      </c>
      <c r="C124" s="579" t="inlineStr">
        <is>
          <t>CLOSEDATE</t>
        </is>
      </c>
      <c r="D124" s="580" t="inlineStr">
        <is>
          <t>M</t>
        </is>
      </c>
      <c r="E124" s="577" t="n">
        <v>75</v>
      </c>
      <c r="F124" s="577" t="n">
        <v>1</v>
      </c>
      <c r="G124" s="577" t="n"/>
      <c r="H124" s="580" t="n"/>
      <c r="I124" s="577" t="inlineStr">
        <is>
          <t>USD</t>
        </is>
      </c>
      <c r="J124" s="577" t="n">
        <v>75</v>
      </c>
      <c r="K124" s="577" t="n"/>
      <c r="L124" s="577" t="n"/>
      <c r="M124" s="942" t="n">
        <v>44607</v>
      </c>
      <c r="N124" s="943" t="n"/>
      <c r="O124" s="942" t="n"/>
      <c r="P124" s="942">
        <f>IF(ISBLANK(N124),M124,N124)</f>
        <v/>
      </c>
    </row>
    <row r="125">
      <c r="B125" s="626" t="inlineStr">
        <is>
          <t>Close Price (USD)</t>
        </is>
      </c>
      <c r="C125" s="626" t="inlineStr">
        <is>
          <t>CLOSEPRICE</t>
        </is>
      </c>
      <c r="D125" s="627" t="inlineStr">
        <is>
          <t>M</t>
        </is>
      </c>
      <c r="E125" s="628" t="n">
        <v>76</v>
      </c>
      <c r="F125" s="628" t="n">
        <v>2</v>
      </c>
      <c r="G125" s="628" t="n"/>
      <c r="H125" s="627" t="n"/>
      <c r="I125" s="628" t="inlineStr">
        <is>
          <t>USD</t>
        </is>
      </c>
      <c r="J125" s="628" t="n">
        <v>76</v>
      </c>
      <c r="K125" s="628" t="n"/>
      <c r="L125" s="628" t="n"/>
      <c r="M125" s="629" t="n">
        <v>137.55</v>
      </c>
      <c r="N125" s="612" t="n"/>
      <c r="O125" s="629" t="n"/>
      <c r="P125" s="629">
        <f>IF(ISBLANK(N125),M125,N125)</f>
        <v/>
      </c>
    </row>
    <row r="126">
      <c r="B126" s="579" t="inlineStr">
        <is>
          <t>Div Per Share</t>
        </is>
      </c>
      <c r="C126" s="579" t="inlineStr">
        <is>
          <t>DIVPERSH</t>
        </is>
      </c>
      <c r="D126" s="580" t="inlineStr">
        <is>
          <t>M</t>
        </is>
      </c>
      <c r="E126" s="577" t="n">
        <v>79</v>
      </c>
      <c r="F126" s="577" t="n">
        <v>5</v>
      </c>
      <c r="G126" s="577" t="n"/>
      <c r="H126" s="580" t="n"/>
      <c r="I126" s="577" t="inlineStr">
        <is>
          <t>USD</t>
        </is>
      </c>
      <c r="J126" s="577" t="n">
        <v>79</v>
      </c>
      <c r="K126" s="577" t="n"/>
      <c r="L126" s="577" t="n"/>
      <c r="M126" s="625" t="n"/>
      <c r="N126" s="612" t="n"/>
      <c r="O126" s="625" t="n"/>
      <c r="P126" s="625">
        <f>IF(ISBLANK(N126),M126,N126)</f>
        <v/>
      </c>
    </row>
    <row r="127">
      <c r="B127" s="626" t="inlineStr">
        <is>
          <t>EV (1,000,000)</t>
        </is>
      </c>
      <c r="C127" s="626" t="inlineStr">
        <is>
          <t>EV</t>
        </is>
      </c>
      <c r="D127" s="627" t="inlineStr">
        <is>
          <t>M</t>
        </is>
      </c>
      <c r="E127" s="628" t="n">
        <v>80</v>
      </c>
      <c r="F127" s="628" t="n">
        <v>6</v>
      </c>
      <c r="G127" s="628" t="n"/>
      <c r="H127" s="627" t="n"/>
      <c r="I127" s="628" t="inlineStr">
        <is>
          <t>USD</t>
        </is>
      </c>
      <c r="J127" s="628" t="n">
        <v>80</v>
      </c>
      <c r="K127" s="628" t="n"/>
      <c r="L127" s="630" t="n">
        <v>1000000</v>
      </c>
      <c r="M127" s="629" t="n">
        <v>5852.92</v>
      </c>
      <c r="N127" s="612" t="n"/>
      <c r="O127" s="629" t="n"/>
      <c r="P127" s="629">
        <f>IF(ISBLANK(N127),M127,N127)</f>
        <v/>
      </c>
    </row>
    <row r="128">
      <c r="B128" s="579" t="inlineStr">
        <is>
          <t>Net Debt (1,000,000)</t>
        </is>
      </c>
      <c r="C128" s="579" t="inlineStr">
        <is>
          <t>NETDEBT</t>
        </is>
      </c>
      <c r="D128" s="580" t="inlineStr">
        <is>
          <t>M</t>
        </is>
      </c>
      <c r="E128" s="577" t="n">
        <v>81</v>
      </c>
      <c r="F128" s="577" t="n">
        <v>7</v>
      </c>
      <c r="G128" s="577" t="n"/>
      <c r="H128" s="580" t="n"/>
      <c r="I128" s="577" t="inlineStr">
        <is>
          <t>USD</t>
        </is>
      </c>
      <c r="J128" s="577" t="n">
        <v>81</v>
      </c>
      <c r="K128" s="577" t="n"/>
      <c r="L128" s="631" t="n">
        <v>1000000</v>
      </c>
      <c r="M128" s="625" t="n"/>
      <c r="N128" s="612" t="n"/>
      <c r="O128" s="625" t="n"/>
      <c r="P128" s="625">
        <f>IF(ISBLANK(N128),M128,N128)</f>
        <v/>
      </c>
    </row>
    <row r="129">
      <c r="B129" s="626" t="inlineStr">
        <is>
          <t>52-Week Low</t>
        </is>
      </c>
      <c r="C129" s="626" t="inlineStr">
        <is>
          <t>52_WEEK_LOW</t>
        </is>
      </c>
      <c r="D129" s="627" t="inlineStr">
        <is>
          <t>M</t>
        </is>
      </c>
      <c r="E129" s="628" t="n">
        <v>82</v>
      </c>
      <c r="F129" s="628" t="n">
        <v>8</v>
      </c>
      <c r="G129" s="628" t="n"/>
      <c r="H129" s="627" t="n"/>
      <c r="I129" s="628" t="inlineStr">
        <is>
          <t>USD</t>
        </is>
      </c>
      <c r="J129" s="628" t="n">
        <v>82</v>
      </c>
      <c r="K129" s="628" t="n"/>
      <c r="L129" s="628" t="n"/>
      <c r="M129" s="629" t="n">
        <v>128.7</v>
      </c>
      <c r="N129" s="612" t="n"/>
      <c r="O129" s="629" t="n"/>
      <c r="P129" s="629">
        <f>IF(ISBLANK(N129),M129,N129)</f>
        <v/>
      </c>
    </row>
    <row r="130">
      <c r="B130" s="579" t="inlineStr">
        <is>
          <t>52-Week High</t>
        </is>
      </c>
      <c r="C130" s="579" t="inlineStr">
        <is>
          <t>52_WEEK_HIGH</t>
        </is>
      </c>
      <c r="D130" s="580" t="inlineStr">
        <is>
          <t>M</t>
        </is>
      </c>
      <c r="E130" s="577" t="n">
        <v>83</v>
      </c>
      <c r="F130" s="577" t="n">
        <v>9</v>
      </c>
      <c r="G130" s="577" t="n"/>
      <c r="H130" s="580" t="n"/>
      <c r="I130" s="577" t="inlineStr">
        <is>
          <t>USD</t>
        </is>
      </c>
      <c r="J130" s="577" t="n">
        <v>83</v>
      </c>
      <c r="K130" s="577" t="n"/>
      <c r="L130" s="577" t="n"/>
      <c r="M130" s="625" t="n">
        <v>257.9</v>
      </c>
      <c r="N130" s="612" t="n"/>
      <c r="O130" s="625" t="n"/>
      <c r="P130" s="625">
        <f>IF(ISBLANK(N130),M130,N130)</f>
        <v/>
      </c>
    </row>
    <row r="131">
      <c r="B131" s="626" t="inlineStr">
        <is>
          <t>FYE</t>
        </is>
      </c>
      <c r="C131" s="626" t="inlineStr">
        <is>
          <t>EQY_FISCAL_YR_END</t>
        </is>
      </c>
      <c r="D131" s="627" t="inlineStr">
        <is>
          <t>M</t>
        </is>
      </c>
      <c r="E131" s="628" t="n">
        <v>84</v>
      </c>
      <c r="F131" s="628" t="n">
        <v>10</v>
      </c>
      <c r="G131" s="628" t="n"/>
      <c r="H131" s="627" t="n"/>
      <c r="I131" s="628" t="inlineStr">
        <is>
          <t>USD</t>
        </is>
      </c>
      <c r="J131" s="628" t="n">
        <v>84</v>
      </c>
      <c r="K131" s="628" t="n"/>
      <c r="L131" s="628" t="n"/>
      <c r="M131" s="635" t="n">
        <v>44531</v>
      </c>
      <c r="N131" s="639" t="n"/>
      <c r="O131" s="635" t="n"/>
      <c r="P131" s="635">
        <f>IF(ISBLANK(N131),M131,N131)</f>
        <v/>
      </c>
    </row>
    <row r="132">
      <c r="B132" s="579" t="inlineStr">
        <is>
          <t>Indicated Div Yield (%)</t>
        </is>
      </c>
      <c r="C132" s="579" t="inlineStr">
        <is>
          <t>EQY_DVD_YLD_IND</t>
        </is>
      </c>
      <c r="D132" s="580" t="inlineStr">
        <is>
          <t>M</t>
        </is>
      </c>
      <c r="E132" s="577" t="n">
        <v>85</v>
      </c>
      <c r="F132" s="577" t="n">
        <v>11</v>
      </c>
      <c r="G132" s="577" t="n"/>
      <c r="H132" s="580" t="n"/>
      <c r="I132" s="577" t="inlineStr">
        <is>
          <t>USD</t>
        </is>
      </c>
      <c r="J132" s="577" t="n">
        <v>85</v>
      </c>
      <c r="K132" s="577" t="n"/>
      <c r="L132" s="577" t="inlineStr">
        <is>
          <t>%</t>
        </is>
      </c>
      <c r="M132" s="632" t="inlineStr">
        <is>
          <t>NA</t>
        </is>
      </c>
      <c r="N132" s="640" t="n"/>
      <c r="O132" s="632" t="n"/>
      <c r="P132" s="632">
        <f>IF(ISBLANK(N132),M132,N132)</f>
        <v/>
      </c>
    </row>
    <row r="133">
      <c r="B133" s="626" t="inlineStr">
        <is>
          <t>Market Cap (1,000,000)</t>
        </is>
      </c>
      <c r="C133" s="626" t="inlineStr">
        <is>
          <t>CUR_MKT_CAP</t>
        </is>
      </c>
      <c r="D133" s="627" t="inlineStr">
        <is>
          <t>M</t>
        </is>
      </c>
      <c r="E133" s="628" t="n">
        <v>86</v>
      </c>
      <c r="F133" s="628" t="n">
        <v>12</v>
      </c>
      <c r="G133" s="628" t="n"/>
      <c r="H133" s="627" t="n"/>
      <c r="I133" s="628" t="inlineStr">
        <is>
          <t>USD</t>
        </is>
      </c>
      <c r="J133" s="628" t="n">
        <v>86</v>
      </c>
      <c r="K133" s="628" t="n"/>
      <c r="L133" s="630" t="n">
        <v>1000000</v>
      </c>
      <c r="M133" s="629" t="n">
        <v>7332.63</v>
      </c>
      <c r="N133" s="612" t="n"/>
      <c r="O133" s="629" t="n"/>
      <c r="P133" s="629">
        <f>IF(ISBLANK(N133),M133,N133)</f>
        <v/>
      </c>
    </row>
    <row r="134">
      <c r="B134" s="579" t="inlineStr">
        <is>
          <t>Perf 1M (%)</t>
        </is>
      </c>
      <c r="C134" s="579" t="inlineStr">
        <is>
          <t>CHG_PCT_1M</t>
        </is>
      </c>
      <c r="D134" s="580" t="inlineStr">
        <is>
          <t>M</t>
        </is>
      </c>
      <c r="E134" s="577" t="n">
        <v>87</v>
      </c>
      <c r="F134" s="577" t="n">
        <v>13</v>
      </c>
      <c r="G134" s="577" t="n"/>
      <c r="H134" s="580" t="n"/>
      <c r="I134" s="577" t="inlineStr">
        <is>
          <t>USD</t>
        </is>
      </c>
      <c r="J134" s="577" t="n">
        <v>87</v>
      </c>
      <c r="K134" s="577" t="n"/>
      <c r="L134" s="577" t="inlineStr">
        <is>
          <t>%</t>
        </is>
      </c>
      <c r="M134" s="632" t="n">
        <v>-0.14698</v>
      </c>
      <c r="N134" s="640" t="n"/>
      <c r="O134" s="632" t="n"/>
      <c r="P134" s="632">
        <f>IF(ISBLANK(N134),M134,N134)</f>
        <v/>
      </c>
    </row>
    <row r="135">
      <c r="B135" s="626" t="inlineStr">
        <is>
          <t>Perf 3M (%)</t>
        </is>
      </c>
      <c r="C135" s="626" t="inlineStr">
        <is>
          <t>CHG_PCT_3M</t>
        </is>
      </c>
      <c r="D135" s="627" t="inlineStr">
        <is>
          <t>M</t>
        </is>
      </c>
      <c r="E135" s="628" t="n">
        <v>88</v>
      </c>
      <c r="F135" s="628" t="n">
        <v>14</v>
      </c>
      <c r="G135" s="628" t="n"/>
      <c r="H135" s="627" t="n"/>
      <c r="I135" s="628" t="inlineStr">
        <is>
          <t>USD</t>
        </is>
      </c>
      <c r="J135" s="628" t="n">
        <v>88</v>
      </c>
      <c r="K135" s="628" t="n"/>
      <c r="L135" s="628" t="inlineStr">
        <is>
          <t>%</t>
        </is>
      </c>
      <c r="M135" s="633" t="n"/>
      <c r="N135" s="640" t="n"/>
      <c r="O135" s="633" t="n"/>
      <c r="P135" s="633">
        <f>IF(ISBLANK(N135),M135,N135)</f>
        <v/>
      </c>
    </row>
    <row r="136">
      <c r="B136" s="579" t="inlineStr">
        <is>
          <t>Perf 6M (%)</t>
        </is>
      </c>
      <c r="C136" s="579" t="inlineStr">
        <is>
          <t>CHG_PCT_6M</t>
        </is>
      </c>
      <c r="D136" s="580" t="inlineStr">
        <is>
          <t>M</t>
        </is>
      </c>
      <c r="E136" s="577" t="n">
        <v>89</v>
      </c>
      <c r="F136" s="577" t="n">
        <v>15</v>
      </c>
      <c r="G136" s="577" t="n"/>
      <c r="H136" s="580" t="n"/>
      <c r="I136" s="577" t="inlineStr">
        <is>
          <t>USD</t>
        </is>
      </c>
      <c r="J136" s="577" t="n">
        <v>89</v>
      </c>
      <c r="K136" s="577" t="n"/>
      <c r="L136" s="577" t="inlineStr">
        <is>
          <t>%</t>
        </is>
      </c>
      <c r="M136" s="632" t="n">
        <v>-0.18667</v>
      </c>
      <c r="N136" s="640" t="n"/>
      <c r="O136" s="632" t="n"/>
      <c r="P136" s="632">
        <f>IF(ISBLANK(N136),M136,N136)</f>
        <v/>
      </c>
    </row>
    <row r="137">
      <c r="B137" s="626" t="inlineStr">
        <is>
          <t>Perf 12M (%)</t>
        </is>
      </c>
      <c r="C137" s="626" t="inlineStr">
        <is>
          <t>CHG_PCT_1YR</t>
        </is>
      </c>
      <c r="D137" s="627" t="inlineStr">
        <is>
          <t>M</t>
        </is>
      </c>
      <c r="E137" s="628" t="n">
        <v>90</v>
      </c>
      <c r="F137" s="628" t="n">
        <v>16</v>
      </c>
      <c r="G137" s="628" t="n"/>
      <c r="H137" s="627" t="n"/>
      <c r="I137" s="628" t="inlineStr">
        <is>
          <t>USD</t>
        </is>
      </c>
      <c r="J137" s="628" t="n">
        <v>90</v>
      </c>
      <c r="K137" s="628" t="n"/>
      <c r="L137" s="628" t="inlineStr">
        <is>
          <t>%</t>
        </is>
      </c>
      <c r="M137" s="633" t="n">
        <v>-0.45609</v>
      </c>
      <c r="N137" s="640" t="n"/>
      <c r="O137" s="633" t="n"/>
      <c r="P137" s="633">
        <f>IF(ISBLANK(N137),M137,N137)</f>
        <v/>
      </c>
    </row>
    <row r="138">
      <c r="B138" s="579" t="inlineStr">
        <is>
          <t>Perf YTD (%)</t>
        </is>
      </c>
      <c r="C138" s="579" t="inlineStr">
        <is>
          <t>CHG_PCT_YTD</t>
        </is>
      </c>
      <c r="D138" s="580" t="inlineStr">
        <is>
          <t>M</t>
        </is>
      </c>
      <c r="E138" s="577" t="n">
        <v>91</v>
      </c>
      <c r="F138" s="577" t="n">
        <v>17</v>
      </c>
      <c r="G138" s="577" t="n"/>
      <c r="H138" s="580" t="n"/>
      <c r="I138" s="577" t="inlineStr">
        <is>
          <t>USD</t>
        </is>
      </c>
      <c r="J138" s="577" t="n">
        <v>91</v>
      </c>
      <c r="K138" s="577" t="n"/>
      <c r="L138" s="577" t="inlineStr">
        <is>
          <t>%</t>
        </is>
      </c>
      <c r="M138" s="632" t="n">
        <v>-0.20094</v>
      </c>
      <c r="N138" s="640" t="n"/>
      <c r="O138" s="632" t="n"/>
      <c r="P138" s="632">
        <f>IF(ISBLANK(N138),M138,N138)</f>
        <v/>
      </c>
    </row>
    <row r="139">
      <c r="B139" s="626" t="inlineStr">
        <is>
          <t>Fund Currency</t>
        </is>
      </c>
      <c r="C139" s="626" t="inlineStr">
        <is>
          <t>EQY_FUND_CRNCY</t>
        </is>
      </c>
      <c r="D139" s="627" t="inlineStr">
        <is>
          <t>M</t>
        </is>
      </c>
      <c r="E139" s="628" t="n">
        <v>92</v>
      </c>
      <c r="F139" s="628" t="n">
        <v>18</v>
      </c>
      <c r="G139" s="628" t="n"/>
      <c r="H139" s="627" t="n"/>
      <c r="I139" s="628" t="inlineStr">
        <is>
          <t>USD</t>
        </is>
      </c>
      <c r="J139" s="628" t="n">
        <v>92</v>
      </c>
      <c r="K139" s="628" t="n"/>
      <c r="L139" s="628" t="n"/>
      <c r="M139" s="629" t="inlineStr">
        <is>
          <t>USD</t>
        </is>
      </c>
      <c r="N139" s="612" t="n"/>
      <c r="O139" s="629" t="n"/>
      <c r="P139" s="629">
        <f>IF(ISBLANK(N139),M139,N139)</f>
        <v/>
      </c>
    </row>
  </sheetData>
  <sheetProtection selectLockedCells="0" selectUnlockedCells="0" algorithmName="SHA-512" sheet="1" objects="1" insertRows="1" insertHyperlinks="1" autoFilter="1" scenarios="1" formatColumns="0" deleteColumns="1" insertColumns="1" pivotTables="1" deleteRows="1" formatCells="0" saltValue="DY8NCX+qVio+poX/bZx12A==" formatRows="0" sort="1" spinCount="100000" hashValue="76AtCxADwICQzMVwQ8iOrCrGdlq+28S84U+v7ur4awLB2VneEAUkNavm79guj9McCFAUConk1uBX1SrZepDEjw=="/>
  <pageMargins left="0.7" right="0.7" top="0.75" bottom="0.75" header="0.3" footer="0.3"/>
  <pageSetup orientation="portrait" paperSize="195"/>
</worksheet>
</file>

<file path=xl/worksheets/sheet11.xml><?xml version="1.0" encoding="utf-8"?>
<worksheet xmlns="http://schemas.openxmlformats.org/spreadsheetml/2006/main">
  <sheetPr codeName="Sheet9">
    <tabColor rgb="FF1E9BD7"/>
    <outlinePr summaryBelow="1" summaryRight="1"/>
    <pageSetUpPr/>
  </sheetPr>
  <dimension ref="A1:S163"/>
  <sheetViews>
    <sheetView topLeftCell="A58" zoomScaleNormal="100" workbookViewId="0">
      <selection activeCell="Q40" sqref="Q40"/>
    </sheetView>
  </sheetViews>
  <sheetFormatPr baseColWidth="10" defaultColWidth="9.1640625" defaultRowHeight="15"/>
  <cols>
    <col width="13.5" bestFit="1" customWidth="1" style="762" min="1" max="1"/>
    <col width="32.83203125" customWidth="1" style="762" min="2" max="2"/>
    <col width="33.5" customWidth="1" style="762" min="3" max="3"/>
    <col width="24.5" bestFit="1" customWidth="1" style="762" min="4" max="4"/>
    <col width="14.33203125" customWidth="1" style="762" min="5" max="5"/>
    <col width="11.33203125" bestFit="1" customWidth="1" style="762" min="6" max="6"/>
    <col width="15" customWidth="1" style="762" min="7" max="7"/>
    <col width="11.1640625" customWidth="1" style="762" min="8" max="8"/>
    <col width="10.5" customWidth="1" style="762" min="9" max="9"/>
    <col width="9.1640625" customWidth="1" style="762" min="10" max="15"/>
    <col width="18.83203125" bestFit="1" customWidth="1" style="762" min="16" max="16"/>
    <col width="10.6640625" customWidth="1" style="762" min="17" max="17"/>
    <col width="13.6640625" customWidth="1" style="762" min="18" max="18"/>
    <col width="9.1640625" customWidth="1" style="762" min="19" max="16384"/>
  </cols>
  <sheetData>
    <row r="1" ht="42.75" customHeight="1">
      <c r="A1" s="761" t="inlineStr">
        <is>
          <t>Company Name</t>
        </is>
      </c>
      <c r="B1" s="678">
        <f>_xll.BLUEMATRIX("/servlet/excelData",$E$4,"COMPANY_NAME")</f>
        <v/>
      </c>
      <c r="C1" s="678" t="n"/>
      <c r="D1" s="679" t="n"/>
      <c r="E1" s="679" t="n"/>
      <c r="H1" s="679" t="n"/>
      <c r="I1" s="763" t="n"/>
      <c r="J1" s="763" t="n"/>
      <c r="K1" s="763" t="n"/>
      <c r="L1" s="763" t="n"/>
      <c r="M1" s="763" t="n"/>
      <c r="N1" s="763" t="n"/>
      <c r="O1" s="763" t="n"/>
      <c r="P1" s="763" t="n"/>
      <c r="Q1" s="763" t="n"/>
      <c r="R1" s="763" t="n"/>
      <c r="S1" s="763" t="n"/>
    </row>
    <row r="2" ht="16.5" customHeight="1">
      <c r="B2" s="683" t="n"/>
      <c r="C2" s="683" t="n"/>
      <c r="D2" s="684" t="n"/>
      <c r="E2" s="679" t="n"/>
      <c r="H2" s="679" t="n"/>
      <c r="I2" s="763" t="n"/>
      <c r="J2" s="763" t="n"/>
      <c r="K2" s="763" t="n"/>
      <c r="L2" s="763" t="n"/>
      <c r="M2" s="763" t="n"/>
      <c r="N2" s="763" t="n"/>
      <c r="O2" s="763" t="n"/>
      <c r="P2" s="764" t="inlineStr">
        <is>
          <t>MARKET DATA</t>
        </is>
      </c>
      <c r="Q2" s="764" t="n"/>
      <c r="R2" s="765" t="n"/>
      <c r="S2" s="763" t="n"/>
    </row>
    <row r="3">
      <c r="B3" s="764" t="inlineStr">
        <is>
          <t>TICKER DATA</t>
        </is>
      </c>
      <c r="C3" s="764" t="inlineStr">
        <is>
          <t>DESCRIPTION</t>
        </is>
      </c>
      <c r="D3" s="766" t="inlineStr">
        <is>
          <t>BM Client Code</t>
        </is>
      </c>
      <c r="E3" s="766" t="inlineStr">
        <is>
          <t>Download</t>
        </is>
      </c>
      <c r="H3" s="679" t="n"/>
      <c r="L3" s="763" t="n"/>
      <c r="M3" s="763" t="n"/>
      <c r="N3" s="763" t="n"/>
      <c r="O3" s="763" t="n"/>
      <c r="P3" s="707" t="inlineStr">
        <is>
          <t>Close Date</t>
        </is>
      </c>
      <c r="Q3" s="694" t="inlineStr">
        <is>
          <t>PRICING_DATE_2</t>
        </is>
      </c>
      <c r="R3" s="767">
        <f>_xll.BLUEMATRIX("/servlet/excelData",$E$4,$Q3)</f>
        <v/>
      </c>
      <c r="S3" s="763" t="n"/>
    </row>
    <row r="4">
      <c r="A4" s="761" t="inlineStr">
        <is>
          <t>Enter Ticker</t>
        </is>
      </c>
      <c r="B4" s="693" t="inlineStr">
        <is>
          <t>Ticker</t>
        </is>
      </c>
      <c r="C4" s="693" t="n"/>
      <c r="D4" s="694" t="inlineStr">
        <is>
          <t>TICKER</t>
        </is>
      </c>
      <c r="E4" s="768" t="inlineStr">
        <is>
          <t>IPGP</t>
        </is>
      </c>
      <c r="H4" s="679" t="n"/>
      <c r="L4" s="763" t="n"/>
      <c r="M4" s="763" t="n"/>
      <c r="N4" s="763" t="n"/>
      <c r="O4" s="763" t="n"/>
      <c r="P4" s="707">
        <f>"Close Price" &amp; IFERROR(" (" &amp;#REF!&amp;")","")</f>
        <v/>
      </c>
      <c r="Q4" s="694" t="inlineStr">
        <is>
          <t>CLOSEPRICE</t>
        </is>
      </c>
      <c r="R4" s="767">
        <f>_xll.BLUEMATRIX("/servlet/excelData",$E$4,$Q4)</f>
        <v/>
      </c>
      <c r="S4" s="763" t="n"/>
    </row>
    <row r="5">
      <c r="B5" s="693" t="inlineStr">
        <is>
          <t>Analyst</t>
        </is>
      </c>
      <c r="C5" s="693" t="n"/>
      <c r="D5" s="694" t="inlineStr">
        <is>
          <t>ANALYST</t>
        </is>
      </c>
      <c r="E5" s="944">
        <f>_xll.BLUEMATRIX("/servlet/excelData",$E$4,$D5)</f>
        <v/>
      </c>
      <c r="L5" s="763" t="n"/>
      <c r="M5" s="763" t="n"/>
      <c r="N5" s="763" t="n"/>
      <c r="O5" s="763" t="n"/>
      <c r="P5" s="707" t="inlineStr">
        <is>
          <t>52-Week Low</t>
        </is>
      </c>
      <c r="Q5" s="694" t="inlineStr">
        <is>
          <t>52_WEEK_LOW</t>
        </is>
      </c>
      <c r="R5" s="767">
        <f>_xll.BLUEMATRIX("/servlet/excelData",$E$4,$Q5)</f>
        <v/>
      </c>
      <c r="S5" s="763" t="n"/>
    </row>
    <row r="6">
      <c r="B6" s="693" t="inlineStr">
        <is>
          <t>Exchange</t>
        </is>
      </c>
      <c r="C6" s="693" t="n"/>
      <c r="D6" s="694" t="inlineStr">
        <is>
          <t>EXCHANGE</t>
        </is>
      </c>
      <c r="E6" s="944">
        <f>_xll.BLUEMATRIX("/servlet/excelData",$E$4,$D6)</f>
        <v/>
      </c>
      <c r="L6" s="763" t="n"/>
      <c r="M6" s="763" t="n"/>
      <c r="N6" s="763" t="n"/>
      <c r="O6" s="763" t="n"/>
      <c r="P6" s="707" t="inlineStr">
        <is>
          <t>52-Week High</t>
        </is>
      </c>
      <c r="Q6" s="694" t="inlineStr">
        <is>
          <t>52_WEEK_HIGH</t>
        </is>
      </c>
      <c r="R6" s="767">
        <f>_xll.BLUEMATRIX("/servlet/excelData",$E$4,$Q6)</f>
        <v/>
      </c>
      <c r="S6" s="763" t="n"/>
    </row>
    <row r="7">
      <c r="B7" s="693" t="inlineStr">
        <is>
          <t>Exchange Currency</t>
        </is>
      </c>
      <c r="C7" s="693" t="n"/>
      <c r="D7" s="694" t="inlineStr">
        <is>
          <t>CURRENCY2</t>
        </is>
      </c>
      <c r="E7" s="944">
        <f>_xll.BLUEMATRIX("/servlet/excelData",$E$4,$D7)</f>
        <v/>
      </c>
      <c r="L7" s="763" t="n"/>
      <c r="M7" s="763" t="n"/>
      <c r="N7" s="763" t="n"/>
      <c r="O7" s="763" t="n"/>
      <c r="P7" s="707" t="inlineStr">
        <is>
          <t>Indicated Div Yield (%)</t>
        </is>
      </c>
      <c r="Q7" s="694" t="inlineStr">
        <is>
          <t>EQY_DVD_YLD_IND</t>
        </is>
      </c>
      <c r="R7" s="767">
        <f>_xll.BLUEMATRIX("/servlet/excelData",$E$4,$Q7)</f>
        <v/>
      </c>
      <c r="S7" s="763" t="n"/>
    </row>
    <row r="8">
      <c r="B8" s="693" t="inlineStr">
        <is>
          <t>Estimate Currency</t>
        </is>
      </c>
      <c r="C8" s="693" t="n"/>
      <c r="D8" s="694" t="inlineStr">
        <is>
          <t>CURRENCY1</t>
        </is>
      </c>
      <c r="E8" s="944">
        <f>_xll.BLUEMATRIX("/servlet/excelData",$E$4,$D8)</f>
        <v/>
      </c>
      <c r="L8" s="763" t="n"/>
      <c r="M8" s="763" t="n"/>
      <c r="N8" s="763" t="n"/>
      <c r="O8" s="763" t="n"/>
      <c r="P8" s="707" t="inlineStr">
        <is>
          <t>Market Cap</t>
        </is>
      </c>
      <c r="Q8" s="694" t="inlineStr">
        <is>
          <t>CUR_MKT_CAP</t>
        </is>
      </c>
      <c r="R8" s="767">
        <f>_xll.BLUEMATRIX("/servlet/excelData",$E$4,$Q8)</f>
        <v/>
      </c>
      <c r="S8" s="763" t="n"/>
    </row>
    <row r="9">
      <c r="B9" s="693" t="inlineStr">
        <is>
          <t>Fiscal Year End</t>
        </is>
      </c>
      <c r="C9" s="693" t="n"/>
      <c r="D9" s="694" t="inlineStr">
        <is>
          <t>FYEND</t>
        </is>
      </c>
      <c r="E9" s="944">
        <f>_xll.BLUEMATRIX("/servlet/excelData",$E$4,$D9)</f>
        <v/>
      </c>
      <c r="L9" s="763" t="n"/>
      <c r="M9" s="763" t="n"/>
      <c r="N9" s="763" t="n"/>
      <c r="O9" s="763" t="n"/>
      <c r="P9" s="707" t="inlineStr">
        <is>
          <t>EV</t>
        </is>
      </c>
      <c r="Q9" s="694" t="inlineStr">
        <is>
          <t>EV</t>
        </is>
      </c>
      <c r="R9" s="767">
        <f>_xll.BLUEMATRIX("/servlet/excelData",$E$4,$Q9)</f>
        <v/>
      </c>
      <c r="S9" s="763" t="n"/>
    </row>
    <row r="10">
      <c r="B10" s="764" t="inlineStr">
        <is>
          <t>STATIC ITEMS</t>
        </is>
      </c>
      <c r="C10" s="764" t="n"/>
      <c r="D10" s="764" t="n"/>
      <c r="E10" s="770" t="n"/>
      <c r="F10" s="766" t="inlineStr">
        <is>
          <t>Enter Draft</t>
        </is>
      </c>
      <c r="G10" s="771" t="inlineStr">
        <is>
          <t>BM Formula &amp; Result</t>
        </is>
      </c>
      <c r="P10" s="707" t="inlineStr">
        <is>
          <t>Perf YTD (%)</t>
        </is>
      </c>
      <c r="Q10" s="694" t="inlineStr">
        <is>
          <t>CHG_PCT_YTD</t>
        </is>
      </c>
      <c r="R10" s="767">
        <f>_xll.BLUEMATRIX("/servlet/excelData",$E$4,$Q10)</f>
        <v/>
      </c>
    </row>
    <row r="11">
      <c r="B11" s="772" t="inlineStr">
        <is>
          <t>Rating</t>
        </is>
      </c>
      <c r="C11" s="772" t="n"/>
      <c r="D11" s="694" t="inlineStr">
        <is>
          <t>RATING_SCB</t>
        </is>
      </c>
      <c r="E11" s="708">
        <f>_xll.BLUEMATRIX("/servlet/excelData",$E$4,$D11)</f>
        <v/>
      </c>
      <c r="F11" s="773" t="inlineStr">
        <is>
          <t>Market-Perform</t>
        </is>
      </c>
      <c r="G11" s="774">
        <f>_xll.BLUEMATRIX2("/servlet/excelData",F11,$E$4,$D11)</f>
        <v/>
      </c>
      <c r="H11" s="679" t="n"/>
      <c r="P11" s="707" t="inlineStr">
        <is>
          <t>Perf 1M (%)</t>
        </is>
      </c>
      <c r="Q11" s="694" t="inlineStr">
        <is>
          <t>CHG_PCT_1M</t>
        </is>
      </c>
      <c r="R11" s="767">
        <f>_xll.BLUEMATRIX("/servlet/excelData",$E$4,$Q11)</f>
        <v/>
      </c>
    </row>
    <row r="12">
      <c r="B12" s="772" t="inlineStr">
        <is>
          <t>Target Price</t>
        </is>
      </c>
      <c r="C12" s="772" t="n"/>
      <c r="D12" s="694" t="inlineStr">
        <is>
          <t>PRICE_TARGET</t>
        </is>
      </c>
      <c r="E12" s="708">
        <f>_xll.BLUEMATRIX("/servlet/excelData",$E$4,$D12)</f>
        <v/>
      </c>
      <c r="F12" s="773">
        <f>Valuation!B53</f>
        <v/>
      </c>
      <c r="G12" s="774">
        <f>_xll.BLUEMATRIX2("/servlet/excelData",F12,$E$4,$D12)</f>
        <v/>
      </c>
      <c r="H12" s="679" t="n"/>
      <c r="P12" s="707" t="inlineStr">
        <is>
          <t>Perf 6M (%)</t>
        </is>
      </c>
      <c r="Q12" s="694" t="inlineStr">
        <is>
          <t>CHG_PCT_6M</t>
        </is>
      </c>
      <c r="R12" s="767">
        <f>_xll.BLUEMATRIX("/servlet/excelData",$E$4,$Q12)</f>
        <v/>
      </c>
    </row>
    <row r="13">
      <c r="B13" s="775" t="inlineStr">
        <is>
          <t>Free Float</t>
        </is>
      </c>
      <c r="C13" s="775" t="n"/>
      <c r="D13" s="694" t="inlineStr">
        <is>
          <t>FREE_FLOAT</t>
        </is>
      </c>
      <c r="E13" s="708">
        <f>_xll.BLUEMATRIX("/servlet/excelData",$E$4,$D13)</f>
        <v/>
      </c>
      <c r="F13" s="773" t="n"/>
      <c r="G13" s="774">
        <f>_xll.BLUEMATRIX2("/servlet/excelData",F13,$E$4,$D13)</f>
        <v/>
      </c>
      <c r="H13" s="679" t="n"/>
      <c r="P13" s="707" t="inlineStr">
        <is>
          <t>Perf 12M (%)</t>
        </is>
      </c>
      <c r="Q13" s="694" t="inlineStr">
        <is>
          <t>CHG_PCT_1YR</t>
        </is>
      </c>
      <c r="R13" s="767">
        <f>_xll.BLUEMATRIX("/servlet/excelData",$E$4,$Q13)</f>
        <v/>
      </c>
    </row>
    <row r="14">
      <c r="B14" s="764" t="inlineStr">
        <is>
          <t>ESTIMATES - ANNUALS</t>
        </is>
      </c>
      <c r="C14" s="764" t="n"/>
      <c r="D14" s="764" t="n"/>
      <c r="E14" s="764" t="n">
        <v>2022</v>
      </c>
      <c r="F14" s="764" t="n">
        <v>2023</v>
      </c>
      <c r="G14" s="764" t="n">
        <v>2024</v>
      </c>
      <c r="H14" s="764" t="n">
        <v>2025</v>
      </c>
      <c r="I14" s="764" t="n">
        <v>2026</v>
      </c>
      <c r="J14" s="764" t="n">
        <v>2027</v>
      </c>
      <c r="K14" s="764" t="n">
        <v>2028</v>
      </c>
      <c r="L14" s="764" t="n">
        <v>2029</v>
      </c>
      <c r="M14" s="764" t="n">
        <v>2030</v>
      </c>
      <c r="N14" s="764" t="n">
        <v>2031</v>
      </c>
    </row>
    <row r="15" customFormat="1" s="777">
      <c r="A15" s="761" t="inlineStr">
        <is>
          <t>Set actual forecast</t>
        </is>
      </c>
      <c r="B15" s="776" t="n"/>
      <c r="C15" s="776" t="n"/>
      <c r="E15" s="778" t="inlineStr">
        <is>
          <t>A</t>
        </is>
      </c>
      <c r="F15" s="778" t="inlineStr">
        <is>
          <t>E</t>
        </is>
      </c>
      <c r="G15" s="778" t="inlineStr">
        <is>
          <t>E</t>
        </is>
      </c>
      <c r="H15" s="778" t="inlineStr">
        <is>
          <t>E</t>
        </is>
      </c>
      <c r="I15" s="778" t="inlineStr">
        <is>
          <t>E</t>
        </is>
      </c>
      <c r="J15" s="778" t="inlineStr">
        <is>
          <t>E</t>
        </is>
      </c>
      <c r="K15" s="778" t="inlineStr">
        <is>
          <t>E</t>
        </is>
      </c>
      <c r="L15" s="778" t="inlineStr">
        <is>
          <t>E</t>
        </is>
      </c>
      <c r="M15" s="778" t="inlineStr">
        <is>
          <t>E</t>
        </is>
      </c>
      <c r="N15" s="778" t="inlineStr">
        <is>
          <t>E</t>
        </is>
      </c>
    </row>
    <row r="16" ht="12" customFormat="1" customHeight="1" s="735">
      <c r="A16" s="779" t="inlineStr">
        <is>
          <t>Reported EPS</t>
        </is>
      </c>
      <c r="B16" s="707" t="inlineStr">
        <is>
          <t>Published (download)</t>
        </is>
      </c>
      <c r="C16" s="707" t="n"/>
      <c r="D16" s="780" t="inlineStr">
        <is>
          <t>EPSRPT</t>
        </is>
      </c>
      <c r="E16" s="781">
        <f>_xll.BLUEMATRIX("/servlet/excelData",$E$4,$D16&amp;":"&amp;E$14&amp;E$15&amp;":AN:NULL:FISCAL")</f>
        <v/>
      </c>
      <c r="F16" s="781">
        <f>_xll.BLUEMATRIX("/servlet/excelData",$E$4,$D16&amp;":"&amp;F$14&amp;F$15&amp;":AN:NULL:FISCAL")</f>
        <v/>
      </c>
      <c r="G16" s="781">
        <f>_xll.BLUEMATRIX("/servlet/excelData",$E$4,$D16&amp;":"&amp;G$14&amp;G$15&amp;":AN:NULL:FISCAL")</f>
        <v/>
      </c>
      <c r="H16" s="781">
        <f>_xll.BLUEMATRIX("/servlet/excelData",$E$4,$D16&amp;":"&amp;H$14&amp;H$15&amp;":AN:NULL:FISCAL")</f>
        <v/>
      </c>
      <c r="I16" s="781">
        <f>_xll.BLUEMATRIX("/servlet/excelData",$E$4,$D16&amp;":"&amp;I$14&amp;I$15&amp;":AN:NULL:FISCAL")</f>
        <v/>
      </c>
      <c r="J16" s="781">
        <f>_xll.BLUEMATRIX("/servlet/excelData",$E$4,$D16&amp;":"&amp;J$14&amp;J$15&amp;":AN:NULL:FISCAL")</f>
        <v/>
      </c>
      <c r="K16" s="781">
        <f>_xll.BLUEMATRIX("/servlet/excelData",$E$4,$D16&amp;":"&amp;K$14&amp;K$15&amp;":AN:NULL:FISCAL")</f>
        <v/>
      </c>
      <c r="L16" s="781">
        <f>_xll.BLUEMATRIX("/servlet/excelData",$E$4,$D16&amp;":"&amp;L$14&amp;L$15&amp;":AN:NULL:FISCAL")</f>
        <v/>
      </c>
      <c r="M16" s="781">
        <f>_xll.BLUEMATRIX("/servlet/excelData",$E$4,$D16&amp;":"&amp;M$14&amp;M$15&amp;":AN:NULL:FISCAL")</f>
        <v/>
      </c>
      <c r="N16" s="781">
        <f>_xll.BLUEMATRIX("/servlet/excelData",$E$4,$D16&amp;":"&amp;N$14&amp;N$15&amp;":AN:NULL:FISCAL")</f>
        <v/>
      </c>
    </row>
    <row r="17" customFormat="1" s="735">
      <c r="A17" s="779" t="n"/>
      <c r="B17" s="782" t="inlineStr">
        <is>
          <t>Enter Draft</t>
        </is>
      </c>
      <c r="C17" s="776" t="inlineStr">
        <is>
          <t>Adjusted for non recurring items - analyst choice - Using average fully diluted shares outstanding</t>
        </is>
      </c>
      <c r="D17" s="783" t="inlineStr">
        <is>
          <t>EPSRPT</t>
        </is>
      </c>
      <c r="E17" s="824">
        <f>FS_Y!Q30</f>
        <v/>
      </c>
      <c r="F17" s="824">
        <f>FS_Y!R30</f>
        <v/>
      </c>
      <c r="G17" s="824">
        <f>FS_Y!S30</f>
        <v/>
      </c>
      <c r="H17" s="824">
        <f>FS_Y!T30</f>
        <v/>
      </c>
      <c r="I17" s="824">
        <f>FS_Y!U30</f>
        <v/>
      </c>
      <c r="J17" s="824">
        <f>FS_Y!V30</f>
        <v/>
      </c>
      <c r="K17" s="824">
        <f>FS_Y!W30</f>
        <v/>
      </c>
      <c r="L17" s="945" t="n"/>
      <c r="M17" s="945" t="n"/>
      <c r="N17" s="945" t="n"/>
    </row>
    <row r="18" ht="12" customFormat="1" customHeight="1" s="735">
      <c r="A18" s="779" t="n"/>
      <c r="B18" s="786" t="inlineStr">
        <is>
          <t>BM Formula &amp; Result</t>
        </is>
      </c>
      <c r="C18" s="787" t="n"/>
      <c r="D18" s="788" t="inlineStr">
        <is>
          <t>EPSRPT</t>
        </is>
      </c>
      <c r="E18" s="710">
        <f>_xll.BLUEMATRIX2("/servlet/excelData",E17,$E$4,$D18&amp;":"&amp;E$14&amp;E$15&amp;":AN:NULL:FISCAL")</f>
        <v/>
      </c>
      <c r="F18" s="710">
        <f>_xll.BLUEMATRIX2("/servlet/excelData",F17,$E$4,$D18&amp;":"&amp;F$14&amp;F$15&amp;":AN:NULL:FISCAL")</f>
        <v/>
      </c>
      <c r="G18" s="710">
        <f>_xll.BLUEMATRIX2("/servlet/excelData",G17,$E$4,$D18&amp;":"&amp;G$14&amp;G$15&amp;":AN:NULL:FISCAL")</f>
        <v/>
      </c>
      <c r="H18" s="710">
        <f>_xll.BLUEMATRIX2("/servlet/excelData",H17,$E$4,$D18&amp;":"&amp;H$14&amp;H$15&amp;":AN:NULL:FISCAL")</f>
        <v/>
      </c>
      <c r="I18" s="710">
        <f>_xll.BLUEMATRIX2("/servlet/excelData",I17,$E$4,$D18&amp;":"&amp;I$14&amp;I$15&amp;":AN:NULL:FISCAL")</f>
        <v/>
      </c>
      <c r="J18" s="710">
        <f>_xll.BLUEMATRIX2("/servlet/excelData",J17,$E$4,$D18&amp;":"&amp;J$14&amp;J$15&amp;":AN:NULL:FISCAL")</f>
        <v/>
      </c>
      <c r="K18" s="710">
        <f>_xll.BLUEMATRIX2("/servlet/excelData",K17,$E$4,$D18&amp;":"&amp;K$14&amp;K$15&amp;":AN:NULL:FISCAL")</f>
        <v/>
      </c>
      <c r="L18" s="710">
        <f>_xll.BLUEMATRIX2("/servlet/excelData",L17,$E$4,$D18&amp;":"&amp;L$14&amp;L$15&amp;":AN:NULL:FISCAL")</f>
        <v/>
      </c>
      <c r="M18" s="710">
        <f>_xll.BLUEMATRIX2("/servlet/excelData",M17,$E$4,$D18&amp;":"&amp;M$14&amp;M$15&amp;":AN:NULL:FISCAL")</f>
        <v/>
      </c>
      <c r="N18" s="710">
        <f>_xll.BLUEMATRIX2("/servlet/excelData",N17,$E$4,$D18&amp;":"&amp;N$14&amp;N$15&amp;":AN:NULL:FISCAL")</f>
        <v/>
      </c>
    </row>
    <row r="19" ht="12" customFormat="1" customHeight="1" s="735">
      <c r="A19" s="789" t="inlineStr">
        <is>
          <t>Adjusted EPS</t>
        </is>
      </c>
      <c r="B19" s="790" t="inlineStr">
        <is>
          <t>Published (download)</t>
        </is>
      </c>
      <c r="C19" s="790" t="n"/>
      <c r="D19" s="791" t="inlineStr">
        <is>
          <t>EPSADJ</t>
        </is>
      </c>
      <c r="E19" s="792">
        <f>_xll.BLUEMATRIX("/servlet/excelData",$E$4,$D19&amp;":"&amp;E$14&amp;E$15&amp;":AN:NULL:FISCAL")</f>
        <v/>
      </c>
      <c r="F19" s="792">
        <f>_xll.BLUEMATRIX("/servlet/excelData",$E$4,$D19&amp;":"&amp;F$14&amp;F$15&amp;":AN:NULL:FISCAL")</f>
        <v/>
      </c>
      <c r="G19" s="792">
        <f>_xll.BLUEMATRIX("/servlet/excelData",$E$4,$D19&amp;":"&amp;G$14&amp;G$15&amp;":AN:NULL:FISCAL")</f>
        <v/>
      </c>
      <c r="H19" s="792">
        <f>_xll.BLUEMATRIX("/servlet/excelData",$E$4,$D19&amp;":"&amp;H$14&amp;H$15&amp;":AN:NULL:FISCAL")</f>
        <v/>
      </c>
      <c r="I19" s="792">
        <f>_xll.BLUEMATRIX("/servlet/excelData",$E$4,$D19&amp;":"&amp;I$14&amp;I$15&amp;":AN:NULL:FISCAL")</f>
        <v/>
      </c>
      <c r="J19" s="792">
        <f>_xll.BLUEMATRIX("/servlet/excelData",$E$4,$D19&amp;":"&amp;J$14&amp;J$15&amp;":AN:NULL:FISCAL")</f>
        <v/>
      </c>
      <c r="K19" s="792">
        <f>_xll.BLUEMATRIX("/servlet/excelData",$E$4,$D19&amp;":"&amp;K$14&amp;K$15&amp;":AN:NULL:FISCAL")</f>
        <v/>
      </c>
      <c r="L19" s="792">
        <f>_xll.BLUEMATRIX("/servlet/excelData",$E$4,$D19&amp;":"&amp;L$14&amp;L$15&amp;":AN:NULL:FISCAL")</f>
        <v/>
      </c>
      <c r="M19" s="792">
        <f>_xll.BLUEMATRIX("/servlet/excelData",$E$4,$D19&amp;":"&amp;M$14&amp;M$15&amp;":AN:NULL:FISCAL")</f>
        <v/>
      </c>
      <c r="N19" s="792">
        <f>_xll.BLUEMATRIX("/servlet/excelData",$E$4,$D19&amp;":"&amp;N$14&amp;N$15&amp;":AN:NULL:FISCAL")</f>
        <v/>
      </c>
    </row>
    <row r="20" customFormat="1" s="735">
      <c r="A20" s="779" t="n"/>
      <c r="B20" s="782" t="inlineStr">
        <is>
          <t>Enter Draft</t>
        </is>
      </c>
      <c r="C20" s="776" t="n"/>
      <c r="D20" s="783" t="inlineStr">
        <is>
          <t>EPSADJ</t>
        </is>
      </c>
      <c r="E20" s="831">
        <f>E17</f>
        <v/>
      </c>
      <c r="F20" s="831">
        <f>F17</f>
        <v/>
      </c>
      <c r="G20" s="831">
        <f>G17</f>
        <v/>
      </c>
      <c r="H20" s="831">
        <f>H17</f>
        <v/>
      </c>
      <c r="I20" s="831">
        <f>I17</f>
        <v/>
      </c>
      <c r="J20" s="831">
        <f>J17</f>
        <v/>
      </c>
      <c r="K20" s="831">
        <f>K17</f>
        <v/>
      </c>
      <c r="L20" s="784" t="n"/>
      <c r="M20" s="784" t="n"/>
      <c r="N20" s="784" t="n"/>
    </row>
    <row r="21" ht="12" customFormat="1" customHeight="1" s="735">
      <c r="A21" s="779" t="n"/>
      <c r="B21" s="786" t="inlineStr">
        <is>
          <t>BM Formula &amp; Result</t>
        </is>
      </c>
      <c r="C21" s="787" t="n"/>
      <c r="D21" s="788" t="inlineStr">
        <is>
          <t>EPSADJ</t>
        </is>
      </c>
      <c r="E21" s="710">
        <f>_xll.BLUEMATRIX2("/servlet/excelData",E20,$E$4,$D21&amp;":"&amp;E$14&amp;E$15&amp;":AN:NULL:FISCAL")</f>
        <v/>
      </c>
      <c r="F21" s="710">
        <f>_xll.BLUEMATRIX2("/servlet/excelData",F20,$E$4,$D21&amp;":"&amp;F$14&amp;F$15&amp;":AN:NULL:FISCAL")</f>
        <v/>
      </c>
      <c r="G21" s="710">
        <f>_xll.BLUEMATRIX2("/servlet/excelData",G20,$E$4,$D21&amp;":"&amp;G$14&amp;G$15&amp;":AN:NULL:FISCAL")</f>
        <v/>
      </c>
      <c r="H21" s="710">
        <f>_xll.BLUEMATRIX2("/servlet/excelData",H20,$E$4,$D21&amp;":"&amp;H$14&amp;H$15&amp;":AN:NULL:FISCAL")</f>
        <v/>
      </c>
      <c r="I21" s="710">
        <f>_xll.BLUEMATRIX2("/servlet/excelData",I20,$E$4,$D21&amp;":"&amp;I$14&amp;I$15&amp;":AN:NULL:FISCAL")</f>
        <v/>
      </c>
      <c r="J21" s="710">
        <f>_xll.BLUEMATRIX2("/servlet/excelData",J20,$E$4,$D21&amp;":"&amp;J$14&amp;J$15&amp;":AN:NULL:FISCAL")</f>
        <v/>
      </c>
      <c r="K21" s="710">
        <f>_xll.BLUEMATRIX2("/servlet/excelData",K20,$E$4,$D21&amp;":"&amp;K$14&amp;K$15&amp;":AN:NULL:FISCAL")</f>
        <v/>
      </c>
      <c r="L21" s="710">
        <f>_xll.BLUEMATRIX2("/servlet/excelData",L20,$E$4,$D21&amp;":"&amp;L$14&amp;L$15&amp;":AN:NULL:FISCAL")</f>
        <v/>
      </c>
      <c r="M21" s="710">
        <f>_xll.BLUEMATRIX2("/servlet/excelData",M20,$E$4,$D21&amp;":"&amp;M$14&amp;M$15&amp;":AN:NULL:FISCAL")</f>
        <v/>
      </c>
      <c r="N21" s="710">
        <f>_xll.BLUEMATRIX2("/servlet/excelData",N20,$E$4,$D21&amp;":"&amp;N$14&amp;N$15&amp;":AN:NULL:FISCAL")</f>
        <v/>
      </c>
    </row>
    <row r="22">
      <c r="A22" s="794" t="inlineStr">
        <is>
          <t>Balance Sheet</t>
        </is>
      </c>
      <c r="B22" s="795" t="inlineStr">
        <is>
          <t>Total Long-Term Assets</t>
        </is>
      </c>
      <c r="C22" s="796" t="inlineStr">
        <is>
          <t xml:space="preserve">Total long term assets on balance sheet </t>
        </is>
      </c>
      <c r="D22" s="797" t="inlineStr">
        <is>
          <t>TotalLTAssets</t>
        </is>
      </c>
      <c r="E22" s="832">
        <f>(FS_Y!Q56-FS_Y!Q51)/1000</f>
        <v/>
      </c>
      <c r="F22" s="832">
        <f>(FS_Y!R56-FS_Y!R51)/1000</f>
        <v/>
      </c>
      <c r="G22" s="832">
        <f>(FS_Y!S56-FS_Y!S51)/1000</f>
        <v/>
      </c>
      <c r="H22" s="832">
        <f>(FS_Y!T56-FS_Y!T51)/1000</f>
        <v/>
      </c>
      <c r="I22" s="832">
        <f>(FS_Y!U56-FS_Y!U51)/1000</f>
        <v/>
      </c>
      <c r="J22" s="832">
        <f>(FS_Y!V56-FS_Y!V51)/1000</f>
        <v/>
      </c>
      <c r="K22" s="832">
        <f>(FS_Y!W56-FS_Y!W51)/1000</f>
        <v/>
      </c>
      <c r="L22" s="798" t="n"/>
      <c r="M22" s="798" t="n"/>
      <c r="N22" s="798" t="n"/>
    </row>
    <row r="23" ht="15" customHeight="1">
      <c r="A23" s="799" t="n"/>
      <c r="B23" s="786" t="inlineStr">
        <is>
          <t>BM Formula &amp; Result</t>
        </is>
      </c>
      <c r="C23" s="787" t="n"/>
      <c r="D23" s="800" t="inlineStr">
        <is>
          <t>TotalLTAssets</t>
        </is>
      </c>
      <c r="E23" s="946">
        <f>_xll.BLUEMATRIX2("/servlet/excelData",E22,$E$4,$D23&amp;":"&amp;E$14&amp;E$15&amp;":AN:NULL:FISCAL")</f>
        <v/>
      </c>
      <c r="F23" s="946">
        <f>_xll.BLUEMATRIX2("/servlet/excelData",F22,$E$4,$D23&amp;":"&amp;F$14&amp;F$15&amp;":AN:NULL:FISCAL")</f>
        <v/>
      </c>
      <c r="G23" s="946">
        <f>_xll.BLUEMATRIX2("/servlet/excelData",G22,$E$4,$D23&amp;":"&amp;G$14&amp;G$15&amp;":AN:NULL:FISCAL")</f>
        <v/>
      </c>
      <c r="H23" s="946">
        <f>_xll.BLUEMATRIX2("/servlet/excelData",H22,$E$4,$D23&amp;":"&amp;H$14&amp;H$15&amp;":AN:NULL:FISCAL")</f>
        <v/>
      </c>
      <c r="I23" s="946">
        <f>_xll.BLUEMATRIX2("/servlet/excelData",I22,$E$4,$D23&amp;":"&amp;I$14&amp;I$15&amp;":AN:NULL:FISCAL")</f>
        <v/>
      </c>
      <c r="J23" s="946">
        <f>_xll.BLUEMATRIX2("/servlet/excelData",J22,$E$4,$D23&amp;":"&amp;J$14&amp;J$15&amp;":AN:NULL:FISCAL")</f>
        <v/>
      </c>
      <c r="K23" s="946">
        <f>_xll.BLUEMATRIX2("/servlet/excelData",K22,$E$4,$D23&amp;":"&amp;K$14&amp;K$15&amp;":AN:NULL:FISCAL")</f>
        <v/>
      </c>
      <c r="L23" s="710">
        <f>_xll.BLUEMATRIX2("/servlet/excelData",L22,$E$4,$D23&amp;":"&amp;L$14&amp;L$15&amp;":AN:NULL:FISCAL")</f>
        <v/>
      </c>
      <c r="M23" s="710">
        <f>_xll.BLUEMATRIX2("/servlet/excelData",M22,$E$4,$D23&amp;":"&amp;M$14&amp;M$15&amp;":AN:NULL:FISCAL")</f>
        <v/>
      </c>
      <c r="N23" s="710">
        <f>_xll.BLUEMATRIX2("/servlet/excelData",N22,$E$4,$D23&amp;":"&amp;N$14&amp;N$15&amp;":AN:NULL:FISCAL")</f>
        <v/>
      </c>
    </row>
    <row r="24">
      <c r="A24" s="799" t="n"/>
      <c r="B24" s="782" t="inlineStr">
        <is>
          <t>Goodwill</t>
        </is>
      </c>
      <c r="C24" s="782" t="inlineStr">
        <is>
          <t>Goodwill component of intangible assets and goodwill item</t>
        </is>
      </c>
      <c r="D24" s="783" t="inlineStr">
        <is>
          <t>Goodwill</t>
        </is>
      </c>
      <c r="E24" s="833">
        <f>(FS_Y!Q53)/1000</f>
        <v/>
      </c>
      <c r="F24" s="833">
        <f>(FS_Y!R53)/1000</f>
        <v/>
      </c>
      <c r="G24" s="833">
        <f>(FS_Y!S53)/1000</f>
        <v/>
      </c>
      <c r="H24" s="833">
        <f>(FS_Y!T53)/1000</f>
        <v/>
      </c>
      <c r="I24" s="833">
        <f>(FS_Y!U53)/1000</f>
        <v/>
      </c>
      <c r="J24" s="833">
        <f>(FS_Y!V53)/1000</f>
        <v/>
      </c>
      <c r="K24" s="833">
        <f>(FS_Y!W53)/1000</f>
        <v/>
      </c>
      <c r="L24" s="793" t="n"/>
      <c r="M24" s="793" t="n"/>
      <c r="N24" s="793" t="n"/>
    </row>
    <row r="25" ht="12" customHeight="1">
      <c r="A25" s="799" t="n"/>
      <c r="B25" s="786" t="inlineStr">
        <is>
          <t>BM Formula &amp; Result</t>
        </is>
      </c>
      <c r="C25" s="787" t="n"/>
      <c r="D25" s="800" t="inlineStr">
        <is>
          <t>Goodwill</t>
        </is>
      </c>
      <c r="E25" s="946">
        <f>_xll.BLUEMATRIX2("/servlet/excelData",E24,$E$4,$D25&amp;":"&amp;E$14&amp;E$15&amp;":AN:NULL:FISCAL")</f>
        <v/>
      </c>
      <c r="F25" s="946">
        <f>_xll.BLUEMATRIX2("/servlet/excelData",F24,$E$4,$D25&amp;":"&amp;F$14&amp;F$15&amp;":AN:NULL:FISCAL")</f>
        <v/>
      </c>
      <c r="G25" s="946">
        <f>_xll.BLUEMATRIX2("/servlet/excelData",G24,$E$4,$D25&amp;":"&amp;G$14&amp;G$15&amp;":AN:NULL:FISCAL")</f>
        <v/>
      </c>
      <c r="H25" s="946">
        <f>_xll.BLUEMATRIX2("/servlet/excelData",H24,$E$4,$D25&amp;":"&amp;H$14&amp;H$15&amp;":AN:NULL:FISCAL")</f>
        <v/>
      </c>
      <c r="I25" s="946">
        <f>_xll.BLUEMATRIX2("/servlet/excelData",I24,$E$4,$D25&amp;":"&amp;I$14&amp;I$15&amp;":AN:NULL:FISCAL")</f>
        <v/>
      </c>
      <c r="J25" s="946">
        <f>_xll.BLUEMATRIX2("/servlet/excelData",J24,$E$4,$D25&amp;":"&amp;J$14&amp;J$15&amp;":AN:NULL:FISCAL")</f>
        <v/>
      </c>
      <c r="K25" s="946">
        <f>_xll.BLUEMATRIX2("/servlet/excelData",K24,$E$4,$D25&amp;":"&amp;K$14&amp;K$15&amp;":AN:NULL:FISCAL")</f>
        <v/>
      </c>
      <c r="L25" s="710">
        <f>_xll.BLUEMATRIX2("/servlet/excelData",L24,$E$4,$D25&amp;":"&amp;L$14&amp;L$15&amp;":AN:NULL:FISCAL")</f>
        <v/>
      </c>
      <c r="M25" s="710">
        <f>_xll.BLUEMATRIX2("/servlet/excelData",M24,$E$4,$D25&amp;":"&amp;M$14&amp;M$15&amp;":AN:NULL:FISCAL")</f>
        <v/>
      </c>
      <c r="N25" s="710">
        <f>_xll.BLUEMATRIX2("/servlet/excelData",N24,$E$4,$D25&amp;":"&amp;N$14&amp;N$15&amp;":AN:NULL:FISCAL")</f>
        <v/>
      </c>
    </row>
    <row r="26">
      <c r="A26" s="799" t="n"/>
      <c r="B26" s="782" t="inlineStr">
        <is>
          <t>Other Intangible Assets (M)</t>
        </is>
      </c>
      <c r="C26" s="801" t="n"/>
      <c r="D26" s="783" t="inlineStr">
        <is>
          <t>INTANGIBLE_ASSETS</t>
        </is>
      </c>
      <c r="E26" s="947" t="n"/>
      <c r="F26" s="947" t="n"/>
      <c r="G26" s="947" t="n"/>
      <c r="H26" s="947" t="n"/>
      <c r="I26" s="947" t="n"/>
      <c r="J26" s="947" t="n"/>
      <c r="K26" s="947" t="n"/>
      <c r="L26" s="793" t="n"/>
      <c r="M26" s="793" t="n"/>
      <c r="N26" s="793" t="n"/>
    </row>
    <row r="27">
      <c r="A27" s="799" t="n"/>
      <c r="B27" s="786" t="inlineStr">
        <is>
          <t>BM Formula &amp; Result</t>
        </is>
      </c>
      <c r="C27" s="787" t="n"/>
      <c r="D27" s="800" t="inlineStr">
        <is>
          <t>INTANGIBLE_ASSETS</t>
        </is>
      </c>
      <c r="E27" s="946">
        <f>_xll.BLUEMATRIX2("/servlet/excelData",E26,$E$4,$D27&amp;":"&amp;E$14&amp;E$15&amp;":AN:NULL:FISCAL")</f>
        <v/>
      </c>
      <c r="F27" s="946">
        <f>_xll.BLUEMATRIX2("/servlet/excelData",F26,$E$4,$D27&amp;":"&amp;F$14&amp;F$15&amp;":AN:NULL:FISCAL")</f>
        <v/>
      </c>
      <c r="G27" s="946">
        <f>_xll.BLUEMATRIX2("/servlet/excelData",G26,$E$4,$D27&amp;":"&amp;G$14&amp;G$15&amp;":AN:NULL:FISCAL")</f>
        <v/>
      </c>
      <c r="H27" s="946">
        <f>_xll.BLUEMATRIX2("/servlet/excelData",H26,$E$4,$D27&amp;":"&amp;H$14&amp;H$15&amp;":AN:NULL:FISCAL")</f>
        <v/>
      </c>
      <c r="I27" s="946">
        <f>_xll.BLUEMATRIX2("/servlet/excelData",I26,$E$4,$D27&amp;":"&amp;I$14&amp;I$15&amp;":AN:NULL:FISCAL")</f>
        <v/>
      </c>
      <c r="J27" s="946">
        <f>_xll.BLUEMATRIX2("/servlet/excelData",J26,$E$4,$D27&amp;":"&amp;J$14&amp;J$15&amp;":AN:NULL:FISCAL")</f>
        <v/>
      </c>
      <c r="K27" s="946">
        <f>_xll.BLUEMATRIX2("/servlet/excelData",K26,$E$4,$D27&amp;":"&amp;K$14&amp;K$15&amp;":AN:NULL:FISCAL")</f>
        <v/>
      </c>
      <c r="L27" s="710">
        <f>_xll.BLUEMATRIX2("/servlet/excelData",L26,$E$4,$D27&amp;":"&amp;L$14&amp;L$15&amp;":AN:NULL:FISCAL")</f>
        <v/>
      </c>
      <c r="M27" s="710">
        <f>_xll.BLUEMATRIX2("/servlet/excelData",M26,$E$4,$D27&amp;":"&amp;M$14&amp;M$15&amp;":AN:NULL:FISCAL")</f>
        <v/>
      </c>
      <c r="N27" s="710">
        <f>_xll.BLUEMATRIX2("/servlet/excelData",N26,$E$4,$D27&amp;":"&amp;N$14&amp;N$15&amp;":AN:NULL:FISCAL")</f>
        <v/>
      </c>
    </row>
    <row r="28">
      <c r="A28" s="799" t="n"/>
      <c r="B28" s="782" t="inlineStr">
        <is>
          <t>Tangible assets (incl. leased assets)</t>
        </is>
      </c>
      <c r="C28" s="782" t="inlineStr">
        <is>
          <t>Tangible assets includes leased assed (finance lease) for IFRS years</t>
        </is>
      </c>
      <c r="D28" s="783" t="inlineStr">
        <is>
          <t>TANGIBLE_ASSETS</t>
        </is>
      </c>
      <c r="E28" s="833">
        <f>(FS_Y!Q54)/1000</f>
        <v/>
      </c>
      <c r="F28" s="833">
        <f>(FS_Y!R54)/1000</f>
        <v/>
      </c>
      <c r="G28" s="833">
        <f>(FS_Y!S54)/1000</f>
        <v/>
      </c>
      <c r="H28" s="833">
        <f>(FS_Y!T54)/1000</f>
        <v/>
      </c>
      <c r="I28" s="833">
        <f>(FS_Y!U54)/1000</f>
        <v/>
      </c>
      <c r="J28" s="833">
        <f>(FS_Y!V54)/1000</f>
        <v/>
      </c>
      <c r="K28" s="833">
        <f>(FS_Y!W54)/1000</f>
        <v/>
      </c>
      <c r="L28" s="793" t="n"/>
      <c r="M28" s="793" t="n"/>
      <c r="N28" s="793" t="n"/>
    </row>
    <row r="29" ht="12" customHeight="1">
      <c r="A29" s="799" t="n"/>
      <c r="B29" s="786" t="inlineStr">
        <is>
          <t>BM Formula &amp; Result</t>
        </is>
      </c>
      <c r="C29" s="787" t="n"/>
      <c r="D29" s="800" t="inlineStr">
        <is>
          <t>TANGIBLE_ASSETS</t>
        </is>
      </c>
      <c r="E29" s="946">
        <f>_xll.BLUEMATRIX2("/servlet/excelData",E28,$E$4,$D29&amp;":"&amp;E$14&amp;E$15&amp;":AN:NULL:FISCAL")</f>
        <v/>
      </c>
      <c r="F29" s="946">
        <f>_xll.BLUEMATRIX2("/servlet/excelData",F28,$E$4,$D29&amp;":"&amp;F$14&amp;F$15&amp;":AN:NULL:FISCAL")</f>
        <v/>
      </c>
      <c r="G29" s="946">
        <f>_xll.BLUEMATRIX2("/servlet/excelData",G28,$E$4,$D29&amp;":"&amp;G$14&amp;G$15&amp;":AN:NULL:FISCAL")</f>
        <v/>
      </c>
      <c r="H29" s="946">
        <f>_xll.BLUEMATRIX2("/servlet/excelData",H28,$E$4,$D29&amp;":"&amp;H$14&amp;H$15&amp;":AN:NULL:FISCAL")</f>
        <v/>
      </c>
      <c r="I29" s="946">
        <f>_xll.BLUEMATRIX2("/servlet/excelData",I28,$E$4,$D29&amp;":"&amp;I$14&amp;I$15&amp;":AN:NULL:FISCAL")</f>
        <v/>
      </c>
      <c r="J29" s="946">
        <f>_xll.BLUEMATRIX2("/servlet/excelData",J28,$E$4,$D29&amp;":"&amp;J$14&amp;J$15&amp;":AN:NULL:FISCAL")</f>
        <v/>
      </c>
      <c r="K29" s="946">
        <f>_xll.BLUEMATRIX2("/servlet/excelData",K28,$E$4,$D29&amp;":"&amp;K$14&amp;K$15&amp;":AN:NULL:FISCAL")</f>
        <v/>
      </c>
      <c r="L29" s="710">
        <f>_xll.BLUEMATRIX2("/servlet/excelData",L28,$E$4,$D29&amp;":"&amp;L$14&amp;L$15&amp;":AN:NULL:FISCAL")</f>
        <v/>
      </c>
      <c r="M29" s="710">
        <f>_xll.BLUEMATRIX2("/servlet/excelData",M28,$E$4,$D29&amp;":"&amp;M$14&amp;M$15&amp;":AN:NULL:FISCAL")</f>
        <v/>
      </c>
      <c r="N29" s="710">
        <f>_xll.BLUEMATRIX2("/servlet/excelData",N28,$E$4,$D29&amp;":"&amp;N$14&amp;N$15&amp;":AN:NULL:FISCAL")</f>
        <v/>
      </c>
    </row>
    <row r="30" customFormat="1" s="735">
      <c r="A30" s="799" t="n"/>
      <c r="B30" s="782" t="inlineStr">
        <is>
          <t>Other long-term assets</t>
        </is>
      </c>
      <c r="C30" s="782" t="inlineStr">
        <is>
          <t>Other long-term assets</t>
        </is>
      </c>
      <c r="D30" s="783" t="inlineStr">
        <is>
          <t>OTHER_LT_ASSETS</t>
        </is>
      </c>
      <c r="E30" s="833">
        <f>E22-E28-E24</f>
        <v/>
      </c>
      <c r="F30" s="833">
        <f>F22-F28-F24</f>
        <v/>
      </c>
      <c r="G30" s="833">
        <f>G22-G28-G24</f>
        <v/>
      </c>
      <c r="H30" s="833">
        <f>H22-H28-H24</f>
        <v/>
      </c>
      <c r="I30" s="833">
        <f>I22-I28-I24</f>
        <v/>
      </c>
      <c r="J30" s="833">
        <f>J22-J28-J24</f>
        <v/>
      </c>
      <c r="K30" s="833">
        <f>K22-K28-K24</f>
        <v/>
      </c>
      <c r="L30" s="793" t="n"/>
      <c r="M30" s="793" t="n"/>
      <c r="N30" s="793" t="n"/>
    </row>
    <row r="31" ht="12" customFormat="1" customHeight="1" s="735">
      <c r="A31" s="799" t="n"/>
      <c r="B31" s="786" t="inlineStr">
        <is>
          <t>BM Formula &amp; Result</t>
        </is>
      </c>
      <c r="C31" s="787" t="n"/>
      <c r="D31" s="800" t="inlineStr">
        <is>
          <t>OTHER_LT_ASSETS</t>
        </is>
      </c>
      <c r="E31" s="946">
        <f>_xll.BLUEMATRIX2("/servlet/excelData",E30,$E$4,$D31&amp;":"&amp;E$14&amp;E$15&amp;":AN:NULL:FISCAL")</f>
        <v/>
      </c>
      <c r="F31" s="946">
        <f>_xll.BLUEMATRIX2("/servlet/excelData",F30,$E$4,$D31&amp;":"&amp;F$14&amp;F$15&amp;":AN:NULL:FISCAL")</f>
        <v/>
      </c>
      <c r="G31" s="946">
        <f>_xll.BLUEMATRIX2("/servlet/excelData",G30,$E$4,$D31&amp;":"&amp;G$14&amp;G$15&amp;":AN:NULL:FISCAL")</f>
        <v/>
      </c>
      <c r="H31" s="946">
        <f>_xll.BLUEMATRIX2("/servlet/excelData",H30,$E$4,$D31&amp;":"&amp;H$14&amp;H$15&amp;":AN:NULL:FISCAL")</f>
        <v/>
      </c>
      <c r="I31" s="946">
        <f>_xll.BLUEMATRIX2("/servlet/excelData",I30,$E$4,$D31&amp;":"&amp;I$14&amp;I$15&amp;":AN:NULL:FISCAL")</f>
        <v/>
      </c>
      <c r="J31" s="946">
        <f>_xll.BLUEMATRIX2("/servlet/excelData",J30,$E$4,$D31&amp;":"&amp;J$14&amp;J$15&amp;":AN:NULL:FISCAL")</f>
        <v/>
      </c>
      <c r="K31" s="946">
        <f>_xll.BLUEMATRIX2("/servlet/excelData",K30,$E$4,$D31&amp;":"&amp;K$14&amp;K$15&amp;":AN:NULL:FISCAL")</f>
        <v/>
      </c>
      <c r="L31" s="710">
        <f>_xll.BLUEMATRIX2("/servlet/excelData",L30,$E$4,$D31&amp;":"&amp;L$14&amp;L$15&amp;":AN:NULL:FISCAL")</f>
        <v/>
      </c>
      <c r="M31" s="710">
        <f>_xll.BLUEMATRIX2("/servlet/excelData",M30,$E$4,$D31&amp;":"&amp;M$14&amp;M$15&amp;":AN:NULL:FISCAL")</f>
        <v/>
      </c>
      <c r="N31" s="710">
        <f>_xll.BLUEMATRIX2("/servlet/excelData",N30,$E$4,$D31&amp;":"&amp;N$14&amp;N$15&amp;":AN:NULL:FISCAL")</f>
        <v/>
      </c>
    </row>
    <row r="32">
      <c r="A32" s="799" t="n"/>
      <c r="B32" s="782" t="inlineStr">
        <is>
          <t>Other Long-Term Liabilities (M)</t>
        </is>
      </c>
      <c r="C32" s="782" t="inlineStr">
        <is>
          <t>Includes Long-term deferred revenue &amp; Other long-term liabilities</t>
        </is>
      </c>
      <c r="D32" s="783" t="inlineStr">
        <is>
          <t>OTHER_LT_LIAB</t>
        </is>
      </c>
      <c r="E32" s="948">
        <f>(FS_Y!Q66-FS_Y!Q65-FS_Y!Q63)/1000</f>
        <v/>
      </c>
      <c r="F32" s="948">
        <f>(FS_Y!R66-FS_Y!R65-FS_Y!R63)/1000</f>
        <v/>
      </c>
      <c r="G32" s="948">
        <f>(FS_Y!S66-FS_Y!S65-FS_Y!S63)/1000</f>
        <v/>
      </c>
      <c r="H32" s="948">
        <f>(FS_Y!T66-FS_Y!T65-FS_Y!T63)/1000</f>
        <v/>
      </c>
      <c r="I32" s="948">
        <f>(FS_Y!U66-FS_Y!U65-FS_Y!U63)/1000</f>
        <v/>
      </c>
      <c r="J32" s="948">
        <f>(FS_Y!V66-FS_Y!V65-FS_Y!V63)/1000</f>
        <v/>
      </c>
      <c r="K32" s="948">
        <f>(FS_Y!W66-FS_Y!W65-FS_Y!W63)/1000</f>
        <v/>
      </c>
      <c r="L32" s="793" t="n"/>
      <c r="M32" s="793" t="n"/>
      <c r="N32" s="793" t="n"/>
    </row>
    <row r="33" ht="12" customHeight="1">
      <c r="A33" s="799" t="n"/>
      <c r="B33" s="786" t="inlineStr">
        <is>
          <t>BM Formula &amp; Result</t>
        </is>
      </c>
      <c r="C33" s="787" t="n"/>
      <c r="D33" s="800" t="inlineStr">
        <is>
          <t>OTHER_LT_LIAB</t>
        </is>
      </c>
      <c r="E33" s="946">
        <f>_xll.BLUEMATRIX2("/servlet/excelData",E32,$E$4,$D33&amp;":"&amp;E$14&amp;E$15&amp;":AN:NULL:FISCAL")</f>
        <v/>
      </c>
      <c r="F33" s="946">
        <f>_xll.BLUEMATRIX2("/servlet/excelData",F32,$E$4,$D33&amp;":"&amp;F$14&amp;F$15&amp;":AN:NULL:FISCAL")</f>
        <v/>
      </c>
      <c r="G33" s="946">
        <f>_xll.BLUEMATRIX2("/servlet/excelData",G32,$E$4,$D33&amp;":"&amp;G$14&amp;G$15&amp;":AN:NULL:FISCAL")</f>
        <v/>
      </c>
      <c r="H33" s="946">
        <f>_xll.BLUEMATRIX2("/servlet/excelData",H32,$E$4,$D33&amp;":"&amp;H$14&amp;H$15&amp;":AN:NULL:FISCAL")</f>
        <v/>
      </c>
      <c r="I33" s="946">
        <f>_xll.BLUEMATRIX2("/servlet/excelData",I32,$E$4,$D33&amp;":"&amp;I$14&amp;I$15&amp;":AN:NULL:FISCAL")</f>
        <v/>
      </c>
      <c r="J33" s="946">
        <f>_xll.BLUEMATRIX2("/servlet/excelData",J32,$E$4,$D33&amp;":"&amp;J$14&amp;J$15&amp;":AN:NULL:FISCAL")</f>
        <v/>
      </c>
      <c r="K33" s="946">
        <f>_xll.BLUEMATRIX2("/servlet/excelData",K32,$E$4,$D33&amp;":"&amp;K$14&amp;K$15&amp;":AN:NULL:FISCAL")</f>
        <v/>
      </c>
      <c r="L33" s="710">
        <f>_xll.BLUEMATRIX2("/servlet/excelData",L32,$E$4,$D33&amp;":"&amp;L$14&amp;L$15&amp;":AN:NULL:FISCAL")</f>
        <v/>
      </c>
      <c r="M33" s="710">
        <f>_xll.BLUEMATRIX2("/servlet/excelData",M32,$E$4,$D33&amp;":"&amp;M$14&amp;M$15&amp;":AN:NULL:FISCAL")</f>
        <v/>
      </c>
      <c r="N33" s="710">
        <f>_xll.BLUEMATRIX2("/servlet/excelData",N32,$E$4,$D33&amp;":"&amp;N$14&amp;N$15&amp;":AN:NULL:FISCAL")</f>
        <v/>
      </c>
    </row>
    <row r="34" ht="12" customHeight="1">
      <c r="A34" s="799" t="n"/>
      <c r="B34" s="782" t="inlineStr">
        <is>
          <t>Total Equity (M)</t>
        </is>
      </c>
      <c r="C34" s="776" t="inlineStr">
        <is>
          <t>Share capital + reserves</t>
        </is>
      </c>
      <c r="D34" s="783" t="inlineStr">
        <is>
          <t>TOTAL_EQUITY</t>
        </is>
      </c>
      <c r="E34" s="833">
        <f>(FS_Y!Q75)/1000</f>
        <v/>
      </c>
      <c r="F34" s="833">
        <f>(FS_Y!R75)/1000</f>
        <v/>
      </c>
      <c r="G34" s="833">
        <f>(FS_Y!S75)/1000</f>
        <v/>
      </c>
      <c r="H34" s="833">
        <f>(FS_Y!T75)/1000</f>
        <v/>
      </c>
      <c r="I34" s="833">
        <f>(FS_Y!U75)/1000</f>
        <v/>
      </c>
      <c r="J34" s="833">
        <f>(FS_Y!V75)/1000</f>
        <v/>
      </c>
      <c r="K34" s="833">
        <f>(FS_Y!W75)/1000</f>
        <v/>
      </c>
      <c r="L34" s="793" t="n"/>
      <c r="M34" s="793" t="n"/>
      <c r="N34" s="793" t="n"/>
    </row>
    <row r="35" ht="12" customHeight="1">
      <c r="A35" s="799" t="n"/>
      <c r="B35" s="786" t="inlineStr">
        <is>
          <t>BM Formula &amp; Result</t>
        </is>
      </c>
      <c r="C35" s="787" t="n"/>
      <c r="D35" s="800" t="inlineStr">
        <is>
          <t>TOTAL_EQUITY</t>
        </is>
      </c>
      <c r="E35" s="710">
        <f>_xll.BLUEMATRIX2("/servlet/excelData",E34,$E$4,$D35&amp;":"&amp;E$14&amp;E$15&amp;":AN:NULL:FISCAL")</f>
        <v/>
      </c>
      <c r="F35" s="710">
        <f>_xll.BLUEMATRIX2("/servlet/excelData",F34,$E$4,$D35&amp;":"&amp;F$14&amp;F$15&amp;":AN:NULL:FISCAL")</f>
        <v/>
      </c>
      <c r="G35" s="710">
        <f>_xll.BLUEMATRIX2("/servlet/excelData",G34,$E$4,$D35&amp;":"&amp;G$14&amp;G$15&amp;":AN:NULL:FISCAL")</f>
        <v/>
      </c>
      <c r="H35" s="710">
        <f>_xll.BLUEMATRIX2("/servlet/excelData",H34,$E$4,$D35&amp;":"&amp;H$14&amp;H$15&amp;":AN:NULL:FISCAL")</f>
        <v/>
      </c>
      <c r="I35" s="710">
        <f>_xll.BLUEMATRIX2("/servlet/excelData",I34,$E$4,$D35&amp;":"&amp;I$14&amp;I$15&amp;":AN:NULL:FISCAL")</f>
        <v/>
      </c>
      <c r="J35" s="710">
        <f>_xll.BLUEMATRIX2("/servlet/excelData",J34,$E$4,$D35&amp;":"&amp;J$14&amp;J$15&amp;":AN:NULL:FISCAL")</f>
        <v/>
      </c>
      <c r="K35" s="710">
        <f>_xll.BLUEMATRIX2("/servlet/excelData",K34,$E$4,$D35&amp;":"&amp;K$14&amp;K$15&amp;":AN:NULL:FISCAL")</f>
        <v/>
      </c>
      <c r="L35" s="710">
        <f>_xll.BLUEMATRIX2("/servlet/excelData",L34,$E$4,$D35&amp;":"&amp;L$14&amp;L$15&amp;":AN:NULL:FISCAL")</f>
        <v/>
      </c>
      <c r="M35" s="710">
        <f>_xll.BLUEMATRIX2("/servlet/excelData",M34,$E$4,$D35&amp;":"&amp;M$14&amp;M$15&amp;":AN:NULL:FISCAL")</f>
        <v/>
      </c>
      <c r="N35" s="710">
        <f>_xll.BLUEMATRIX2("/servlet/excelData",N34,$E$4,$D35&amp;":"&amp;N$14&amp;N$15&amp;":AN:NULL:FISCAL")</f>
        <v/>
      </c>
    </row>
    <row r="36" customFormat="1" s="735">
      <c r="A36" s="799" t="n"/>
      <c r="B36" s="782" t="inlineStr">
        <is>
          <t>Minorities</t>
        </is>
      </c>
      <c r="C36" s="776" t="inlineStr">
        <is>
          <t>Minority interests on balance sheet</t>
        </is>
      </c>
      <c r="D36" s="783" t="inlineStr">
        <is>
          <t>Minorities</t>
        </is>
      </c>
      <c r="E36" s="828">
        <f>FS_Y!Q74</f>
        <v/>
      </c>
      <c r="F36" s="828">
        <f>FS_Y!R74</f>
        <v/>
      </c>
      <c r="G36" s="828">
        <f>FS_Y!S74</f>
        <v/>
      </c>
      <c r="H36" s="828">
        <f>FS_Y!T74</f>
        <v/>
      </c>
      <c r="I36" s="828">
        <f>FS_Y!U74</f>
        <v/>
      </c>
      <c r="J36" s="828">
        <f>FS_Y!V74</f>
        <v/>
      </c>
      <c r="K36" s="828">
        <f>FS_Y!W74</f>
        <v/>
      </c>
      <c r="L36" s="793" t="n"/>
      <c r="M36" s="793" t="n"/>
      <c r="N36" s="793" t="n"/>
    </row>
    <row r="37" ht="12" customFormat="1" customHeight="1" s="735">
      <c r="A37" s="799" t="n"/>
      <c r="B37" s="786" t="inlineStr">
        <is>
          <t>BM Formula &amp; Result</t>
        </is>
      </c>
      <c r="C37" s="787" t="n"/>
      <c r="D37" s="800" t="inlineStr">
        <is>
          <t>Minorities</t>
        </is>
      </c>
      <c r="E37" s="710">
        <f>_xll.BLUEMATRIX2("/servlet/excelData",E36,$E$4,$D37&amp;":"&amp;E$14&amp;E$15&amp;":AN:NULL:FISCAL")</f>
        <v/>
      </c>
      <c r="F37" s="710">
        <f>_xll.BLUEMATRIX2("/servlet/excelData",F36,$E$4,$D37&amp;":"&amp;F$14&amp;F$15&amp;":AN:NULL:FISCAL")</f>
        <v/>
      </c>
      <c r="G37" s="710">
        <f>_xll.BLUEMATRIX2("/servlet/excelData",G36,$E$4,$D37&amp;":"&amp;G$14&amp;G$15&amp;":AN:NULL:FISCAL")</f>
        <v/>
      </c>
      <c r="H37" s="710">
        <f>_xll.BLUEMATRIX2("/servlet/excelData",H36,$E$4,$D37&amp;":"&amp;H$14&amp;H$15&amp;":AN:NULL:FISCAL")</f>
        <v/>
      </c>
      <c r="I37" s="710">
        <f>_xll.BLUEMATRIX2("/servlet/excelData",I36,$E$4,$D37&amp;":"&amp;I$14&amp;I$15&amp;":AN:NULL:FISCAL")</f>
        <v/>
      </c>
      <c r="J37" s="710">
        <f>_xll.BLUEMATRIX2("/servlet/excelData",J36,$E$4,$D37&amp;":"&amp;J$14&amp;J$15&amp;":AN:NULL:FISCAL")</f>
        <v/>
      </c>
      <c r="K37" s="710">
        <f>_xll.BLUEMATRIX2("/servlet/excelData",K36,$E$4,$D37&amp;":"&amp;K$14&amp;K$15&amp;":AN:NULL:FISCAL")</f>
        <v/>
      </c>
      <c r="L37" s="710">
        <f>_xll.BLUEMATRIX2("/servlet/excelData",L36,$E$4,$D37&amp;":"&amp;L$14&amp;L$15&amp;":AN:NULL:FISCAL")</f>
        <v/>
      </c>
      <c r="M37" s="710">
        <f>_xll.BLUEMATRIX2("/servlet/excelData",M36,$E$4,$D37&amp;":"&amp;M$14&amp;M$15&amp;":AN:NULL:FISCAL")</f>
        <v/>
      </c>
      <c r="N37" s="710">
        <f>_xll.BLUEMATRIX2("/servlet/excelData",N36,$E$4,$D37&amp;":"&amp;N$14&amp;N$15&amp;":AN:NULL:FISCAL")</f>
        <v/>
      </c>
    </row>
    <row r="38" customFormat="1" s="735">
      <c r="A38" s="799" t="n"/>
      <c r="B38" s="782" t="inlineStr">
        <is>
          <t>Total Provision (M)</t>
        </is>
      </c>
      <c r="C38" s="776" t="inlineStr">
        <is>
          <t>Provisions other than employee benefits</t>
        </is>
      </c>
      <c r="D38" s="783" t="inlineStr">
        <is>
          <t>PROV</t>
        </is>
      </c>
      <c r="E38" s="793" t="n"/>
      <c r="F38" s="793" t="n"/>
      <c r="G38" s="793" t="n"/>
      <c r="H38" s="793" t="n"/>
      <c r="I38" s="793" t="n"/>
      <c r="J38" s="793" t="n"/>
      <c r="K38" s="793" t="n"/>
      <c r="L38" s="793" t="n"/>
      <c r="M38" s="793" t="n"/>
      <c r="N38" s="793" t="n"/>
    </row>
    <row r="39" ht="12" customFormat="1" customHeight="1" s="735">
      <c r="A39" s="799" t="n"/>
      <c r="B39" s="786" t="inlineStr">
        <is>
          <t>BM Formula &amp; Result</t>
        </is>
      </c>
      <c r="C39" s="787" t="n"/>
      <c r="D39" s="800" t="inlineStr">
        <is>
          <t>PROV</t>
        </is>
      </c>
      <c r="E39" s="710">
        <f>_xll.BLUEMATRIX2("/servlet/excelData",E38,$E$4,$D39&amp;":"&amp;E$14&amp;E$15&amp;":AN:NULL:FISCAL")</f>
        <v/>
      </c>
      <c r="F39" s="710">
        <f>_xll.BLUEMATRIX2("/servlet/excelData",F38,$E$4,$D39&amp;":"&amp;F$14&amp;F$15&amp;":AN:NULL:FISCAL")</f>
        <v/>
      </c>
      <c r="G39" s="710">
        <f>_xll.BLUEMATRIX2("/servlet/excelData",G38,$E$4,$D39&amp;":"&amp;G$14&amp;G$15&amp;":AN:NULL:FISCAL")</f>
        <v/>
      </c>
      <c r="H39" s="710">
        <f>_xll.BLUEMATRIX2("/servlet/excelData",H38,$E$4,$D39&amp;":"&amp;H$14&amp;H$15&amp;":AN:NULL:FISCAL")</f>
        <v/>
      </c>
      <c r="I39" s="710">
        <f>_xll.BLUEMATRIX2("/servlet/excelData",I38,$E$4,$D39&amp;":"&amp;I$14&amp;I$15&amp;":AN:NULL:FISCAL")</f>
        <v/>
      </c>
      <c r="J39" s="710">
        <f>_xll.BLUEMATRIX2("/servlet/excelData",J38,$E$4,$D39&amp;":"&amp;J$14&amp;J$15&amp;":AN:NULL:FISCAL")</f>
        <v/>
      </c>
      <c r="K39" s="710">
        <f>_xll.BLUEMATRIX2("/servlet/excelData",K38,$E$4,$D39&amp;":"&amp;K$14&amp;K$15&amp;":AN:NULL:FISCAL")</f>
        <v/>
      </c>
      <c r="L39" s="710">
        <f>_xll.BLUEMATRIX2("/servlet/excelData",L38,$E$4,$D39&amp;":"&amp;L$14&amp;L$15&amp;":AN:NULL:FISCAL")</f>
        <v/>
      </c>
      <c r="M39" s="710">
        <f>_xll.BLUEMATRIX2("/servlet/excelData",M38,$E$4,$D39&amp;":"&amp;M$14&amp;M$15&amp;":AN:NULL:FISCAL")</f>
        <v/>
      </c>
      <c r="N39" s="710">
        <f>_xll.BLUEMATRIX2("/servlet/excelData",N38,$E$4,$D39&amp;":"&amp;N$14&amp;N$15&amp;":AN:NULL:FISCAL")</f>
        <v/>
      </c>
    </row>
    <row r="40" customFormat="1" s="735">
      <c r="A40" s="799" t="n"/>
      <c r="B40" s="782" t="inlineStr">
        <is>
          <t>Employee benefit obligations</t>
        </is>
      </c>
      <c r="C40" s="776" t="inlineStr">
        <is>
          <t>Retirement &amp; others employee benefit obligations (pension provisions, short and long term)</t>
        </is>
      </c>
      <c r="D40" s="783" t="inlineStr">
        <is>
          <t>EMP_BEN_OBLIG</t>
        </is>
      </c>
      <c r="E40" s="793" t="n"/>
      <c r="F40" s="793" t="n"/>
      <c r="G40" s="793" t="n"/>
      <c r="H40" s="793" t="n"/>
      <c r="I40" s="793" t="n"/>
      <c r="J40" s="793" t="n"/>
      <c r="K40" s="793" t="n"/>
      <c r="L40" s="793" t="n"/>
      <c r="M40" s="793" t="n"/>
      <c r="N40" s="793" t="n"/>
    </row>
    <row r="41" ht="12" customFormat="1" customHeight="1" s="735">
      <c r="A41" s="799" t="n"/>
      <c r="B41" s="786" t="inlineStr">
        <is>
          <t>BM Formula &amp; Result</t>
        </is>
      </c>
      <c r="C41" s="787" t="n"/>
      <c r="D41" s="800" t="inlineStr">
        <is>
          <t>EMP_BEN_OBLIG</t>
        </is>
      </c>
      <c r="E41" s="710">
        <f>_xll.BLUEMATRIX2("/servlet/excelData",E40,$E$4,$D41&amp;":"&amp;E$14&amp;E$15&amp;":AN:NULL:FISCAL")</f>
        <v/>
      </c>
      <c r="F41" s="710">
        <f>_xll.BLUEMATRIX2("/servlet/excelData",F40,$E$4,$D41&amp;":"&amp;F$14&amp;F$15&amp;":AN:NULL:FISCAL")</f>
        <v/>
      </c>
      <c r="G41" s="710">
        <f>_xll.BLUEMATRIX2("/servlet/excelData",G40,$E$4,$D41&amp;":"&amp;G$14&amp;G$15&amp;":AN:NULL:FISCAL")</f>
        <v/>
      </c>
      <c r="H41" s="710">
        <f>_xll.BLUEMATRIX2("/servlet/excelData",H40,$E$4,$D41&amp;":"&amp;H$14&amp;H$15&amp;":AN:NULL:FISCAL")</f>
        <v/>
      </c>
      <c r="I41" s="710">
        <f>_xll.BLUEMATRIX2("/servlet/excelData",I40,$E$4,$D41&amp;":"&amp;I$14&amp;I$15&amp;":AN:NULL:FISCAL")</f>
        <v/>
      </c>
      <c r="J41" s="710">
        <f>_xll.BLUEMATRIX2("/servlet/excelData",J40,$E$4,$D41&amp;":"&amp;J$14&amp;J$15&amp;":AN:NULL:FISCAL")</f>
        <v/>
      </c>
      <c r="K41" s="710">
        <f>_xll.BLUEMATRIX2("/servlet/excelData",K40,$E$4,$D41&amp;":"&amp;K$14&amp;K$15&amp;":AN:NULL:FISCAL")</f>
        <v/>
      </c>
      <c r="L41" s="710">
        <f>_xll.BLUEMATRIX2("/servlet/excelData",L40,$E$4,$D41&amp;":"&amp;L$14&amp;L$15&amp;":AN:NULL:FISCAL")</f>
        <v/>
      </c>
      <c r="M41" s="710">
        <f>_xll.BLUEMATRIX2("/servlet/excelData",M40,$E$4,$D41&amp;":"&amp;M$14&amp;M$15&amp;":AN:NULL:FISCAL")</f>
        <v/>
      </c>
      <c r="N41" s="710">
        <f>_xll.BLUEMATRIX2("/servlet/excelData",N40,$E$4,$D41&amp;":"&amp;N$14&amp;N$15&amp;":AN:NULL:FISCAL")</f>
        <v/>
      </c>
    </row>
    <row r="42" ht="15" customHeight="1">
      <c r="A42" s="799" t="n"/>
      <c r="B42" s="782" t="inlineStr">
        <is>
          <t>Working Capital (M)</t>
        </is>
      </c>
      <c r="C42" s="776" t="inlineStr">
        <is>
          <t>Working capital assets minus liabilities</t>
        </is>
      </c>
      <c r="D42" s="783" t="inlineStr">
        <is>
          <t>WORKING_CAPITAL</t>
        </is>
      </c>
      <c r="E42" s="835">
        <f>(FS_Y!Q162)/1000</f>
        <v/>
      </c>
      <c r="F42" s="835">
        <f>(FS_Y!R162)/1000</f>
        <v/>
      </c>
      <c r="G42" s="835">
        <f>(FS_Y!S162)/1000</f>
        <v/>
      </c>
      <c r="H42" s="835">
        <f>(FS_Y!T162)/1000</f>
        <v/>
      </c>
      <c r="I42" s="835">
        <f>(FS_Y!U162)/1000</f>
        <v/>
      </c>
      <c r="J42" s="835">
        <f>(FS_Y!V162)/1000</f>
        <v/>
      </c>
      <c r="K42" s="835">
        <f>(FS_Y!W162)/1000</f>
        <v/>
      </c>
      <c r="L42" s="793" t="n"/>
      <c r="M42" s="793" t="n"/>
      <c r="N42" s="793" t="n"/>
    </row>
    <row r="43" ht="15" customHeight="1">
      <c r="A43" s="799" t="n"/>
      <c r="B43" s="786" t="inlineStr">
        <is>
          <t>BM Formula &amp; Result</t>
        </is>
      </c>
      <c r="C43" s="787" t="n"/>
      <c r="D43" s="800" t="inlineStr">
        <is>
          <t>WORKING_CAPITAL</t>
        </is>
      </c>
      <c r="E43" s="710">
        <f>_xll.BLUEMATRIX2("/servlet/excelData",E42,$E$4,$D43&amp;":"&amp;E$14&amp;E$15&amp;":AN:NULL:FISCAL")</f>
        <v/>
      </c>
      <c r="F43" s="710">
        <f>_xll.BLUEMATRIX2("/servlet/excelData",F42,$E$4,$D43&amp;":"&amp;F$14&amp;F$15&amp;":AN:NULL:FISCAL")</f>
        <v/>
      </c>
      <c r="G43" s="710">
        <f>_xll.BLUEMATRIX2("/servlet/excelData",G42,$E$4,$D43&amp;":"&amp;G$14&amp;G$15&amp;":AN:NULL:FISCAL")</f>
        <v/>
      </c>
      <c r="H43" s="710">
        <f>_xll.BLUEMATRIX2("/servlet/excelData",H42,$E$4,$D43&amp;":"&amp;H$14&amp;H$15&amp;":AN:NULL:FISCAL")</f>
        <v/>
      </c>
      <c r="I43" s="710">
        <f>_xll.BLUEMATRIX2("/servlet/excelData",I42,$E$4,$D43&amp;":"&amp;I$14&amp;I$15&amp;":AN:NULL:FISCAL")</f>
        <v/>
      </c>
      <c r="J43" s="710">
        <f>_xll.BLUEMATRIX2("/servlet/excelData",J42,$E$4,$D43&amp;":"&amp;J$14&amp;J$15&amp;":AN:NULL:FISCAL")</f>
        <v/>
      </c>
      <c r="K43" s="710">
        <f>_xll.BLUEMATRIX2("/servlet/excelData",K42,$E$4,$D43&amp;":"&amp;K$14&amp;K$15&amp;":AN:NULL:FISCAL")</f>
        <v/>
      </c>
      <c r="L43" s="710">
        <f>_xll.BLUEMATRIX2("/servlet/excelData",L42,$E$4,$D43&amp;":"&amp;L$14&amp;L$15&amp;":AN:NULL:FISCAL")</f>
        <v/>
      </c>
      <c r="M43" s="710">
        <f>_xll.BLUEMATRIX2("/servlet/excelData",M42,$E$4,$D43&amp;":"&amp;M$14&amp;M$15&amp;":AN:NULL:FISCAL")</f>
        <v/>
      </c>
      <c r="N43" s="710">
        <f>_xll.BLUEMATRIX2("/servlet/excelData",N42,$E$4,$D43&amp;":"&amp;N$14&amp;N$15&amp;":AN:NULL:FISCAL")</f>
        <v/>
      </c>
    </row>
    <row r="44" customFormat="1" s="735">
      <c r="A44" s="799" t="n"/>
      <c r="B44" s="782" t="inlineStr">
        <is>
          <t>Net Debt (Cash) (M)</t>
        </is>
      </c>
      <c r="C44" s="776" t="inlineStr">
        <is>
          <t>Long term financial debt +  short term financial debt  minus cash, cash equivalents &amp; short-term investments</t>
        </is>
      </c>
      <c r="D44" s="783" t="inlineStr">
        <is>
          <t>NETDEBT_EST</t>
        </is>
      </c>
      <c r="E44" s="835">
        <f>(FS_Y!Q146-FS_Y!Q139)/1000</f>
        <v/>
      </c>
      <c r="F44" s="835">
        <f>(FS_Y!R146-FS_Y!R139)/1000</f>
        <v/>
      </c>
      <c r="G44" s="835">
        <f>(FS_Y!S146-FS_Y!S139)/1000</f>
        <v/>
      </c>
      <c r="H44" s="835">
        <f>(FS_Y!T146-FS_Y!T139)/1000</f>
        <v/>
      </c>
      <c r="I44" s="835">
        <f>(FS_Y!U146-FS_Y!U139)/1000</f>
        <v/>
      </c>
      <c r="J44" s="835">
        <f>(FS_Y!V146-FS_Y!V139)/1000</f>
        <v/>
      </c>
      <c r="K44" s="835">
        <f>(FS_Y!W146-FS_Y!W139)/1000</f>
        <v/>
      </c>
      <c r="L44" s="793" t="n"/>
      <c r="M44" s="793" t="n"/>
      <c r="N44" s="793" t="n"/>
    </row>
    <row r="45" ht="12" customFormat="1" customHeight="1" s="735">
      <c r="A45" s="799" t="n"/>
      <c r="B45" s="786" t="inlineStr">
        <is>
          <t>BM Formula &amp; Result</t>
        </is>
      </c>
      <c r="C45" s="787" t="n"/>
      <c r="D45" s="800" t="inlineStr">
        <is>
          <t>NETDEBT_EST</t>
        </is>
      </c>
      <c r="E45" s="710">
        <f>_xll.BLUEMATRIX2("/servlet/excelData",E44,$E$4,$D45&amp;":"&amp;E$14&amp;E$15&amp;":AN:NULL:FISCAL")</f>
        <v/>
      </c>
      <c r="F45" s="710">
        <f>_xll.BLUEMATRIX2("/servlet/excelData",F44,$E$4,$D45&amp;":"&amp;F$14&amp;F$15&amp;":AN:NULL:FISCAL")</f>
        <v/>
      </c>
      <c r="G45" s="710">
        <f>_xll.BLUEMATRIX2("/servlet/excelData",G44,$E$4,$D45&amp;":"&amp;G$14&amp;G$15&amp;":AN:NULL:FISCAL")</f>
        <v/>
      </c>
      <c r="H45" s="710">
        <f>_xll.BLUEMATRIX2("/servlet/excelData",H44,$E$4,$D45&amp;":"&amp;H$14&amp;H$15&amp;":AN:NULL:FISCAL")</f>
        <v/>
      </c>
      <c r="I45" s="710">
        <f>_xll.BLUEMATRIX2("/servlet/excelData",I44,$E$4,$D45&amp;":"&amp;I$14&amp;I$15&amp;":AN:NULL:FISCAL")</f>
        <v/>
      </c>
      <c r="J45" s="710">
        <f>_xll.BLUEMATRIX2("/servlet/excelData",J44,$E$4,$D45&amp;":"&amp;J$14&amp;J$15&amp;":AN:NULL:FISCAL")</f>
        <v/>
      </c>
      <c r="K45" s="710">
        <f>_xll.BLUEMATRIX2("/servlet/excelData",K44,$E$4,$D45&amp;":"&amp;K$14&amp;K$15&amp;":AN:NULL:FISCAL")</f>
        <v/>
      </c>
      <c r="L45" s="710">
        <f>_xll.BLUEMATRIX2("/servlet/excelData",L44,$E$4,$D45&amp;":"&amp;L$14&amp;L$15&amp;":AN:NULL:FISCAL")</f>
        <v/>
      </c>
      <c r="M45" s="710">
        <f>_xll.BLUEMATRIX2("/servlet/excelData",M44,$E$4,$D45&amp;":"&amp;M$14&amp;M$15&amp;":AN:NULL:FISCAL")</f>
        <v/>
      </c>
      <c r="N45" s="710">
        <f>_xll.BLUEMATRIX2("/servlet/excelData",N44,$E$4,$D45&amp;":"&amp;N$14&amp;N$15&amp;":AN:NULL:FISCAL")</f>
        <v/>
      </c>
    </row>
    <row r="46" customFormat="1" s="735">
      <c r="A46" s="799" t="n"/>
      <c r="B46" s="782" t="inlineStr">
        <is>
          <t>Gearing (%)</t>
        </is>
      </c>
      <c r="C46" s="776" t="inlineStr">
        <is>
          <t>Financial net debt / Book value of equity</t>
        </is>
      </c>
      <c r="D46" s="783" t="inlineStr">
        <is>
          <t>GEARING</t>
        </is>
      </c>
      <c r="E46" s="836">
        <f>E44/E34</f>
        <v/>
      </c>
      <c r="F46" s="836">
        <f>F44/F34</f>
        <v/>
      </c>
      <c r="G46" s="836">
        <f>G44/G34</f>
        <v/>
      </c>
      <c r="H46" s="836">
        <f>H44/H34</f>
        <v/>
      </c>
      <c r="I46" s="836">
        <f>I44/I34</f>
        <v/>
      </c>
      <c r="J46" s="836">
        <f>J44/J34</f>
        <v/>
      </c>
      <c r="K46" s="836">
        <f>K44/K34</f>
        <v/>
      </c>
      <c r="L46" s="793" t="n"/>
      <c r="M46" s="793" t="n"/>
      <c r="N46" s="793" t="n"/>
    </row>
    <row r="47" ht="12" customFormat="1" customHeight="1" s="735">
      <c r="A47" s="799" t="n"/>
      <c r="B47" s="786" t="inlineStr">
        <is>
          <t>BM Formula &amp; Result</t>
        </is>
      </c>
      <c r="C47" s="787" t="n"/>
      <c r="D47" s="800" t="inlineStr">
        <is>
          <t>GEARING</t>
        </is>
      </c>
      <c r="E47" s="710">
        <f>_xll.BLUEMATRIX2("/servlet/excelData",E46,$E$4,$D47&amp;":"&amp;E$14&amp;E$15&amp;":AN:NULL:FISCAL")</f>
        <v/>
      </c>
      <c r="F47" s="710">
        <f>_xll.BLUEMATRIX2("/servlet/excelData",F46,$E$4,$D47&amp;":"&amp;F$14&amp;F$15&amp;":AN:NULL:FISCAL")</f>
        <v/>
      </c>
      <c r="G47" s="710">
        <f>_xll.BLUEMATRIX2("/servlet/excelData",G46,$E$4,$D47&amp;":"&amp;G$14&amp;G$15&amp;":AN:NULL:FISCAL")</f>
        <v/>
      </c>
      <c r="H47" s="710">
        <f>_xll.BLUEMATRIX2("/servlet/excelData",H46,$E$4,$D47&amp;":"&amp;H$14&amp;H$15&amp;":AN:NULL:FISCAL")</f>
        <v/>
      </c>
      <c r="I47" s="710">
        <f>_xll.BLUEMATRIX2("/servlet/excelData",I46,$E$4,$D47&amp;":"&amp;I$14&amp;I$15&amp;":AN:NULL:FISCAL")</f>
        <v/>
      </c>
      <c r="J47" s="710">
        <f>_xll.BLUEMATRIX2("/servlet/excelData",J46,$E$4,$D47&amp;":"&amp;J$14&amp;J$15&amp;":AN:NULL:FISCAL")</f>
        <v/>
      </c>
      <c r="K47" s="710">
        <f>_xll.BLUEMATRIX2("/servlet/excelData",K46,$E$4,$D47&amp;":"&amp;K$14&amp;K$15&amp;":AN:NULL:FISCAL")</f>
        <v/>
      </c>
      <c r="L47" s="710">
        <f>_xll.BLUEMATRIX2("/servlet/excelData",L46,$E$4,$D47&amp;":"&amp;L$14&amp;L$15&amp;":AN:NULL:FISCAL")</f>
        <v/>
      </c>
      <c r="M47" s="710">
        <f>_xll.BLUEMATRIX2("/servlet/excelData",M46,$E$4,$D47&amp;":"&amp;M$14&amp;M$15&amp;":AN:NULL:FISCAL")</f>
        <v/>
      </c>
      <c r="N47" s="710">
        <f>_xll.BLUEMATRIX2("/servlet/excelData",N46,$E$4,$D47&amp;":"&amp;N$14&amp;N$15&amp;":AN:NULL:FISCAL")</f>
        <v/>
      </c>
    </row>
    <row r="48" customFormat="1" s="735">
      <c r="A48" s="799" t="n"/>
      <c r="B48" s="782" t="inlineStr">
        <is>
          <t>Invested Capital (exc. Assoc)(M)</t>
        </is>
      </c>
      <c r="C48" s="782" t="inlineStr">
        <is>
          <t>Year end</t>
        </is>
      </c>
      <c r="D48" s="783" t="inlineStr">
        <is>
          <t>INVESTED_CAPITAL</t>
        </is>
      </c>
      <c r="E48" s="835">
        <f>(FS_Y!Q161)/1000</f>
        <v/>
      </c>
      <c r="F48" s="835">
        <f>(FS_Y!R161)/1000</f>
        <v/>
      </c>
      <c r="G48" s="835">
        <f>(FS_Y!S161)/1000</f>
        <v/>
      </c>
      <c r="H48" s="835">
        <f>(FS_Y!T161)/1000</f>
        <v/>
      </c>
      <c r="I48" s="835">
        <f>(FS_Y!U161)/1000</f>
        <v/>
      </c>
      <c r="J48" s="835">
        <f>(FS_Y!V161)/1000</f>
        <v/>
      </c>
      <c r="K48" s="835">
        <f>(FS_Y!W161)/1000</f>
        <v/>
      </c>
      <c r="L48" s="793" t="n"/>
      <c r="M48" s="793" t="n"/>
      <c r="N48" s="793" t="n"/>
    </row>
    <row r="49" ht="12" customFormat="1" customHeight="1" s="735">
      <c r="A49" s="799" t="n"/>
      <c r="B49" s="786" t="inlineStr">
        <is>
          <t>BM Formula &amp; Result</t>
        </is>
      </c>
      <c r="C49" s="787" t="n"/>
      <c r="D49" s="800" t="inlineStr">
        <is>
          <t>INVESTED_CAPITAL</t>
        </is>
      </c>
      <c r="E49" s="710">
        <f>_xll.BLUEMATRIX2("/servlet/excelData",E48,$E$4,$D49&amp;":"&amp;E$14&amp;E$15&amp;":AN:NULL:FISCAL")</f>
        <v/>
      </c>
      <c r="F49" s="710">
        <f>_xll.BLUEMATRIX2("/servlet/excelData",F48,$E$4,$D49&amp;":"&amp;F$14&amp;F$15&amp;":AN:NULL:FISCAL")</f>
        <v/>
      </c>
      <c r="G49" s="710">
        <f>_xll.BLUEMATRIX2("/servlet/excelData",G48,$E$4,$D49&amp;":"&amp;G$14&amp;G$15&amp;":AN:NULL:FISCAL")</f>
        <v/>
      </c>
      <c r="H49" s="710">
        <f>_xll.BLUEMATRIX2("/servlet/excelData",H48,$E$4,$D49&amp;":"&amp;H$14&amp;H$15&amp;":AN:NULL:FISCAL")</f>
        <v/>
      </c>
      <c r="I49" s="710">
        <f>_xll.BLUEMATRIX2("/servlet/excelData",I48,$E$4,$D49&amp;":"&amp;I$14&amp;I$15&amp;":AN:NULL:FISCAL")</f>
        <v/>
      </c>
      <c r="J49" s="710">
        <f>_xll.BLUEMATRIX2("/servlet/excelData",J48,$E$4,$D49&amp;":"&amp;J$14&amp;J$15&amp;":AN:NULL:FISCAL")</f>
        <v/>
      </c>
      <c r="K49" s="710">
        <f>_xll.BLUEMATRIX2("/servlet/excelData",K48,$E$4,$D49&amp;":"&amp;K$14&amp;K$15&amp;":AN:NULL:FISCAL")</f>
        <v/>
      </c>
      <c r="L49" s="710">
        <f>_xll.BLUEMATRIX2("/servlet/excelData",L48,$E$4,$D49&amp;":"&amp;L$14&amp;L$15&amp;":AN:NULL:FISCAL")</f>
        <v/>
      </c>
      <c r="M49" s="710">
        <f>_xll.BLUEMATRIX2("/servlet/excelData",M48,$E$4,$D49&amp;":"&amp;M$14&amp;M$15&amp;":AN:NULL:FISCAL")</f>
        <v/>
      </c>
      <c r="N49" s="710">
        <f>_xll.BLUEMATRIX2("/servlet/excelData",N48,$E$4,$D49&amp;":"&amp;N$14&amp;N$15&amp;":AN:NULL:FISCAL")</f>
        <v/>
      </c>
    </row>
    <row r="50" customFormat="1" s="735">
      <c r="A50" s="799" t="n"/>
      <c r="B50" s="782" t="inlineStr">
        <is>
          <t>Invested Capital (inc. Assoc)(M)</t>
        </is>
      </c>
      <c r="C50" s="782" t="inlineStr">
        <is>
          <t>Year end</t>
        </is>
      </c>
      <c r="D50" s="783" t="inlineStr">
        <is>
          <t>INVESTED_CAPITAL_INC_ASSOC</t>
        </is>
      </c>
      <c r="E50" s="835">
        <f>(FS_Y!Q161)/1000</f>
        <v/>
      </c>
      <c r="F50" s="835">
        <f>(FS_Y!R161)/1000</f>
        <v/>
      </c>
      <c r="G50" s="835">
        <f>(FS_Y!S161)/1000</f>
        <v/>
      </c>
      <c r="H50" s="835">
        <f>(FS_Y!T161)/1000</f>
        <v/>
      </c>
      <c r="I50" s="835">
        <f>(FS_Y!U161)/1000</f>
        <v/>
      </c>
      <c r="J50" s="835">
        <f>(FS_Y!V161)/1000</f>
        <v/>
      </c>
      <c r="K50" s="835">
        <f>(FS_Y!W161)/1000</f>
        <v/>
      </c>
      <c r="L50" s="793" t="n"/>
      <c r="M50" s="793" t="n"/>
      <c r="N50" s="793" t="n"/>
    </row>
    <row r="51" ht="12" customFormat="1" customHeight="1" s="735">
      <c r="A51" s="799" t="n"/>
      <c r="B51" s="786" t="inlineStr">
        <is>
          <t>BM Formula &amp; Result</t>
        </is>
      </c>
      <c r="C51" s="787" t="n"/>
      <c r="D51" s="800" t="inlineStr">
        <is>
          <t>INVESTED_CAPITAL_INC_ASSOC</t>
        </is>
      </c>
      <c r="E51" s="710">
        <f>_xll.BLUEMATRIX2("/servlet/excelData",E50,$E$4,$D51&amp;":"&amp;E$14&amp;E$15&amp;":AN:NULL:FISCAL")</f>
        <v/>
      </c>
      <c r="F51" s="710">
        <f>_xll.BLUEMATRIX2("/servlet/excelData",F50,$E$4,$D51&amp;":"&amp;F$14&amp;F$15&amp;":AN:NULL:FISCAL")</f>
        <v/>
      </c>
      <c r="G51" s="710">
        <f>_xll.BLUEMATRIX2("/servlet/excelData",G50,$E$4,$D51&amp;":"&amp;G$14&amp;G$15&amp;":AN:NULL:FISCAL")</f>
        <v/>
      </c>
      <c r="H51" s="710">
        <f>_xll.BLUEMATRIX2("/servlet/excelData",H50,$E$4,$D51&amp;":"&amp;H$14&amp;H$15&amp;":AN:NULL:FISCAL")</f>
        <v/>
      </c>
      <c r="I51" s="710">
        <f>_xll.BLUEMATRIX2("/servlet/excelData",I50,$E$4,$D51&amp;":"&amp;I$14&amp;I$15&amp;":AN:NULL:FISCAL")</f>
        <v/>
      </c>
      <c r="J51" s="710">
        <f>_xll.BLUEMATRIX2("/servlet/excelData",J50,$E$4,$D51&amp;":"&amp;J$14&amp;J$15&amp;":AN:NULL:FISCAL")</f>
        <v/>
      </c>
      <c r="K51" s="710">
        <f>_xll.BLUEMATRIX2("/servlet/excelData",K50,$E$4,$D51&amp;":"&amp;K$14&amp;K$15&amp;":AN:NULL:FISCAL")</f>
        <v/>
      </c>
      <c r="L51" s="710">
        <f>_xll.BLUEMATRIX2("/servlet/excelData",L50,$E$4,$D51&amp;":"&amp;L$14&amp;L$15&amp;":AN:NULL:FISCAL")</f>
        <v/>
      </c>
      <c r="M51" s="710">
        <f>_xll.BLUEMATRIX2("/servlet/excelData",M50,$E$4,$D51&amp;":"&amp;M$14&amp;M$15&amp;":AN:NULL:FISCAL")</f>
        <v/>
      </c>
      <c r="N51" s="710">
        <f>_xll.BLUEMATRIX2("/servlet/excelData",N50,$E$4,$D51&amp;":"&amp;N$14&amp;N$15&amp;":AN:NULL:FISCAL")</f>
        <v/>
      </c>
    </row>
    <row r="52" customFormat="1" s="735">
      <c r="A52" s="799" t="n"/>
      <c r="B52" s="782" t="inlineStr">
        <is>
          <t>Invested capital: other adjustments</t>
        </is>
      </c>
      <c r="C52" s="782" t="inlineStr">
        <is>
          <t>Adjustment for invested capital calculation (provisions, off-balance sheet items, etc.)</t>
        </is>
      </c>
      <c r="D52" s="783" t="inlineStr">
        <is>
          <t>INV_CAPITAL_OTHER_ADJ</t>
        </is>
      </c>
      <c r="E52" s="793" t="n"/>
      <c r="F52" s="793" t="n"/>
      <c r="G52" s="793" t="n"/>
      <c r="H52" s="793" t="n"/>
      <c r="I52" s="793" t="n"/>
      <c r="J52" s="793" t="n"/>
      <c r="K52" s="793" t="n"/>
      <c r="L52" s="793" t="n"/>
      <c r="M52" s="793" t="n"/>
      <c r="N52" s="793" t="n"/>
    </row>
    <row r="53" ht="12" customFormat="1" customHeight="1" s="735">
      <c r="A53" s="799" t="n"/>
      <c r="B53" s="786" t="inlineStr">
        <is>
          <t>BM Formula &amp; Result</t>
        </is>
      </c>
      <c r="C53" s="787" t="n"/>
      <c r="D53" s="800" t="inlineStr">
        <is>
          <t>INV_CAPITAL_OTHER_ADJ</t>
        </is>
      </c>
      <c r="E53" s="710">
        <f>_xll.BLUEMATRIX2("/servlet/excelData",E52,$E$4,$D53&amp;":"&amp;E$14&amp;E$15&amp;":AN:NULL:FISCAL")</f>
        <v/>
      </c>
      <c r="F53" s="710">
        <f>_xll.BLUEMATRIX2("/servlet/excelData",F52,$E$4,$D53&amp;":"&amp;F$14&amp;F$15&amp;":AN:NULL:FISCAL")</f>
        <v/>
      </c>
      <c r="G53" s="710">
        <f>_xll.BLUEMATRIX2("/servlet/excelData",G52,$E$4,$D53&amp;":"&amp;G$14&amp;G$15&amp;":AN:NULL:FISCAL")</f>
        <v/>
      </c>
      <c r="H53" s="710">
        <f>_xll.BLUEMATRIX2("/servlet/excelData",H52,$E$4,$D53&amp;":"&amp;H$14&amp;H$15&amp;":AN:NULL:FISCAL")</f>
        <v/>
      </c>
      <c r="I53" s="710">
        <f>_xll.BLUEMATRIX2("/servlet/excelData",I52,$E$4,$D53&amp;":"&amp;I$14&amp;I$15&amp;":AN:NULL:FISCAL")</f>
        <v/>
      </c>
      <c r="J53" s="710">
        <f>_xll.BLUEMATRIX2("/servlet/excelData",J52,$E$4,$D53&amp;":"&amp;J$14&amp;J$15&amp;":AN:NULL:FISCAL")</f>
        <v/>
      </c>
      <c r="K53" s="710">
        <f>_xll.BLUEMATRIX2("/servlet/excelData",K52,$E$4,$D53&amp;":"&amp;K$14&amp;K$15&amp;":AN:NULL:FISCAL")</f>
        <v/>
      </c>
      <c r="L53" s="710">
        <f>_xll.BLUEMATRIX2("/servlet/excelData",L52,$E$4,$D53&amp;":"&amp;L$14&amp;L$15&amp;":AN:NULL:FISCAL")</f>
        <v/>
      </c>
      <c r="M53" s="710">
        <f>_xll.BLUEMATRIX2("/servlet/excelData",M52,$E$4,$D53&amp;":"&amp;M$14&amp;M$15&amp;":AN:NULL:FISCAL")</f>
        <v/>
      </c>
      <c r="N53" s="710">
        <f>_xll.BLUEMATRIX2("/servlet/excelData",N52,$E$4,$D53&amp;":"&amp;N$14&amp;N$15&amp;":AN:NULL:FISCAL")</f>
        <v/>
      </c>
    </row>
    <row r="54" customFormat="1" s="735">
      <c r="A54" s="799" t="n"/>
      <c r="B54" s="782" t="inlineStr">
        <is>
          <t>Average Invested Capital (exc. Assoc)(M)</t>
        </is>
      </c>
      <c r="C54" s="776" t="inlineStr">
        <is>
          <t>For ROCE calculation</t>
        </is>
      </c>
      <c r="D54" s="783" t="inlineStr">
        <is>
          <t>AVE_INVESTED_CAPITAL</t>
        </is>
      </c>
      <c r="E54" s="835">
        <f>(AVERAGE(FS_Y!P56:Q56)-AVERAGE(FS_Y!P63:Q63))/1000</f>
        <v/>
      </c>
      <c r="F54" s="835">
        <f>(AVERAGE(FS_Y!Q56:R56)-AVERAGE(FS_Y!Q63:R63))/1000</f>
        <v/>
      </c>
      <c r="G54" s="835">
        <f>(AVERAGE(FS_Y!R56:S56)-AVERAGE(FS_Y!R63:S63))/1000</f>
        <v/>
      </c>
      <c r="H54" s="835">
        <f>(AVERAGE(FS_Y!S56:T56)-AVERAGE(FS_Y!S63:T63))/1000</f>
        <v/>
      </c>
      <c r="I54" s="835">
        <f>(AVERAGE(FS_Y!T56:U56)-AVERAGE(FS_Y!T63:U63))/1000</f>
        <v/>
      </c>
      <c r="J54" s="835">
        <f>(AVERAGE(FS_Y!U56:V56)-AVERAGE(FS_Y!U63:V63))/1000</f>
        <v/>
      </c>
      <c r="K54" s="835">
        <f>(AVERAGE(FS_Y!V56:W56)-AVERAGE(FS_Y!V63:W63))/1000</f>
        <v/>
      </c>
      <c r="L54" s="784" t="n"/>
      <c r="M54" s="784" t="n"/>
      <c r="N54" s="784" t="n"/>
    </row>
    <row r="55" ht="12" customFormat="1" customHeight="1" s="735">
      <c r="A55" s="799" t="n"/>
      <c r="B55" s="786" t="inlineStr">
        <is>
          <t>BM Formula &amp; Result</t>
        </is>
      </c>
      <c r="C55" s="787" t="n"/>
      <c r="D55" s="800" t="inlineStr">
        <is>
          <t>AVE_INVESTED_CAPITAL</t>
        </is>
      </c>
      <c r="E55" s="710">
        <f>_xll.BLUEMATRIX2("/servlet/excelData",E54,$E$4,$D55&amp;":"&amp;E$14&amp;E$15&amp;":AN:NULL:FISCAL")</f>
        <v/>
      </c>
      <c r="F55" s="710">
        <f>_xll.BLUEMATRIX2("/servlet/excelData",F54,$E$4,$D55&amp;":"&amp;F$14&amp;F$15&amp;":AN:NULL:FISCAL")</f>
        <v/>
      </c>
      <c r="G55" s="710">
        <f>_xll.BLUEMATRIX2("/servlet/excelData",G54,$E$4,$D55&amp;":"&amp;G$14&amp;G$15&amp;":AN:NULL:FISCAL")</f>
        <v/>
      </c>
      <c r="H55" s="710">
        <f>_xll.BLUEMATRIX2("/servlet/excelData",H54,$E$4,$D55&amp;":"&amp;H$14&amp;H$15&amp;":AN:NULL:FISCAL")</f>
        <v/>
      </c>
      <c r="I55" s="710">
        <f>_xll.BLUEMATRIX2("/servlet/excelData",I54,$E$4,$D55&amp;":"&amp;I$14&amp;I$15&amp;":AN:NULL:FISCAL")</f>
        <v/>
      </c>
      <c r="J55" s="710">
        <f>_xll.BLUEMATRIX2("/servlet/excelData",J54,$E$4,$D55&amp;":"&amp;J$14&amp;J$15&amp;":AN:NULL:FISCAL")</f>
        <v/>
      </c>
      <c r="K55" s="710">
        <f>_xll.BLUEMATRIX2("/servlet/excelData",K54,$E$4,$D55&amp;":"&amp;K$14&amp;K$15&amp;":AN:NULL:FISCAL")</f>
        <v/>
      </c>
      <c r="L55" s="710">
        <f>_xll.BLUEMATRIX2("/servlet/excelData",L54,$E$4,$D55&amp;":"&amp;L$14&amp;L$15&amp;":AN:NULL:FISCAL")</f>
        <v/>
      </c>
      <c r="M55" s="710">
        <f>_xll.BLUEMATRIX2("/servlet/excelData",M54,$E$4,$D55&amp;":"&amp;M$14&amp;M$15&amp;":AN:NULL:FISCAL")</f>
        <v/>
      </c>
      <c r="N55" s="710">
        <f>_xll.BLUEMATRIX2("/servlet/excelData",N54,$E$4,$D55&amp;":"&amp;N$14&amp;N$15&amp;":AN:NULL:FISCAL")</f>
        <v/>
      </c>
    </row>
    <row r="56" customFormat="1" s="735">
      <c r="A56" s="802" t="n"/>
      <c r="B56" s="782" t="inlineStr">
        <is>
          <t>Average Invested Capital (inc. Assoc)(M)</t>
        </is>
      </c>
      <c r="C56" s="776" t="inlineStr">
        <is>
          <t>For ROCE calculation</t>
        </is>
      </c>
      <c r="D56" s="783" t="inlineStr">
        <is>
          <t>AVE_INVESTED_CAPITAL_INC_ASSOC</t>
        </is>
      </c>
      <c r="E56" s="835">
        <f>(AVERAGE(FS_Y!P56:Q56)-AVERAGE(FS_Y!P63:Q63))/1000</f>
        <v/>
      </c>
      <c r="F56" s="835">
        <f>(AVERAGE(FS_Y!Q56:R56)-AVERAGE(FS_Y!Q63:R63))/1000</f>
        <v/>
      </c>
      <c r="G56" s="835">
        <f>(AVERAGE(FS_Y!R56:S56)-AVERAGE(FS_Y!R63:S63))/1000</f>
        <v/>
      </c>
      <c r="H56" s="835">
        <f>(AVERAGE(FS_Y!S56:T56)-AVERAGE(FS_Y!S63:T63))/1000</f>
        <v/>
      </c>
      <c r="I56" s="835">
        <f>(AVERAGE(FS_Y!T56:U56)-AVERAGE(FS_Y!T63:U63))/1000</f>
        <v/>
      </c>
      <c r="J56" s="835">
        <f>(AVERAGE(FS_Y!U56:V56)-AVERAGE(FS_Y!U63:V63))/1000</f>
        <v/>
      </c>
      <c r="K56" s="835">
        <f>(AVERAGE(FS_Y!V56:W56)-AVERAGE(FS_Y!V63:W63))/1000</f>
        <v/>
      </c>
      <c r="L56" s="793" t="n"/>
      <c r="M56" s="793" t="n"/>
      <c r="N56" s="793" t="n"/>
    </row>
    <row r="57" ht="12" customFormat="1" customHeight="1" s="735">
      <c r="A57" s="803" t="n"/>
      <c r="B57" s="786" t="inlineStr">
        <is>
          <t>BM Formula &amp; Result</t>
        </is>
      </c>
      <c r="C57" s="787" t="n"/>
      <c r="D57" s="800" t="inlineStr">
        <is>
          <t>AVE_INVESTED_CAPITAL_INC_ASSOC</t>
        </is>
      </c>
      <c r="E57" s="710">
        <f>_xll.BLUEMATRIX2("/servlet/excelData",E56,$E$4,$D57&amp;":"&amp;E$14&amp;E$15&amp;":AN:NULL:FISCAL")</f>
        <v/>
      </c>
      <c r="F57" s="710">
        <f>_xll.BLUEMATRIX2("/servlet/excelData",F56,$E$4,$D57&amp;":"&amp;F$14&amp;F$15&amp;":AN:NULL:FISCAL")</f>
        <v/>
      </c>
      <c r="G57" s="710">
        <f>_xll.BLUEMATRIX2("/servlet/excelData",G56,$E$4,$D57&amp;":"&amp;G$14&amp;G$15&amp;":AN:NULL:FISCAL")</f>
        <v/>
      </c>
      <c r="H57" s="710">
        <f>_xll.BLUEMATRIX2("/servlet/excelData",H56,$E$4,$D57&amp;":"&amp;H$14&amp;H$15&amp;":AN:NULL:FISCAL")</f>
        <v/>
      </c>
      <c r="I57" s="710">
        <f>_xll.BLUEMATRIX2("/servlet/excelData",I56,$E$4,$D57&amp;":"&amp;I$14&amp;I$15&amp;":AN:NULL:FISCAL")</f>
        <v/>
      </c>
      <c r="J57" s="710">
        <f>_xll.BLUEMATRIX2("/servlet/excelData",J56,$E$4,$D57&amp;":"&amp;J$14&amp;J$15&amp;":AN:NULL:FISCAL")</f>
        <v/>
      </c>
      <c r="K57" s="710">
        <f>_xll.BLUEMATRIX2("/servlet/excelData",K56,$E$4,$D57&amp;":"&amp;K$14&amp;K$15&amp;":AN:NULL:FISCAL")</f>
        <v/>
      </c>
      <c r="L57" s="710">
        <f>_xll.BLUEMATRIX2("/servlet/excelData",L56,$E$4,$D57&amp;":"&amp;L$14&amp;L$15&amp;":AN:NULL:FISCAL")</f>
        <v/>
      </c>
      <c r="M57" s="710">
        <f>_xll.BLUEMATRIX2("/servlet/excelData",M56,$E$4,$D57&amp;":"&amp;M$14&amp;M$15&amp;":AN:NULL:FISCAL")</f>
        <v/>
      </c>
      <c r="N57" s="710">
        <f>_xll.BLUEMATRIX2("/servlet/excelData",N56,$E$4,$D57&amp;":"&amp;N$14&amp;N$15&amp;":AN:NULL:FISCAL")</f>
        <v/>
      </c>
    </row>
    <row r="58">
      <c r="A58" s="804" t="inlineStr">
        <is>
          <t>Cash Flow</t>
        </is>
      </c>
      <c r="B58" s="795" t="inlineStr">
        <is>
          <t>Taxation paid</t>
        </is>
      </c>
      <c r="C58" s="796" t="inlineStr">
        <is>
          <t>Taxation paid (cash)</t>
        </is>
      </c>
      <c r="D58" s="797" t="inlineStr">
        <is>
          <t>TAXATION_PAID</t>
        </is>
      </c>
      <c r="E58" s="805" t="n"/>
      <c r="F58" s="805" t="n"/>
      <c r="G58" s="805" t="n"/>
      <c r="H58" s="805" t="n"/>
      <c r="I58" s="805" t="n"/>
      <c r="J58" s="805" t="n"/>
      <c r="K58" s="805" t="n"/>
      <c r="L58" s="805" t="n"/>
      <c r="M58" s="805" t="n"/>
      <c r="N58" s="805" t="n"/>
    </row>
    <row r="59">
      <c r="A59" s="806" t="n"/>
      <c r="B59" s="786" t="inlineStr">
        <is>
          <t>BM Formula &amp; Result</t>
        </is>
      </c>
      <c r="C59" s="787" t="n"/>
      <c r="D59" s="800" t="inlineStr">
        <is>
          <t>TAXATION_PAID</t>
        </is>
      </c>
      <c r="E59" s="710">
        <f>_xll.BLUEMATRIX2("/servlet/excelData",E58,$E$4,$D59&amp;":"&amp;E$14&amp;E$15&amp;":AN:NULL:FISCAL")</f>
        <v/>
      </c>
      <c r="F59" s="710">
        <f>_xll.BLUEMATRIX2("/servlet/excelData",F58,$E$4,$D59&amp;":"&amp;F$14&amp;F$15&amp;":AN:NULL:FISCAL")</f>
        <v/>
      </c>
      <c r="G59" s="710">
        <f>_xll.BLUEMATRIX2("/servlet/excelData",G58,$E$4,$D59&amp;":"&amp;G$14&amp;G$15&amp;":AN:NULL:FISCAL")</f>
        <v/>
      </c>
      <c r="H59" s="710">
        <f>_xll.BLUEMATRIX2("/servlet/excelData",H58,$E$4,$D59&amp;":"&amp;H$14&amp;H$15&amp;":AN:NULL:FISCAL")</f>
        <v/>
      </c>
      <c r="I59" s="710">
        <f>_xll.BLUEMATRIX2("/servlet/excelData",I58,$E$4,$D59&amp;":"&amp;I$14&amp;I$15&amp;":AN:NULL:FISCAL")</f>
        <v/>
      </c>
      <c r="J59" s="710">
        <f>_xll.BLUEMATRIX2("/servlet/excelData",J58,$E$4,$D59&amp;":"&amp;J$14&amp;J$15&amp;":AN:NULL:FISCAL")</f>
        <v/>
      </c>
      <c r="K59" s="710">
        <f>_xll.BLUEMATRIX2("/servlet/excelData",K58,$E$4,$D59&amp;":"&amp;K$14&amp;K$15&amp;":AN:NULL:FISCAL")</f>
        <v/>
      </c>
      <c r="L59" s="710">
        <f>_xll.BLUEMATRIX2("/servlet/excelData",L58,$E$4,$D59&amp;":"&amp;L$14&amp;L$15&amp;":AN:NULL:FISCAL")</f>
        <v/>
      </c>
      <c r="M59" s="710">
        <f>_xll.BLUEMATRIX2("/servlet/excelData",M58,$E$4,$D59&amp;":"&amp;M$14&amp;M$15&amp;":AN:NULL:FISCAL")</f>
        <v/>
      </c>
      <c r="N59" s="710">
        <f>_xll.BLUEMATRIX2("/servlet/excelData",N58,$E$4,$D59&amp;":"&amp;N$14&amp;N$15&amp;":AN:NULL:FISCAL")</f>
        <v/>
      </c>
    </row>
    <row r="60">
      <c r="A60" s="806" t="n"/>
      <c r="B60" s="782" t="inlineStr">
        <is>
          <t>CFO excl Chg in Work Cap</t>
        </is>
      </c>
      <c r="C60" s="776" t="inlineStr">
        <is>
          <t>EBITDA (ex. associates) - Share based payment (in deduction) - other non cash items included in EBITDA  + Dividends from associates + Net interest income/ (expense) paid + Taxation paid + Other cash movements</t>
        </is>
      </c>
      <c r="D60" s="783" t="inlineStr">
        <is>
          <t>CF_FROM_OP_EX_CHG_WCR</t>
        </is>
      </c>
      <c r="E60" s="828">
        <f>E64-E62</f>
        <v/>
      </c>
      <c r="F60" s="828">
        <f>F64-F62</f>
        <v/>
      </c>
      <c r="G60" s="828">
        <f>G64-G62</f>
        <v/>
      </c>
      <c r="H60" s="828">
        <f>H64-H62</f>
        <v/>
      </c>
      <c r="I60" s="828">
        <f>I64-I62</f>
        <v/>
      </c>
      <c r="J60" s="828">
        <f>J64-J62</f>
        <v/>
      </c>
      <c r="K60" s="828">
        <f>K64-K62</f>
        <v/>
      </c>
      <c r="L60" s="793" t="n"/>
      <c r="M60" s="793" t="n"/>
      <c r="N60" s="793" t="n"/>
    </row>
    <row r="61">
      <c r="A61" s="806" t="n"/>
      <c r="B61" s="786" t="inlineStr">
        <is>
          <t>BM Formula &amp; Result</t>
        </is>
      </c>
      <c r="C61" s="787" t="n"/>
      <c r="D61" s="800" t="inlineStr">
        <is>
          <t>CF_FROM_OP_EX_CHG_WCR</t>
        </is>
      </c>
      <c r="E61" s="710">
        <f>_xll.BLUEMATRIX2("/servlet/excelData",E60,$E$4,$D61&amp;":"&amp;E$14&amp;E$15&amp;":AN:NULL:FISCAL")</f>
        <v/>
      </c>
      <c r="F61" s="710">
        <f>_xll.BLUEMATRIX2("/servlet/excelData",F60,$E$4,$D61&amp;":"&amp;F$14&amp;F$15&amp;":AN:NULL:FISCAL")</f>
        <v/>
      </c>
      <c r="G61" s="710">
        <f>_xll.BLUEMATRIX2("/servlet/excelData",G60,$E$4,$D61&amp;":"&amp;G$14&amp;G$15&amp;":AN:NULL:FISCAL")</f>
        <v/>
      </c>
      <c r="H61" s="710">
        <f>_xll.BLUEMATRIX2("/servlet/excelData",H60,$E$4,$D61&amp;":"&amp;H$14&amp;H$15&amp;":AN:NULL:FISCAL")</f>
        <v/>
      </c>
      <c r="I61" s="710">
        <f>_xll.BLUEMATRIX2("/servlet/excelData",I60,$E$4,$D61&amp;":"&amp;I$14&amp;I$15&amp;":AN:NULL:FISCAL")</f>
        <v/>
      </c>
      <c r="J61" s="710">
        <f>_xll.BLUEMATRIX2("/servlet/excelData",J60,$E$4,$D61&amp;":"&amp;J$14&amp;J$15&amp;":AN:NULL:FISCAL")</f>
        <v/>
      </c>
      <c r="K61" s="710">
        <f>_xll.BLUEMATRIX2("/servlet/excelData",K60,$E$4,$D61&amp;":"&amp;K$14&amp;K$15&amp;":AN:NULL:FISCAL")</f>
        <v/>
      </c>
      <c r="L61" s="710">
        <f>_xll.BLUEMATRIX2("/servlet/excelData",L60,$E$4,$D61&amp;":"&amp;L$14&amp;L$15&amp;":AN:NULL:FISCAL")</f>
        <v/>
      </c>
      <c r="M61" s="710">
        <f>_xll.BLUEMATRIX2("/servlet/excelData",M60,$E$4,$D61&amp;":"&amp;M$14&amp;M$15&amp;":AN:NULL:FISCAL")</f>
        <v/>
      </c>
      <c r="N61" s="710">
        <f>_xll.BLUEMATRIX2("/servlet/excelData",N60,$E$4,$D61&amp;":"&amp;N$14&amp;N$15&amp;":AN:NULL:FISCAL")</f>
        <v/>
      </c>
    </row>
    <row r="62">
      <c r="A62" s="806" t="n"/>
      <c r="B62" s="782" t="inlineStr">
        <is>
          <t>Change in Working Cap Requirement (M)</t>
        </is>
      </c>
      <c r="C62" s="801" t="n"/>
      <c r="D62" s="783" t="inlineStr">
        <is>
          <t>DEC_INCR_IN_WORKING_CAPITAL</t>
        </is>
      </c>
      <c r="E62" s="835">
        <f>(SUM(FS_Y!Q97:Q101))/1000</f>
        <v/>
      </c>
      <c r="F62" s="835">
        <f>(SUM(FS_Y!R97:R101))/1000</f>
        <v/>
      </c>
      <c r="G62" s="835">
        <f>(SUM(FS_Y!S97:S101))/1000</f>
        <v/>
      </c>
      <c r="H62" s="835">
        <f>(SUM(FS_Y!T97:T101))/1000</f>
        <v/>
      </c>
      <c r="I62" s="835">
        <f>(SUM(FS_Y!U97:U101))/1000</f>
        <v/>
      </c>
      <c r="J62" s="835">
        <f>(SUM(FS_Y!V97:V101))/1000</f>
        <v/>
      </c>
      <c r="K62" s="835">
        <f>(SUM(FS_Y!W97:W101))/1000</f>
        <v/>
      </c>
      <c r="L62" s="793" t="n"/>
      <c r="M62" s="793" t="n"/>
      <c r="N62" s="793" t="n"/>
    </row>
    <row r="63">
      <c r="A63" s="806" t="n"/>
      <c r="B63" s="786" t="inlineStr">
        <is>
          <t>BM Formula &amp; Result</t>
        </is>
      </c>
      <c r="C63" s="787" t="n"/>
      <c r="D63" s="800" t="inlineStr">
        <is>
          <t>DEC_INCR_IN_WORKING_CAPITAL</t>
        </is>
      </c>
      <c r="E63" s="710">
        <f>_xll.BLUEMATRIX2("/servlet/excelData",E62,$E$4,$D63&amp;":"&amp;E$14&amp;E$15&amp;":AN:NULL:FISCAL")</f>
        <v/>
      </c>
      <c r="F63" s="710">
        <f>_xll.BLUEMATRIX2("/servlet/excelData",F62,$E$4,$D63&amp;":"&amp;F$14&amp;F$15&amp;":AN:NULL:FISCAL")</f>
        <v/>
      </c>
      <c r="G63" s="710">
        <f>_xll.BLUEMATRIX2("/servlet/excelData",G62,$E$4,$D63&amp;":"&amp;G$14&amp;G$15&amp;":AN:NULL:FISCAL")</f>
        <v/>
      </c>
      <c r="H63" s="710">
        <f>_xll.BLUEMATRIX2("/servlet/excelData",H62,$E$4,$D63&amp;":"&amp;H$14&amp;H$15&amp;":AN:NULL:FISCAL")</f>
        <v/>
      </c>
      <c r="I63" s="710">
        <f>_xll.BLUEMATRIX2("/servlet/excelData",I62,$E$4,$D63&amp;":"&amp;I$14&amp;I$15&amp;":AN:NULL:FISCAL")</f>
        <v/>
      </c>
      <c r="J63" s="710">
        <f>_xll.BLUEMATRIX2("/servlet/excelData",J62,$E$4,$D63&amp;":"&amp;J$14&amp;J$15&amp;":AN:NULL:FISCAL")</f>
        <v/>
      </c>
      <c r="K63" s="710">
        <f>_xll.BLUEMATRIX2("/servlet/excelData",K62,$E$4,$D63&amp;":"&amp;K$14&amp;K$15&amp;":AN:NULL:FISCAL")</f>
        <v/>
      </c>
      <c r="L63" s="710">
        <f>_xll.BLUEMATRIX2("/servlet/excelData",L62,$E$4,$D63&amp;":"&amp;L$14&amp;L$15&amp;":AN:NULL:FISCAL")</f>
        <v/>
      </c>
      <c r="M63" s="710">
        <f>_xll.BLUEMATRIX2("/servlet/excelData",M62,$E$4,$D63&amp;":"&amp;M$14&amp;M$15&amp;":AN:NULL:FISCAL")</f>
        <v/>
      </c>
      <c r="N63" s="710">
        <f>_xll.BLUEMATRIX2("/servlet/excelData",N62,$E$4,$D63&amp;":"&amp;N$14&amp;N$15&amp;":AN:NULL:FISCAL")</f>
        <v/>
      </c>
    </row>
    <row r="64">
      <c r="A64" s="806" t="n"/>
      <c r="B64" s="782" t="inlineStr">
        <is>
          <t>CFO (M)</t>
        </is>
      </c>
      <c r="C64" s="776" t="inlineStr">
        <is>
          <t>Cash flow from operating activities excluding change in working capital + Change in working capital</t>
        </is>
      </c>
      <c r="D64" s="783" t="inlineStr">
        <is>
          <t>OCF</t>
        </is>
      </c>
      <c r="E64" s="835">
        <f>(FS_Y!Q102)/1000</f>
        <v/>
      </c>
      <c r="F64" s="835">
        <f>(FS_Y!R102)/1000</f>
        <v/>
      </c>
      <c r="G64" s="835">
        <f>(FS_Y!S102)/1000</f>
        <v/>
      </c>
      <c r="H64" s="835">
        <f>(FS_Y!T102)/1000</f>
        <v/>
      </c>
      <c r="I64" s="835">
        <f>(FS_Y!U102)/1000</f>
        <v/>
      </c>
      <c r="J64" s="835">
        <f>(FS_Y!V102)/1000</f>
        <v/>
      </c>
      <c r="K64" s="835">
        <f>(FS_Y!W102)/1000</f>
        <v/>
      </c>
      <c r="L64" s="793" t="n"/>
      <c r="M64" s="793" t="n"/>
      <c r="N64" s="793" t="n"/>
    </row>
    <row r="65">
      <c r="A65" s="806" t="n"/>
      <c r="B65" s="786" t="inlineStr">
        <is>
          <t>BM Formula &amp; Result</t>
        </is>
      </c>
      <c r="C65" s="787" t="n"/>
      <c r="D65" s="800" t="inlineStr">
        <is>
          <t>OCF</t>
        </is>
      </c>
      <c r="E65" s="710">
        <f>_xll.BLUEMATRIX2("/servlet/excelData",E64,$E$4,$D65&amp;":"&amp;E$14&amp;E$15&amp;":AN:NULL:FISCAL")</f>
        <v/>
      </c>
      <c r="F65" s="710">
        <f>_xll.BLUEMATRIX2("/servlet/excelData",F64,$E$4,$D65&amp;":"&amp;F$14&amp;F$15&amp;":AN:NULL:FISCAL")</f>
        <v/>
      </c>
      <c r="G65" s="710">
        <f>_xll.BLUEMATRIX2("/servlet/excelData",G64,$E$4,$D65&amp;":"&amp;G$14&amp;G$15&amp;":AN:NULL:FISCAL")</f>
        <v/>
      </c>
      <c r="H65" s="710">
        <f>_xll.BLUEMATRIX2("/servlet/excelData",H64,$E$4,$D65&amp;":"&amp;H$14&amp;H$15&amp;":AN:NULL:FISCAL")</f>
        <v/>
      </c>
      <c r="I65" s="710">
        <f>_xll.BLUEMATRIX2("/servlet/excelData",I64,$E$4,$D65&amp;":"&amp;I$14&amp;I$15&amp;":AN:NULL:FISCAL")</f>
        <v/>
      </c>
      <c r="J65" s="710">
        <f>_xll.BLUEMATRIX2("/servlet/excelData",J64,$E$4,$D65&amp;":"&amp;J$14&amp;J$15&amp;":AN:NULL:FISCAL")</f>
        <v/>
      </c>
      <c r="K65" s="710">
        <f>_xll.BLUEMATRIX2("/servlet/excelData",K64,$E$4,$D65&amp;":"&amp;K$14&amp;K$15&amp;":AN:NULL:FISCAL")</f>
        <v/>
      </c>
      <c r="L65" s="710">
        <f>_xll.BLUEMATRIX2("/servlet/excelData",L64,$E$4,$D65&amp;":"&amp;L$14&amp;L$15&amp;":AN:NULL:FISCAL")</f>
        <v/>
      </c>
      <c r="M65" s="710">
        <f>_xll.BLUEMATRIX2("/servlet/excelData",M64,$E$4,$D65&amp;":"&amp;M$14&amp;M$15&amp;":AN:NULL:FISCAL")</f>
        <v/>
      </c>
      <c r="N65" s="710">
        <f>_xll.BLUEMATRIX2("/servlet/excelData",N64,$E$4,$D65&amp;":"&amp;N$14&amp;N$15&amp;":AN:NULL:FISCAL")</f>
        <v/>
      </c>
    </row>
    <row r="66">
      <c r="A66" s="806" t="n"/>
      <c r="B66" s="782" t="inlineStr">
        <is>
          <t>Net capital expenditure</t>
        </is>
      </c>
      <c r="C66" s="782" t="inlineStr">
        <is>
          <t>Capital expenditures is a net item, I.e. it consists of capital expenditure as well as sales of assets</t>
        </is>
      </c>
      <c r="D66" s="783" t="inlineStr">
        <is>
          <t>NET_CAPITAL_EXPENDITURE</t>
        </is>
      </c>
      <c r="E66" s="828">
        <f>FS_Y!Q105/1000</f>
        <v/>
      </c>
      <c r="F66" s="828">
        <f>FS_Y!R105/1000</f>
        <v/>
      </c>
      <c r="G66" s="828">
        <f>FS_Y!S105/1000</f>
        <v/>
      </c>
      <c r="H66" s="828">
        <f>FS_Y!T105/1000</f>
        <v/>
      </c>
      <c r="I66" s="828">
        <f>FS_Y!U105/1000</f>
        <v/>
      </c>
      <c r="J66" s="828">
        <f>FS_Y!V105/1000</f>
        <v/>
      </c>
      <c r="K66" s="828">
        <f>FS_Y!W105/1000</f>
        <v/>
      </c>
      <c r="L66" s="793" t="n"/>
      <c r="M66" s="793" t="n"/>
      <c r="N66" s="793" t="n"/>
    </row>
    <row r="67">
      <c r="A67" s="806" t="n"/>
      <c r="B67" s="786" t="inlineStr">
        <is>
          <t>BM Formula &amp; Result</t>
        </is>
      </c>
      <c r="C67" s="787" t="n"/>
      <c r="D67" s="800" t="inlineStr">
        <is>
          <t>NET_CAPITAL_EXPENDITURE</t>
        </is>
      </c>
      <c r="E67" s="710">
        <f>_xll.BLUEMATRIX2("/servlet/excelData",E66,$E$4,$D67&amp;":"&amp;E$14&amp;E$15&amp;":AN:NULL:FISCAL")</f>
        <v/>
      </c>
      <c r="F67" s="710">
        <f>_xll.BLUEMATRIX2("/servlet/excelData",F66,$E$4,$D67&amp;":"&amp;F$14&amp;F$15&amp;":AN:NULL:FISCAL")</f>
        <v/>
      </c>
      <c r="G67" s="710">
        <f>_xll.BLUEMATRIX2("/servlet/excelData",G66,$E$4,$D67&amp;":"&amp;G$14&amp;G$15&amp;":AN:NULL:FISCAL")</f>
        <v/>
      </c>
      <c r="H67" s="710">
        <f>_xll.BLUEMATRIX2("/servlet/excelData",H66,$E$4,$D67&amp;":"&amp;H$14&amp;H$15&amp;":AN:NULL:FISCAL")</f>
        <v/>
      </c>
      <c r="I67" s="710">
        <f>_xll.BLUEMATRIX2("/servlet/excelData",I66,$E$4,$D67&amp;":"&amp;I$14&amp;I$15&amp;":AN:NULL:FISCAL")</f>
        <v/>
      </c>
      <c r="J67" s="710">
        <f>_xll.BLUEMATRIX2("/servlet/excelData",J66,$E$4,$D67&amp;":"&amp;J$14&amp;J$15&amp;":AN:NULL:FISCAL")</f>
        <v/>
      </c>
      <c r="K67" s="710">
        <f>_xll.BLUEMATRIX2("/servlet/excelData",K66,$E$4,$D67&amp;":"&amp;K$14&amp;K$15&amp;":AN:NULL:FISCAL")</f>
        <v/>
      </c>
      <c r="L67" s="710">
        <f>_xll.BLUEMATRIX2("/servlet/excelData",L66,$E$4,$D67&amp;":"&amp;L$14&amp;L$15&amp;":AN:NULL:FISCAL")</f>
        <v/>
      </c>
      <c r="M67" s="710">
        <f>_xll.BLUEMATRIX2("/servlet/excelData",M66,$E$4,$D67&amp;":"&amp;M$14&amp;M$15&amp;":AN:NULL:FISCAL")</f>
        <v/>
      </c>
      <c r="N67" s="710">
        <f>_xll.BLUEMATRIX2("/servlet/excelData",N66,$E$4,$D67&amp;":"&amp;N$14&amp;N$15&amp;":AN:NULL:FISCAL")</f>
        <v/>
      </c>
    </row>
    <row r="68">
      <c r="A68" s="806" t="n"/>
      <c r="B68" s="782" t="inlineStr">
        <is>
          <t>Net Interest Inc Received/Expense Paid (M)</t>
        </is>
      </c>
      <c r="C68" s="776" t="inlineStr">
        <is>
          <t>Net interest income received/ (expense paid)</t>
        </is>
      </c>
      <c r="D68" s="783" t="inlineStr">
        <is>
          <t>NIM</t>
        </is>
      </c>
      <c r="E68" s="793" t="n"/>
      <c r="F68" s="793" t="n"/>
      <c r="G68" s="793" t="n"/>
      <c r="H68" s="793" t="n"/>
      <c r="I68" s="793" t="n"/>
      <c r="J68" s="793" t="n"/>
      <c r="K68" s="793" t="n"/>
      <c r="L68" s="793" t="n"/>
      <c r="M68" s="793" t="n"/>
      <c r="N68" s="793" t="n"/>
    </row>
    <row r="69">
      <c r="A69" s="806" t="n"/>
      <c r="B69" s="786" t="inlineStr">
        <is>
          <t>BM Formula &amp; Result</t>
        </is>
      </c>
      <c r="C69" s="787" t="n"/>
      <c r="D69" s="800" t="inlineStr">
        <is>
          <t>NIM</t>
        </is>
      </c>
      <c r="E69" s="710">
        <f>_xll.BLUEMATRIX2("/servlet/excelData",E68,$E$4,$D69&amp;":"&amp;E$14&amp;E$15&amp;":AN:NULL:FISCAL")</f>
        <v/>
      </c>
      <c r="F69" s="710">
        <f>_xll.BLUEMATRIX2("/servlet/excelData",F68,$E$4,$D69&amp;":"&amp;F$14&amp;F$15&amp;":AN:NULL:FISCAL")</f>
        <v/>
      </c>
      <c r="G69" s="710">
        <f>_xll.BLUEMATRIX2("/servlet/excelData",G68,$E$4,$D69&amp;":"&amp;G$14&amp;G$15&amp;":AN:NULL:FISCAL")</f>
        <v/>
      </c>
      <c r="H69" s="710">
        <f>_xll.BLUEMATRIX2("/servlet/excelData",H68,$E$4,$D69&amp;":"&amp;H$14&amp;H$15&amp;":AN:NULL:FISCAL")</f>
        <v/>
      </c>
      <c r="I69" s="710">
        <f>_xll.BLUEMATRIX2("/servlet/excelData",I68,$E$4,$D69&amp;":"&amp;I$14&amp;I$15&amp;":AN:NULL:FISCAL")</f>
        <v/>
      </c>
      <c r="J69" s="710">
        <f>_xll.BLUEMATRIX2("/servlet/excelData",J68,$E$4,$D69&amp;":"&amp;J$14&amp;J$15&amp;":AN:NULL:FISCAL")</f>
        <v/>
      </c>
      <c r="K69" s="710">
        <f>_xll.BLUEMATRIX2("/servlet/excelData",K68,$E$4,$D69&amp;":"&amp;K$14&amp;K$15&amp;":AN:NULL:FISCAL")</f>
        <v/>
      </c>
      <c r="L69" s="710">
        <f>_xll.BLUEMATRIX2("/servlet/excelData",L68,$E$4,$D69&amp;":"&amp;L$14&amp;L$15&amp;":AN:NULL:FISCAL")</f>
        <v/>
      </c>
      <c r="M69" s="710">
        <f>_xll.BLUEMATRIX2("/servlet/excelData",M68,$E$4,$D69&amp;":"&amp;M$14&amp;M$15&amp;":AN:NULL:FISCAL")</f>
        <v/>
      </c>
      <c r="N69" s="710">
        <f>_xll.BLUEMATRIX2("/servlet/excelData",N68,$E$4,$D69&amp;":"&amp;N$14&amp;N$15&amp;":AN:NULL:FISCAL")</f>
        <v/>
      </c>
    </row>
    <row r="70">
      <c r="A70" s="806" t="n"/>
      <c r="B70" s="782" t="inlineStr">
        <is>
          <t>FCF (M)</t>
        </is>
      </c>
      <c r="C70" s="776" t="inlineStr">
        <is>
          <t>Cash flow from operating activities + Net capital expenditure</t>
        </is>
      </c>
      <c r="D70" s="783" t="inlineStr">
        <is>
          <t>FCF</t>
        </is>
      </c>
      <c r="E70" s="835">
        <f>(FS_Y!Q173)/1000</f>
        <v/>
      </c>
      <c r="F70" s="835">
        <f>(FS_Y!R173)/1000</f>
        <v/>
      </c>
      <c r="G70" s="835">
        <f>(FS_Y!S173)/1000</f>
        <v/>
      </c>
      <c r="H70" s="835">
        <f>(FS_Y!T173)/1000</f>
        <v/>
      </c>
      <c r="I70" s="835">
        <f>(FS_Y!U173)/1000</f>
        <v/>
      </c>
      <c r="J70" s="835">
        <f>(FS_Y!V173)/1000</f>
        <v/>
      </c>
      <c r="K70" s="835">
        <f>(FS_Y!W173)/1000</f>
        <v/>
      </c>
      <c r="L70" s="793" t="n"/>
      <c r="M70" s="793" t="n"/>
      <c r="N70" s="793" t="n"/>
    </row>
    <row r="71">
      <c r="A71" s="806" t="n"/>
      <c r="B71" s="786" t="inlineStr">
        <is>
          <t>BM Formula &amp; Result</t>
        </is>
      </c>
      <c r="C71" s="787" t="n"/>
      <c r="D71" s="800" t="inlineStr">
        <is>
          <t>FCF</t>
        </is>
      </c>
      <c r="E71" s="710">
        <f>_xll.BLUEMATRIX2("/servlet/excelData",E70,$E$4,$D71&amp;":"&amp;E$14&amp;E$15&amp;":AN:NULL:FISCAL")</f>
        <v/>
      </c>
      <c r="F71" s="710">
        <f>_xll.BLUEMATRIX2("/servlet/excelData",F70,$E$4,$D71&amp;":"&amp;F$14&amp;F$15&amp;":AN:NULL:FISCAL")</f>
        <v/>
      </c>
      <c r="G71" s="710">
        <f>_xll.BLUEMATRIX2("/servlet/excelData",G70,$E$4,$D71&amp;":"&amp;G$14&amp;G$15&amp;":AN:NULL:FISCAL")</f>
        <v/>
      </c>
      <c r="H71" s="710">
        <f>_xll.BLUEMATRIX2("/servlet/excelData",H70,$E$4,$D71&amp;":"&amp;H$14&amp;H$15&amp;":AN:NULL:FISCAL")</f>
        <v/>
      </c>
      <c r="I71" s="710">
        <f>_xll.BLUEMATRIX2("/servlet/excelData",I70,$E$4,$D71&amp;":"&amp;I$14&amp;I$15&amp;":AN:NULL:FISCAL")</f>
        <v/>
      </c>
      <c r="J71" s="710">
        <f>_xll.BLUEMATRIX2("/servlet/excelData",J70,$E$4,$D71&amp;":"&amp;J$14&amp;J$15&amp;":AN:NULL:FISCAL")</f>
        <v/>
      </c>
      <c r="K71" s="710">
        <f>_xll.BLUEMATRIX2("/servlet/excelData",K70,$E$4,$D71&amp;":"&amp;K$14&amp;K$15&amp;":AN:NULL:FISCAL")</f>
        <v/>
      </c>
      <c r="L71" s="710">
        <f>_xll.BLUEMATRIX2("/servlet/excelData",L70,$E$4,$D71&amp;":"&amp;L$14&amp;L$15&amp;":AN:NULL:FISCAL")</f>
        <v/>
      </c>
      <c r="M71" s="710">
        <f>_xll.BLUEMATRIX2("/servlet/excelData",M70,$E$4,$D71&amp;":"&amp;M$14&amp;M$15&amp;":AN:NULL:FISCAL")</f>
        <v/>
      </c>
      <c r="N71" s="710">
        <f>_xll.BLUEMATRIX2("/servlet/excelData",N70,$E$4,$D71&amp;":"&amp;N$14&amp;N$15&amp;":AN:NULL:FISCAL")</f>
        <v/>
      </c>
    </row>
    <row r="72">
      <c r="A72" s="806" t="n"/>
      <c r="B72" s="782" t="inlineStr">
        <is>
          <t>Acquisitions</t>
        </is>
      </c>
      <c r="C72" s="776" t="inlineStr">
        <is>
          <t>Acquisitions of subsidiaries, securities &amp; other investments</t>
        </is>
      </c>
      <c r="D72" s="783" t="inlineStr">
        <is>
          <t>ACQU_SUBSIDS_SECS_INVEST</t>
        </is>
      </c>
      <c r="E72" s="793" t="n"/>
      <c r="F72" s="793" t="n"/>
      <c r="G72" s="793" t="n"/>
      <c r="H72" s="793" t="n"/>
      <c r="I72" s="793" t="n"/>
      <c r="J72" s="793" t="n"/>
      <c r="K72" s="793" t="n"/>
      <c r="L72" s="793" t="n"/>
      <c r="M72" s="793" t="n"/>
      <c r="N72" s="793" t="n"/>
    </row>
    <row r="73">
      <c r="A73" s="806" t="n"/>
      <c r="B73" s="786" t="inlineStr">
        <is>
          <t>BM Formula &amp; Result</t>
        </is>
      </c>
      <c r="C73" s="787" t="n"/>
      <c r="D73" s="800" t="inlineStr">
        <is>
          <t>ACQU_SUBSIDS_SECS_INVEST</t>
        </is>
      </c>
      <c r="E73" s="710">
        <f>_xll.BLUEMATRIX2("/servlet/excelData",E72,$E$4,$D73&amp;":"&amp;E$14&amp;E$15&amp;":AN:NULL:FISCAL")</f>
        <v/>
      </c>
      <c r="F73" s="710">
        <f>_xll.BLUEMATRIX2("/servlet/excelData",F72,$E$4,$D73&amp;":"&amp;F$14&amp;F$15&amp;":AN:NULL:FISCAL")</f>
        <v/>
      </c>
      <c r="G73" s="710">
        <f>_xll.BLUEMATRIX2("/servlet/excelData",G72,$E$4,$D73&amp;":"&amp;G$14&amp;G$15&amp;":AN:NULL:FISCAL")</f>
        <v/>
      </c>
      <c r="H73" s="710">
        <f>_xll.BLUEMATRIX2("/servlet/excelData",H72,$E$4,$D73&amp;":"&amp;H$14&amp;H$15&amp;":AN:NULL:FISCAL")</f>
        <v/>
      </c>
      <c r="I73" s="710">
        <f>_xll.BLUEMATRIX2("/servlet/excelData",I72,$E$4,$D73&amp;":"&amp;I$14&amp;I$15&amp;":AN:NULL:FISCAL")</f>
        <v/>
      </c>
      <c r="J73" s="710">
        <f>_xll.BLUEMATRIX2("/servlet/excelData",J72,$E$4,$D73&amp;":"&amp;J$14&amp;J$15&amp;":AN:NULL:FISCAL")</f>
        <v/>
      </c>
      <c r="K73" s="710">
        <f>_xll.BLUEMATRIX2("/servlet/excelData",K72,$E$4,$D73&amp;":"&amp;K$14&amp;K$15&amp;":AN:NULL:FISCAL")</f>
        <v/>
      </c>
      <c r="L73" s="710">
        <f>_xll.BLUEMATRIX2("/servlet/excelData",L72,$E$4,$D73&amp;":"&amp;L$14&amp;L$15&amp;":AN:NULL:FISCAL")</f>
        <v/>
      </c>
      <c r="M73" s="710">
        <f>_xll.BLUEMATRIX2("/servlet/excelData",M72,$E$4,$D73&amp;":"&amp;M$14&amp;M$15&amp;":AN:NULL:FISCAL")</f>
        <v/>
      </c>
      <c r="N73" s="710">
        <f>_xll.BLUEMATRIX2("/servlet/excelData",N72,$E$4,$D73&amp;":"&amp;N$14&amp;N$15&amp;":AN:NULL:FISCAL")</f>
        <v/>
      </c>
    </row>
    <row r="74">
      <c r="A74" s="806" t="n"/>
      <c r="B74" s="782" t="inlineStr">
        <is>
          <t>Disposals</t>
        </is>
      </c>
      <c r="C74" s="782" t="inlineStr">
        <is>
          <t>Disposals of subsidiaries, securities &amp; other investments</t>
        </is>
      </c>
      <c r="D74" s="783" t="inlineStr">
        <is>
          <t>DISP_SUBSIDS_SECS_INVEST</t>
        </is>
      </c>
      <c r="E74" s="793" t="n"/>
      <c r="F74" s="793" t="n"/>
      <c r="G74" s="793" t="n"/>
      <c r="H74" s="793" t="n"/>
      <c r="I74" s="793" t="n"/>
      <c r="J74" s="793" t="n"/>
      <c r="K74" s="793" t="n"/>
      <c r="L74" s="793" t="n"/>
      <c r="M74" s="793" t="n"/>
      <c r="N74" s="793" t="n"/>
    </row>
    <row r="75">
      <c r="A75" s="806" t="n"/>
      <c r="B75" s="786" t="inlineStr">
        <is>
          <t>BM Formula &amp; Result</t>
        </is>
      </c>
      <c r="C75" s="787" t="n"/>
      <c r="D75" s="800" t="inlineStr">
        <is>
          <t>DISP_SUBSIDS_SECS_INVEST</t>
        </is>
      </c>
      <c r="E75" s="710">
        <f>_xll.BLUEMATRIX2("/servlet/excelData",E74,$E$4,$D75&amp;":"&amp;E$14&amp;E$15&amp;":AN:NULL:FISCAL")</f>
        <v/>
      </c>
      <c r="F75" s="710">
        <f>_xll.BLUEMATRIX2("/servlet/excelData",F74,$E$4,$D75&amp;":"&amp;F$14&amp;F$15&amp;":AN:NULL:FISCAL")</f>
        <v/>
      </c>
      <c r="G75" s="710">
        <f>_xll.BLUEMATRIX2("/servlet/excelData",G74,$E$4,$D75&amp;":"&amp;G$14&amp;G$15&amp;":AN:NULL:FISCAL")</f>
        <v/>
      </c>
      <c r="H75" s="710">
        <f>_xll.BLUEMATRIX2("/servlet/excelData",H74,$E$4,$D75&amp;":"&amp;H$14&amp;H$15&amp;":AN:NULL:FISCAL")</f>
        <v/>
      </c>
      <c r="I75" s="710">
        <f>_xll.BLUEMATRIX2("/servlet/excelData",I74,$E$4,$D75&amp;":"&amp;I$14&amp;I$15&amp;":AN:NULL:FISCAL")</f>
        <v/>
      </c>
      <c r="J75" s="710">
        <f>_xll.BLUEMATRIX2("/servlet/excelData",J74,$E$4,$D75&amp;":"&amp;J$14&amp;J$15&amp;":AN:NULL:FISCAL")</f>
        <v/>
      </c>
      <c r="K75" s="710">
        <f>_xll.BLUEMATRIX2("/servlet/excelData",K74,$E$4,$D75&amp;":"&amp;K$14&amp;K$15&amp;":AN:NULL:FISCAL")</f>
        <v/>
      </c>
      <c r="L75" s="710">
        <f>_xll.BLUEMATRIX2("/servlet/excelData",L74,$E$4,$D75&amp;":"&amp;L$14&amp;L$15&amp;":AN:NULL:FISCAL")</f>
        <v/>
      </c>
      <c r="M75" s="710">
        <f>_xll.BLUEMATRIX2("/servlet/excelData",M74,$E$4,$D75&amp;":"&amp;M$14&amp;M$15&amp;":AN:NULL:FISCAL")</f>
        <v/>
      </c>
      <c r="N75" s="710">
        <f>_xll.BLUEMATRIX2("/servlet/excelData",N74,$E$4,$D75&amp;":"&amp;N$14&amp;N$15&amp;":AN:NULL:FISCAL")</f>
        <v/>
      </c>
    </row>
    <row r="76">
      <c r="A76" s="806" t="n"/>
      <c r="B76" s="782" t="inlineStr">
        <is>
          <t xml:space="preserve">Cash flow from financing activities </t>
        </is>
      </c>
      <c r="C76" s="776" t="inlineStr">
        <is>
          <t>Debt movements + Share issue proceeds + Share buy-back + Dividends paid + Other movements in cash flow statement</t>
        </is>
      </c>
      <c r="D76" s="783" t="inlineStr">
        <is>
          <t>CF_FROM_FINANCING_ACTIVITIES</t>
        </is>
      </c>
      <c r="E76" s="837">
        <f>FS_Y!Q113/1000</f>
        <v/>
      </c>
      <c r="F76" s="837">
        <f>FS_Y!R113/1000</f>
        <v/>
      </c>
      <c r="G76" s="837">
        <f>FS_Y!S113/1000</f>
        <v/>
      </c>
      <c r="H76" s="837">
        <f>FS_Y!T113/1000</f>
        <v/>
      </c>
      <c r="I76" s="837">
        <f>FS_Y!U113/1000</f>
        <v/>
      </c>
      <c r="J76" s="837">
        <f>FS_Y!V113/1000</f>
        <v/>
      </c>
      <c r="K76" s="837">
        <f>FS_Y!W113/1000</f>
        <v/>
      </c>
      <c r="L76" s="793" t="n"/>
      <c r="M76" s="793" t="n"/>
      <c r="N76" s="793" t="n"/>
    </row>
    <row r="77">
      <c r="A77" s="806" t="n"/>
      <c r="B77" s="786" t="inlineStr">
        <is>
          <t>BM Formula &amp; Result</t>
        </is>
      </c>
      <c r="C77" s="787" t="n"/>
      <c r="D77" s="800" t="inlineStr">
        <is>
          <t>CF_FROM_FINANCING_ACTIVITIES</t>
        </is>
      </c>
      <c r="E77" s="710">
        <f>_xll.BLUEMATRIX2("/servlet/excelData",E76,$E$4,$D77&amp;":"&amp;E$14&amp;E$15&amp;":AN:NULL:FISCAL")</f>
        <v/>
      </c>
      <c r="F77" s="710">
        <f>_xll.BLUEMATRIX2("/servlet/excelData",F76,$E$4,$D77&amp;":"&amp;F$14&amp;F$15&amp;":AN:NULL:FISCAL")</f>
        <v/>
      </c>
      <c r="G77" s="710">
        <f>_xll.BLUEMATRIX2("/servlet/excelData",G76,$E$4,$D77&amp;":"&amp;G$14&amp;G$15&amp;":AN:NULL:FISCAL")</f>
        <v/>
      </c>
      <c r="H77" s="710">
        <f>_xll.BLUEMATRIX2("/servlet/excelData",H76,$E$4,$D77&amp;":"&amp;H$14&amp;H$15&amp;":AN:NULL:FISCAL")</f>
        <v/>
      </c>
      <c r="I77" s="710">
        <f>_xll.BLUEMATRIX2("/servlet/excelData",I76,$E$4,$D77&amp;":"&amp;I$14&amp;I$15&amp;":AN:NULL:FISCAL")</f>
        <v/>
      </c>
      <c r="J77" s="710">
        <f>_xll.BLUEMATRIX2("/servlet/excelData",J76,$E$4,$D77&amp;":"&amp;J$14&amp;J$15&amp;":AN:NULL:FISCAL")</f>
        <v/>
      </c>
      <c r="K77" s="710">
        <f>_xll.BLUEMATRIX2("/servlet/excelData",K76,$E$4,$D77&amp;":"&amp;K$14&amp;K$15&amp;":AN:NULL:FISCAL")</f>
        <v/>
      </c>
      <c r="L77" s="710">
        <f>_xll.BLUEMATRIX2("/servlet/excelData",L76,$E$4,$D77&amp;":"&amp;L$14&amp;L$15&amp;":AN:NULL:FISCAL")</f>
        <v/>
      </c>
      <c r="M77" s="710">
        <f>_xll.BLUEMATRIX2("/servlet/excelData",M76,$E$4,$D77&amp;":"&amp;M$14&amp;M$15&amp;":AN:NULL:FISCAL")</f>
        <v/>
      </c>
      <c r="N77" s="710">
        <f>_xll.BLUEMATRIX2("/servlet/excelData",N76,$E$4,$D77&amp;":"&amp;N$14&amp;N$15&amp;":AN:NULL:FISCAL")</f>
        <v/>
      </c>
    </row>
    <row r="78">
      <c r="A78" s="806" t="n"/>
      <c r="B78" s="782" t="inlineStr">
        <is>
          <t>Share repurchase (FXmn)</t>
        </is>
      </c>
      <c r="C78" s="782" t="inlineStr">
        <is>
          <t xml:space="preserve">Share buy-back </t>
        </is>
      </c>
      <c r="D78" s="783" t="inlineStr">
        <is>
          <t>ShareRepurch</t>
        </is>
      </c>
      <c r="E78" s="793" t="n"/>
      <c r="F78" s="793" t="n"/>
      <c r="G78" s="793" t="n"/>
      <c r="H78" s="793" t="n"/>
      <c r="I78" s="793" t="n"/>
      <c r="J78" s="793" t="n"/>
      <c r="K78" s="793" t="n"/>
      <c r="L78" s="793" t="n"/>
      <c r="M78" s="793" t="n"/>
      <c r="N78" s="793" t="n"/>
    </row>
    <row r="79">
      <c r="A79" s="806" t="n"/>
      <c r="B79" s="786" t="inlineStr">
        <is>
          <t>BM Formula &amp; Result</t>
        </is>
      </c>
      <c r="C79" s="787" t="n"/>
      <c r="D79" s="800" t="inlineStr">
        <is>
          <t>ShareRepurch</t>
        </is>
      </c>
      <c r="E79" s="710">
        <f>_xll.BLUEMATRIX2("/servlet/excelData",E78,$E$4,$D79&amp;":"&amp;E$14&amp;E$15&amp;":AN:NULL:FISCAL")</f>
        <v/>
      </c>
      <c r="F79" s="710">
        <f>_xll.BLUEMATRIX2("/servlet/excelData",F78,$E$4,$D79&amp;":"&amp;F$14&amp;F$15&amp;":AN:NULL:FISCAL")</f>
        <v/>
      </c>
      <c r="G79" s="710">
        <f>_xll.BLUEMATRIX2("/servlet/excelData",G78,$E$4,$D79&amp;":"&amp;G$14&amp;G$15&amp;":AN:NULL:FISCAL")</f>
        <v/>
      </c>
      <c r="H79" s="710">
        <f>_xll.BLUEMATRIX2("/servlet/excelData",H78,$E$4,$D79&amp;":"&amp;H$14&amp;H$15&amp;":AN:NULL:FISCAL")</f>
        <v/>
      </c>
      <c r="I79" s="710">
        <f>_xll.BLUEMATRIX2("/servlet/excelData",I78,$E$4,$D79&amp;":"&amp;I$14&amp;I$15&amp;":AN:NULL:FISCAL")</f>
        <v/>
      </c>
      <c r="J79" s="710">
        <f>_xll.BLUEMATRIX2("/servlet/excelData",J78,$E$4,$D79&amp;":"&amp;J$14&amp;J$15&amp;":AN:NULL:FISCAL")</f>
        <v/>
      </c>
      <c r="K79" s="710">
        <f>_xll.BLUEMATRIX2("/servlet/excelData",K78,$E$4,$D79&amp;":"&amp;K$14&amp;K$15&amp;":AN:NULL:FISCAL")</f>
        <v/>
      </c>
      <c r="L79" s="710">
        <f>_xll.BLUEMATRIX2("/servlet/excelData",L78,$E$4,$D79&amp;":"&amp;L$14&amp;L$15&amp;":AN:NULL:FISCAL")</f>
        <v/>
      </c>
      <c r="M79" s="710">
        <f>_xll.BLUEMATRIX2("/servlet/excelData",M78,$E$4,$D79&amp;":"&amp;M$14&amp;M$15&amp;":AN:NULL:FISCAL")</f>
        <v/>
      </c>
      <c r="N79" s="710">
        <f>_xll.BLUEMATRIX2("/servlet/excelData",N78,$E$4,$D79&amp;":"&amp;N$14&amp;N$15&amp;":AN:NULL:FISCAL")</f>
        <v/>
      </c>
    </row>
    <row r="80">
      <c r="A80" s="806" t="n"/>
      <c r="B80" s="782" t="inlineStr">
        <is>
          <t>Dividends paid</t>
        </is>
      </c>
      <c r="C80" s="782" t="inlineStr">
        <is>
          <t>Dividend voted during the previous fiscal year (payable in the current year)</t>
        </is>
      </c>
      <c r="D80" s="783" t="inlineStr">
        <is>
          <t>DIVIDENDS_PAID</t>
        </is>
      </c>
      <c r="E80" s="793" t="n"/>
      <c r="F80" s="793" t="n"/>
      <c r="G80" s="793" t="n"/>
      <c r="H80" s="793" t="n"/>
      <c r="I80" s="793" t="n"/>
      <c r="J80" s="793" t="n"/>
      <c r="K80" s="793" t="n"/>
      <c r="L80" s="793" t="n"/>
      <c r="M80" s="793" t="n"/>
      <c r="N80" s="793" t="n"/>
    </row>
    <row r="81">
      <c r="A81" s="806" t="n"/>
      <c r="B81" s="786" t="inlineStr">
        <is>
          <t>BM Formula &amp; Result</t>
        </is>
      </c>
      <c r="C81" s="787" t="n"/>
      <c r="D81" s="800" t="inlineStr">
        <is>
          <t>DIVIDENDS_PAID</t>
        </is>
      </c>
      <c r="E81" s="710">
        <f>_xll.BLUEMATRIX2("/servlet/excelData",E80,$E$4,$D81&amp;":"&amp;E$14&amp;E$15&amp;":AN:NULL:FISCAL")</f>
        <v/>
      </c>
      <c r="F81" s="710">
        <f>_xll.BLUEMATRIX2("/servlet/excelData",F80,$E$4,$D81&amp;":"&amp;F$14&amp;F$15&amp;":AN:NULL:FISCAL")</f>
        <v/>
      </c>
      <c r="G81" s="710">
        <f>_xll.BLUEMATRIX2("/servlet/excelData",G80,$E$4,$D81&amp;":"&amp;G$14&amp;G$15&amp;":AN:NULL:FISCAL")</f>
        <v/>
      </c>
      <c r="H81" s="710">
        <f>_xll.BLUEMATRIX2("/servlet/excelData",H80,$E$4,$D81&amp;":"&amp;H$14&amp;H$15&amp;":AN:NULL:FISCAL")</f>
        <v/>
      </c>
      <c r="I81" s="710">
        <f>_xll.BLUEMATRIX2("/servlet/excelData",I80,$E$4,$D81&amp;":"&amp;I$14&amp;I$15&amp;":AN:NULL:FISCAL")</f>
        <v/>
      </c>
      <c r="J81" s="710">
        <f>_xll.BLUEMATRIX2("/servlet/excelData",J80,$E$4,$D81&amp;":"&amp;J$14&amp;J$15&amp;":AN:NULL:FISCAL")</f>
        <v/>
      </c>
      <c r="K81" s="710">
        <f>_xll.BLUEMATRIX2("/servlet/excelData",K80,$E$4,$D81&amp;":"&amp;K$14&amp;K$15&amp;":AN:NULL:FISCAL")</f>
        <v/>
      </c>
      <c r="L81" s="710">
        <f>_xll.BLUEMATRIX2("/servlet/excelData",L80,$E$4,$D81&amp;":"&amp;L$14&amp;L$15&amp;":AN:NULL:FISCAL")</f>
        <v/>
      </c>
      <c r="M81" s="710">
        <f>_xll.BLUEMATRIX2("/servlet/excelData",M80,$E$4,$D81&amp;":"&amp;M$14&amp;M$15&amp;":AN:NULL:FISCAL")</f>
        <v/>
      </c>
      <c r="N81" s="710">
        <f>_xll.BLUEMATRIX2("/servlet/excelData",N80,$E$4,$D81&amp;":"&amp;N$14&amp;N$15&amp;":AN:NULL:FISCAL")</f>
        <v/>
      </c>
    </row>
    <row r="82">
      <c r="A82" s="806" t="n"/>
      <c r="B82" s="782" t="inlineStr">
        <is>
          <t xml:space="preserve">Cash flow from investing activities </t>
        </is>
      </c>
      <c r="C82" s="776" t="inlineStr">
        <is>
          <t>Acquisitions of subsidiaries, securities and other investments + Disposals of subsidiaries, securities and other investments</t>
        </is>
      </c>
      <c r="D82" s="783" t="inlineStr">
        <is>
          <t>CF_FROM_INVESTING_ACTIVITIES</t>
        </is>
      </c>
      <c r="E82" s="835">
        <f>(FS_Y!Q107)/1000</f>
        <v/>
      </c>
      <c r="F82" s="835">
        <f>(FS_Y!R107)/1000</f>
        <v/>
      </c>
      <c r="G82" s="835">
        <f>(FS_Y!S107)/1000</f>
        <v/>
      </c>
      <c r="H82" s="835">
        <f>(FS_Y!T107)/1000</f>
        <v/>
      </c>
      <c r="I82" s="835">
        <f>(FS_Y!U107)/1000</f>
        <v/>
      </c>
      <c r="J82" s="835">
        <f>(FS_Y!V107)/1000</f>
        <v/>
      </c>
      <c r="K82" s="835">
        <f>(FS_Y!W107)/1000</f>
        <v/>
      </c>
      <c r="L82" s="793" t="n"/>
      <c r="M82" s="793" t="n"/>
      <c r="N82" s="793" t="n"/>
    </row>
    <row r="83">
      <c r="A83" s="806" t="n"/>
      <c r="B83" s="786" t="inlineStr">
        <is>
          <t>BM Formula &amp; Result</t>
        </is>
      </c>
      <c r="C83" s="787" t="n"/>
      <c r="D83" s="800" t="inlineStr">
        <is>
          <t>CF_FROM_INVESTING_ACTIVITIES</t>
        </is>
      </c>
      <c r="E83" s="710">
        <f>_xll.BLUEMATRIX2("/servlet/excelData",E82,$E$4,$D83&amp;":"&amp;E$14&amp;E$15&amp;":AN:NULL:FISCAL")</f>
        <v/>
      </c>
      <c r="F83" s="710">
        <f>_xll.BLUEMATRIX2("/servlet/excelData",F82,$E$4,$D83&amp;":"&amp;F$14&amp;F$15&amp;":AN:NULL:FISCAL")</f>
        <v/>
      </c>
      <c r="G83" s="710">
        <f>_xll.BLUEMATRIX2("/servlet/excelData",G82,$E$4,$D83&amp;":"&amp;G$14&amp;G$15&amp;":AN:NULL:FISCAL")</f>
        <v/>
      </c>
      <c r="H83" s="710">
        <f>_xll.BLUEMATRIX2("/servlet/excelData",H82,$E$4,$D83&amp;":"&amp;H$14&amp;H$15&amp;":AN:NULL:FISCAL")</f>
        <v/>
      </c>
      <c r="I83" s="710">
        <f>_xll.BLUEMATRIX2("/servlet/excelData",I82,$E$4,$D83&amp;":"&amp;I$14&amp;I$15&amp;":AN:NULL:FISCAL")</f>
        <v/>
      </c>
      <c r="J83" s="710">
        <f>_xll.BLUEMATRIX2("/servlet/excelData",J82,$E$4,$D83&amp;":"&amp;J$14&amp;J$15&amp;":AN:NULL:FISCAL")</f>
        <v/>
      </c>
      <c r="K83" s="710">
        <f>_xll.BLUEMATRIX2("/servlet/excelData",K82,$E$4,$D83&amp;":"&amp;K$14&amp;K$15&amp;":AN:NULL:FISCAL")</f>
        <v/>
      </c>
      <c r="L83" s="710">
        <f>_xll.BLUEMATRIX2("/servlet/excelData",L82,$E$4,$D83&amp;":"&amp;L$14&amp;L$15&amp;":AN:NULL:FISCAL")</f>
        <v/>
      </c>
      <c r="M83" s="710">
        <f>_xll.BLUEMATRIX2("/servlet/excelData",M82,$E$4,$D83&amp;":"&amp;M$14&amp;M$15&amp;":AN:NULL:FISCAL")</f>
        <v/>
      </c>
      <c r="N83" s="710">
        <f>_xll.BLUEMATRIX2("/servlet/excelData",N82,$E$4,$D83&amp;":"&amp;N$14&amp;N$15&amp;":AN:NULL:FISCAL")</f>
        <v/>
      </c>
    </row>
    <row r="84">
      <c r="A84" s="806" t="n"/>
      <c r="B84" s="782" t="inlineStr">
        <is>
          <t>Other movements in cash flow statement</t>
        </is>
      </c>
      <c r="C84" s="776" t="inlineStr">
        <is>
          <t>Other movements in cash flow statement - this item helps reconcile the summary CF statement</t>
        </is>
      </c>
      <c r="D84" s="783" t="inlineStr">
        <is>
          <t>OTHER_MOVEMENTS_IN_CFS</t>
        </is>
      </c>
      <c r="E84" s="793" t="n"/>
      <c r="F84" s="793" t="n"/>
      <c r="G84" s="793" t="n"/>
      <c r="H84" s="793" t="n"/>
      <c r="I84" s="793" t="n"/>
      <c r="J84" s="793" t="n"/>
      <c r="K84" s="793" t="n"/>
      <c r="L84" s="793" t="n"/>
      <c r="M84" s="793" t="n"/>
      <c r="N84" s="793" t="n"/>
    </row>
    <row r="85">
      <c r="A85" s="806" t="n"/>
      <c r="B85" s="786" t="inlineStr">
        <is>
          <t>BM Formula &amp; Result</t>
        </is>
      </c>
      <c r="C85" s="787" t="n"/>
      <c r="D85" s="800" t="inlineStr">
        <is>
          <t>OTHER_MOVEMENTS_IN_CFS</t>
        </is>
      </c>
      <c r="E85" s="710">
        <f>_xll.BLUEMATRIX2("/servlet/excelData",E84,$E$4,$D85&amp;":"&amp;E$14&amp;E$15&amp;":AN:NULL:FISCAL")</f>
        <v/>
      </c>
      <c r="F85" s="710">
        <f>_xll.BLUEMATRIX2("/servlet/excelData",F84,$E$4,$D85&amp;":"&amp;F$14&amp;F$15&amp;":AN:NULL:FISCAL")</f>
        <v/>
      </c>
      <c r="G85" s="710">
        <f>_xll.BLUEMATRIX2("/servlet/excelData",G84,$E$4,$D85&amp;":"&amp;G$14&amp;G$15&amp;":AN:NULL:FISCAL")</f>
        <v/>
      </c>
      <c r="H85" s="710">
        <f>_xll.BLUEMATRIX2("/servlet/excelData",H84,$E$4,$D85&amp;":"&amp;H$14&amp;H$15&amp;":AN:NULL:FISCAL")</f>
        <v/>
      </c>
      <c r="I85" s="710">
        <f>_xll.BLUEMATRIX2("/servlet/excelData",I84,$E$4,$D85&amp;":"&amp;I$14&amp;I$15&amp;":AN:NULL:FISCAL")</f>
        <v/>
      </c>
      <c r="J85" s="710">
        <f>_xll.BLUEMATRIX2("/servlet/excelData",J84,$E$4,$D85&amp;":"&amp;J$14&amp;J$15&amp;":AN:NULL:FISCAL")</f>
        <v/>
      </c>
      <c r="K85" s="710">
        <f>_xll.BLUEMATRIX2("/servlet/excelData",K84,$E$4,$D85&amp;":"&amp;K$14&amp;K$15&amp;":AN:NULL:FISCAL")</f>
        <v/>
      </c>
      <c r="L85" s="710">
        <f>_xll.BLUEMATRIX2("/servlet/excelData",L84,$E$4,$D85&amp;":"&amp;L$14&amp;L$15&amp;":AN:NULL:FISCAL")</f>
        <v/>
      </c>
      <c r="M85" s="710">
        <f>_xll.BLUEMATRIX2("/servlet/excelData",M84,$E$4,$D85&amp;":"&amp;M$14&amp;M$15&amp;":AN:NULL:FISCAL")</f>
        <v/>
      </c>
      <c r="N85" s="710">
        <f>_xll.BLUEMATRIX2("/servlet/excelData",N84,$E$4,$D85&amp;":"&amp;N$14&amp;N$15&amp;":AN:NULL:FISCAL")</f>
        <v/>
      </c>
    </row>
    <row r="86">
      <c r="A86" s="806" t="n"/>
      <c r="B86" s="782" t="inlineStr">
        <is>
          <t>Other operating cash movements</t>
        </is>
      </c>
      <c r="C86" s="776" t="inlineStr">
        <is>
          <t>Other operating cash movements - to reconcile EBITDA, Change in WC, and CFO</t>
        </is>
      </c>
      <c r="D86" s="783" t="inlineStr">
        <is>
          <t>OTHER_OP_CASH_MOVEMENTS</t>
        </is>
      </c>
      <c r="E86" s="793" t="n"/>
      <c r="F86" s="793" t="n"/>
      <c r="G86" s="793" t="n"/>
      <c r="H86" s="793" t="n"/>
      <c r="I86" s="793" t="n"/>
      <c r="J86" s="793" t="n"/>
      <c r="K86" s="793" t="n"/>
      <c r="L86" s="793" t="n"/>
      <c r="M86" s="793" t="n"/>
      <c r="N86" s="793" t="n"/>
    </row>
    <row r="87">
      <c r="A87" s="806" t="n"/>
      <c r="B87" s="786" t="inlineStr">
        <is>
          <t>BM Formula &amp; Result</t>
        </is>
      </c>
      <c r="C87" s="787" t="n"/>
      <c r="D87" s="800" t="inlineStr">
        <is>
          <t>OTHER_OP_CASH_MOVEMENTS</t>
        </is>
      </c>
      <c r="E87" s="710">
        <f>_xll.BLUEMATRIX2("/servlet/excelData",E86,$E$4,$D87&amp;":"&amp;E$14&amp;E$15&amp;":AN:NULL:FISCAL")</f>
        <v/>
      </c>
      <c r="F87" s="710">
        <f>_xll.BLUEMATRIX2("/servlet/excelData",F86,$E$4,$D87&amp;":"&amp;F$14&amp;F$15&amp;":AN:NULL:FISCAL")</f>
        <v/>
      </c>
      <c r="G87" s="710">
        <f>_xll.BLUEMATRIX2("/servlet/excelData",G86,$E$4,$D87&amp;":"&amp;G$14&amp;G$15&amp;":AN:NULL:FISCAL")</f>
        <v/>
      </c>
      <c r="H87" s="710">
        <f>_xll.BLUEMATRIX2("/servlet/excelData",H86,$E$4,$D87&amp;":"&amp;H$14&amp;H$15&amp;":AN:NULL:FISCAL")</f>
        <v/>
      </c>
      <c r="I87" s="710">
        <f>_xll.BLUEMATRIX2("/servlet/excelData",I86,$E$4,$D87&amp;":"&amp;I$14&amp;I$15&amp;":AN:NULL:FISCAL")</f>
        <v/>
      </c>
      <c r="J87" s="710">
        <f>_xll.BLUEMATRIX2("/servlet/excelData",J86,$E$4,$D87&amp;":"&amp;J$14&amp;J$15&amp;":AN:NULL:FISCAL")</f>
        <v/>
      </c>
      <c r="K87" s="710">
        <f>_xll.BLUEMATRIX2("/servlet/excelData",K86,$E$4,$D87&amp;":"&amp;K$14&amp;K$15&amp;":AN:NULL:FISCAL")</f>
        <v/>
      </c>
      <c r="L87" s="710">
        <f>_xll.BLUEMATRIX2("/servlet/excelData",L86,$E$4,$D87&amp;":"&amp;L$14&amp;L$15&amp;":AN:NULL:FISCAL")</f>
        <v/>
      </c>
      <c r="M87" s="710">
        <f>_xll.BLUEMATRIX2("/servlet/excelData",M86,$E$4,$D87&amp;":"&amp;M$14&amp;M$15&amp;":AN:NULL:FISCAL")</f>
        <v/>
      </c>
      <c r="N87" s="710">
        <f>_xll.BLUEMATRIX2("/servlet/excelData",N86,$E$4,$D87&amp;":"&amp;N$14&amp;N$15&amp;":AN:NULL:FISCAL")</f>
        <v/>
      </c>
    </row>
    <row r="88">
      <c r="A88" s="807" t="inlineStr">
        <is>
          <t>ESG</t>
        </is>
      </c>
      <c r="B88" s="795" t="inlineStr">
        <is>
          <t>ESG Premium</t>
        </is>
      </c>
      <c r="C88" s="796" t="inlineStr">
        <is>
          <t>SG models only, initially</t>
        </is>
      </c>
      <c r="D88" s="797" t="inlineStr">
        <is>
          <t>ESG_OVERLAY</t>
        </is>
      </c>
      <c r="E88" s="805" t="n"/>
      <c r="F88" s="805" t="n"/>
      <c r="G88" s="805" t="n"/>
      <c r="H88" s="805" t="n"/>
      <c r="I88" s="805" t="n"/>
      <c r="J88" s="805" t="n"/>
      <c r="K88" s="805" t="n"/>
      <c r="L88" s="805" t="n"/>
      <c r="M88" s="805" t="n"/>
      <c r="N88" s="805" t="n"/>
    </row>
    <row r="89">
      <c r="A89" s="808" t="n"/>
      <c r="B89" s="786" t="inlineStr">
        <is>
          <t>BM Formula &amp; Result</t>
        </is>
      </c>
      <c r="C89" s="787" t="n"/>
      <c r="D89" s="800" t="inlineStr">
        <is>
          <t>ESG_OVERLAY</t>
        </is>
      </c>
      <c r="E89" s="818">
        <f>_xll.BLUEMATRIX2("/servlet/excelData",E88,$E$4,$D89&amp;":"&amp;E$14&amp;E$15&amp;":AN:NULL:FISCAL")</f>
        <v/>
      </c>
      <c r="F89" s="818">
        <f>_xll.BLUEMATRIX2("/servlet/excelData",F88,$E$4,$D89&amp;":"&amp;F$14&amp;F$15&amp;":AN:NULL:FISCAL")</f>
        <v/>
      </c>
      <c r="G89" s="818">
        <f>_xll.BLUEMATRIX2("/servlet/excelData",G88,$E$4,$D89&amp;":"&amp;G$14&amp;G$15&amp;":AN:NULL:FISCAL")</f>
        <v/>
      </c>
      <c r="H89" s="818">
        <f>_xll.BLUEMATRIX2("/servlet/excelData",H88,$E$4,$D89&amp;":"&amp;H$14&amp;H$15&amp;":AN:NULL:FISCAL")</f>
        <v/>
      </c>
      <c r="I89" s="818">
        <f>_xll.BLUEMATRIX2("/servlet/excelData",I88,$E$4,$D89&amp;":"&amp;I$14&amp;I$15&amp;":AN:NULL:FISCAL")</f>
        <v/>
      </c>
      <c r="J89" s="818">
        <f>_xll.BLUEMATRIX2("/servlet/excelData",J88,$E$4,$D89&amp;":"&amp;J$14&amp;J$15&amp;":AN:NULL:FISCAL")</f>
        <v/>
      </c>
      <c r="K89" s="818">
        <f>_xll.BLUEMATRIX2("/servlet/excelData",K88,$E$4,$D89&amp;":"&amp;K$14&amp;K$15&amp;":AN:NULL:FISCAL")</f>
        <v/>
      </c>
      <c r="L89" s="710">
        <f>_xll.BLUEMATRIX2("/servlet/excelData",L88,$E$4,$D89&amp;":"&amp;L$14&amp;L$15&amp;":AN:NULL:FISCAL")</f>
        <v/>
      </c>
      <c r="M89" s="710">
        <f>_xll.BLUEMATRIX2("/servlet/excelData",M88,$E$4,$D89&amp;":"&amp;M$14&amp;M$15&amp;":AN:NULL:FISCAL")</f>
        <v/>
      </c>
      <c r="N89" s="710">
        <f>_xll.BLUEMATRIX2("/servlet/excelData",N88,$E$4,$D89&amp;":"&amp;N$14&amp;N$15&amp;":AN:NULL:FISCAL")</f>
        <v/>
      </c>
    </row>
    <row r="90">
      <c r="A90" s="809" t="inlineStr">
        <is>
          <t>P&amp;L</t>
        </is>
      </c>
      <c r="B90" s="795" t="inlineStr">
        <is>
          <t>Revenues (M)</t>
        </is>
      </c>
      <c r="C90" s="795" t="inlineStr">
        <is>
          <t>Total revenues</t>
        </is>
      </c>
      <c r="D90" s="797" t="inlineStr">
        <is>
          <t>SALES</t>
        </is>
      </c>
      <c r="E90" s="835">
        <f>(FS_Y!Q11)/1000</f>
        <v/>
      </c>
      <c r="F90" s="835">
        <f>(FS_Y!R11)/1000</f>
        <v/>
      </c>
      <c r="G90" s="835">
        <f>(FS_Y!S11)/1000</f>
        <v/>
      </c>
      <c r="H90" s="835">
        <f>(FS_Y!T11)/1000</f>
        <v/>
      </c>
      <c r="I90" s="835">
        <f>(FS_Y!U11)/1000</f>
        <v/>
      </c>
      <c r="J90" s="835">
        <f>(FS_Y!V11)/1000</f>
        <v/>
      </c>
      <c r="K90" s="835">
        <f>(FS_Y!W11)/1000</f>
        <v/>
      </c>
      <c r="L90" s="805" t="n"/>
      <c r="M90" s="805" t="n"/>
      <c r="N90" s="805" t="n"/>
    </row>
    <row r="91">
      <c r="A91" s="810" t="n"/>
      <c r="B91" s="786" t="inlineStr">
        <is>
          <t>BM Formula &amp; Result</t>
        </is>
      </c>
      <c r="C91" s="787" t="n"/>
      <c r="D91" s="800" t="inlineStr">
        <is>
          <t>SALES</t>
        </is>
      </c>
      <c r="E91" s="710">
        <f>_xll.BLUEMATRIX2("/servlet/excelData",E90,$E$4,$D91&amp;":"&amp;E$14&amp;E$15&amp;":AN:NULL:FISCAL")</f>
        <v/>
      </c>
      <c r="F91" s="710">
        <f>_xll.BLUEMATRIX2("/servlet/excelData",F90,$E$4,$D91&amp;":"&amp;F$14&amp;F$15&amp;":AN:NULL:FISCAL")</f>
        <v/>
      </c>
      <c r="G91" s="710">
        <f>_xll.BLUEMATRIX2("/servlet/excelData",G90,$E$4,$D91&amp;":"&amp;G$14&amp;G$15&amp;":AN:NULL:FISCAL")</f>
        <v/>
      </c>
      <c r="H91" s="710">
        <f>_xll.BLUEMATRIX2("/servlet/excelData",H90,$E$4,$D91&amp;":"&amp;H$14&amp;H$15&amp;":AN:NULL:FISCAL")</f>
        <v/>
      </c>
      <c r="I91" s="710">
        <f>_xll.BLUEMATRIX2("/servlet/excelData",I90,$E$4,$D91&amp;":"&amp;I$14&amp;I$15&amp;":AN:NULL:FISCAL")</f>
        <v/>
      </c>
      <c r="J91" s="710">
        <f>_xll.BLUEMATRIX2("/servlet/excelData",J90,$E$4,$D91&amp;":"&amp;J$14&amp;J$15&amp;":AN:NULL:FISCAL")</f>
        <v/>
      </c>
      <c r="K91" s="710">
        <f>_xll.BLUEMATRIX2("/servlet/excelData",K90,$E$4,$D91&amp;":"&amp;K$14&amp;K$15&amp;":AN:NULL:FISCAL")</f>
        <v/>
      </c>
      <c r="L91" s="710">
        <f>_xll.BLUEMATRIX2("/servlet/excelData",L90,$E$4,$D91&amp;":"&amp;L$14&amp;L$15&amp;":AN:NULL:FISCAL")</f>
        <v/>
      </c>
      <c r="M91" s="710">
        <f>_xll.BLUEMATRIX2("/servlet/excelData",M90,$E$4,$D91&amp;":"&amp;M$14&amp;M$15&amp;":AN:NULL:FISCAL")</f>
        <v/>
      </c>
      <c r="N91" s="710">
        <f>_xll.BLUEMATRIX2("/servlet/excelData",N90,$E$4,$D91&amp;":"&amp;N$14&amp;N$15&amp;":AN:NULL:FISCAL")</f>
        <v/>
      </c>
    </row>
    <row r="92">
      <c r="A92" s="810" t="n"/>
      <c r="B92" s="782" t="inlineStr">
        <is>
          <t>Revenues growth (%)</t>
        </is>
      </c>
      <c r="C92" s="782" t="n"/>
      <c r="D92" s="783" t="inlineStr">
        <is>
          <t>RevenuesGrowth</t>
        </is>
      </c>
      <c r="E92" s="836">
        <f>FS_Y!Q11/FS_Y!P11-1</f>
        <v/>
      </c>
      <c r="F92" s="836">
        <f>FS_Y!R11/FS_Y!Q11-1</f>
        <v/>
      </c>
      <c r="G92" s="836">
        <f>FS_Y!S11/FS_Y!R11-1</f>
        <v/>
      </c>
      <c r="H92" s="836">
        <f>FS_Y!T11/FS_Y!S11-1</f>
        <v/>
      </c>
      <c r="I92" s="836">
        <f>FS_Y!U11/FS_Y!T11-1</f>
        <v/>
      </c>
      <c r="J92" s="836">
        <f>FS_Y!V11/FS_Y!U11-1</f>
        <v/>
      </c>
      <c r="K92" s="836">
        <f>FS_Y!W11/FS_Y!V11-1</f>
        <v/>
      </c>
      <c r="L92" s="793" t="n"/>
      <c r="M92" s="793" t="n"/>
      <c r="N92" s="793" t="n"/>
    </row>
    <row r="93">
      <c r="A93" s="810" t="n"/>
      <c r="B93" s="786" t="inlineStr">
        <is>
          <t>BM Formula &amp; Result</t>
        </is>
      </c>
      <c r="C93" s="787" t="n"/>
      <c r="D93" s="800" t="inlineStr">
        <is>
          <t>RevenuesGrowth</t>
        </is>
      </c>
      <c r="E93" s="710">
        <f>_xll.BLUEMATRIX2("/servlet/excelData",E92,$E$4,$D93&amp;":"&amp;E$14&amp;E$15&amp;":AN:NULL:FISCAL")</f>
        <v/>
      </c>
      <c r="F93" s="710">
        <f>_xll.BLUEMATRIX2("/servlet/excelData",F92,$E$4,$D93&amp;":"&amp;F$14&amp;F$15&amp;":AN:NULL:FISCAL")</f>
        <v/>
      </c>
      <c r="G93" s="710">
        <f>_xll.BLUEMATRIX2("/servlet/excelData",G92,$E$4,$D93&amp;":"&amp;G$14&amp;G$15&amp;":AN:NULL:FISCAL")</f>
        <v/>
      </c>
      <c r="H93" s="710">
        <f>_xll.BLUEMATRIX2("/servlet/excelData",H92,$E$4,$D93&amp;":"&amp;H$14&amp;H$15&amp;":AN:NULL:FISCAL")</f>
        <v/>
      </c>
      <c r="I93" s="710">
        <f>_xll.BLUEMATRIX2("/servlet/excelData",I92,$E$4,$D93&amp;":"&amp;I$14&amp;I$15&amp;":AN:NULL:FISCAL")</f>
        <v/>
      </c>
      <c r="J93" s="710">
        <f>_xll.BLUEMATRIX2("/servlet/excelData",J92,$E$4,$D93&amp;":"&amp;J$14&amp;J$15&amp;":AN:NULL:FISCAL")</f>
        <v/>
      </c>
      <c r="K93" s="710">
        <f>_xll.BLUEMATRIX2("/servlet/excelData",K92,$E$4,$D93&amp;":"&amp;K$14&amp;K$15&amp;":AN:NULL:FISCAL")</f>
        <v/>
      </c>
      <c r="L93" s="710">
        <f>_xll.BLUEMATRIX2("/servlet/excelData",L92,$E$4,$D93&amp;":"&amp;L$14&amp;L$15&amp;":AN:NULL:FISCAL")</f>
        <v/>
      </c>
      <c r="M93" s="710">
        <f>_xll.BLUEMATRIX2("/servlet/excelData",M92,$E$4,$D93&amp;":"&amp;M$14&amp;M$15&amp;":AN:NULL:FISCAL")</f>
        <v/>
      </c>
      <c r="N93" s="710">
        <f>_xll.BLUEMATRIX2("/servlet/excelData",N92,$E$4,$D93&amp;":"&amp;N$14&amp;N$15&amp;":AN:NULL:FISCAL")</f>
        <v/>
      </c>
    </row>
    <row r="94">
      <c r="A94" s="810" t="n"/>
      <c r="B94" s="782" t="inlineStr">
        <is>
          <t>Cost of Goods Sold (M)</t>
        </is>
      </c>
      <c r="C94" s="782" t="inlineStr">
        <is>
          <t>Includes R&amp;D cost linked to the manufacturing process</t>
        </is>
      </c>
      <c r="D94" s="783" t="inlineStr">
        <is>
          <t>COGS</t>
        </is>
      </c>
      <c r="E94" s="835">
        <f>(FS_Y!Q12)/1000</f>
        <v/>
      </c>
      <c r="F94" s="835">
        <f>(FS_Y!R12)/1000</f>
        <v/>
      </c>
      <c r="G94" s="835">
        <f>(FS_Y!S12)/1000</f>
        <v/>
      </c>
      <c r="H94" s="835">
        <f>(FS_Y!T12)/1000</f>
        <v/>
      </c>
      <c r="I94" s="835">
        <f>(FS_Y!U12)/1000</f>
        <v/>
      </c>
      <c r="J94" s="835">
        <f>(FS_Y!V12)/1000</f>
        <v/>
      </c>
      <c r="K94" s="835">
        <f>(FS_Y!W12)/1000</f>
        <v/>
      </c>
      <c r="L94" s="793" t="n"/>
      <c r="M94" s="793" t="n"/>
      <c r="N94" s="793" t="n"/>
    </row>
    <row r="95">
      <c r="A95" s="810" t="n"/>
      <c r="B95" s="786" t="inlineStr">
        <is>
          <t>BM Formula &amp; Result</t>
        </is>
      </c>
      <c r="C95" s="787" t="n"/>
      <c r="D95" s="800" t="inlineStr">
        <is>
          <t>COGS</t>
        </is>
      </c>
      <c r="E95" s="710">
        <f>_xll.BLUEMATRIX2("/servlet/excelData",E94,$E$4,$D95&amp;":"&amp;E$14&amp;E$15&amp;":AN:NULL:FISCAL")</f>
        <v/>
      </c>
      <c r="F95" s="710">
        <f>_xll.BLUEMATRIX2("/servlet/excelData",F94,$E$4,$D95&amp;":"&amp;F$14&amp;F$15&amp;":AN:NULL:FISCAL")</f>
        <v/>
      </c>
      <c r="G95" s="710">
        <f>_xll.BLUEMATRIX2("/servlet/excelData",G94,$E$4,$D95&amp;":"&amp;G$14&amp;G$15&amp;":AN:NULL:FISCAL")</f>
        <v/>
      </c>
      <c r="H95" s="710">
        <f>_xll.BLUEMATRIX2("/servlet/excelData",H94,$E$4,$D95&amp;":"&amp;H$14&amp;H$15&amp;":AN:NULL:FISCAL")</f>
        <v/>
      </c>
      <c r="I95" s="710">
        <f>_xll.BLUEMATRIX2("/servlet/excelData",I94,$E$4,$D95&amp;":"&amp;I$14&amp;I$15&amp;":AN:NULL:FISCAL")</f>
        <v/>
      </c>
      <c r="J95" s="710">
        <f>_xll.BLUEMATRIX2("/servlet/excelData",J94,$E$4,$D95&amp;":"&amp;J$14&amp;J$15&amp;":AN:NULL:FISCAL")</f>
        <v/>
      </c>
      <c r="K95" s="710">
        <f>_xll.BLUEMATRIX2("/servlet/excelData",K94,$E$4,$D95&amp;":"&amp;K$14&amp;K$15&amp;":AN:NULL:FISCAL")</f>
        <v/>
      </c>
      <c r="L95" s="710">
        <f>_xll.BLUEMATRIX2("/servlet/excelData",L94,$E$4,$D95&amp;":"&amp;L$14&amp;L$15&amp;":AN:NULL:FISCAL")</f>
        <v/>
      </c>
      <c r="M95" s="710">
        <f>_xll.BLUEMATRIX2("/servlet/excelData",M94,$E$4,$D95&amp;":"&amp;M$14&amp;M$15&amp;":AN:NULL:FISCAL")</f>
        <v/>
      </c>
      <c r="N95" s="710">
        <f>_xll.BLUEMATRIX2("/servlet/excelData",N94,$E$4,$D95&amp;":"&amp;N$14&amp;N$15&amp;":AN:NULL:FISCAL")</f>
        <v/>
      </c>
    </row>
    <row r="96">
      <c r="A96" s="810" t="n"/>
      <c r="B96" s="782" t="inlineStr">
        <is>
          <t>EBITDA (M)</t>
        </is>
      </c>
      <c r="C96" s="776" t="inlineStr">
        <is>
          <t>Gross operating income + Research &amp; development + Share based payment + Actuarial gain (or losses) &amp; service cost (retirement plans) + Other operating expenses (ex. depreciation and amortisation) + Other operating income / (expense) ;  excluding income from associates</t>
        </is>
      </c>
      <c r="D96" s="783" t="inlineStr">
        <is>
          <t>EBITDA</t>
        </is>
      </c>
      <c r="E96" s="835">
        <f>(FS_Y!Q137)/1000</f>
        <v/>
      </c>
      <c r="F96" s="835">
        <f>(FS_Y!R137)/1000</f>
        <v/>
      </c>
      <c r="G96" s="835">
        <f>(FS_Y!S137)/1000</f>
        <v/>
      </c>
      <c r="H96" s="835">
        <f>(FS_Y!T137)/1000</f>
        <v/>
      </c>
      <c r="I96" s="835">
        <f>(FS_Y!U137)/1000</f>
        <v/>
      </c>
      <c r="J96" s="835">
        <f>(FS_Y!V137)/1000</f>
        <v/>
      </c>
      <c r="K96" s="835">
        <f>(FS_Y!W137)/1000</f>
        <v/>
      </c>
      <c r="L96" s="793" t="n"/>
      <c r="M96" s="793" t="n"/>
      <c r="N96" s="793" t="n"/>
    </row>
    <row r="97">
      <c r="A97" s="810" t="n"/>
      <c r="B97" s="786" t="inlineStr">
        <is>
          <t>BM Formula &amp; Result</t>
        </is>
      </c>
      <c r="C97" s="787" t="n"/>
      <c r="D97" s="800" t="inlineStr">
        <is>
          <t>EBITDA</t>
        </is>
      </c>
      <c r="E97" s="710">
        <f>_xll.BLUEMATRIX2("/servlet/excelData",E96,$E$4,$D97&amp;":"&amp;E$14&amp;E$15&amp;":AN:NULL:FISCAL")</f>
        <v/>
      </c>
      <c r="F97" s="710">
        <f>_xll.BLUEMATRIX2("/servlet/excelData",F96,$E$4,$D97&amp;":"&amp;F$14&amp;F$15&amp;":AN:NULL:FISCAL")</f>
        <v/>
      </c>
      <c r="G97" s="710">
        <f>_xll.BLUEMATRIX2("/servlet/excelData",G96,$E$4,$D97&amp;":"&amp;G$14&amp;G$15&amp;":AN:NULL:FISCAL")</f>
        <v/>
      </c>
      <c r="H97" s="710">
        <f>_xll.BLUEMATRIX2("/servlet/excelData",H96,$E$4,$D97&amp;":"&amp;H$14&amp;H$15&amp;":AN:NULL:FISCAL")</f>
        <v/>
      </c>
      <c r="I97" s="710">
        <f>_xll.BLUEMATRIX2("/servlet/excelData",I96,$E$4,$D97&amp;":"&amp;I$14&amp;I$15&amp;":AN:NULL:FISCAL")</f>
        <v/>
      </c>
      <c r="J97" s="710">
        <f>_xll.BLUEMATRIX2("/servlet/excelData",J96,$E$4,$D97&amp;":"&amp;J$14&amp;J$15&amp;":AN:NULL:FISCAL")</f>
        <v/>
      </c>
      <c r="K97" s="710">
        <f>_xll.BLUEMATRIX2("/servlet/excelData",K96,$E$4,$D97&amp;":"&amp;K$14&amp;K$15&amp;":AN:NULL:FISCAL")</f>
        <v/>
      </c>
      <c r="L97" s="710">
        <f>_xll.BLUEMATRIX2("/servlet/excelData",L96,$E$4,$D97&amp;":"&amp;L$14&amp;L$15&amp;":AN:NULL:FISCAL")</f>
        <v/>
      </c>
      <c r="M97" s="710">
        <f>_xll.BLUEMATRIX2("/servlet/excelData",M96,$E$4,$D97&amp;":"&amp;M$14&amp;M$15&amp;":AN:NULL:FISCAL")</f>
        <v/>
      </c>
      <c r="N97" s="710">
        <f>_xll.BLUEMATRIX2("/servlet/excelData",N96,$E$4,$D97&amp;":"&amp;N$14&amp;N$15&amp;":AN:NULL:FISCAL")</f>
        <v/>
      </c>
    </row>
    <row r="98">
      <c r="A98" s="810" t="n"/>
      <c r="B98" s="782" t="inlineStr">
        <is>
          <t>EBITDA (exc. associates) yoy growth (%)</t>
        </is>
      </c>
      <c r="C98" s="782" t="n"/>
      <c r="D98" s="783" t="inlineStr">
        <is>
          <t>EBITDA_XA_GROWTH</t>
        </is>
      </c>
      <c r="E98" s="836">
        <f>FS_Y!Q137/FS_Y!P137-1</f>
        <v/>
      </c>
      <c r="F98" s="836">
        <f>FS_Y!R137/FS_Y!Q137-1</f>
        <v/>
      </c>
      <c r="G98" s="836">
        <f>FS_Y!S137/FS_Y!R137-1</f>
        <v/>
      </c>
      <c r="H98" s="836">
        <f>FS_Y!T137/FS_Y!S137-1</f>
        <v/>
      </c>
      <c r="I98" s="836">
        <f>FS_Y!U137/FS_Y!T137-1</f>
        <v/>
      </c>
      <c r="J98" s="836">
        <f>FS_Y!V137/FS_Y!U137-1</f>
        <v/>
      </c>
      <c r="K98" s="836">
        <f>FS_Y!W137/FS_Y!V137-1</f>
        <v/>
      </c>
      <c r="L98" s="793" t="n"/>
      <c r="M98" s="793" t="n"/>
      <c r="N98" s="793" t="n"/>
    </row>
    <row r="99">
      <c r="A99" s="810" t="n"/>
      <c r="B99" s="786" t="inlineStr">
        <is>
          <t>BM Formula &amp; Result</t>
        </is>
      </c>
      <c r="C99" s="787" t="n"/>
      <c r="D99" s="800" t="inlineStr">
        <is>
          <t>EBITDA_XA_GROWTH</t>
        </is>
      </c>
      <c r="E99" s="710">
        <f>_xll.BLUEMATRIX2("/servlet/excelData",E98,$E$4,$D99&amp;":"&amp;E$14&amp;E$15&amp;":AN:NULL:FISCAL")</f>
        <v/>
      </c>
      <c r="F99" s="710">
        <f>_xll.BLUEMATRIX2("/servlet/excelData",F98,$E$4,$D99&amp;":"&amp;F$14&amp;F$15&amp;":AN:NULL:FISCAL")</f>
        <v/>
      </c>
      <c r="G99" s="710">
        <f>_xll.BLUEMATRIX2("/servlet/excelData",G98,$E$4,$D99&amp;":"&amp;G$14&amp;G$15&amp;":AN:NULL:FISCAL")</f>
        <v/>
      </c>
      <c r="H99" s="710">
        <f>_xll.BLUEMATRIX2("/servlet/excelData",H98,$E$4,$D99&amp;":"&amp;H$14&amp;H$15&amp;":AN:NULL:FISCAL")</f>
        <v/>
      </c>
      <c r="I99" s="710">
        <f>_xll.BLUEMATRIX2("/servlet/excelData",I98,$E$4,$D99&amp;":"&amp;I$14&amp;I$15&amp;":AN:NULL:FISCAL")</f>
        <v/>
      </c>
      <c r="J99" s="710">
        <f>_xll.BLUEMATRIX2("/servlet/excelData",J98,$E$4,$D99&amp;":"&amp;J$14&amp;J$15&amp;":AN:NULL:FISCAL")</f>
        <v/>
      </c>
      <c r="K99" s="710">
        <f>_xll.BLUEMATRIX2("/servlet/excelData",K98,$E$4,$D99&amp;":"&amp;K$14&amp;K$15&amp;":AN:NULL:FISCAL")</f>
        <v/>
      </c>
      <c r="L99" s="710">
        <f>_xll.BLUEMATRIX2("/servlet/excelData",L98,$E$4,$D99&amp;":"&amp;L$14&amp;L$15&amp;":AN:NULL:FISCAL")</f>
        <v/>
      </c>
      <c r="M99" s="710">
        <f>_xll.BLUEMATRIX2("/servlet/excelData",M98,$E$4,$D99&amp;":"&amp;M$14&amp;M$15&amp;":AN:NULL:FISCAL")</f>
        <v/>
      </c>
      <c r="N99" s="710">
        <f>_xll.BLUEMATRIX2("/servlet/excelData",N98,$E$4,$D99&amp;":"&amp;N$14&amp;N$15&amp;":AN:NULL:FISCAL")</f>
        <v/>
      </c>
    </row>
    <row r="100">
      <c r="A100" s="810" t="n"/>
      <c r="B100" s="782" t="inlineStr">
        <is>
          <t>Income from associates / other income</t>
        </is>
      </c>
      <c r="C100" s="776" t="inlineStr">
        <is>
          <t>Income from associates and other non operational income / expenses</t>
        </is>
      </c>
      <c r="D100" s="783" t="inlineStr">
        <is>
          <t>IncomeAssociates</t>
        </is>
      </c>
      <c r="E100" s="793" t="n"/>
      <c r="F100" s="793" t="n"/>
      <c r="G100" s="793" t="n"/>
      <c r="H100" s="793" t="n"/>
      <c r="I100" s="793" t="n"/>
      <c r="J100" s="793" t="n"/>
      <c r="K100" s="793" t="n"/>
      <c r="L100" s="793" t="n"/>
      <c r="M100" s="793" t="n"/>
      <c r="N100" s="793" t="n"/>
    </row>
    <row r="101">
      <c r="A101" s="810" t="n"/>
      <c r="B101" s="786" t="inlineStr">
        <is>
          <t>BM Formula &amp; Result</t>
        </is>
      </c>
      <c r="C101" s="787" t="n"/>
      <c r="D101" s="800" t="inlineStr">
        <is>
          <t>IncomeAssociates</t>
        </is>
      </c>
      <c r="E101" s="710">
        <f>_xll.BLUEMATRIX2("/servlet/excelData",E100,$E$4,$D101&amp;":"&amp;E$14&amp;E$15&amp;":AN:NULL:FISCAL")</f>
        <v/>
      </c>
      <c r="F101" s="710">
        <f>_xll.BLUEMATRIX2("/servlet/excelData",F100,$E$4,$D101&amp;":"&amp;F$14&amp;F$15&amp;":AN:NULL:FISCAL")</f>
        <v/>
      </c>
      <c r="G101" s="710">
        <f>_xll.BLUEMATRIX2("/servlet/excelData",G100,$E$4,$D101&amp;":"&amp;G$14&amp;G$15&amp;":AN:NULL:FISCAL")</f>
        <v/>
      </c>
      <c r="H101" s="710">
        <f>_xll.BLUEMATRIX2("/servlet/excelData",H100,$E$4,$D101&amp;":"&amp;H$14&amp;H$15&amp;":AN:NULL:FISCAL")</f>
        <v/>
      </c>
      <c r="I101" s="710">
        <f>_xll.BLUEMATRIX2("/servlet/excelData",I100,$E$4,$D101&amp;":"&amp;I$14&amp;I$15&amp;":AN:NULL:FISCAL")</f>
        <v/>
      </c>
      <c r="J101" s="710">
        <f>_xll.BLUEMATRIX2("/servlet/excelData",J100,$E$4,$D101&amp;":"&amp;J$14&amp;J$15&amp;":AN:NULL:FISCAL")</f>
        <v/>
      </c>
      <c r="K101" s="710">
        <f>_xll.BLUEMATRIX2("/servlet/excelData",K100,$E$4,$D101&amp;":"&amp;K$14&amp;K$15&amp;":AN:NULL:FISCAL")</f>
        <v/>
      </c>
      <c r="L101" s="710">
        <f>_xll.BLUEMATRIX2("/servlet/excelData",L100,$E$4,$D101&amp;":"&amp;L$14&amp;L$15&amp;":AN:NULL:FISCAL")</f>
        <v/>
      </c>
      <c r="M101" s="710">
        <f>_xll.BLUEMATRIX2("/servlet/excelData",M100,$E$4,$D101&amp;":"&amp;M$14&amp;M$15&amp;":AN:NULL:FISCAL")</f>
        <v/>
      </c>
      <c r="N101" s="710">
        <f>_xll.BLUEMATRIX2("/servlet/excelData",N100,$E$4,$D101&amp;":"&amp;N$14&amp;N$15&amp;":AN:NULL:FISCAL")</f>
        <v/>
      </c>
    </row>
    <row r="102">
      <c r="A102" s="810" t="n"/>
      <c r="B102" s="782" t="inlineStr">
        <is>
          <t>EBITDA (incl income from associates)</t>
        </is>
      </c>
      <c r="C102" s="782" t="n"/>
      <c r="D102" s="783" t="inlineStr">
        <is>
          <t>EBITDA_ADJ</t>
        </is>
      </c>
      <c r="E102" s="835">
        <f>(FS_Y!Q137)/1000</f>
        <v/>
      </c>
      <c r="F102" s="835">
        <f>(FS_Y!R137)/1000</f>
        <v/>
      </c>
      <c r="G102" s="835">
        <f>(FS_Y!S137)/1000</f>
        <v/>
      </c>
      <c r="H102" s="835">
        <f>(FS_Y!T137)/1000</f>
        <v/>
      </c>
      <c r="I102" s="835">
        <f>(FS_Y!U137)/1000</f>
        <v/>
      </c>
      <c r="J102" s="835">
        <f>(FS_Y!V137)/1000</f>
        <v/>
      </c>
      <c r="K102" s="835">
        <f>(FS_Y!W137)/1000</f>
        <v/>
      </c>
      <c r="L102" s="793" t="n"/>
      <c r="M102" s="793" t="n"/>
      <c r="N102" s="793" t="n"/>
    </row>
    <row r="103">
      <c r="A103" s="810" t="n"/>
      <c r="B103" s="786" t="inlineStr">
        <is>
          <t>BM Formula &amp; Result</t>
        </is>
      </c>
      <c r="C103" s="787" t="n"/>
      <c r="D103" s="800" t="inlineStr">
        <is>
          <t>EBITDA_ADJ</t>
        </is>
      </c>
      <c r="E103" s="710">
        <f>_xll.BLUEMATRIX2("/servlet/excelData",E102,$E$4,$D103&amp;":"&amp;E$14&amp;E$15&amp;":AN:NULL:FISCAL")</f>
        <v/>
      </c>
      <c r="F103" s="710">
        <f>_xll.BLUEMATRIX2("/servlet/excelData",F102,$E$4,$D103&amp;":"&amp;F$14&amp;F$15&amp;":AN:NULL:FISCAL")</f>
        <v/>
      </c>
      <c r="G103" s="710">
        <f>_xll.BLUEMATRIX2("/servlet/excelData",G102,$E$4,$D103&amp;":"&amp;G$14&amp;G$15&amp;":AN:NULL:FISCAL")</f>
        <v/>
      </c>
      <c r="H103" s="710">
        <f>_xll.BLUEMATRIX2("/servlet/excelData",H102,$E$4,$D103&amp;":"&amp;H$14&amp;H$15&amp;":AN:NULL:FISCAL")</f>
        <v/>
      </c>
      <c r="I103" s="710">
        <f>_xll.BLUEMATRIX2("/servlet/excelData",I102,$E$4,$D103&amp;":"&amp;I$14&amp;I$15&amp;":AN:NULL:FISCAL")</f>
        <v/>
      </c>
      <c r="J103" s="710">
        <f>_xll.BLUEMATRIX2("/servlet/excelData",J102,$E$4,$D103&amp;":"&amp;J$14&amp;J$15&amp;":AN:NULL:FISCAL")</f>
        <v/>
      </c>
      <c r="K103" s="710">
        <f>_xll.BLUEMATRIX2("/servlet/excelData",K102,$E$4,$D103&amp;":"&amp;K$14&amp;K$15&amp;":AN:NULL:FISCAL")</f>
        <v/>
      </c>
      <c r="L103" s="710">
        <f>_xll.BLUEMATRIX2("/servlet/excelData",L102,$E$4,$D103&amp;":"&amp;L$14&amp;L$15&amp;":AN:NULL:FISCAL")</f>
        <v/>
      </c>
      <c r="M103" s="710">
        <f>_xll.BLUEMATRIX2("/servlet/excelData",M102,$E$4,$D103&amp;":"&amp;M$14&amp;M$15&amp;":AN:NULL:FISCAL")</f>
        <v/>
      </c>
      <c r="N103" s="710">
        <f>_xll.BLUEMATRIX2("/servlet/excelData",N102,$E$4,$D103&amp;":"&amp;N$14&amp;N$15&amp;":AN:NULL:FISCAL")</f>
        <v/>
      </c>
    </row>
    <row r="104">
      <c r="A104" s="810" t="n"/>
      <c r="B104" s="782" t="inlineStr">
        <is>
          <t>Depreciation and amortisation</t>
        </is>
      </c>
      <c r="C104" s="782" t="inlineStr">
        <is>
          <t>Includes tangible and operational intangible asset amortisation and depreciation (excludes impairement)</t>
        </is>
      </c>
      <c r="D104" s="783" t="inlineStr">
        <is>
          <t>OP_EXP_DEP_AM_EX_GW_AM</t>
        </is>
      </c>
      <c r="E104" s="835">
        <f>(FS_Y!Q93)/1000</f>
        <v/>
      </c>
      <c r="F104" s="835">
        <f>(FS_Y!R93)/1000</f>
        <v/>
      </c>
      <c r="G104" s="835">
        <f>(FS_Y!S93)/1000</f>
        <v/>
      </c>
      <c r="H104" s="835">
        <f>(FS_Y!T93)/1000</f>
        <v/>
      </c>
      <c r="I104" s="835">
        <f>(FS_Y!U93)/1000</f>
        <v/>
      </c>
      <c r="J104" s="835">
        <f>(FS_Y!V93)/1000</f>
        <v/>
      </c>
      <c r="K104" s="835">
        <f>(FS_Y!W93)/1000</f>
        <v/>
      </c>
      <c r="L104" s="793" t="n"/>
      <c r="M104" s="793" t="n"/>
      <c r="N104" s="793" t="n"/>
    </row>
    <row r="105">
      <c r="A105" s="810" t="n"/>
      <c r="B105" s="786" t="inlineStr">
        <is>
          <t>BM Formula &amp; Result</t>
        </is>
      </c>
      <c r="C105" s="787" t="n"/>
      <c r="D105" s="800" t="inlineStr">
        <is>
          <t>OP_EXP_DEP_AM_EX_GW_AM</t>
        </is>
      </c>
      <c r="E105" s="710">
        <f>_xll.BLUEMATRIX2("/servlet/excelData",E104,$E$4,$D105&amp;":"&amp;E$14&amp;E$15&amp;":AN:NULL:FISCAL")</f>
        <v/>
      </c>
      <c r="F105" s="710">
        <f>_xll.BLUEMATRIX2("/servlet/excelData",F104,$E$4,$D105&amp;":"&amp;F$14&amp;F$15&amp;":AN:NULL:FISCAL")</f>
        <v/>
      </c>
      <c r="G105" s="710">
        <f>_xll.BLUEMATRIX2("/servlet/excelData",G104,$E$4,$D105&amp;":"&amp;G$14&amp;G$15&amp;":AN:NULL:FISCAL")</f>
        <v/>
      </c>
      <c r="H105" s="710">
        <f>_xll.BLUEMATRIX2("/servlet/excelData",H104,$E$4,$D105&amp;":"&amp;H$14&amp;H$15&amp;":AN:NULL:FISCAL")</f>
        <v/>
      </c>
      <c r="I105" s="710">
        <f>_xll.BLUEMATRIX2("/servlet/excelData",I104,$E$4,$D105&amp;":"&amp;I$14&amp;I$15&amp;":AN:NULL:FISCAL")</f>
        <v/>
      </c>
      <c r="J105" s="710">
        <f>_xll.BLUEMATRIX2("/servlet/excelData",J104,$E$4,$D105&amp;":"&amp;J$14&amp;J$15&amp;":AN:NULL:FISCAL")</f>
        <v/>
      </c>
      <c r="K105" s="710">
        <f>_xll.BLUEMATRIX2("/servlet/excelData",K104,$E$4,$D105&amp;":"&amp;K$14&amp;K$15&amp;":AN:NULL:FISCAL")</f>
        <v/>
      </c>
      <c r="L105" s="710">
        <f>_xll.BLUEMATRIX2("/servlet/excelData",L104,$E$4,$D105&amp;":"&amp;L$14&amp;L$15&amp;":AN:NULL:FISCAL")</f>
        <v/>
      </c>
      <c r="M105" s="710">
        <f>_xll.BLUEMATRIX2("/servlet/excelData",M104,$E$4,$D105&amp;":"&amp;M$14&amp;M$15&amp;":AN:NULL:FISCAL")</f>
        <v/>
      </c>
      <c r="N105" s="710">
        <f>_xll.BLUEMATRIX2("/servlet/excelData",N104,$E$4,$D105&amp;":"&amp;N$14&amp;N$15&amp;":AN:NULL:FISCAL")</f>
        <v/>
      </c>
    </row>
    <row r="106">
      <c r="A106" s="810" t="n"/>
      <c r="B106" s="782" t="inlineStr">
        <is>
          <t>EBIT (M)</t>
        </is>
      </c>
      <c r="C106" s="782" t="inlineStr">
        <is>
          <t>Operating income post goodwill amortisation and associate income</t>
        </is>
      </c>
      <c r="D106" s="783" t="inlineStr">
        <is>
          <t>EBIT</t>
        </is>
      </c>
      <c r="E106" s="835">
        <f>(FS_Y!Q19)/1000</f>
        <v/>
      </c>
      <c r="F106" s="835">
        <f>(FS_Y!R19)/1000</f>
        <v/>
      </c>
      <c r="G106" s="835">
        <f>(FS_Y!S19)/1000</f>
        <v/>
      </c>
      <c r="H106" s="835">
        <f>(FS_Y!T19)/1000</f>
        <v/>
      </c>
      <c r="I106" s="835">
        <f>(FS_Y!U19)/1000</f>
        <v/>
      </c>
      <c r="J106" s="835">
        <f>(FS_Y!V19)/1000</f>
        <v/>
      </c>
      <c r="K106" s="835">
        <f>(FS_Y!W19)/1000</f>
        <v/>
      </c>
      <c r="L106" s="793" t="n"/>
      <c r="M106" s="793" t="n"/>
      <c r="N106" s="793" t="n"/>
    </row>
    <row r="107">
      <c r="A107" s="810" t="n"/>
      <c r="B107" s="786" t="inlineStr">
        <is>
          <t>BM Formula &amp; Result</t>
        </is>
      </c>
      <c r="C107" s="787" t="n"/>
      <c r="D107" s="800" t="inlineStr">
        <is>
          <t>EBIT</t>
        </is>
      </c>
      <c r="E107" s="710">
        <f>_xll.BLUEMATRIX2("/servlet/excelData",E106,$E$4,$D107&amp;":"&amp;E$14&amp;E$15&amp;":AN:NULL:FISCAL")</f>
        <v/>
      </c>
      <c r="F107" s="710">
        <f>_xll.BLUEMATRIX2("/servlet/excelData",F106,$E$4,$D107&amp;":"&amp;F$14&amp;F$15&amp;":AN:NULL:FISCAL")</f>
        <v/>
      </c>
      <c r="G107" s="710">
        <f>_xll.BLUEMATRIX2("/servlet/excelData",G106,$E$4,$D107&amp;":"&amp;G$14&amp;G$15&amp;":AN:NULL:FISCAL")</f>
        <v/>
      </c>
      <c r="H107" s="710">
        <f>_xll.BLUEMATRIX2("/servlet/excelData",H106,$E$4,$D107&amp;":"&amp;H$14&amp;H$15&amp;":AN:NULL:FISCAL")</f>
        <v/>
      </c>
      <c r="I107" s="710">
        <f>_xll.BLUEMATRIX2("/servlet/excelData",I106,$E$4,$D107&amp;":"&amp;I$14&amp;I$15&amp;":AN:NULL:FISCAL")</f>
        <v/>
      </c>
      <c r="J107" s="710">
        <f>_xll.BLUEMATRIX2("/servlet/excelData",J106,$E$4,$D107&amp;":"&amp;J$14&amp;J$15&amp;":AN:NULL:FISCAL")</f>
        <v/>
      </c>
      <c r="K107" s="710">
        <f>_xll.BLUEMATRIX2("/servlet/excelData",K106,$E$4,$D107&amp;":"&amp;K$14&amp;K$15&amp;":AN:NULL:FISCAL")</f>
        <v/>
      </c>
      <c r="L107" s="710">
        <f>_xll.BLUEMATRIX2("/servlet/excelData",L106,$E$4,$D107&amp;":"&amp;L$14&amp;L$15&amp;":AN:NULL:FISCAL")</f>
        <v/>
      </c>
      <c r="M107" s="710">
        <f>_xll.BLUEMATRIX2("/servlet/excelData",M106,$E$4,$D107&amp;":"&amp;M$14&amp;M$15&amp;":AN:NULL:FISCAL")</f>
        <v/>
      </c>
      <c r="N107" s="710">
        <f>_xll.BLUEMATRIX2("/servlet/excelData",N106,$E$4,$D107&amp;":"&amp;N$14&amp;N$15&amp;":AN:NULL:FISCAL")</f>
        <v/>
      </c>
    </row>
    <row r="108">
      <c r="A108" s="810" t="n"/>
      <c r="B108" s="782" t="inlineStr">
        <is>
          <t>EBIT yoy growth (%)</t>
        </is>
      </c>
      <c r="C108" s="782" t="n"/>
      <c r="D108" s="783" t="inlineStr">
        <is>
          <t>OP_INC_GROWTH</t>
        </is>
      </c>
      <c r="E108" s="836">
        <f>FS_Y!Q19/FS_Y!P19-1</f>
        <v/>
      </c>
      <c r="F108" s="836">
        <f>FS_Y!R19/FS_Y!Q19-1</f>
        <v/>
      </c>
      <c r="G108" s="836">
        <f>FS_Y!S19/FS_Y!R19-1</f>
        <v/>
      </c>
      <c r="H108" s="836">
        <f>FS_Y!T19/FS_Y!S19-1</f>
        <v/>
      </c>
      <c r="I108" s="836">
        <f>FS_Y!U19/FS_Y!T19-1</f>
        <v/>
      </c>
      <c r="J108" s="836">
        <f>FS_Y!V19/FS_Y!U19-1</f>
        <v/>
      </c>
      <c r="K108" s="836">
        <f>FS_Y!W19/FS_Y!V19-1</f>
        <v/>
      </c>
      <c r="L108" s="793" t="n"/>
      <c r="M108" s="793" t="n"/>
      <c r="N108" s="793" t="n"/>
    </row>
    <row r="109">
      <c r="A109" s="810" t="n"/>
      <c r="B109" s="786" t="inlineStr">
        <is>
          <t>BM Formula &amp; Result</t>
        </is>
      </c>
      <c r="C109" s="787" t="n"/>
      <c r="D109" s="800" t="inlineStr">
        <is>
          <t>OP_INC_GROWTH</t>
        </is>
      </c>
      <c r="E109" s="710">
        <f>_xll.BLUEMATRIX2("/servlet/excelData",E108,$E$4,$D109&amp;":"&amp;E$14&amp;E$15&amp;":AN:NULL:FISCAL")</f>
        <v/>
      </c>
      <c r="F109" s="710">
        <f>_xll.BLUEMATRIX2("/servlet/excelData",F108,$E$4,$D109&amp;":"&amp;F$14&amp;F$15&amp;":AN:NULL:FISCAL")</f>
        <v/>
      </c>
      <c r="G109" s="710">
        <f>_xll.BLUEMATRIX2("/servlet/excelData",G108,$E$4,$D109&amp;":"&amp;G$14&amp;G$15&amp;":AN:NULL:FISCAL")</f>
        <v/>
      </c>
      <c r="H109" s="710">
        <f>_xll.BLUEMATRIX2("/servlet/excelData",H108,$E$4,$D109&amp;":"&amp;H$14&amp;H$15&amp;":AN:NULL:FISCAL")</f>
        <v/>
      </c>
      <c r="I109" s="710">
        <f>_xll.BLUEMATRIX2("/servlet/excelData",I108,$E$4,$D109&amp;":"&amp;I$14&amp;I$15&amp;":AN:NULL:FISCAL")</f>
        <v/>
      </c>
      <c r="J109" s="710">
        <f>_xll.BLUEMATRIX2("/servlet/excelData",J108,$E$4,$D109&amp;":"&amp;J$14&amp;J$15&amp;":AN:NULL:FISCAL")</f>
        <v/>
      </c>
      <c r="K109" s="710">
        <f>_xll.BLUEMATRIX2("/servlet/excelData",K108,$E$4,$D109&amp;":"&amp;K$14&amp;K$15&amp;":AN:NULL:FISCAL")</f>
        <v/>
      </c>
      <c r="L109" s="710">
        <f>_xll.BLUEMATRIX2("/servlet/excelData",L108,$E$4,$D109&amp;":"&amp;L$14&amp;L$15&amp;":AN:NULL:FISCAL")</f>
        <v/>
      </c>
      <c r="M109" s="710">
        <f>_xll.BLUEMATRIX2("/servlet/excelData",M108,$E$4,$D109&amp;":"&amp;M$14&amp;M$15&amp;":AN:NULL:FISCAL")</f>
        <v/>
      </c>
      <c r="N109" s="710">
        <f>_xll.BLUEMATRIX2("/servlet/excelData",N108,$E$4,$D109&amp;":"&amp;N$14&amp;N$15&amp;":AN:NULL:FISCAL")</f>
        <v/>
      </c>
    </row>
    <row r="110">
      <c r="A110" s="810" t="n"/>
      <c r="B110" s="782" t="inlineStr">
        <is>
          <t>EBIT Margin (%)</t>
        </is>
      </c>
      <c r="C110" s="776" t="inlineStr">
        <is>
          <t>EBIT / Revenues</t>
        </is>
      </c>
      <c r="D110" s="783" t="inlineStr">
        <is>
          <t>OP_INC_MARGIN</t>
        </is>
      </c>
      <c r="E110" s="836">
        <f>FS_Y!Q19/FS_Y!Q11</f>
        <v/>
      </c>
      <c r="F110" s="836">
        <f>FS_Y!R19/FS_Y!R11</f>
        <v/>
      </c>
      <c r="G110" s="836">
        <f>FS_Y!S19/FS_Y!S11</f>
        <v/>
      </c>
      <c r="H110" s="836">
        <f>FS_Y!T19/FS_Y!T11</f>
        <v/>
      </c>
      <c r="I110" s="836">
        <f>FS_Y!U19/FS_Y!U11</f>
        <v/>
      </c>
      <c r="J110" s="836">
        <f>FS_Y!V19/FS_Y!V11</f>
        <v/>
      </c>
      <c r="K110" s="836">
        <f>FS_Y!W19/FS_Y!W11</f>
        <v/>
      </c>
      <c r="L110" s="793" t="n"/>
      <c r="M110" s="793" t="n"/>
      <c r="N110" s="793" t="n"/>
    </row>
    <row r="111">
      <c r="A111" s="810" t="n"/>
      <c r="B111" s="786" t="inlineStr">
        <is>
          <t>BM Formula &amp; Result</t>
        </is>
      </c>
      <c r="C111" s="787" t="n"/>
      <c r="D111" s="800" t="inlineStr">
        <is>
          <t>OP_INC_MARGIN</t>
        </is>
      </c>
      <c r="E111" s="710">
        <f>_xll.BLUEMATRIX2("/servlet/excelData",E110,$E$4,$D111&amp;":"&amp;E$14&amp;E$15&amp;":AN:NULL:FISCAL")</f>
        <v/>
      </c>
      <c r="F111" s="710">
        <f>_xll.BLUEMATRIX2("/servlet/excelData",F110,$E$4,$D111&amp;":"&amp;F$14&amp;F$15&amp;":AN:NULL:FISCAL")</f>
        <v/>
      </c>
      <c r="G111" s="710">
        <f>_xll.BLUEMATRIX2("/servlet/excelData",G110,$E$4,$D111&amp;":"&amp;G$14&amp;G$15&amp;":AN:NULL:FISCAL")</f>
        <v/>
      </c>
      <c r="H111" s="710">
        <f>_xll.BLUEMATRIX2("/servlet/excelData",H110,$E$4,$D111&amp;":"&amp;H$14&amp;H$15&amp;":AN:NULL:FISCAL")</f>
        <v/>
      </c>
      <c r="I111" s="710">
        <f>_xll.BLUEMATRIX2("/servlet/excelData",I110,$E$4,$D111&amp;":"&amp;I$14&amp;I$15&amp;":AN:NULL:FISCAL")</f>
        <v/>
      </c>
      <c r="J111" s="710">
        <f>_xll.BLUEMATRIX2("/servlet/excelData",J110,$E$4,$D111&amp;":"&amp;J$14&amp;J$15&amp;":AN:NULL:FISCAL")</f>
        <v/>
      </c>
      <c r="K111" s="710">
        <f>_xll.BLUEMATRIX2("/servlet/excelData",K110,$E$4,$D111&amp;":"&amp;K$14&amp;K$15&amp;":AN:NULL:FISCAL")</f>
        <v/>
      </c>
      <c r="L111" s="710">
        <f>_xll.BLUEMATRIX2("/servlet/excelData",L110,$E$4,$D111&amp;":"&amp;L$14&amp;L$15&amp;":AN:NULL:FISCAL")</f>
        <v/>
      </c>
      <c r="M111" s="710">
        <f>_xll.BLUEMATRIX2("/servlet/excelData",M110,$E$4,$D111&amp;":"&amp;M$14&amp;M$15&amp;":AN:NULL:FISCAL")</f>
        <v/>
      </c>
      <c r="N111" s="710">
        <f>_xll.BLUEMATRIX2("/servlet/excelData",N110,$E$4,$D111&amp;":"&amp;N$14&amp;N$15&amp;":AN:NULL:FISCAL")</f>
        <v/>
      </c>
    </row>
    <row r="112">
      <c r="A112" s="810" t="n"/>
      <c r="B112" s="782" t="inlineStr">
        <is>
          <t>Net interest income</t>
        </is>
      </c>
      <c r="C112" s="776" t="inlineStr">
        <is>
          <t>Interest expenses on financial debt + Interest income on cash, cash equivalent and short term investments + Other interest income/ (expense)</t>
        </is>
      </c>
      <c r="D112" s="783" t="inlineStr">
        <is>
          <t>NII</t>
        </is>
      </c>
      <c r="E112" s="835">
        <f>(FS_Y!Q20)/1000</f>
        <v/>
      </c>
      <c r="F112" s="835">
        <f>(FS_Y!R20)/1000</f>
        <v/>
      </c>
      <c r="G112" s="835">
        <f>(FS_Y!S20)/1000</f>
        <v/>
      </c>
      <c r="H112" s="835">
        <f>(FS_Y!T20)/1000</f>
        <v/>
      </c>
      <c r="I112" s="835">
        <f>(FS_Y!U20)/1000</f>
        <v/>
      </c>
      <c r="J112" s="835">
        <f>(FS_Y!V20)/1000</f>
        <v/>
      </c>
      <c r="K112" s="835">
        <f>(FS_Y!W20)/1000</f>
        <v/>
      </c>
      <c r="L112" s="793" t="n"/>
      <c r="M112" s="793" t="n"/>
      <c r="N112" s="793" t="n"/>
    </row>
    <row r="113">
      <c r="A113" s="810" t="n"/>
      <c r="B113" s="786" t="inlineStr">
        <is>
          <t>BM Formula &amp; Result</t>
        </is>
      </c>
      <c r="C113" s="787" t="n"/>
      <c r="D113" s="800" t="inlineStr">
        <is>
          <t>NII</t>
        </is>
      </c>
      <c r="E113" s="710">
        <f>_xll.BLUEMATRIX2("/servlet/excelData",E112,$E$4,$D113&amp;":"&amp;E$14&amp;E$15&amp;":AN:NULL:FISCAL")</f>
        <v/>
      </c>
      <c r="F113" s="710">
        <f>_xll.BLUEMATRIX2("/servlet/excelData",F112,$E$4,$D113&amp;":"&amp;F$14&amp;F$15&amp;":AN:NULL:FISCAL")</f>
        <v/>
      </c>
      <c r="G113" s="710">
        <f>_xll.BLUEMATRIX2("/servlet/excelData",G112,$E$4,$D113&amp;":"&amp;G$14&amp;G$15&amp;":AN:NULL:FISCAL")</f>
        <v/>
      </c>
      <c r="H113" s="710">
        <f>_xll.BLUEMATRIX2("/servlet/excelData",H112,$E$4,$D113&amp;":"&amp;H$14&amp;H$15&amp;":AN:NULL:FISCAL")</f>
        <v/>
      </c>
      <c r="I113" s="710">
        <f>_xll.BLUEMATRIX2("/servlet/excelData",I112,$E$4,$D113&amp;":"&amp;I$14&amp;I$15&amp;":AN:NULL:FISCAL")</f>
        <v/>
      </c>
      <c r="J113" s="710">
        <f>_xll.BLUEMATRIX2("/servlet/excelData",J112,$E$4,$D113&amp;":"&amp;J$14&amp;J$15&amp;":AN:NULL:FISCAL")</f>
        <v/>
      </c>
      <c r="K113" s="710">
        <f>_xll.BLUEMATRIX2("/servlet/excelData",K112,$E$4,$D113&amp;":"&amp;K$14&amp;K$15&amp;":AN:NULL:FISCAL")</f>
        <v/>
      </c>
      <c r="L113" s="710">
        <f>_xll.BLUEMATRIX2("/servlet/excelData",L112,$E$4,$D113&amp;":"&amp;L$14&amp;L$15&amp;":AN:NULL:FISCAL")</f>
        <v/>
      </c>
      <c r="M113" s="710">
        <f>_xll.BLUEMATRIX2("/servlet/excelData",M112,$E$4,$D113&amp;":"&amp;M$14&amp;M$15&amp;":AN:NULL:FISCAL")</f>
        <v/>
      </c>
      <c r="N113" s="710">
        <f>_xll.BLUEMATRIX2("/servlet/excelData",N112,$E$4,$D113&amp;":"&amp;N$14&amp;N$15&amp;":AN:NULL:FISCAL")</f>
        <v/>
      </c>
    </row>
    <row r="114">
      <c r="A114" s="810" t="n"/>
      <c r="B114" s="782" t="inlineStr">
        <is>
          <t>Tax Charge (M)</t>
        </is>
      </c>
      <c r="C114" s="782" t="inlineStr">
        <is>
          <t>=-(Pre-tax income * Tax rate)</t>
        </is>
      </c>
      <c r="D114" s="783" t="inlineStr">
        <is>
          <t>TaxCharge</t>
        </is>
      </c>
      <c r="E114" s="835">
        <f>(FS_Y!Q24)/1000</f>
        <v/>
      </c>
      <c r="F114" s="835">
        <f>(FS_Y!R24)/1000</f>
        <v/>
      </c>
      <c r="G114" s="835">
        <f>(FS_Y!S24)/1000</f>
        <v/>
      </c>
      <c r="H114" s="835">
        <f>(FS_Y!T24)/1000</f>
        <v/>
      </c>
      <c r="I114" s="835">
        <f>(FS_Y!U24)/1000</f>
        <v/>
      </c>
      <c r="J114" s="835">
        <f>(FS_Y!V24)/1000</f>
        <v/>
      </c>
      <c r="K114" s="835">
        <f>(FS_Y!W24)/1000</f>
        <v/>
      </c>
      <c r="L114" s="793" t="n"/>
      <c r="M114" s="793" t="n"/>
      <c r="N114" s="793" t="n"/>
    </row>
    <row r="115">
      <c r="A115" s="810" t="n"/>
      <c r="B115" s="786" t="inlineStr">
        <is>
          <t>BM Formula &amp; Result</t>
        </is>
      </c>
      <c r="C115" s="787" t="n"/>
      <c r="D115" s="800" t="inlineStr">
        <is>
          <t>TaxCharge</t>
        </is>
      </c>
      <c r="E115" s="710">
        <f>_xll.BLUEMATRIX2("/servlet/excelData",E114,$E$4,$D115&amp;":"&amp;E$14&amp;E$15&amp;":AN:NULL:FISCAL")</f>
        <v/>
      </c>
      <c r="F115" s="710">
        <f>_xll.BLUEMATRIX2("/servlet/excelData",F114,$E$4,$D115&amp;":"&amp;F$14&amp;F$15&amp;":AN:NULL:FISCAL")</f>
        <v/>
      </c>
      <c r="G115" s="710">
        <f>_xll.BLUEMATRIX2("/servlet/excelData",G114,$E$4,$D115&amp;":"&amp;G$14&amp;G$15&amp;":AN:NULL:FISCAL")</f>
        <v/>
      </c>
      <c r="H115" s="710">
        <f>_xll.BLUEMATRIX2("/servlet/excelData",H114,$E$4,$D115&amp;":"&amp;H$14&amp;H$15&amp;":AN:NULL:FISCAL")</f>
        <v/>
      </c>
      <c r="I115" s="710">
        <f>_xll.BLUEMATRIX2("/servlet/excelData",I114,$E$4,$D115&amp;":"&amp;I$14&amp;I$15&amp;":AN:NULL:FISCAL")</f>
        <v/>
      </c>
      <c r="J115" s="710">
        <f>_xll.BLUEMATRIX2("/servlet/excelData",J114,$E$4,$D115&amp;":"&amp;J$14&amp;J$15&amp;":AN:NULL:FISCAL")</f>
        <v/>
      </c>
      <c r="K115" s="710">
        <f>_xll.BLUEMATRIX2("/servlet/excelData",K114,$E$4,$D115&amp;":"&amp;K$14&amp;K$15&amp;":AN:NULL:FISCAL")</f>
        <v/>
      </c>
      <c r="L115" s="710">
        <f>_xll.BLUEMATRIX2("/servlet/excelData",L114,$E$4,$D115&amp;":"&amp;L$14&amp;L$15&amp;":AN:NULL:FISCAL")</f>
        <v/>
      </c>
      <c r="M115" s="710">
        <f>_xll.BLUEMATRIX2("/servlet/excelData",M114,$E$4,$D115&amp;":"&amp;M$14&amp;M$15&amp;":AN:NULL:FISCAL")</f>
        <v/>
      </c>
      <c r="N115" s="710">
        <f>_xll.BLUEMATRIX2("/servlet/excelData",N114,$E$4,$D115&amp;":"&amp;N$14&amp;N$15&amp;":AN:NULL:FISCAL")</f>
        <v/>
      </c>
    </row>
    <row r="116">
      <c r="A116" s="810" t="n"/>
      <c r="B116" s="782" t="inlineStr">
        <is>
          <t>Net income before minorities</t>
        </is>
      </c>
      <c r="C116" s="776" t="inlineStr">
        <is>
          <t>Pre-tax income + Taxation + Associate income/ (loss) after taxation</t>
        </is>
      </c>
      <c r="D116" s="783" t="inlineStr">
        <is>
          <t>NET_INC_BEFORE_MINORITIES</t>
        </is>
      </c>
      <c r="E116" s="835">
        <f>(FS_Y!Q25)/1000</f>
        <v/>
      </c>
      <c r="F116" s="835">
        <f>(FS_Y!R25)/1000</f>
        <v/>
      </c>
      <c r="G116" s="835">
        <f>(FS_Y!S25)/1000</f>
        <v/>
      </c>
      <c r="H116" s="835">
        <f>(FS_Y!T25)/1000</f>
        <v/>
      </c>
      <c r="I116" s="835">
        <f>(FS_Y!U25)/1000</f>
        <v/>
      </c>
      <c r="J116" s="835">
        <f>(FS_Y!V25)/1000</f>
        <v/>
      </c>
      <c r="K116" s="835">
        <f>(FS_Y!W25)/1000</f>
        <v/>
      </c>
      <c r="L116" s="793" t="n"/>
      <c r="M116" s="793" t="n"/>
      <c r="N116" s="793" t="n"/>
    </row>
    <row r="117">
      <c r="A117" s="810" t="n"/>
      <c r="B117" s="786" t="inlineStr">
        <is>
          <t>BM Formula &amp; Result</t>
        </is>
      </c>
      <c r="C117" s="787" t="n"/>
      <c r="D117" s="800" t="inlineStr">
        <is>
          <t>NET_INC_BEFORE_MINORITIES</t>
        </is>
      </c>
      <c r="E117" s="710">
        <f>_xll.BLUEMATRIX2("/servlet/excelData",E116,$E$4,$D117&amp;":"&amp;E$14&amp;E$15&amp;":AN:NULL:FISCAL")</f>
        <v/>
      </c>
      <c r="F117" s="710">
        <f>_xll.BLUEMATRIX2("/servlet/excelData",F116,$E$4,$D117&amp;":"&amp;F$14&amp;F$15&amp;":AN:NULL:FISCAL")</f>
        <v/>
      </c>
      <c r="G117" s="710">
        <f>_xll.BLUEMATRIX2("/servlet/excelData",G116,$E$4,$D117&amp;":"&amp;G$14&amp;G$15&amp;":AN:NULL:FISCAL")</f>
        <v/>
      </c>
      <c r="H117" s="710">
        <f>_xll.BLUEMATRIX2("/servlet/excelData",H116,$E$4,$D117&amp;":"&amp;H$14&amp;H$15&amp;":AN:NULL:FISCAL")</f>
        <v/>
      </c>
      <c r="I117" s="710">
        <f>_xll.BLUEMATRIX2("/servlet/excelData",I116,$E$4,$D117&amp;":"&amp;I$14&amp;I$15&amp;":AN:NULL:FISCAL")</f>
        <v/>
      </c>
      <c r="J117" s="710">
        <f>_xll.BLUEMATRIX2("/servlet/excelData",J116,$E$4,$D117&amp;":"&amp;J$14&amp;J$15&amp;":AN:NULL:FISCAL")</f>
        <v/>
      </c>
      <c r="K117" s="710">
        <f>_xll.BLUEMATRIX2("/servlet/excelData",K116,$E$4,$D117&amp;":"&amp;K$14&amp;K$15&amp;":AN:NULL:FISCAL")</f>
        <v/>
      </c>
      <c r="L117" s="710">
        <f>_xll.BLUEMATRIX2("/servlet/excelData",L116,$E$4,$D117&amp;":"&amp;L$14&amp;L$15&amp;":AN:NULL:FISCAL")</f>
        <v/>
      </c>
      <c r="M117" s="710">
        <f>_xll.BLUEMATRIX2("/servlet/excelData",M116,$E$4,$D117&amp;":"&amp;M$14&amp;M$15&amp;":AN:NULL:FISCAL")</f>
        <v/>
      </c>
      <c r="N117" s="710">
        <f>_xll.BLUEMATRIX2("/servlet/excelData",N116,$E$4,$D117&amp;":"&amp;N$14&amp;N$15&amp;":AN:NULL:FISCAL")</f>
        <v/>
      </c>
    </row>
    <row r="118">
      <c r="A118" s="810" t="n"/>
      <c r="B118" s="782" t="inlineStr">
        <is>
          <t>Pre-Tax Net Income Growth (%)</t>
        </is>
      </c>
      <c r="C118" s="782" t="n"/>
      <c r="D118" s="783" t="inlineStr">
        <is>
          <t>Pre-TaxNetIncomeGrowth</t>
        </is>
      </c>
      <c r="E118" s="836">
        <f>FS_Y!Q25/FS_Y!P25-1</f>
        <v/>
      </c>
      <c r="F118" s="836">
        <f>FS_Y!R25/FS_Y!Q25-1</f>
        <v/>
      </c>
      <c r="G118" s="836">
        <f>FS_Y!S25/FS_Y!R25-1</f>
        <v/>
      </c>
      <c r="H118" s="836">
        <f>FS_Y!T25/FS_Y!S25-1</f>
        <v/>
      </c>
      <c r="I118" s="836">
        <f>FS_Y!U25/FS_Y!T25-1</f>
        <v/>
      </c>
      <c r="J118" s="836">
        <f>FS_Y!V25/FS_Y!U25-1</f>
        <v/>
      </c>
      <c r="K118" s="836">
        <f>FS_Y!W25/FS_Y!V25-1</f>
        <v/>
      </c>
      <c r="L118" s="793" t="n"/>
      <c r="M118" s="793" t="n"/>
      <c r="N118" s="793" t="n"/>
    </row>
    <row r="119">
      <c r="A119" s="810" t="n"/>
      <c r="B119" s="786" t="inlineStr">
        <is>
          <t>BM Formula &amp; Result</t>
        </is>
      </c>
      <c r="C119" s="787" t="n"/>
      <c r="D119" s="800" t="inlineStr">
        <is>
          <t>Pre-TaxNetIncomeGrowth</t>
        </is>
      </c>
      <c r="E119" s="710">
        <f>_xll.BLUEMATRIX2("/servlet/excelData",E118,$E$4,$D119&amp;":"&amp;E$14&amp;E$15&amp;":AN:NULL:FISCAL")</f>
        <v/>
      </c>
      <c r="F119" s="710">
        <f>_xll.BLUEMATRIX2("/servlet/excelData",F118,$E$4,$D119&amp;":"&amp;F$14&amp;F$15&amp;":AN:NULL:FISCAL")</f>
        <v/>
      </c>
      <c r="G119" s="710">
        <f>_xll.BLUEMATRIX2("/servlet/excelData",G118,$E$4,$D119&amp;":"&amp;G$14&amp;G$15&amp;":AN:NULL:FISCAL")</f>
        <v/>
      </c>
      <c r="H119" s="710">
        <f>_xll.BLUEMATRIX2("/servlet/excelData",H118,$E$4,$D119&amp;":"&amp;H$14&amp;H$15&amp;":AN:NULL:FISCAL")</f>
        <v/>
      </c>
      <c r="I119" s="710">
        <f>_xll.BLUEMATRIX2("/servlet/excelData",I118,$E$4,$D119&amp;":"&amp;I$14&amp;I$15&amp;":AN:NULL:FISCAL")</f>
        <v/>
      </c>
      <c r="J119" s="710">
        <f>_xll.BLUEMATRIX2("/servlet/excelData",J118,$E$4,$D119&amp;":"&amp;J$14&amp;J$15&amp;":AN:NULL:FISCAL")</f>
        <v/>
      </c>
      <c r="K119" s="710">
        <f>_xll.BLUEMATRIX2("/servlet/excelData",K118,$E$4,$D119&amp;":"&amp;K$14&amp;K$15&amp;":AN:NULL:FISCAL")</f>
        <v/>
      </c>
      <c r="L119" s="710">
        <f>_xll.BLUEMATRIX2("/servlet/excelData",L118,$E$4,$D119&amp;":"&amp;L$14&amp;L$15&amp;":AN:NULL:FISCAL")</f>
        <v/>
      </c>
      <c r="M119" s="710">
        <f>_xll.BLUEMATRIX2("/servlet/excelData",M118,$E$4,$D119&amp;":"&amp;M$14&amp;M$15&amp;":AN:NULL:FISCAL")</f>
        <v/>
      </c>
      <c r="N119" s="710">
        <f>_xll.BLUEMATRIX2("/servlet/excelData",N118,$E$4,$D119&amp;":"&amp;N$14&amp;N$15&amp;":AN:NULL:FISCAL")</f>
        <v/>
      </c>
    </row>
    <row r="120">
      <c r="A120" s="810" t="n"/>
      <c r="B120" s="782" t="inlineStr">
        <is>
          <t>Minority interests</t>
        </is>
      </c>
      <c r="C120" s="776" t="inlineStr">
        <is>
          <t>P&amp;L item</t>
        </is>
      </c>
      <c r="D120" s="783" t="inlineStr">
        <is>
          <t>MinorityInterest</t>
        </is>
      </c>
      <c r="E120" s="835">
        <f>(FS_Y!Q26)/1000</f>
        <v/>
      </c>
      <c r="F120" s="835">
        <f>(FS_Y!R26)/1000</f>
        <v/>
      </c>
      <c r="G120" s="835">
        <f>(FS_Y!S26)/1000</f>
        <v/>
      </c>
      <c r="H120" s="835">
        <f>(FS_Y!T26)/1000</f>
        <v/>
      </c>
      <c r="I120" s="835">
        <f>(FS_Y!U26)/1000</f>
        <v/>
      </c>
      <c r="J120" s="835">
        <f>(FS_Y!V26)/1000</f>
        <v/>
      </c>
      <c r="K120" s="835">
        <f>(FS_Y!W26)/1000</f>
        <v/>
      </c>
      <c r="L120" s="793" t="n"/>
      <c r="M120" s="793" t="n"/>
      <c r="N120" s="793" t="n"/>
    </row>
    <row r="121">
      <c r="A121" s="810" t="n"/>
      <c r="B121" s="786" t="inlineStr">
        <is>
          <t>BM Formula &amp; Result</t>
        </is>
      </c>
      <c r="C121" s="787" t="n"/>
      <c r="D121" s="800" t="inlineStr">
        <is>
          <t>MinorityInterest</t>
        </is>
      </c>
      <c r="E121" s="710">
        <f>_xll.BLUEMATRIX2("/servlet/excelData",E120,$E$4,$D121&amp;":"&amp;E$14&amp;E$15&amp;":AN:NULL:FISCAL")</f>
        <v/>
      </c>
      <c r="F121" s="710">
        <f>_xll.BLUEMATRIX2("/servlet/excelData",F120,$E$4,$D121&amp;":"&amp;F$14&amp;F$15&amp;":AN:NULL:FISCAL")</f>
        <v/>
      </c>
      <c r="G121" s="710">
        <f>_xll.BLUEMATRIX2("/servlet/excelData",G120,$E$4,$D121&amp;":"&amp;G$14&amp;G$15&amp;":AN:NULL:FISCAL")</f>
        <v/>
      </c>
      <c r="H121" s="710">
        <f>_xll.BLUEMATRIX2("/servlet/excelData",H120,$E$4,$D121&amp;":"&amp;H$14&amp;H$15&amp;":AN:NULL:FISCAL")</f>
        <v/>
      </c>
      <c r="I121" s="710">
        <f>_xll.BLUEMATRIX2("/servlet/excelData",I120,$E$4,$D121&amp;":"&amp;I$14&amp;I$15&amp;":AN:NULL:FISCAL")</f>
        <v/>
      </c>
      <c r="J121" s="710">
        <f>_xll.BLUEMATRIX2("/servlet/excelData",J120,$E$4,$D121&amp;":"&amp;J$14&amp;J$15&amp;":AN:NULL:FISCAL")</f>
        <v/>
      </c>
      <c r="K121" s="710">
        <f>_xll.BLUEMATRIX2("/servlet/excelData",K120,$E$4,$D121&amp;":"&amp;K$14&amp;K$15&amp;":AN:NULL:FISCAL")</f>
        <v/>
      </c>
      <c r="L121" s="710">
        <f>_xll.BLUEMATRIX2("/servlet/excelData",L120,$E$4,$D121&amp;":"&amp;L$14&amp;L$15&amp;":AN:NULL:FISCAL")</f>
        <v/>
      </c>
      <c r="M121" s="710">
        <f>_xll.BLUEMATRIX2("/servlet/excelData",M120,$E$4,$D121&amp;":"&amp;M$14&amp;M$15&amp;":AN:NULL:FISCAL")</f>
        <v/>
      </c>
      <c r="N121" s="710">
        <f>_xll.BLUEMATRIX2("/servlet/excelData",N120,$E$4,$D121&amp;":"&amp;N$14&amp;N$15&amp;":AN:NULL:FISCAL")</f>
        <v/>
      </c>
    </row>
    <row r="122">
      <c r="A122" s="810" t="n"/>
      <c r="B122" s="782" t="inlineStr">
        <is>
          <t>Reported net income</t>
        </is>
      </c>
      <c r="C122" s="776" t="inlineStr">
        <is>
          <t>Reported net income after minority interests</t>
        </is>
      </c>
      <c r="D122" s="783" t="inlineStr">
        <is>
          <t>RepNetIncome</t>
        </is>
      </c>
      <c r="E122" s="835">
        <f>(FS_Y!Q27)/1000</f>
        <v/>
      </c>
      <c r="F122" s="835">
        <f>(FS_Y!R27)/1000</f>
        <v/>
      </c>
      <c r="G122" s="835">
        <f>(FS_Y!S27)/1000</f>
        <v/>
      </c>
      <c r="H122" s="835">
        <f>(FS_Y!T27)/1000</f>
        <v/>
      </c>
      <c r="I122" s="835">
        <f>(FS_Y!U27)/1000</f>
        <v/>
      </c>
      <c r="J122" s="835">
        <f>(FS_Y!V27)/1000</f>
        <v/>
      </c>
      <c r="K122" s="835">
        <f>(FS_Y!W27)/1000</f>
        <v/>
      </c>
      <c r="L122" s="793" t="n"/>
      <c r="M122" s="793" t="n"/>
      <c r="N122" s="793" t="n"/>
    </row>
    <row r="123">
      <c r="A123" s="810" t="n"/>
      <c r="B123" s="786" t="inlineStr">
        <is>
          <t>BM Formula &amp; Result</t>
        </is>
      </c>
      <c r="C123" s="787" t="n"/>
      <c r="D123" s="800" t="inlineStr">
        <is>
          <t>RepNetIncome</t>
        </is>
      </c>
      <c r="E123" s="710">
        <f>_xll.BLUEMATRIX2("/servlet/excelData",E122,$E$4,$D123&amp;":"&amp;E$14&amp;E$15&amp;":AN:NULL:FISCAL")</f>
        <v/>
      </c>
      <c r="F123" s="710">
        <f>_xll.BLUEMATRIX2("/servlet/excelData",F122,$E$4,$D123&amp;":"&amp;F$14&amp;F$15&amp;":AN:NULL:FISCAL")</f>
        <v/>
      </c>
      <c r="G123" s="710">
        <f>_xll.BLUEMATRIX2("/servlet/excelData",G122,$E$4,$D123&amp;":"&amp;G$14&amp;G$15&amp;":AN:NULL:FISCAL")</f>
        <v/>
      </c>
      <c r="H123" s="710">
        <f>_xll.BLUEMATRIX2("/servlet/excelData",H122,$E$4,$D123&amp;":"&amp;H$14&amp;H$15&amp;":AN:NULL:FISCAL")</f>
        <v/>
      </c>
      <c r="I123" s="710">
        <f>_xll.BLUEMATRIX2("/servlet/excelData",I122,$E$4,$D123&amp;":"&amp;I$14&amp;I$15&amp;":AN:NULL:FISCAL")</f>
        <v/>
      </c>
      <c r="J123" s="710">
        <f>_xll.BLUEMATRIX2("/servlet/excelData",J122,$E$4,$D123&amp;":"&amp;J$14&amp;J$15&amp;":AN:NULL:FISCAL")</f>
        <v/>
      </c>
      <c r="K123" s="710">
        <f>_xll.BLUEMATRIX2("/servlet/excelData",K122,$E$4,$D123&amp;":"&amp;K$14&amp;K$15&amp;":AN:NULL:FISCAL")</f>
        <v/>
      </c>
      <c r="L123" s="710">
        <f>_xll.BLUEMATRIX2("/servlet/excelData",L122,$E$4,$D123&amp;":"&amp;L$14&amp;L$15&amp;":AN:NULL:FISCAL")</f>
        <v/>
      </c>
      <c r="M123" s="710">
        <f>_xll.BLUEMATRIX2("/servlet/excelData",M122,$E$4,$D123&amp;":"&amp;M$14&amp;M$15&amp;":AN:NULL:FISCAL")</f>
        <v/>
      </c>
      <c r="N123" s="710">
        <f>_xll.BLUEMATRIX2("/servlet/excelData",N122,$E$4,$D123&amp;":"&amp;N$14&amp;N$15&amp;":AN:NULL:FISCAL")</f>
        <v/>
      </c>
    </row>
    <row r="124">
      <c r="A124" s="810" t="n"/>
      <c r="B124" s="782" t="inlineStr">
        <is>
          <t>Net income margin (%)</t>
        </is>
      </c>
      <c r="C124" s="782" t="n"/>
      <c r="D124" s="783" t="inlineStr">
        <is>
          <t>NETMARGIN</t>
        </is>
      </c>
      <c r="E124" s="949">
        <f>FS_Y!Q27/FS_Y!Q11</f>
        <v/>
      </c>
      <c r="F124" s="949">
        <f>FS_Y!R27/FS_Y!R11</f>
        <v/>
      </c>
      <c r="G124" s="949">
        <f>FS_Y!S27/FS_Y!S11</f>
        <v/>
      </c>
      <c r="H124" s="949">
        <f>FS_Y!T27/FS_Y!T11</f>
        <v/>
      </c>
      <c r="I124" s="949">
        <f>FS_Y!U27/FS_Y!U11</f>
        <v/>
      </c>
      <c r="J124" s="949">
        <f>FS_Y!V27/FS_Y!V11</f>
        <v/>
      </c>
      <c r="K124" s="949">
        <f>FS_Y!W27/FS_Y!W11</f>
        <v/>
      </c>
      <c r="L124" s="793" t="n"/>
      <c r="M124" s="793" t="n"/>
      <c r="N124" s="793" t="n"/>
    </row>
    <row r="125">
      <c r="A125" s="810" t="n"/>
      <c r="B125" s="786" t="inlineStr">
        <is>
          <t>BM Formula &amp; Result</t>
        </is>
      </c>
      <c r="C125" s="787" t="n"/>
      <c r="D125" s="800" t="inlineStr">
        <is>
          <t>NETMARGIN</t>
        </is>
      </c>
      <c r="E125" s="710">
        <f>_xll.BLUEMATRIX2("/servlet/excelData",E124,$E$4,$D125&amp;":"&amp;E$14&amp;E$15&amp;":AN:NULL:FISCAL")</f>
        <v/>
      </c>
      <c r="F125" s="710">
        <f>_xll.BLUEMATRIX2("/servlet/excelData",F124,$E$4,$D125&amp;":"&amp;F$14&amp;F$15&amp;":AN:NULL:FISCAL")</f>
        <v/>
      </c>
      <c r="G125" s="710">
        <f>_xll.BLUEMATRIX2("/servlet/excelData",G124,$E$4,$D125&amp;":"&amp;G$14&amp;G$15&amp;":AN:NULL:FISCAL")</f>
        <v/>
      </c>
      <c r="H125" s="710">
        <f>_xll.BLUEMATRIX2("/servlet/excelData",H124,$E$4,$D125&amp;":"&amp;H$14&amp;H$15&amp;":AN:NULL:FISCAL")</f>
        <v/>
      </c>
      <c r="I125" s="710">
        <f>_xll.BLUEMATRIX2("/servlet/excelData",I124,$E$4,$D125&amp;":"&amp;I$14&amp;I$15&amp;":AN:NULL:FISCAL")</f>
        <v/>
      </c>
      <c r="J125" s="710">
        <f>_xll.BLUEMATRIX2("/servlet/excelData",J124,$E$4,$D125&amp;":"&amp;J$14&amp;J$15&amp;":AN:NULL:FISCAL")</f>
        <v/>
      </c>
      <c r="K125" s="710">
        <f>_xll.BLUEMATRIX2("/servlet/excelData",K124,$E$4,$D125&amp;":"&amp;K$14&amp;K$15&amp;":AN:NULL:FISCAL")</f>
        <v/>
      </c>
      <c r="L125" s="710">
        <f>_xll.BLUEMATRIX2("/servlet/excelData",L124,$E$4,$D125&amp;":"&amp;L$14&amp;L$15&amp;":AN:NULL:FISCAL")</f>
        <v/>
      </c>
      <c r="M125" s="710">
        <f>_xll.BLUEMATRIX2("/servlet/excelData",M124,$E$4,$D125&amp;":"&amp;M$14&amp;M$15&amp;":AN:NULL:FISCAL")</f>
        <v/>
      </c>
      <c r="N125" s="710">
        <f>_xll.BLUEMATRIX2("/servlet/excelData",N124,$E$4,$D125&amp;":"&amp;N$14&amp;N$15&amp;":AN:NULL:FISCAL")</f>
        <v/>
      </c>
    </row>
    <row r="126">
      <c r="A126" s="810" t="n"/>
      <c r="B126" s="782" t="inlineStr">
        <is>
          <t>Adjustments to assoc / other</t>
        </is>
      </c>
      <c r="C126" s="776" t="inlineStr">
        <is>
          <t>Needed for EV/EBITDA calc</t>
        </is>
      </c>
      <c r="D126" s="783" t="inlineStr">
        <is>
          <t>AdjustmentOther</t>
        </is>
      </c>
      <c r="E126" s="793" t="n"/>
      <c r="F126" s="793" t="n"/>
      <c r="G126" s="793" t="n"/>
      <c r="H126" s="793" t="n"/>
      <c r="I126" s="793" t="n"/>
      <c r="J126" s="793" t="n"/>
      <c r="K126" s="793" t="n"/>
      <c r="L126" s="793" t="n"/>
      <c r="M126" s="793" t="n"/>
      <c r="N126" s="793" t="n"/>
    </row>
    <row r="127">
      <c r="A127" s="810" t="n"/>
      <c r="B127" s="786" t="inlineStr">
        <is>
          <t>BM Formula &amp; Result</t>
        </is>
      </c>
      <c r="C127" s="787" t="n"/>
      <c r="D127" s="800" t="inlineStr">
        <is>
          <t>AdjustmentOther</t>
        </is>
      </c>
      <c r="E127" s="710">
        <f>_xll.BLUEMATRIX2("/servlet/excelData",E126,$E$4,$D127&amp;":"&amp;E$14&amp;E$15&amp;":AN:NULL:FISCAL")</f>
        <v/>
      </c>
      <c r="F127" s="710">
        <f>_xll.BLUEMATRIX2("/servlet/excelData",F126,$E$4,$D127&amp;":"&amp;F$14&amp;F$15&amp;":AN:NULL:FISCAL")</f>
        <v/>
      </c>
      <c r="G127" s="710">
        <f>_xll.BLUEMATRIX2("/servlet/excelData",G126,$E$4,$D127&amp;":"&amp;G$14&amp;G$15&amp;":AN:NULL:FISCAL")</f>
        <v/>
      </c>
      <c r="H127" s="710">
        <f>_xll.BLUEMATRIX2("/servlet/excelData",H126,$E$4,$D127&amp;":"&amp;H$14&amp;H$15&amp;":AN:NULL:FISCAL")</f>
        <v/>
      </c>
      <c r="I127" s="710">
        <f>_xll.BLUEMATRIX2("/servlet/excelData",I126,$E$4,$D127&amp;":"&amp;I$14&amp;I$15&amp;":AN:NULL:FISCAL")</f>
        <v/>
      </c>
      <c r="J127" s="710">
        <f>_xll.BLUEMATRIX2("/servlet/excelData",J126,$E$4,$D127&amp;":"&amp;J$14&amp;J$15&amp;":AN:NULL:FISCAL")</f>
        <v/>
      </c>
      <c r="K127" s="710">
        <f>_xll.BLUEMATRIX2("/servlet/excelData",K126,$E$4,$D127&amp;":"&amp;K$14&amp;K$15&amp;":AN:NULL:FISCAL")</f>
        <v/>
      </c>
      <c r="L127" s="710">
        <f>_xll.BLUEMATRIX2("/servlet/excelData",L126,$E$4,$D127&amp;":"&amp;L$14&amp;L$15&amp;":AN:NULL:FISCAL")</f>
        <v/>
      </c>
      <c r="M127" s="710">
        <f>_xll.BLUEMATRIX2("/servlet/excelData",M126,$E$4,$D127&amp;":"&amp;M$14&amp;M$15&amp;":AN:NULL:FISCAL")</f>
        <v/>
      </c>
      <c r="N127" s="710">
        <f>_xll.BLUEMATRIX2("/servlet/excelData",N126,$E$4,$D127&amp;":"&amp;N$14&amp;N$15&amp;":AN:NULL:FISCAL")</f>
        <v/>
      </c>
    </row>
    <row r="128">
      <c r="A128" s="810" t="n"/>
      <c r="B128" s="782" t="inlineStr">
        <is>
          <t>Exceptional items</t>
        </is>
      </c>
      <c r="C128" s="776" t="inlineStr">
        <is>
          <t>Exceptional items: write-offs, income/ (loss) on fixed assets &amp; business disposals, restructuring costs</t>
        </is>
      </c>
      <c r="D128" s="783" t="inlineStr">
        <is>
          <t>ExceptionalItems</t>
        </is>
      </c>
      <c r="E128" s="793" t="n"/>
      <c r="F128" s="793" t="n"/>
      <c r="G128" s="793" t="n"/>
      <c r="H128" s="793" t="n"/>
      <c r="I128" s="793" t="n"/>
      <c r="J128" s="793" t="n"/>
      <c r="K128" s="793" t="n"/>
      <c r="L128" s="793" t="n"/>
      <c r="M128" s="793" t="n"/>
      <c r="N128" s="793" t="n"/>
    </row>
    <row r="129">
      <c r="A129" s="810" t="n"/>
      <c r="B129" s="786" t="inlineStr">
        <is>
          <t>BM Formula &amp; Result</t>
        </is>
      </c>
      <c r="C129" s="787" t="n"/>
      <c r="D129" s="800" t="inlineStr">
        <is>
          <t>ExceptionalItems</t>
        </is>
      </c>
      <c r="E129" s="710">
        <f>_xll.BLUEMATRIX2("/servlet/excelData",E128,$E$4,$D129&amp;":"&amp;E$14&amp;E$15&amp;":AN:NULL:FISCAL")</f>
        <v/>
      </c>
      <c r="F129" s="710">
        <f>_xll.BLUEMATRIX2("/servlet/excelData",F128,$E$4,$D129&amp;":"&amp;F$14&amp;F$15&amp;":AN:NULL:FISCAL")</f>
        <v/>
      </c>
      <c r="G129" s="710">
        <f>_xll.BLUEMATRIX2("/servlet/excelData",G128,$E$4,$D129&amp;":"&amp;G$14&amp;G$15&amp;":AN:NULL:FISCAL")</f>
        <v/>
      </c>
      <c r="H129" s="710">
        <f>_xll.BLUEMATRIX2("/servlet/excelData",H128,$E$4,$D129&amp;":"&amp;H$14&amp;H$15&amp;":AN:NULL:FISCAL")</f>
        <v/>
      </c>
      <c r="I129" s="710">
        <f>_xll.BLUEMATRIX2("/servlet/excelData",I128,$E$4,$D129&amp;":"&amp;I$14&amp;I$15&amp;":AN:NULL:FISCAL")</f>
        <v/>
      </c>
      <c r="J129" s="710">
        <f>_xll.BLUEMATRIX2("/servlet/excelData",J128,$E$4,$D129&amp;":"&amp;J$14&amp;J$15&amp;":AN:NULL:FISCAL")</f>
        <v/>
      </c>
      <c r="K129" s="710">
        <f>_xll.BLUEMATRIX2("/servlet/excelData",K128,$E$4,$D129&amp;":"&amp;K$14&amp;K$15&amp;":AN:NULL:FISCAL")</f>
        <v/>
      </c>
      <c r="L129" s="710">
        <f>_xll.BLUEMATRIX2("/servlet/excelData",L128,$E$4,$D129&amp;":"&amp;L$14&amp;L$15&amp;":AN:NULL:FISCAL")</f>
        <v/>
      </c>
      <c r="M129" s="710">
        <f>_xll.BLUEMATRIX2("/servlet/excelData",M128,$E$4,$D129&amp;":"&amp;M$14&amp;M$15&amp;":AN:NULL:FISCAL")</f>
        <v/>
      </c>
      <c r="N129" s="710">
        <f>_xll.BLUEMATRIX2("/servlet/excelData",N128,$E$4,$D129&amp;":"&amp;N$14&amp;N$15&amp;":AN:NULL:FISCAL")</f>
        <v/>
      </c>
    </row>
    <row r="130">
      <c r="A130" s="810" t="n"/>
      <c r="B130" s="782" t="inlineStr">
        <is>
          <t>Net Profit Before Non-Recurring Items</t>
        </is>
      </c>
      <c r="C130" s="776" t="inlineStr">
        <is>
          <t xml:space="preserve">Ordinary net earnings:  reported net income adjusted for non recurring items, net of tax and minority interests </t>
        </is>
      </c>
      <c r="D130" s="783" t="inlineStr">
        <is>
          <t>NET_INC_EX_EXCEPT_GW</t>
        </is>
      </c>
      <c r="E130" s="828" t="n"/>
      <c r="F130" s="793" t="n"/>
      <c r="G130" s="793" t="n"/>
      <c r="H130" s="793" t="n"/>
      <c r="I130" s="793" t="n"/>
      <c r="J130" s="793" t="n"/>
      <c r="K130" s="793" t="n"/>
      <c r="L130" s="793" t="n"/>
      <c r="M130" s="793" t="n"/>
      <c r="N130" s="793" t="n"/>
    </row>
    <row r="131">
      <c r="A131" s="810" t="n"/>
      <c r="B131" s="786" t="inlineStr">
        <is>
          <t>BM Formula &amp; Result</t>
        </is>
      </c>
      <c r="C131" s="787" t="n"/>
      <c r="D131" s="800" t="inlineStr">
        <is>
          <t>NET_INC_EX_EXCEPT_GW</t>
        </is>
      </c>
      <c r="E131" s="710">
        <f>_xll.BLUEMATRIX2("/servlet/excelData",E130,$E$4,$D131&amp;":"&amp;E$14&amp;E$15&amp;":AN:NULL:FISCAL")</f>
        <v/>
      </c>
      <c r="F131" s="710">
        <f>_xll.BLUEMATRIX2("/servlet/excelData",F130,$E$4,$D131&amp;":"&amp;F$14&amp;F$15&amp;":AN:NULL:FISCAL")</f>
        <v/>
      </c>
      <c r="G131" s="710">
        <f>_xll.BLUEMATRIX2("/servlet/excelData",G130,$E$4,$D131&amp;":"&amp;G$14&amp;G$15&amp;":AN:NULL:FISCAL")</f>
        <v/>
      </c>
      <c r="H131" s="710">
        <f>_xll.BLUEMATRIX2("/servlet/excelData",H130,$E$4,$D131&amp;":"&amp;H$14&amp;H$15&amp;":AN:NULL:FISCAL")</f>
        <v/>
      </c>
      <c r="I131" s="710">
        <f>_xll.BLUEMATRIX2("/servlet/excelData",I130,$E$4,$D131&amp;":"&amp;I$14&amp;I$15&amp;":AN:NULL:FISCAL")</f>
        <v/>
      </c>
      <c r="J131" s="710">
        <f>_xll.BLUEMATRIX2("/servlet/excelData",J130,$E$4,$D131&amp;":"&amp;J$14&amp;J$15&amp;":AN:NULL:FISCAL")</f>
        <v/>
      </c>
      <c r="K131" s="710">
        <f>_xll.BLUEMATRIX2("/servlet/excelData",K130,$E$4,$D131&amp;":"&amp;K$14&amp;K$15&amp;":AN:NULL:FISCAL")</f>
        <v/>
      </c>
      <c r="L131" s="710">
        <f>_xll.BLUEMATRIX2("/servlet/excelData",L130,$E$4,$D131&amp;":"&amp;L$14&amp;L$15&amp;":AN:NULL:FISCAL")</f>
        <v/>
      </c>
      <c r="M131" s="710">
        <f>_xll.BLUEMATRIX2("/servlet/excelData",M130,$E$4,$D131&amp;":"&amp;M$14&amp;M$15&amp;":AN:NULL:FISCAL")</f>
        <v/>
      </c>
      <c r="N131" s="710">
        <f>_xll.BLUEMATRIX2("/servlet/excelData",N130,$E$4,$D131&amp;":"&amp;N$14&amp;N$15&amp;":AN:NULL:FISCAL")</f>
        <v/>
      </c>
    </row>
    <row r="132">
      <c r="A132" s="810" t="n"/>
      <c r="B132" s="782" t="inlineStr">
        <is>
          <t>Analysts Adjusted Net Income Growth (%)</t>
        </is>
      </c>
      <c r="C132" s="782" t="n"/>
      <c r="D132" s="783" t="inlineStr">
        <is>
          <t>AnalystsAdjNetIncomeGrowth</t>
        </is>
      </c>
      <c r="E132" s="793" t="n"/>
      <c r="F132" s="793" t="n"/>
      <c r="G132" s="793" t="n"/>
      <c r="H132" s="793" t="n"/>
      <c r="I132" s="793" t="n"/>
      <c r="J132" s="793" t="n"/>
      <c r="K132" s="793" t="n"/>
      <c r="L132" s="793" t="n"/>
      <c r="M132" s="793" t="n"/>
      <c r="N132" s="793" t="n"/>
    </row>
    <row r="133">
      <c r="A133" s="810" t="n"/>
      <c r="B133" s="786" t="inlineStr">
        <is>
          <t>BM Formula &amp; Result</t>
        </is>
      </c>
      <c r="C133" s="787" t="n"/>
      <c r="D133" s="800" t="inlineStr">
        <is>
          <t>AnalystsAdjNetIncomeGrowth</t>
        </is>
      </c>
      <c r="E133" s="710">
        <f>_xll.BLUEMATRIX2("/servlet/excelData",E132,$E$4,$D133&amp;":"&amp;E$14&amp;E$15&amp;":AN:NULL:FISCAL")</f>
        <v/>
      </c>
      <c r="F133" s="710">
        <f>_xll.BLUEMATRIX2("/servlet/excelData",F132,$E$4,$D133&amp;":"&amp;F$14&amp;F$15&amp;":AN:NULL:FISCAL")</f>
        <v/>
      </c>
      <c r="G133" s="710">
        <f>_xll.BLUEMATRIX2("/servlet/excelData",G132,$E$4,$D133&amp;":"&amp;G$14&amp;G$15&amp;":AN:NULL:FISCAL")</f>
        <v/>
      </c>
      <c r="H133" s="710">
        <f>_xll.BLUEMATRIX2("/servlet/excelData",H132,$E$4,$D133&amp;":"&amp;H$14&amp;H$15&amp;":AN:NULL:FISCAL")</f>
        <v/>
      </c>
      <c r="I133" s="710">
        <f>_xll.BLUEMATRIX2("/servlet/excelData",I132,$E$4,$D133&amp;":"&amp;I$14&amp;I$15&amp;":AN:NULL:FISCAL")</f>
        <v/>
      </c>
      <c r="J133" s="710">
        <f>_xll.BLUEMATRIX2("/servlet/excelData",J132,$E$4,$D133&amp;":"&amp;J$14&amp;J$15&amp;":AN:NULL:FISCAL")</f>
        <v/>
      </c>
      <c r="K133" s="710">
        <f>_xll.BLUEMATRIX2("/servlet/excelData",K132,$E$4,$D133&amp;":"&amp;K$14&amp;K$15&amp;":AN:NULL:FISCAL")</f>
        <v/>
      </c>
      <c r="L133" s="710">
        <f>_xll.BLUEMATRIX2("/servlet/excelData",L132,$E$4,$D133&amp;":"&amp;L$14&amp;L$15&amp;":AN:NULL:FISCAL")</f>
        <v/>
      </c>
      <c r="M133" s="710">
        <f>_xll.BLUEMATRIX2("/servlet/excelData",M132,$E$4,$D133&amp;":"&amp;M$14&amp;M$15&amp;":AN:NULL:FISCAL")</f>
        <v/>
      </c>
      <c r="N133" s="710">
        <f>_xll.BLUEMATRIX2("/servlet/excelData",N132,$E$4,$D133&amp;":"&amp;N$14&amp;N$15&amp;":AN:NULL:FISCAL")</f>
        <v/>
      </c>
    </row>
    <row r="134">
      <c r="A134" s="810" t="n"/>
      <c r="B134" s="782" t="inlineStr">
        <is>
          <t>12Month Forecast Dividend</t>
        </is>
      </c>
      <c r="C134" s="782" t="inlineStr">
        <is>
          <t xml:space="preserve">12 month Dividend </t>
        </is>
      </c>
      <c r="D134" s="783" t="inlineStr">
        <is>
          <t>12M_FORECAST_DIV</t>
        </is>
      </c>
      <c r="E134" s="793" t="n"/>
      <c r="F134" s="793" t="n"/>
      <c r="G134" s="793" t="n"/>
      <c r="H134" s="793" t="n"/>
      <c r="I134" s="793" t="n"/>
      <c r="J134" s="793" t="n"/>
      <c r="K134" s="793" t="n"/>
      <c r="L134" s="793" t="n"/>
      <c r="M134" s="793" t="n"/>
      <c r="N134" s="793" t="n"/>
    </row>
    <row r="135">
      <c r="A135" s="810" t="n"/>
      <c r="B135" s="786" t="inlineStr">
        <is>
          <t>BM Formula &amp; Result</t>
        </is>
      </c>
      <c r="C135" s="787" t="n"/>
      <c r="D135" s="800" t="inlineStr">
        <is>
          <t>12M_FORECAST_DIV</t>
        </is>
      </c>
      <c r="E135" s="710">
        <f>_xll.BLUEMATRIX2("/servlet/excelData",E134,$E$4,$D135&amp;":"&amp;E$14&amp;E$15&amp;":AN:NULL:FISCAL")</f>
        <v/>
      </c>
      <c r="F135" s="710">
        <f>_xll.BLUEMATRIX2("/servlet/excelData",F134,$E$4,$D135&amp;":"&amp;F$14&amp;F$15&amp;":AN:NULL:FISCAL")</f>
        <v/>
      </c>
      <c r="G135" s="710">
        <f>_xll.BLUEMATRIX2("/servlet/excelData",G134,$E$4,$D135&amp;":"&amp;G$14&amp;G$15&amp;":AN:NULL:FISCAL")</f>
        <v/>
      </c>
      <c r="H135" s="710">
        <f>_xll.BLUEMATRIX2("/servlet/excelData",H134,$E$4,$D135&amp;":"&amp;H$14&amp;H$15&amp;":AN:NULL:FISCAL")</f>
        <v/>
      </c>
      <c r="I135" s="710">
        <f>_xll.BLUEMATRIX2("/servlet/excelData",I134,$E$4,$D135&amp;":"&amp;I$14&amp;I$15&amp;":AN:NULL:FISCAL")</f>
        <v/>
      </c>
      <c r="J135" s="710">
        <f>_xll.BLUEMATRIX2("/servlet/excelData",J134,$E$4,$D135&amp;":"&amp;J$14&amp;J$15&amp;":AN:NULL:FISCAL")</f>
        <v/>
      </c>
      <c r="K135" s="710">
        <f>_xll.BLUEMATRIX2("/servlet/excelData",K134,$E$4,$D135&amp;":"&amp;K$14&amp;K$15&amp;":AN:NULL:FISCAL")</f>
        <v/>
      </c>
      <c r="L135" s="710">
        <f>_xll.BLUEMATRIX2("/servlet/excelData",L134,$E$4,$D135&amp;":"&amp;L$14&amp;L$15&amp;":AN:NULL:FISCAL")</f>
        <v/>
      </c>
      <c r="M135" s="710">
        <f>_xll.BLUEMATRIX2("/servlet/excelData",M134,$E$4,$D135&amp;":"&amp;M$14&amp;M$15&amp;":AN:NULL:FISCAL")</f>
        <v/>
      </c>
      <c r="N135" s="710">
        <f>_xll.BLUEMATRIX2("/servlet/excelData",N134,$E$4,$D135&amp;":"&amp;N$14&amp;N$15&amp;":AN:NULL:FISCAL")</f>
        <v/>
      </c>
    </row>
    <row r="136">
      <c r="A136" s="810" t="n"/>
      <c r="B136" s="782" t="inlineStr">
        <is>
          <t>Normalised Tax Rate (%)</t>
        </is>
      </c>
      <c r="C136" s="776" t="inlineStr">
        <is>
          <t>Normative tax rate % ie long term tax rate, excluding short term positive effects.</t>
        </is>
      </c>
      <c r="D136" s="783" t="inlineStr">
        <is>
          <t>NormalisedTaxRate</t>
        </is>
      </c>
      <c r="E136" s="836">
        <f>FS_Y!Q166</f>
        <v/>
      </c>
      <c r="F136" s="836">
        <f>FS_Y!R166</f>
        <v/>
      </c>
      <c r="G136" s="836">
        <f>FS_Y!S166</f>
        <v/>
      </c>
      <c r="H136" s="836">
        <f>FS_Y!T166</f>
        <v/>
      </c>
      <c r="I136" s="836">
        <f>FS_Y!U166</f>
        <v/>
      </c>
      <c r="J136" s="836">
        <f>FS_Y!V166</f>
        <v/>
      </c>
      <c r="K136" s="836">
        <f>FS_Y!W166</f>
        <v/>
      </c>
      <c r="L136" s="793" t="n"/>
      <c r="M136" s="793" t="n"/>
      <c r="N136" s="793" t="n"/>
    </row>
    <row r="137">
      <c r="A137" s="810" t="n"/>
      <c r="B137" s="786" t="inlineStr">
        <is>
          <t>BM Formula &amp; Result</t>
        </is>
      </c>
      <c r="C137" s="787" t="n"/>
      <c r="D137" s="800" t="inlineStr">
        <is>
          <t>NormalisedTaxRate</t>
        </is>
      </c>
      <c r="E137" s="710">
        <f>_xll.BLUEMATRIX2("/servlet/excelData",E136,$E$4,$D137&amp;":"&amp;E$14&amp;E$15&amp;":AN:NULL:FISCAL")</f>
        <v/>
      </c>
      <c r="F137" s="710">
        <f>_xll.BLUEMATRIX2("/servlet/excelData",F136,$E$4,$D137&amp;":"&amp;F$14&amp;F$15&amp;":AN:NULL:FISCAL")</f>
        <v/>
      </c>
      <c r="G137" s="710">
        <f>_xll.BLUEMATRIX2("/servlet/excelData",G136,$E$4,$D137&amp;":"&amp;G$14&amp;G$15&amp;":AN:NULL:FISCAL")</f>
        <v/>
      </c>
      <c r="H137" s="710">
        <f>_xll.BLUEMATRIX2("/servlet/excelData",H136,$E$4,$D137&amp;":"&amp;H$14&amp;H$15&amp;":AN:NULL:FISCAL")</f>
        <v/>
      </c>
      <c r="I137" s="710">
        <f>_xll.BLUEMATRIX2("/servlet/excelData",I136,$E$4,$D137&amp;":"&amp;I$14&amp;I$15&amp;":AN:NULL:FISCAL")</f>
        <v/>
      </c>
      <c r="J137" s="710">
        <f>_xll.BLUEMATRIX2("/servlet/excelData",J136,$E$4,$D137&amp;":"&amp;J$14&amp;J$15&amp;":AN:NULL:FISCAL")</f>
        <v/>
      </c>
      <c r="K137" s="710">
        <f>_xll.BLUEMATRIX2("/servlet/excelData",K136,$E$4,$D137&amp;":"&amp;K$14&amp;K$15&amp;":AN:NULL:FISCAL")</f>
        <v/>
      </c>
      <c r="L137" s="710">
        <f>_xll.BLUEMATRIX2("/servlet/excelData",L136,$E$4,$D137&amp;":"&amp;L$14&amp;L$15&amp;":AN:NULL:FISCAL")</f>
        <v/>
      </c>
      <c r="M137" s="710">
        <f>_xll.BLUEMATRIX2("/servlet/excelData",M136,$E$4,$D137&amp;":"&amp;M$14&amp;M$15&amp;":AN:NULL:FISCAL")</f>
        <v/>
      </c>
      <c r="N137" s="710">
        <f>_xll.BLUEMATRIX2("/servlet/excelData",N136,$E$4,$D137&amp;":"&amp;N$14&amp;N$15&amp;":AN:NULL:FISCAL")</f>
        <v/>
      </c>
    </row>
    <row r="138">
      <c r="A138" s="810" t="n"/>
      <c r="B138" s="782" t="inlineStr">
        <is>
          <t>Net Income Growth (%)</t>
        </is>
      </c>
      <c r="C138" s="782" t="inlineStr">
        <is>
          <t>Net income excl. except. &amp; impairment yoy growth</t>
        </is>
      </c>
      <c r="D138" s="783" t="inlineStr">
        <is>
          <t>NetIncomeGrowth</t>
        </is>
      </c>
      <c r="E138" s="836">
        <f>FS_Y!Q27/FS_Y!P27-1</f>
        <v/>
      </c>
      <c r="F138" s="836">
        <f>FS_Y!R27/FS_Y!Q27-1</f>
        <v/>
      </c>
      <c r="G138" s="836">
        <f>FS_Y!S27/FS_Y!R27-1</f>
        <v/>
      </c>
      <c r="H138" s="836">
        <f>FS_Y!T27/FS_Y!S27-1</f>
        <v/>
      </c>
      <c r="I138" s="836">
        <f>FS_Y!U27/FS_Y!T27-1</f>
        <v/>
      </c>
      <c r="J138" s="836">
        <f>FS_Y!V27/FS_Y!U27-1</f>
        <v/>
      </c>
      <c r="K138" s="836">
        <f>FS_Y!W27/FS_Y!V27-1</f>
        <v/>
      </c>
      <c r="L138" s="793" t="n"/>
      <c r="M138" s="793" t="n"/>
      <c r="N138" s="793" t="n"/>
    </row>
    <row r="139">
      <c r="A139" s="810" t="n"/>
      <c r="B139" s="786" t="inlineStr">
        <is>
          <t>BM Formula &amp; Result</t>
        </is>
      </c>
      <c r="C139" s="787" t="n"/>
      <c r="D139" s="800" t="inlineStr">
        <is>
          <t>NetIncomeGrowth</t>
        </is>
      </c>
      <c r="E139" s="710">
        <f>_xll.BLUEMATRIX2("/servlet/excelData",E138,$E$4,$D139&amp;":"&amp;E$14&amp;E$15&amp;":AN:NULL:FISCAL")</f>
        <v/>
      </c>
      <c r="F139" s="710">
        <f>_xll.BLUEMATRIX2("/servlet/excelData",F138,$E$4,$D139&amp;":"&amp;F$14&amp;F$15&amp;":AN:NULL:FISCAL")</f>
        <v/>
      </c>
      <c r="G139" s="710">
        <f>_xll.BLUEMATRIX2("/servlet/excelData",G138,$E$4,$D139&amp;":"&amp;G$14&amp;G$15&amp;":AN:NULL:FISCAL")</f>
        <v/>
      </c>
      <c r="H139" s="710">
        <f>_xll.BLUEMATRIX2("/servlet/excelData",H138,$E$4,$D139&amp;":"&amp;H$14&amp;H$15&amp;":AN:NULL:FISCAL")</f>
        <v/>
      </c>
      <c r="I139" s="710">
        <f>_xll.BLUEMATRIX2("/servlet/excelData",I138,$E$4,$D139&amp;":"&amp;I$14&amp;I$15&amp;":AN:NULL:FISCAL")</f>
        <v/>
      </c>
      <c r="J139" s="710">
        <f>_xll.BLUEMATRIX2("/servlet/excelData",J138,$E$4,$D139&amp;":"&amp;J$14&amp;J$15&amp;":AN:NULL:FISCAL")</f>
        <v/>
      </c>
      <c r="K139" s="710">
        <f>_xll.BLUEMATRIX2("/servlet/excelData",K138,$E$4,$D139&amp;":"&amp;K$14&amp;K$15&amp;":AN:NULL:FISCAL")</f>
        <v/>
      </c>
      <c r="L139" s="710">
        <f>_xll.BLUEMATRIX2("/servlet/excelData",L138,$E$4,$D139&amp;":"&amp;L$14&amp;L$15&amp;":AN:NULL:FISCAL")</f>
        <v/>
      </c>
      <c r="M139" s="710">
        <f>_xll.BLUEMATRIX2("/servlet/excelData",M138,$E$4,$D139&amp;":"&amp;M$14&amp;M$15&amp;":AN:NULL:FISCAL")</f>
        <v/>
      </c>
      <c r="N139" s="710">
        <f>_xll.BLUEMATRIX2("/servlet/excelData",N138,$E$4,$D139&amp;":"&amp;N$14&amp;N$15&amp;":AN:NULL:FISCAL")</f>
        <v/>
      </c>
    </row>
    <row r="140">
      <c r="A140" s="810" t="n"/>
      <c r="B140" s="782" t="inlineStr">
        <is>
          <t>Adjusted Net Income (M)</t>
        </is>
      </c>
      <c r="C140" s="776" t="inlineStr">
        <is>
          <t xml:space="preserve">Ordinary net income:  reported net income adjusted for non recurring items, net of tax and minority interests </t>
        </is>
      </c>
      <c r="D140" s="783" t="inlineStr">
        <is>
          <t>AdjNetIncome</t>
        </is>
      </c>
      <c r="E140" s="793" t="n"/>
      <c r="F140" s="793" t="n"/>
      <c r="G140" s="793" t="n"/>
      <c r="H140" s="793" t="n"/>
      <c r="I140" s="793" t="n"/>
      <c r="J140" s="793" t="n"/>
      <c r="K140" s="793" t="n"/>
      <c r="L140" s="793" t="n"/>
      <c r="M140" s="793" t="n"/>
      <c r="N140" s="793" t="n"/>
    </row>
    <row r="141">
      <c r="A141" s="810" t="n"/>
      <c r="B141" s="786" t="inlineStr">
        <is>
          <t>BM Formula &amp; Result</t>
        </is>
      </c>
      <c r="C141" s="787" t="n"/>
      <c r="D141" s="800" t="inlineStr">
        <is>
          <t>AdjNetIncome</t>
        </is>
      </c>
      <c r="E141" s="818">
        <f>_xll.BLUEMATRIX2("/servlet/excelData",E140,$E$4,$D141&amp;":"&amp;E$14&amp;E$15&amp;":AN:NULL:FISCAL")</f>
        <v/>
      </c>
      <c r="F141" s="818">
        <f>_xll.BLUEMATRIX2("/servlet/excelData",F140,$E$4,$D141&amp;":"&amp;F$14&amp;F$15&amp;":AN:NULL:FISCAL")</f>
        <v/>
      </c>
      <c r="G141" s="818">
        <f>_xll.BLUEMATRIX2("/servlet/excelData",G140,$E$4,$D141&amp;":"&amp;G$14&amp;G$15&amp;":AN:NULL:FISCAL")</f>
        <v/>
      </c>
      <c r="H141" s="818">
        <f>_xll.BLUEMATRIX2("/servlet/excelData",H140,$E$4,$D141&amp;":"&amp;H$14&amp;H$15&amp;":AN:NULL:FISCAL")</f>
        <v/>
      </c>
      <c r="I141" s="818">
        <f>_xll.BLUEMATRIX2("/servlet/excelData",I140,$E$4,$D141&amp;":"&amp;I$14&amp;I$15&amp;":AN:NULL:FISCAL")</f>
        <v/>
      </c>
      <c r="J141" s="818">
        <f>_xll.BLUEMATRIX2("/servlet/excelData",J140,$E$4,$D141&amp;":"&amp;J$14&amp;J$15&amp;":AN:NULL:FISCAL")</f>
        <v/>
      </c>
      <c r="K141" s="818">
        <f>_xll.BLUEMATRIX2("/servlet/excelData",K140,$E$4,$D141&amp;":"&amp;K$14&amp;K$15&amp;":AN:NULL:FISCAL")</f>
        <v/>
      </c>
      <c r="L141" s="710">
        <f>_xll.BLUEMATRIX2("/servlet/excelData",L140,$E$4,$D141&amp;":"&amp;L$14&amp;L$15&amp;":AN:NULL:FISCAL")</f>
        <v/>
      </c>
      <c r="M141" s="710">
        <f>_xll.BLUEMATRIX2("/servlet/excelData",M140,$E$4,$D141&amp;":"&amp;M$14&amp;M$15&amp;":AN:NULL:FISCAL")</f>
        <v/>
      </c>
      <c r="N141" s="710">
        <f>_xll.BLUEMATRIX2("/servlet/excelData",N140,$E$4,$D141&amp;":"&amp;N$14&amp;N$15&amp;":AN:NULL:FISCAL")</f>
        <v/>
      </c>
    </row>
    <row r="142">
      <c r="A142" s="811" t="inlineStr">
        <is>
          <t>RATIOS</t>
        </is>
      </c>
      <c r="B142" s="795" t="inlineStr">
        <is>
          <t>EBIT After Normative Tax Rate (M)</t>
        </is>
      </c>
      <c r="C142" s="795" t="n"/>
      <c r="D142" s="797" t="inlineStr">
        <is>
          <t>EBITA_AFTER_NORMATIVE_TAX</t>
        </is>
      </c>
      <c r="E142" s="835">
        <f>(FS_Y!Q167)/1000</f>
        <v/>
      </c>
      <c r="F142" s="835">
        <f>(FS_Y!R167)/1000</f>
        <v/>
      </c>
      <c r="G142" s="835">
        <f>(FS_Y!S167)/1000</f>
        <v/>
      </c>
      <c r="H142" s="835">
        <f>(FS_Y!T167)/1000</f>
        <v/>
      </c>
      <c r="I142" s="835">
        <f>(FS_Y!U167)/1000</f>
        <v/>
      </c>
      <c r="J142" s="835">
        <f>(FS_Y!V167)/1000</f>
        <v/>
      </c>
      <c r="K142" s="835">
        <f>(FS_Y!W167)/1000</f>
        <v/>
      </c>
      <c r="L142" s="805" t="n"/>
      <c r="M142" s="805" t="n"/>
      <c r="N142" s="805" t="n"/>
    </row>
    <row r="143">
      <c r="A143" s="812" t="n"/>
      <c r="B143" s="786" t="inlineStr">
        <is>
          <t>BM Formula &amp; Result</t>
        </is>
      </c>
      <c r="C143" s="787" t="n"/>
      <c r="D143" s="800" t="inlineStr">
        <is>
          <t>EBITA_AFTER_NORMATIVE_TAX</t>
        </is>
      </c>
      <c r="E143" s="710">
        <f>_xll.BLUEMATRIX2("/servlet/excelData",E142,$E$4,$D143&amp;":"&amp;E$14&amp;E$15&amp;":AN:NULL:FISCAL")</f>
        <v/>
      </c>
      <c r="F143" s="710">
        <f>_xll.BLUEMATRIX2("/servlet/excelData",F142,$E$4,$D143&amp;":"&amp;F$14&amp;F$15&amp;":AN:NULL:FISCAL")</f>
        <v/>
      </c>
      <c r="G143" s="710">
        <f>_xll.BLUEMATRIX2("/servlet/excelData",G142,$E$4,$D143&amp;":"&amp;G$14&amp;G$15&amp;":AN:NULL:FISCAL")</f>
        <v/>
      </c>
      <c r="H143" s="710">
        <f>_xll.BLUEMATRIX2("/servlet/excelData",H142,$E$4,$D143&amp;":"&amp;H$14&amp;H$15&amp;":AN:NULL:FISCAL")</f>
        <v/>
      </c>
      <c r="I143" s="710">
        <f>_xll.BLUEMATRIX2("/servlet/excelData",I142,$E$4,$D143&amp;":"&amp;I$14&amp;I$15&amp;":AN:NULL:FISCAL")</f>
        <v/>
      </c>
      <c r="J143" s="710">
        <f>_xll.BLUEMATRIX2("/servlet/excelData",J142,$E$4,$D143&amp;":"&amp;J$14&amp;J$15&amp;":AN:NULL:FISCAL")</f>
        <v/>
      </c>
      <c r="K143" s="710">
        <f>_xll.BLUEMATRIX2("/servlet/excelData",K142,$E$4,$D143&amp;":"&amp;K$14&amp;K$15&amp;":AN:NULL:FISCAL")</f>
        <v/>
      </c>
      <c r="L143" s="710">
        <f>_xll.BLUEMATRIX2("/servlet/excelData",L142,$E$4,$D143&amp;":"&amp;L$14&amp;L$15&amp;":AN:NULL:FISCAL")</f>
        <v/>
      </c>
      <c r="M143" s="710">
        <f>_xll.BLUEMATRIX2("/servlet/excelData",M142,$E$4,$D143&amp;":"&amp;M$14&amp;M$15&amp;":AN:NULL:FISCAL")</f>
        <v/>
      </c>
      <c r="N143" s="710">
        <f>_xll.BLUEMATRIX2("/servlet/excelData",N142,$E$4,$D143&amp;":"&amp;N$14&amp;N$15&amp;":AN:NULL:FISCAL")</f>
        <v/>
      </c>
    </row>
    <row r="144">
      <c r="A144" s="812" t="n"/>
      <c r="B144" s="782" t="inlineStr">
        <is>
          <t>ROCE (%)</t>
        </is>
      </c>
      <c r="C144" s="782" t="n"/>
      <c r="D144" s="783" t="inlineStr">
        <is>
          <t>ROCE</t>
        </is>
      </c>
      <c r="E144" s="836">
        <f>E106/E54</f>
        <v/>
      </c>
      <c r="F144" s="836">
        <f>F106/F54</f>
        <v/>
      </c>
      <c r="G144" s="836">
        <f>G106/G54</f>
        <v/>
      </c>
      <c r="H144" s="836">
        <f>H106/H54</f>
        <v/>
      </c>
      <c r="I144" s="836">
        <f>I106/I54</f>
        <v/>
      </c>
      <c r="J144" s="836">
        <f>J106/J54</f>
        <v/>
      </c>
      <c r="K144" s="836">
        <f>K106/K54</f>
        <v/>
      </c>
      <c r="L144" s="793" t="n"/>
      <c r="M144" s="793" t="n"/>
      <c r="N144" s="793" t="n"/>
    </row>
    <row r="145">
      <c r="A145" s="812" t="n"/>
      <c r="B145" s="786" t="inlineStr">
        <is>
          <t>BM Formula &amp; Result</t>
        </is>
      </c>
      <c r="C145" s="787" t="n"/>
      <c r="D145" s="800" t="inlineStr">
        <is>
          <t>ROCE</t>
        </is>
      </c>
      <c r="E145" s="710">
        <f>_xll.BLUEMATRIX2("/servlet/excelData",E144,$E$4,$D145&amp;":"&amp;E$14&amp;E$15&amp;":AN:NULL:FISCAL")</f>
        <v/>
      </c>
      <c r="F145" s="710">
        <f>_xll.BLUEMATRIX2("/servlet/excelData",F144,$E$4,$D145&amp;":"&amp;F$14&amp;F$15&amp;":AN:NULL:FISCAL")</f>
        <v/>
      </c>
      <c r="G145" s="710">
        <f>_xll.BLUEMATRIX2("/servlet/excelData",G144,$E$4,$D145&amp;":"&amp;G$14&amp;G$15&amp;":AN:NULL:FISCAL")</f>
        <v/>
      </c>
      <c r="H145" s="710">
        <f>_xll.BLUEMATRIX2("/servlet/excelData",H144,$E$4,$D145&amp;":"&amp;H$14&amp;H$15&amp;":AN:NULL:FISCAL")</f>
        <v/>
      </c>
      <c r="I145" s="710">
        <f>_xll.BLUEMATRIX2("/servlet/excelData",I144,$E$4,$D145&amp;":"&amp;I$14&amp;I$15&amp;":AN:NULL:FISCAL")</f>
        <v/>
      </c>
      <c r="J145" s="710">
        <f>_xll.BLUEMATRIX2("/servlet/excelData",J144,$E$4,$D145&amp;":"&amp;J$14&amp;J$15&amp;":AN:NULL:FISCAL")</f>
        <v/>
      </c>
      <c r="K145" s="710">
        <f>_xll.BLUEMATRIX2("/servlet/excelData",K144,$E$4,$D145&amp;":"&amp;K$14&amp;K$15&amp;":AN:NULL:FISCAL")</f>
        <v/>
      </c>
      <c r="L145" s="710">
        <f>_xll.BLUEMATRIX2("/servlet/excelData",L144,$E$4,$D145&amp;":"&amp;L$14&amp;L$15&amp;":AN:NULL:FISCAL")</f>
        <v/>
      </c>
      <c r="M145" s="710">
        <f>_xll.BLUEMATRIX2("/servlet/excelData",M144,$E$4,$D145&amp;":"&amp;M$14&amp;M$15&amp;":AN:NULL:FISCAL")</f>
        <v/>
      </c>
      <c r="N145" s="710">
        <f>_xll.BLUEMATRIX2("/servlet/excelData",N144,$E$4,$D145&amp;":"&amp;N$14&amp;N$15&amp;":AN:NULL:FISCAL")</f>
        <v/>
      </c>
    </row>
    <row r="146">
      <c r="A146" s="812" t="n"/>
      <c r="B146" s="782" t="inlineStr">
        <is>
          <t>ROE (%)</t>
        </is>
      </c>
      <c r="C146" s="782" t="n"/>
      <c r="D146" s="783" t="inlineStr">
        <is>
          <t>ROE</t>
        </is>
      </c>
      <c r="E146" s="949">
        <f>FS_Y!Q178</f>
        <v/>
      </c>
      <c r="F146" s="949">
        <f>FS_Y!R178</f>
        <v/>
      </c>
      <c r="G146" s="949">
        <f>FS_Y!S178</f>
        <v/>
      </c>
      <c r="H146" s="949">
        <f>FS_Y!T178</f>
        <v/>
      </c>
      <c r="I146" s="949">
        <f>FS_Y!U178</f>
        <v/>
      </c>
      <c r="J146" s="949">
        <f>FS_Y!V178</f>
        <v/>
      </c>
      <c r="K146" s="949">
        <f>FS_Y!W178</f>
        <v/>
      </c>
      <c r="L146" s="793" t="n"/>
      <c r="M146" s="793" t="n"/>
      <c r="N146" s="793" t="n"/>
    </row>
    <row r="147">
      <c r="A147" s="812" t="n"/>
      <c r="B147" s="786" t="inlineStr">
        <is>
          <t>BM Formula &amp; Result</t>
        </is>
      </c>
      <c r="C147" s="787" t="n"/>
      <c r="D147" s="800" t="inlineStr">
        <is>
          <t>ROE</t>
        </is>
      </c>
      <c r="E147" s="710">
        <f>_xll.BLUEMATRIX2("/servlet/excelData",E146,$E$4,$D147&amp;":"&amp;E$14&amp;E$15&amp;":AN:NULL:FISCAL")</f>
        <v/>
      </c>
      <c r="F147" s="710">
        <f>_xll.BLUEMATRIX2("/servlet/excelData",F146,$E$4,$D147&amp;":"&amp;F$14&amp;F$15&amp;":AN:NULL:FISCAL")</f>
        <v/>
      </c>
      <c r="G147" s="710">
        <f>_xll.BLUEMATRIX2("/servlet/excelData",G146,$E$4,$D147&amp;":"&amp;G$14&amp;G$15&amp;":AN:NULL:FISCAL")</f>
        <v/>
      </c>
      <c r="H147" s="710">
        <f>_xll.BLUEMATRIX2("/servlet/excelData",H146,$E$4,$D147&amp;":"&amp;H$14&amp;H$15&amp;":AN:NULL:FISCAL")</f>
        <v/>
      </c>
      <c r="I147" s="710">
        <f>_xll.BLUEMATRIX2("/servlet/excelData",I146,$E$4,$D147&amp;":"&amp;I$14&amp;I$15&amp;":AN:NULL:FISCAL")</f>
        <v/>
      </c>
      <c r="J147" s="710">
        <f>_xll.BLUEMATRIX2("/servlet/excelData",J146,$E$4,$D147&amp;":"&amp;J$14&amp;J$15&amp;":AN:NULL:FISCAL")</f>
        <v/>
      </c>
      <c r="K147" s="710">
        <f>_xll.BLUEMATRIX2("/servlet/excelData",K146,$E$4,$D147&amp;":"&amp;K$14&amp;K$15&amp;":AN:NULL:FISCAL")</f>
        <v/>
      </c>
      <c r="L147" s="710">
        <f>_xll.BLUEMATRIX2("/servlet/excelData",L146,$E$4,$D147&amp;":"&amp;L$14&amp;L$15&amp;":AN:NULL:FISCAL")</f>
        <v/>
      </c>
      <c r="M147" s="710">
        <f>_xll.BLUEMATRIX2("/servlet/excelData",M146,$E$4,$D147&amp;":"&amp;M$14&amp;M$15&amp;":AN:NULL:FISCAL")</f>
        <v/>
      </c>
      <c r="N147" s="710">
        <f>_xll.BLUEMATRIX2("/servlet/excelData",N146,$E$4,$D147&amp;":"&amp;N$14&amp;N$15&amp;":AN:NULL:FISCAL")</f>
        <v/>
      </c>
    </row>
    <row r="148">
      <c r="A148" s="812" t="n"/>
      <c r="B148" s="782" t="inlineStr">
        <is>
          <t>ROIC (%)</t>
        </is>
      </c>
      <c r="C148" s="782" t="n"/>
      <c r="D148" s="783" t="inlineStr">
        <is>
          <t>ROIC</t>
        </is>
      </c>
      <c r="E148" s="949">
        <f>FS_Y!Q177</f>
        <v/>
      </c>
      <c r="F148" s="949">
        <f>FS_Y!R177</f>
        <v/>
      </c>
      <c r="G148" s="949">
        <f>FS_Y!S177</f>
        <v/>
      </c>
      <c r="H148" s="949">
        <f>FS_Y!T177</f>
        <v/>
      </c>
      <c r="I148" s="949">
        <f>FS_Y!U177</f>
        <v/>
      </c>
      <c r="J148" s="949">
        <f>FS_Y!V177</f>
        <v/>
      </c>
      <c r="K148" s="949">
        <f>FS_Y!W177</f>
        <v/>
      </c>
      <c r="L148" s="793" t="n"/>
      <c r="M148" s="793" t="n"/>
      <c r="N148" s="793" t="n"/>
    </row>
    <row r="149">
      <c r="A149" s="812" t="n"/>
      <c r="B149" s="786" t="inlineStr">
        <is>
          <t>BM Formula &amp; Result</t>
        </is>
      </c>
      <c r="C149" s="787" t="n"/>
      <c r="D149" s="800" t="inlineStr">
        <is>
          <t>ROIC</t>
        </is>
      </c>
      <c r="E149" s="710">
        <f>_xll.BLUEMATRIX2("/servlet/excelData",E148,$E$4,$D149&amp;":"&amp;E$14&amp;E$15&amp;":AN:NULL:FISCAL")</f>
        <v/>
      </c>
      <c r="F149" s="710">
        <f>_xll.BLUEMATRIX2("/servlet/excelData",F148,$E$4,$D149&amp;":"&amp;F$14&amp;F$15&amp;":AN:NULL:FISCAL")</f>
        <v/>
      </c>
      <c r="G149" s="710">
        <f>_xll.BLUEMATRIX2("/servlet/excelData",G148,$E$4,$D149&amp;":"&amp;G$14&amp;G$15&amp;":AN:NULL:FISCAL")</f>
        <v/>
      </c>
      <c r="H149" s="710">
        <f>_xll.BLUEMATRIX2("/servlet/excelData",H148,$E$4,$D149&amp;":"&amp;H$14&amp;H$15&amp;":AN:NULL:FISCAL")</f>
        <v/>
      </c>
      <c r="I149" s="710">
        <f>_xll.BLUEMATRIX2("/servlet/excelData",I148,$E$4,$D149&amp;":"&amp;I$14&amp;I$15&amp;":AN:NULL:FISCAL")</f>
        <v/>
      </c>
      <c r="J149" s="710">
        <f>_xll.BLUEMATRIX2("/servlet/excelData",J148,$E$4,$D149&amp;":"&amp;J$14&amp;J$15&amp;":AN:NULL:FISCAL")</f>
        <v/>
      </c>
      <c r="K149" s="710">
        <f>_xll.BLUEMATRIX2("/servlet/excelData",K148,$E$4,$D149&amp;":"&amp;K$14&amp;K$15&amp;":AN:NULL:FISCAL")</f>
        <v/>
      </c>
      <c r="L149" s="710">
        <f>_xll.BLUEMATRIX2("/servlet/excelData",L148,$E$4,$D149&amp;":"&amp;L$14&amp;L$15&amp;":AN:NULL:FISCAL")</f>
        <v/>
      </c>
      <c r="M149" s="710">
        <f>_xll.BLUEMATRIX2("/servlet/excelData",M148,$E$4,$D149&amp;":"&amp;M$14&amp;M$15&amp;":AN:NULL:FISCAL")</f>
        <v/>
      </c>
      <c r="N149" s="710">
        <f>_xll.BLUEMATRIX2("/servlet/excelData",N148,$E$4,$D149&amp;":"&amp;N$14&amp;N$15&amp;":AN:NULL:FISCAL")</f>
        <v/>
      </c>
    </row>
    <row r="150">
      <c r="A150" s="813" t="inlineStr">
        <is>
          <t>STOCK</t>
        </is>
      </c>
      <c r="B150" s="795" t="inlineStr">
        <is>
          <t>Dividend/Share</t>
        </is>
      </c>
      <c r="C150" s="796" t="inlineStr">
        <is>
          <t>Dividend paid to shareholders voted during the fiscal year (payable in the following year)</t>
        </is>
      </c>
      <c r="D150" s="797" t="inlineStr">
        <is>
          <t>DIVPS</t>
        </is>
      </c>
      <c r="E150" s="805" t="n"/>
      <c r="F150" s="805" t="n"/>
      <c r="G150" s="805" t="n"/>
      <c r="H150" s="805" t="n"/>
      <c r="I150" s="805" t="n"/>
      <c r="J150" s="805" t="n"/>
      <c r="K150" s="805" t="n"/>
      <c r="L150" s="805" t="n"/>
      <c r="M150" s="805" t="n"/>
      <c r="N150" s="805" t="n"/>
    </row>
    <row r="151">
      <c r="A151" s="814" t="n"/>
      <c r="B151" s="786" t="inlineStr">
        <is>
          <t>BM Formula &amp; Result</t>
        </is>
      </c>
      <c r="C151" s="787" t="n"/>
      <c r="D151" s="800" t="inlineStr">
        <is>
          <t>DIVPS</t>
        </is>
      </c>
      <c r="E151" s="710">
        <f>_xll.BLUEMATRIX2("/servlet/excelData",E150,$E$4,$D151&amp;":"&amp;E$14&amp;E$15&amp;":AN:NULL:FISCAL")</f>
        <v/>
      </c>
      <c r="F151" s="710">
        <f>_xll.BLUEMATRIX2("/servlet/excelData",F150,$E$4,$D151&amp;":"&amp;F$14&amp;F$15&amp;":AN:NULL:FISCAL")</f>
        <v/>
      </c>
      <c r="G151" s="710">
        <f>_xll.BLUEMATRIX2("/servlet/excelData",G150,$E$4,$D151&amp;":"&amp;G$14&amp;G$15&amp;":AN:NULL:FISCAL")</f>
        <v/>
      </c>
      <c r="H151" s="710">
        <f>_xll.BLUEMATRIX2("/servlet/excelData",H150,$E$4,$D151&amp;":"&amp;H$14&amp;H$15&amp;":AN:NULL:FISCAL")</f>
        <v/>
      </c>
      <c r="I151" s="710">
        <f>_xll.BLUEMATRIX2("/servlet/excelData",I150,$E$4,$D151&amp;":"&amp;I$14&amp;I$15&amp;":AN:NULL:FISCAL")</f>
        <v/>
      </c>
      <c r="J151" s="710">
        <f>_xll.BLUEMATRIX2("/servlet/excelData",J150,$E$4,$D151&amp;":"&amp;J$14&amp;J$15&amp;":AN:NULL:FISCAL")</f>
        <v/>
      </c>
      <c r="K151" s="710">
        <f>_xll.BLUEMATRIX2("/servlet/excelData",K150,$E$4,$D151&amp;":"&amp;K$14&amp;K$15&amp;":AN:NULL:FISCAL")</f>
        <v/>
      </c>
      <c r="L151" s="710">
        <f>_xll.BLUEMATRIX2("/servlet/excelData",L150,$E$4,$D151&amp;":"&amp;L$14&amp;L$15&amp;":AN:NULL:FISCAL")</f>
        <v/>
      </c>
      <c r="M151" s="710">
        <f>_xll.BLUEMATRIX2("/servlet/excelData",M150,$E$4,$D151&amp;":"&amp;M$14&amp;M$15&amp;":AN:NULL:FISCAL")</f>
        <v/>
      </c>
      <c r="N151" s="710">
        <f>_xll.BLUEMATRIX2("/servlet/excelData",N150,$E$4,$D151&amp;":"&amp;N$14&amp;N$15&amp;":AN:NULL:FISCAL")</f>
        <v/>
      </c>
    </row>
    <row r="152">
      <c r="A152" s="814" t="n"/>
      <c r="B152" s="782" t="inlineStr">
        <is>
          <t>Dividend per Share Growth (%)</t>
        </is>
      </c>
      <c r="C152" s="782" t="n"/>
      <c r="D152" s="783" t="inlineStr">
        <is>
          <t>DPS_GROWTH</t>
        </is>
      </c>
      <c r="E152" s="793" t="n"/>
      <c r="F152" s="793" t="n"/>
      <c r="G152" s="793" t="n"/>
      <c r="H152" s="793" t="n"/>
      <c r="I152" s="793" t="n"/>
      <c r="J152" s="793" t="n"/>
      <c r="K152" s="793" t="n"/>
      <c r="L152" s="793" t="n"/>
      <c r="M152" s="793" t="n"/>
      <c r="N152" s="793" t="n"/>
    </row>
    <row r="153">
      <c r="A153" s="814" t="n"/>
      <c r="B153" s="786" t="inlineStr">
        <is>
          <t>BM Formula &amp; Result</t>
        </is>
      </c>
      <c r="C153" s="787" t="n"/>
      <c r="D153" s="800" t="inlineStr">
        <is>
          <t>DPS_GROWTH</t>
        </is>
      </c>
      <c r="E153" s="710">
        <f>_xll.BLUEMATRIX2("/servlet/excelData",E152,$E$4,$D153&amp;":"&amp;E$14&amp;E$15&amp;":AN:NULL:FISCAL")</f>
        <v/>
      </c>
      <c r="F153" s="710">
        <f>_xll.BLUEMATRIX2("/servlet/excelData",F152,$E$4,$D153&amp;":"&amp;F$14&amp;F$15&amp;":AN:NULL:FISCAL")</f>
        <v/>
      </c>
      <c r="G153" s="710">
        <f>_xll.BLUEMATRIX2("/servlet/excelData",G152,$E$4,$D153&amp;":"&amp;G$14&amp;G$15&amp;":AN:NULL:FISCAL")</f>
        <v/>
      </c>
      <c r="H153" s="710">
        <f>_xll.BLUEMATRIX2("/servlet/excelData",H152,$E$4,$D153&amp;":"&amp;H$14&amp;H$15&amp;":AN:NULL:FISCAL")</f>
        <v/>
      </c>
      <c r="I153" s="710">
        <f>_xll.BLUEMATRIX2("/servlet/excelData",I152,$E$4,$D153&amp;":"&amp;I$14&amp;I$15&amp;":AN:NULL:FISCAL")</f>
        <v/>
      </c>
      <c r="J153" s="710">
        <f>_xll.BLUEMATRIX2("/servlet/excelData",J152,$E$4,$D153&amp;":"&amp;J$14&amp;J$15&amp;":AN:NULL:FISCAL")</f>
        <v/>
      </c>
      <c r="K153" s="710">
        <f>_xll.BLUEMATRIX2("/servlet/excelData",K152,$E$4,$D153&amp;":"&amp;K$14&amp;K$15&amp;":AN:NULL:FISCAL")</f>
        <v/>
      </c>
      <c r="L153" s="710">
        <f>_xll.BLUEMATRIX2("/servlet/excelData",L152,$E$4,$D153&amp;":"&amp;L$14&amp;L$15&amp;":AN:NULL:FISCAL")</f>
        <v/>
      </c>
      <c r="M153" s="710">
        <f>_xll.BLUEMATRIX2("/servlet/excelData",M152,$E$4,$D153&amp;":"&amp;M$14&amp;M$15&amp;":AN:NULL:FISCAL")</f>
        <v/>
      </c>
      <c r="N153" s="710">
        <f>_xll.BLUEMATRIX2("/servlet/excelData",N152,$E$4,$D153&amp;":"&amp;N$14&amp;N$15&amp;":AN:NULL:FISCAL")</f>
        <v/>
      </c>
    </row>
    <row r="154">
      <c r="A154" s="814" t="n"/>
      <c r="B154" s="782" t="inlineStr">
        <is>
          <t>EPS Growth (%)</t>
        </is>
      </c>
      <c r="C154" s="782" t="inlineStr">
        <is>
          <t>Net income excluding exceptionals, impairment &amp;  amortisation (used for calculation of EPS adjusted) / (Average fully diluted shares outstanding)</t>
        </is>
      </c>
      <c r="D154" s="783" t="inlineStr">
        <is>
          <t>EPSGROWTH</t>
        </is>
      </c>
      <c r="E154" s="836">
        <f>FS_Y!Q30/FS_Y!P30-1</f>
        <v/>
      </c>
      <c r="F154" s="836">
        <f>FS_Y!R30/FS_Y!Q30-1</f>
        <v/>
      </c>
      <c r="G154" s="836">
        <f>FS_Y!S30/FS_Y!R30-1</f>
        <v/>
      </c>
      <c r="H154" s="836">
        <f>FS_Y!T30/FS_Y!S30-1</f>
        <v/>
      </c>
      <c r="I154" s="836">
        <f>FS_Y!U30/FS_Y!T30-1</f>
        <v/>
      </c>
      <c r="J154" s="836">
        <f>FS_Y!V30/FS_Y!U30-1</f>
        <v/>
      </c>
      <c r="K154" s="836">
        <f>FS_Y!W30/FS_Y!V30-1</f>
        <v/>
      </c>
      <c r="L154" s="793" t="n"/>
      <c r="M154" s="793" t="n"/>
      <c r="N154" s="793" t="n"/>
    </row>
    <row r="155">
      <c r="A155" s="814" t="n"/>
      <c r="B155" s="786" t="inlineStr">
        <is>
          <t>BM Formula &amp; Result</t>
        </is>
      </c>
      <c r="C155" s="787" t="n"/>
      <c r="D155" s="800" t="inlineStr">
        <is>
          <t>EPSGROWTH</t>
        </is>
      </c>
      <c r="E155" s="710">
        <f>_xll.BLUEMATRIX2("/servlet/excelData",E154,$E$4,$D155&amp;":"&amp;E$14&amp;E$15&amp;":AN:NULL:FISCAL")</f>
        <v/>
      </c>
      <c r="F155" s="710">
        <f>_xll.BLUEMATRIX2("/servlet/excelData",F154,$E$4,$D155&amp;":"&amp;F$14&amp;F$15&amp;":AN:NULL:FISCAL")</f>
        <v/>
      </c>
      <c r="G155" s="710">
        <f>_xll.BLUEMATRIX2("/servlet/excelData",G154,$E$4,$D155&amp;":"&amp;G$14&amp;G$15&amp;":AN:NULL:FISCAL")</f>
        <v/>
      </c>
      <c r="H155" s="710">
        <f>_xll.BLUEMATRIX2("/servlet/excelData",H154,$E$4,$D155&amp;":"&amp;H$14&amp;H$15&amp;":AN:NULL:FISCAL")</f>
        <v/>
      </c>
      <c r="I155" s="710">
        <f>_xll.BLUEMATRIX2("/servlet/excelData",I154,$E$4,$D155&amp;":"&amp;I$14&amp;I$15&amp;":AN:NULL:FISCAL")</f>
        <v/>
      </c>
      <c r="J155" s="710">
        <f>_xll.BLUEMATRIX2("/servlet/excelData",J154,$E$4,$D155&amp;":"&amp;J$14&amp;J$15&amp;":AN:NULL:FISCAL")</f>
        <v/>
      </c>
      <c r="K155" s="710">
        <f>_xll.BLUEMATRIX2("/servlet/excelData",K154,$E$4,$D155&amp;":"&amp;K$14&amp;K$15&amp;":AN:NULL:FISCAL")</f>
        <v/>
      </c>
      <c r="L155" s="710">
        <f>_xll.BLUEMATRIX2("/servlet/excelData",L154,$E$4,$D155&amp;":"&amp;L$14&amp;L$15&amp;":AN:NULL:FISCAL")</f>
        <v/>
      </c>
      <c r="M155" s="710">
        <f>_xll.BLUEMATRIX2("/servlet/excelData",M154,$E$4,$D155&amp;":"&amp;M$14&amp;M$15&amp;":AN:NULL:FISCAL")</f>
        <v/>
      </c>
      <c r="N155" s="710">
        <f>_xll.BLUEMATRIX2("/servlet/excelData",N154,$E$4,$D155&amp;":"&amp;N$14&amp;N$15&amp;":AN:NULL:FISCAL")</f>
        <v/>
      </c>
    </row>
    <row r="156">
      <c r="A156" s="814" t="n"/>
      <c r="B156" s="782" t="inlineStr">
        <is>
          <t>Weighted Average Diluted Shares Out.</t>
        </is>
      </c>
      <c r="C156" s="776" t="inlineStr">
        <is>
          <t>Company Average fully diluted shares outstanding (used for calculation of EPS (adjusted &amp; diluted))</t>
        </is>
      </c>
      <c r="D156" s="783" t="inlineStr">
        <is>
          <t>WADilutedSharesOutstanding</t>
        </is>
      </c>
      <c r="E156" s="835">
        <f>(FS_Y!Q33)/1000</f>
        <v/>
      </c>
      <c r="F156" s="835">
        <f>(FS_Y!R33)/1000</f>
        <v/>
      </c>
      <c r="G156" s="835">
        <f>(FS_Y!S33)/1000</f>
        <v/>
      </c>
      <c r="H156" s="835">
        <f>(FS_Y!T33)/1000</f>
        <v/>
      </c>
      <c r="I156" s="835">
        <f>(FS_Y!U33)/1000</f>
        <v/>
      </c>
      <c r="J156" s="835">
        <f>(FS_Y!V33)/1000</f>
        <v/>
      </c>
      <c r="K156" s="835">
        <f>(FS_Y!W33)/1000</f>
        <v/>
      </c>
      <c r="L156" s="793" t="n"/>
      <c r="M156" s="793" t="n"/>
      <c r="N156" s="793" t="n"/>
    </row>
    <row r="157">
      <c r="A157" s="814" t="n"/>
      <c r="B157" s="815" t="inlineStr">
        <is>
          <t>BM Formula &amp; Result</t>
        </is>
      </c>
      <c r="C157" s="816" t="n"/>
      <c r="D157" s="817" t="inlineStr">
        <is>
          <t>WADilutedSharesOutstanding</t>
        </is>
      </c>
      <c r="E157" s="818">
        <f>_xll.BLUEMATRIX2("/servlet/excelData",E156,$E$4,$D157&amp;":"&amp;E$14&amp;E$15&amp;":AN:NULL:FISCAL")</f>
        <v/>
      </c>
      <c r="F157" s="818">
        <f>_xll.BLUEMATRIX2("/servlet/excelData",F156,$E$4,$D157&amp;":"&amp;F$14&amp;F$15&amp;":AN:NULL:FISCAL")</f>
        <v/>
      </c>
      <c r="G157" s="818">
        <f>_xll.BLUEMATRIX2("/servlet/excelData",G156,$E$4,$D157&amp;":"&amp;G$14&amp;G$15&amp;":AN:NULL:FISCAL")</f>
        <v/>
      </c>
      <c r="H157" s="818">
        <f>_xll.BLUEMATRIX2("/servlet/excelData",H156,$E$4,$D157&amp;":"&amp;H$14&amp;H$15&amp;":AN:NULL:FISCAL")</f>
        <v/>
      </c>
      <c r="I157" s="818">
        <f>_xll.BLUEMATRIX2("/servlet/excelData",I156,$E$4,$D157&amp;":"&amp;I$14&amp;I$15&amp;":AN:NULL:FISCAL")</f>
        <v/>
      </c>
      <c r="J157" s="818">
        <f>_xll.BLUEMATRIX2("/servlet/excelData",J156,$E$4,$D157&amp;":"&amp;J$14&amp;J$15&amp;":AN:NULL:FISCAL")</f>
        <v/>
      </c>
      <c r="K157" s="818">
        <f>_xll.BLUEMATRIX2("/servlet/excelData",K156,$E$4,$D157&amp;":"&amp;K$14&amp;K$15&amp;":AN:NULL:FISCAL")</f>
        <v/>
      </c>
      <c r="L157" s="818">
        <f>_xll.BLUEMATRIX2("/servlet/excelData",L156,$E$4,$D157&amp;":"&amp;L$14&amp;L$15&amp;":AN:NULL:FISCAL")</f>
        <v/>
      </c>
      <c r="M157" s="818">
        <f>_xll.BLUEMATRIX2("/servlet/excelData",M156,$E$4,$D157&amp;":"&amp;M$14&amp;M$15&amp;":AN:NULL:FISCAL")</f>
        <v/>
      </c>
      <c r="N157" s="818">
        <f>_xll.BLUEMATRIX2("/servlet/excelData",N156,$E$4,$D157&amp;":"&amp;N$14&amp;N$15&amp;":AN:NULL:FISCAL")</f>
        <v/>
      </c>
    </row>
    <row r="158">
      <c r="A158" s="819" t="inlineStr">
        <is>
          <t>VALUATION</t>
        </is>
      </c>
      <c r="B158" s="782" t="inlineStr">
        <is>
          <t>BV/Share (M)</t>
        </is>
      </c>
      <c r="C158" s="782" t="n"/>
      <c r="D158" s="783" t="inlineStr">
        <is>
          <t>BVPS</t>
        </is>
      </c>
      <c r="E158" s="829">
        <f>FS_Y!Q182</f>
        <v/>
      </c>
      <c r="F158" s="829">
        <f>FS_Y!R182</f>
        <v/>
      </c>
      <c r="G158" s="829">
        <f>FS_Y!S182</f>
        <v/>
      </c>
      <c r="H158" s="829">
        <f>FS_Y!T182</f>
        <v/>
      </c>
      <c r="I158" s="829">
        <f>FS_Y!U182</f>
        <v/>
      </c>
      <c r="J158" s="829">
        <f>FS_Y!V182</f>
        <v/>
      </c>
      <c r="K158" s="829">
        <f>FS_Y!W182</f>
        <v/>
      </c>
      <c r="L158" s="793" t="n"/>
      <c r="M158" s="793" t="n"/>
      <c r="N158" s="793" t="n"/>
    </row>
    <row r="159">
      <c r="A159" s="820" t="n"/>
      <c r="B159" s="815" t="inlineStr">
        <is>
          <t>BM Formula &amp; Result</t>
        </is>
      </c>
      <c r="C159" s="816" t="n"/>
      <c r="D159" s="817" t="inlineStr">
        <is>
          <t>BVPS</t>
        </is>
      </c>
      <c r="E159" s="818">
        <f>_xll.BLUEMATRIX2("/servlet/excelData",E158,$E$4,$D159&amp;":"&amp;E$14&amp;E$15&amp;":AN:NULL:FISCAL")</f>
        <v/>
      </c>
      <c r="F159" s="818">
        <f>_xll.BLUEMATRIX2("/servlet/excelData",F158,$E$4,$D159&amp;":"&amp;F$14&amp;F$15&amp;":AN:NULL:FISCAL")</f>
        <v/>
      </c>
      <c r="G159" s="818">
        <f>_xll.BLUEMATRIX2("/servlet/excelData",G158,$E$4,$D159&amp;":"&amp;G$14&amp;G$15&amp;":AN:NULL:FISCAL")</f>
        <v/>
      </c>
      <c r="H159" s="818">
        <f>_xll.BLUEMATRIX2("/servlet/excelData",H158,$E$4,$D159&amp;":"&amp;H$14&amp;H$15&amp;":AN:NULL:FISCAL")</f>
        <v/>
      </c>
      <c r="I159" s="818">
        <f>_xll.BLUEMATRIX2("/servlet/excelData",I158,$E$4,$D159&amp;":"&amp;I$14&amp;I$15&amp;":AN:NULL:FISCAL")</f>
        <v/>
      </c>
      <c r="J159" s="818">
        <f>_xll.BLUEMATRIX2("/servlet/excelData",J158,$E$4,$D159&amp;":"&amp;J$14&amp;J$15&amp;":AN:NULL:FISCAL")</f>
        <v/>
      </c>
      <c r="K159" s="818">
        <f>_xll.BLUEMATRIX2("/servlet/excelData",K158,$E$4,$D159&amp;":"&amp;K$14&amp;K$15&amp;":AN:NULL:FISCAL")</f>
        <v/>
      </c>
      <c r="L159" s="818">
        <f>_xll.BLUEMATRIX2("/servlet/excelData",L158,$E$4,$D159&amp;":"&amp;L$14&amp;L$15&amp;":AN:NULL:FISCAL")</f>
        <v/>
      </c>
      <c r="M159" s="818">
        <f>_xll.BLUEMATRIX2("/servlet/excelData",M158,$E$4,$D159&amp;":"&amp;M$14&amp;M$15&amp;":AN:NULL:FISCAL")</f>
        <v/>
      </c>
      <c r="N159" s="818">
        <f>_xll.BLUEMATRIX2("/servlet/excelData",N158,$E$4,$D159&amp;":"&amp;N$14&amp;N$15&amp;":AN:NULL:FISCAL")</f>
        <v/>
      </c>
    </row>
    <row r="160">
      <c r="A160" s="821" t="inlineStr">
        <is>
          <t>OTHER</t>
        </is>
      </c>
      <c r="B160" s="782" t="inlineStr">
        <is>
          <t>Gross Margin (%)</t>
        </is>
      </c>
      <c r="C160" s="782" t="n"/>
      <c r="D160" s="783" t="inlineStr">
        <is>
          <t>GM</t>
        </is>
      </c>
      <c r="E160" s="950">
        <f>FS_Y!Q13/FS_Y!Q11</f>
        <v/>
      </c>
      <c r="F160" s="950">
        <f>FS_Y!R13/FS_Y!R11</f>
        <v/>
      </c>
      <c r="G160" s="950">
        <f>FS_Y!S13/FS_Y!S11</f>
        <v/>
      </c>
      <c r="H160" s="950">
        <f>FS_Y!T13/FS_Y!T11</f>
        <v/>
      </c>
      <c r="I160" s="950">
        <f>FS_Y!U13/FS_Y!U11</f>
        <v/>
      </c>
      <c r="J160" s="950">
        <f>FS_Y!V13/FS_Y!V11</f>
        <v/>
      </c>
      <c r="K160" s="950">
        <f>FS_Y!W13/FS_Y!W11</f>
        <v/>
      </c>
      <c r="L160" s="822" t="n"/>
      <c r="M160" s="822" t="n"/>
      <c r="N160" s="822" t="n"/>
    </row>
    <row r="161">
      <c r="A161" s="821" t="n"/>
      <c r="B161" s="787" t="inlineStr">
        <is>
          <t>BM Formula &amp; Result</t>
        </is>
      </c>
      <c r="C161" s="787" t="n"/>
      <c r="D161" s="800" t="inlineStr">
        <is>
          <t>GM</t>
        </is>
      </c>
      <c r="E161" s="823">
        <f>_xll.BLUEMATRIX2("/servlet/excelData",E160,$E$4,$D161&amp;":"&amp;E$14 &amp;E$15&amp;":AN:NULL:FISCAL")</f>
        <v/>
      </c>
      <c r="F161" s="823">
        <f>_xll.BLUEMATRIX2("/servlet/excelData",F160,$E$4,$D161&amp;":"&amp;F$14 &amp;F$15&amp;":AN:NULL:FISCAL")</f>
        <v/>
      </c>
      <c r="G161" s="823">
        <f>_xll.BLUEMATRIX2("/servlet/excelData",G160,$E$4,$D161&amp;":"&amp;G$14 &amp;G$15&amp;":AN:NULL:FISCAL")</f>
        <v/>
      </c>
      <c r="H161" s="823">
        <f>_xll.BLUEMATRIX2("/servlet/excelData",H160,$E$4,$D161&amp;":"&amp;H$14 &amp;H$15&amp;":AN:NULL:FISCAL")</f>
        <v/>
      </c>
      <c r="I161" s="823">
        <f>_xll.BLUEMATRIX2("/servlet/excelData",I160,$E$4,$D161&amp;":"&amp;I$14 &amp;I$15&amp;":AN:NULL:FISCAL")</f>
        <v/>
      </c>
      <c r="J161" s="823">
        <f>_xll.BLUEMATRIX2("/servlet/excelData",J160,$E$4,$D161&amp;":"&amp;J$14 &amp;J$15&amp;":AN:NULL:FISCAL")</f>
        <v/>
      </c>
      <c r="K161" s="823">
        <f>_xll.BLUEMATRIX2("/servlet/excelData",K160,$E$4,$D161&amp;":"&amp;K$14 &amp;K$15&amp;":AN:NULL:FISCAL")</f>
        <v/>
      </c>
      <c r="L161" s="823">
        <f>_xll.BLUEMATRIX2("/servlet/excelData",L160,$E$4,$D161&amp;":"&amp;L$14 &amp;L$15&amp;":AN:NULL:FISCAL")</f>
        <v/>
      </c>
      <c r="M161" s="823">
        <f>_xll.BLUEMATRIX2("/servlet/excelData",M160,$E$4,$D161&amp;":"&amp;M$14 &amp;M$15&amp;":AN:NULL:FISCAL")</f>
        <v/>
      </c>
      <c r="N161" s="823">
        <f>_xll.BLUEMATRIX2("/servlet/excelData",N160,$E$4,$D161&amp;":"&amp;N$14 &amp;N$15&amp;":AN:NULL:FISCAL")</f>
        <v/>
      </c>
    </row>
    <row r="162">
      <c r="A162" s="821" t="n"/>
      <c r="B162" s="782" t="inlineStr">
        <is>
          <t>Operating Margin (%)</t>
        </is>
      </c>
      <c r="C162" s="782" t="n"/>
      <c r="D162" s="783" t="inlineStr">
        <is>
          <t>OM</t>
        </is>
      </c>
      <c r="E162" s="950">
        <f>FS_Y!Q19/FS_Y!Q11</f>
        <v/>
      </c>
      <c r="F162" s="950">
        <f>FS_Y!R19/FS_Y!R11</f>
        <v/>
      </c>
      <c r="G162" s="950">
        <f>FS_Y!S19/FS_Y!S11</f>
        <v/>
      </c>
      <c r="H162" s="950">
        <f>FS_Y!T19/FS_Y!T11</f>
        <v/>
      </c>
      <c r="I162" s="950">
        <f>FS_Y!U19/FS_Y!U11</f>
        <v/>
      </c>
      <c r="J162" s="950">
        <f>FS_Y!V19/FS_Y!V11</f>
        <v/>
      </c>
      <c r="K162" s="950">
        <f>FS_Y!W19/FS_Y!W11</f>
        <v/>
      </c>
      <c r="L162" s="822" t="n"/>
      <c r="M162" s="822" t="n"/>
      <c r="N162" s="822" t="n"/>
    </row>
    <row r="163">
      <c r="A163" s="821" t="n"/>
      <c r="B163" s="787" t="inlineStr">
        <is>
          <t>BM Formula &amp; Result</t>
        </is>
      </c>
      <c r="C163" s="787" t="n"/>
      <c r="D163" s="800" t="inlineStr">
        <is>
          <t>OM</t>
        </is>
      </c>
      <c r="E163" s="823">
        <f>_xll.BLUEMATRIX2("/servlet/excelData",E162,$E$4,$D163&amp;":"&amp;E$14 &amp;E$15&amp;":AN:NULL:FISCAL")</f>
        <v/>
      </c>
      <c r="F163" s="823">
        <f>_xll.BLUEMATRIX2("/servlet/excelData",F162,$E$4,$D163&amp;":"&amp;F$14 &amp;F$15&amp;":AN:NULL:FISCAL")</f>
        <v/>
      </c>
      <c r="G163" s="823">
        <f>_xll.BLUEMATRIX2("/servlet/excelData",G162,$E$4,$D163&amp;":"&amp;G$14 &amp;G$15&amp;":AN:NULL:FISCAL")</f>
        <v/>
      </c>
      <c r="H163" s="823">
        <f>_xll.BLUEMATRIX2("/servlet/excelData",H162,$E$4,$D163&amp;":"&amp;H$14 &amp;H$15&amp;":AN:NULL:FISCAL")</f>
        <v/>
      </c>
      <c r="I163" s="823">
        <f>_xll.BLUEMATRIX2("/servlet/excelData",I162,$E$4,$D163&amp;":"&amp;I$14 &amp;I$15&amp;":AN:NULL:FISCAL")</f>
        <v/>
      </c>
      <c r="J163" s="823">
        <f>_xll.BLUEMATRIX2("/servlet/excelData",J162,$E$4,$D163&amp;":"&amp;J$14 &amp;J$15&amp;":AN:NULL:FISCAL")</f>
        <v/>
      </c>
      <c r="K163" s="823">
        <f>_xll.BLUEMATRIX2("/servlet/excelData",K162,$E$4,$D163&amp;":"&amp;K$14 &amp;K$15&amp;":AN:NULL:FISCAL")</f>
        <v/>
      </c>
      <c r="L163" s="823">
        <f>_xll.BLUEMATRIX2("/servlet/excelData",L162,$E$4,$D163&amp;":"&amp;L$14 &amp;L$15&amp;":AN:NULL:FISCAL")</f>
        <v/>
      </c>
      <c r="M163" s="823">
        <f>_xll.BLUEMATRIX2("/servlet/excelData",M162,$E$4,$D163&amp;":"&amp;M$14 &amp;M$15&amp;":AN:NULL:FISCAL")</f>
        <v/>
      </c>
      <c r="N163" s="823">
        <f>_xll.BLUEMATRIX2("/servlet/excelData",N162,$E$4,$D163&amp;":"&amp;N$14 &amp;N$15&amp;":AN:NULL:FISCAL")</f>
        <v/>
      </c>
    </row>
  </sheetData>
  <dataValidations count="2">
    <dataValidation sqref="E15:N15" showDropDown="0" showInputMessage="1" showErrorMessage="1" allowBlank="1" type="list">
      <formula1>"A,E"</formula1>
    </dataValidation>
    <dataValidation sqref="F11" showDropDown="0" showInputMessage="1" showErrorMessage="1" allowBlank="1" type="list">
      <formula1>"Outperform, Market-Perform,Underperform, Not Rated, Coverage Suspended"</formula1>
    </dataValidation>
  </dataValidations>
  <pageMargins left="0.7" right="0.7" top="0.75" bottom="0.75" header="0.3" footer="0.3"/>
  <pageSetup orientation="portrait" paperSize="195"/>
</worksheet>
</file>

<file path=xl/worksheets/sheet12.xml><?xml version="1.0" encoding="utf-8"?>
<worksheet xmlns="http://schemas.openxmlformats.org/spreadsheetml/2006/main">
  <sheetPr codeName="Sheet11">
    <tabColor rgb="FF1E9BD7"/>
    <outlinePr summaryBelow="1" summaryRight="1"/>
    <pageSetUpPr/>
  </sheetPr>
  <dimension ref="B1:P115"/>
  <sheetViews>
    <sheetView zoomScale="119" workbookViewId="0">
      <selection activeCell="P100" sqref="P100"/>
    </sheetView>
  </sheetViews>
  <sheetFormatPr baseColWidth="10" defaultColWidth="9.33203125" defaultRowHeight="15"/>
  <cols>
    <col width="12.5" customWidth="1" style="682" min="1" max="1"/>
    <col width="26" customWidth="1" style="682" min="2" max="2"/>
    <col width="13.5" customWidth="1" style="682" min="3" max="3"/>
    <col width="11.33203125" customWidth="1" style="682" min="4" max="4"/>
    <col width="11.33203125" bestFit="1" customWidth="1" style="682" min="5" max="5"/>
    <col width="9.5" customWidth="1" style="682" min="6" max="6"/>
    <col width="14.5" customWidth="1" style="682" min="7" max="7"/>
    <col width="17.5" customWidth="1" style="682" min="8" max="8"/>
    <col width="9.33203125" customWidth="1" style="682" min="9" max="16384"/>
  </cols>
  <sheetData>
    <row r="1" ht="42.75" customHeight="1">
      <c r="B1" s="678">
        <f>_xll.BLUEMATRIX("/servlet/excelData",$D$4,"COMPANY_NAME")</f>
        <v/>
      </c>
      <c r="C1" s="679" t="n"/>
      <c r="D1" s="679" t="n"/>
      <c r="E1" s="679" t="n"/>
      <c r="F1" s="679" t="n"/>
      <c r="G1" s="680" t="n"/>
      <c r="H1" s="951" t="n"/>
      <c r="I1" s="679" t="n"/>
      <c r="J1" s="679" t="n"/>
    </row>
    <row r="2" ht="16.75" customHeight="1" thickBot="1">
      <c r="B2" s="683" t="n"/>
      <c r="C2" s="684" t="n"/>
      <c r="D2" s="679" t="n"/>
      <c r="E2" s="679" t="n"/>
      <c r="F2" s="679" t="n"/>
      <c r="G2" s="680" t="n"/>
      <c r="H2" s="685" t="n"/>
      <c r="I2" s="686" t="n"/>
      <c r="J2" s="679" t="n"/>
    </row>
    <row r="3" ht="17" customHeight="1" thickBot="1" thickTop="1">
      <c r="B3" s="687" t="inlineStr">
        <is>
          <t>TICKER DATA</t>
        </is>
      </c>
      <c r="C3" s="688" t="inlineStr">
        <is>
          <t>BM Client Code</t>
        </is>
      </c>
      <c r="D3" s="689" t="n"/>
      <c r="E3" s="690" t="n"/>
      <c r="I3" s="691" t="inlineStr">
        <is>
          <t>Bernstein BlueMatrix Data Upload Instructions</t>
        </is>
      </c>
      <c r="J3" s="692" t="n"/>
      <c r="K3" s="692" t="n"/>
      <c r="L3" s="692" t="n"/>
      <c r="M3" s="692" t="n"/>
      <c r="N3" s="692" t="n"/>
      <c r="O3" s="692" t="n"/>
      <c r="P3" s="692" t="n"/>
    </row>
    <row r="4" ht="16" customHeight="1" thickTop="1">
      <c r="B4" s="693" t="inlineStr">
        <is>
          <t>Ticker</t>
        </is>
      </c>
      <c r="C4" s="694" t="inlineStr">
        <is>
          <t>TICKER</t>
        </is>
      </c>
      <c r="D4" s="695">
        <f>IPGP!M4</f>
        <v/>
      </c>
      <c r="E4" s="696" t="n"/>
      <c r="I4" s="697" t="inlineStr">
        <is>
          <t>1. Enter Ticker in D4</t>
        </is>
      </c>
      <c r="J4" s="697" t="n"/>
      <c r="K4" s="698" t="n"/>
      <c r="L4" s="699" t="n"/>
      <c r="M4" s="700" t="n"/>
      <c r="N4" s="701" t="n"/>
      <c r="O4" s="701" t="n"/>
      <c r="P4" s="701" t="n"/>
    </row>
    <row r="5">
      <c r="B5" s="693" t="inlineStr">
        <is>
          <t>Analyst</t>
        </is>
      </c>
      <c r="C5" s="694" t="inlineStr">
        <is>
          <t>ANALYST</t>
        </is>
      </c>
      <c r="D5" s="952">
        <f>_xll.BLUEMATRIX("/servlet/excelData",$D$4,$C5)</f>
        <v/>
      </c>
      <c r="E5" s="696" t="n"/>
      <c r="I5" s="703" t="inlineStr">
        <is>
          <t>2. Pick preferred EPS type in B33.</t>
        </is>
      </c>
      <c r="J5" s="697" t="n"/>
      <c r="K5" s="697" t="n"/>
      <c r="L5" s="697" t="n"/>
      <c r="M5" s="704" t="n"/>
      <c r="N5" s="701" t="n"/>
      <c r="O5" s="701" t="n"/>
      <c r="P5" s="701" t="n"/>
    </row>
    <row r="6">
      <c r="B6" s="693" t="inlineStr">
        <is>
          <t>Exchange</t>
        </is>
      </c>
      <c r="C6" s="694" t="inlineStr">
        <is>
          <t>EXCHANGE</t>
        </is>
      </c>
      <c r="D6" s="952">
        <f>_xll.BLUEMATRIX("/servlet/excelData",$D$4,$C6)</f>
        <v/>
      </c>
      <c r="E6" s="696" t="n"/>
      <c r="I6" s="697" t="inlineStr">
        <is>
          <t>4. Enter/link values in Draft cells. Do not modify BM Formula cells.</t>
        </is>
      </c>
      <c r="J6" s="697" t="n"/>
      <c r="K6" s="697" t="n"/>
      <c r="L6" s="697" t="n"/>
      <c r="M6" s="704" t="n"/>
      <c r="N6" s="701" t="n"/>
      <c r="O6" s="701" t="n"/>
      <c r="P6" s="701" t="n"/>
    </row>
    <row r="7">
      <c r="B7" s="693" t="inlineStr">
        <is>
          <t>Exchange Currency</t>
        </is>
      </c>
      <c r="C7" s="694" t="inlineStr">
        <is>
          <t>CURRENCY2</t>
        </is>
      </c>
      <c r="D7" s="952">
        <f>_xll.BLUEMATRIX("/servlet/excelData",$D$4,$C7)</f>
        <v/>
      </c>
      <c r="E7" s="696" t="n"/>
      <c r="I7" s="697" t="inlineStr">
        <is>
          <t>5. Refresh: BlueMatrix-&gt;Download-&gt;Active Worksheet</t>
        </is>
      </c>
      <c r="J7" s="697" t="n"/>
      <c r="K7" s="697" t="n"/>
      <c r="L7" s="697" t="n"/>
      <c r="M7" s="704" t="n"/>
      <c r="N7" s="701" t="n"/>
      <c r="O7" s="701" t="n"/>
      <c r="P7" s="701" t="n"/>
    </row>
    <row r="8">
      <c r="B8" s="693" t="inlineStr">
        <is>
          <t>Estimate Currency</t>
        </is>
      </c>
      <c r="C8" s="694" t="inlineStr">
        <is>
          <t>CURRENCY1</t>
        </is>
      </c>
      <c r="D8" s="952">
        <f>_xll.BLUEMATRIX("/servlet/excelData",$D$4,$C8)</f>
        <v/>
      </c>
      <c r="E8" s="696" t="n"/>
      <c r="I8" s="697" t="inlineStr">
        <is>
          <t>6. Submit: BlueMatrix-&gt;Upload-&gt;Active Worksheet</t>
        </is>
      </c>
      <c r="J8" s="697" t="n"/>
      <c r="K8" s="697" t="n"/>
      <c r="L8" s="697" t="n"/>
      <c r="M8" s="704" t="n"/>
      <c r="N8" s="701" t="n"/>
      <c r="O8" s="701" t="n"/>
      <c r="P8" s="701" t="n"/>
    </row>
    <row r="9" ht="16" customHeight="1" thickBot="1">
      <c r="B9" s="693" t="inlineStr">
        <is>
          <t>Fiscal Year End</t>
        </is>
      </c>
      <c r="C9" s="694" t="inlineStr">
        <is>
          <t>FYEND</t>
        </is>
      </c>
      <c r="D9" s="952">
        <f>_xll.BLUEMATRIX("/servlet/excelData",$D$4,$C9)</f>
        <v/>
      </c>
      <c r="E9" s="696" t="n"/>
      <c r="I9" s="697" t="inlineStr">
        <is>
          <t>7. Column C contains currently mapped BM client codes</t>
        </is>
      </c>
      <c r="J9" s="697" t="n"/>
      <c r="K9" s="697" t="n"/>
      <c r="L9" s="697" t="n"/>
      <c r="M9" s="704" t="n"/>
      <c r="N9" s="701" t="n"/>
      <c r="O9" s="701" t="n"/>
      <c r="P9" s="701" t="n"/>
    </row>
    <row r="10" ht="17" customHeight="1" thickBot="1" thickTop="1">
      <c r="B10" s="687" t="inlineStr">
        <is>
          <t>MARKET DATA</t>
        </is>
      </c>
      <c r="C10" s="689" t="n"/>
      <c r="D10" s="689" t="inlineStr">
        <is>
          <t>Bloomberg</t>
        </is>
      </c>
      <c r="E10" s="705" t="inlineStr">
        <is>
          <t>Override</t>
        </is>
      </c>
      <c r="F10" s="706" t="inlineStr">
        <is>
          <t>BM Formula &amp; Result</t>
        </is>
      </c>
      <c r="G10" s="689" t="inlineStr">
        <is>
          <t>Effective</t>
        </is>
      </c>
      <c r="I10" s="697" t="inlineStr">
        <is>
          <t>8. BM Codes Table below contains more BM client codes</t>
        </is>
      </c>
      <c r="J10" s="697" t="n"/>
      <c r="K10" s="697" t="n"/>
      <c r="L10" s="697" t="n"/>
      <c r="M10" s="704" t="n"/>
      <c r="N10" s="701" t="n"/>
      <c r="O10" s="697" t="n"/>
      <c r="P10" s="697" t="n"/>
    </row>
    <row r="11" ht="16" customHeight="1" thickTop="1">
      <c r="B11" s="707" t="inlineStr">
        <is>
          <t>Close Date</t>
        </is>
      </c>
      <c r="C11" s="694" t="inlineStr">
        <is>
          <t>PRICING_DATE</t>
        </is>
      </c>
      <c r="D11" s="708">
        <f>_xll.BLUEMATRIX("/servlet/excelData",$D$4,$C11)</f>
        <v/>
      </c>
      <c r="E11" s="709" t="n"/>
      <c r="F11" s="710">
        <f>_xll.BLUEMATRIX2("/servlet/excelData",E11,$D$4,$C11)</f>
        <v/>
      </c>
      <c r="G11" s="953">
        <f>IF(ISBLANK(E11),D11,E11)</f>
        <v/>
      </c>
      <c r="I11" s="701" t="n"/>
      <c r="J11" s="701" t="n"/>
      <c r="K11" s="701" t="n"/>
      <c r="L11" s="701" t="n"/>
      <c r="M11" s="701" t="n"/>
      <c r="N11" s="701" t="n"/>
      <c r="O11" s="701" t="n"/>
      <c r="P11" s="701" t="n"/>
    </row>
    <row r="12">
      <c r="B12" s="707">
        <f>"Close Price" &amp; IFERROR(" (" &amp;D7&amp;")","")</f>
        <v/>
      </c>
      <c r="C12" s="694" t="inlineStr">
        <is>
          <t>CLOSEPRICE</t>
        </is>
      </c>
      <c r="D12" s="708">
        <f>_xll.BLUEMATRIX("/servlet/excelData",$D$4,$C12)</f>
        <v/>
      </c>
      <c r="E12" s="695" t="n"/>
      <c r="F12" s="710">
        <f>_xll.BLUEMATRIX2("/servlet/excelData",E12,$D$4,$C12)</f>
        <v/>
      </c>
      <c r="G12" s="712">
        <f>IF(ISBLANK(E12),D12,E12)</f>
        <v/>
      </c>
      <c r="H12" s="679" t="n"/>
      <c r="I12" s="697" t="inlineStr">
        <is>
          <t>To download BM Excel Addin, view BM Formula instructions and list of BM Client codes, login to BlueMatrix.com</t>
        </is>
      </c>
      <c r="J12" s="697" t="n"/>
      <c r="K12" s="697" t="n"/>
      <c r="L12" s="697" t="n"/>
      <c r="M12" s="697" t="n"/>
      <c r="N12" s="697" t="n"/>
      <c r="O12" s="697" t="n"/>
      <c r="P12" s="697" t="n"/>
    </row>
    <row r="13">
      <c r="B13" s="707" t="inlineStr">
        <is>
          <t>52-Week Low</t>
        </is>
      </c>
      <c r="C13" s="694" t="inlineStr">
        <is>
          <t>52_WEEK_LOW</t>
        </is>
      </c>
      <c r="D13" s="708">
        <f>_xll.BLUEMATRIX("/servlet/excelData",$D$4,$C13)</f>
        <v/>
      </c>
      <c r="E13" s="695" t="n"/>
      <c r="F13" s="710">
        <f>_xll.BLUEMATRIX2("/servlet/excelData",E13,$D$4,$C13)</f>
        <v/>
      </c>
      <c r="G13" s="712">
        <f>IF(ISBLANK(E13),D13,E13)</f>
        <v/>
      </c>
    </row>
    <row r="14">
      <c r="B14" s="707" t="inlineStr">
        <is>
          <t>52-Week High</t>
        </is>
      </c>
      <c r="C14" s="694" t="inlineStr">
        <is>
          <t>52_WEEK_HIGH</t>
        </is>
      </c>
      <c r="D14" s="708">
        <f>_xll.BLUEMATRIX("/servlet/excelData",$D$4,$C14)</f>
        <v/>
      </c>
      <c r="E14" s="695" t="n"/>
      <c r="F14" s="710">
        <f>_xll.BLUEMATRIX2("/servlet/excelData",E14,$D$4,$C14)</f>
        <v/>
      </c>
      <c r="G14" s="712">
        <f>IF(ISBLANK(E14),D14,E14)</f>
        <v/>
      </c>
    </row>
    <row r="15">
      <c r="B15" s="707" t="inlineStr">
        <is>
          <t>Indicated Div Yield (%)</t>
        </is>
      </c>
      <c r="C15" s="694" t="inlineStr">
        <is>
          <t>EQY_DVD_YLD_IND</t>
        </is>
      </c>
      <c r="D15" s="708">
        <f>_xll.BLUEMATRIX("/servlet/excelData",$D$4,$C15)</f>
        <v/>
      </c>
      <c r="E15" s="713" t="n"/>
      <c r="F15" s="710">
        <f>_xll.BLUEMATRIX2("/servlet/excelData",E15,$D$4,$C15)</f>
        <v/>
      </c>
      <c r="G15" s="714">
        <f>IF(ISBLANK(E15),D15,E15)</f>
        <v/>
      </c>
    </row>
    <row r="16">
      <c r="B16" s="707" t="inlineStr">
        <is>
          <t>Market Cap</t>
        </is>
      </c>
      <c r="C16" s="694" t="inlineStr">
        <is>
          <t>CUR_MKT_CAP</t>
        </is>
      </c>
      <c r="D16" s="708">
        <f>_xll.BLUEMATRIX("/servlet/excelData",$D$4,$C16)</f>
        <v/>
      </c>
      <c r="E16" s="695" t="n"/>
      <c r="F16" s="710">
        <f>_xll.BLUEMATRIX2("/servlet/excelData",E16,$D$4,$C16)</f>
        <v/>
      </c>
      <c r="G16" s="712">
        <f>IF(ISBLANK(E16),D16,E16)</f>
        <v/>
      </c>
    </row>
    <row r="17">
      <c r="B17" s="707" t="inlineStr">
        <is>
          <t>EV</t>
        </is>
      </c>
      <c r="C17" s="694" t="inlineStr">
        <is>
          <t>EV</t>
        </is>
      </c>
      <c r="D17" s="708">
        <f>_xll.BLUEMATRIX("/servlet/excelData",$D$4,$C17)</f>
        <v/>
      </c>
      <c r="E17" s="695" t="n"/>
      <c r="F17" s="710">
        <f>_xll.BLUEMATRIX2("/servlet/excelData",E17,$D$4,$C17)</f>
        <v/>
      </c>
      <c r="G17" s="712">
        <f>IF(ISBLANK(E17),D17,E17)</f>
        <v/>
      </c>
    </row>
    <row r="18">
      <c r="B18" s="707" t="inlineStr">
        <is>
          <t>Perf YTD (%)</t>
        </is>
      </c>
      <c r="C18" s="694" t="inlineStr">
        <is>
          <t>CHG_PCT_YTD</t>
        </is>
      </c>
      <c r="D18" s="708">
        <f>_xll.BLUEMATRIX("/servlet/excelData",$D$4,$C18)</f>
        <v/>
      </c>
      <c r="E18" s="713" t="n"/>
      <c r="F18" s="710">
        <f>_xll.BLUEMATRIX2("/servlet/excelData",E18,$D$4,$C18)</f>
        <v/>
      </c>
      <c r="G18" s="714">
        <f>IF(ISBLANK(E18),D18,E18)</f>
        <v/>
      </c>
    </row>
    <row r="19">
      <c r="B19" s="707" t="inlineStr">
        <is>
          <t>Perf 1M (%)</t>
        </is>
      </c>
      <c r="C19" s="694" t="inlineStr">
        <is>
          <t>CHG_PCT_1M</t>
        </is>
      </c>
      <c r="D19" s="708">
        <f>_xll.BLUEMATRIX("/servlet/excelData",$D$4,$C19)</f>
        <v/>
      </c>
      <c r="E19" s="713" t="n"/>
      <c r="F19" s="710">
        <f>_xll.BLUEMATRIX2("/servlet/excelData",E19,$D$4,$C19)</f>
        <v/>
      </c>
      <c r="G19" s="714">
        <f>IF(ISBLANK(E19),D19,E19)</f>
        <v/>
      </c>
    </row>
    <row r="20">
      <c r="B20" s="707" t="inlineStr">
        <is>
          <t>Perf 6M (%)</t>
        </is>
      </c>
      <c r="C20" s="694" t="inlineStr">
        <is>
          <t>CHG_PCT_6M</t>
        </is>
      </c>
      <c r="D20" s="708">
        <f>_xll.BLUEMATRIX("/servlet/excelData",$D$4,$C20)</f>
        <v/>
      </c>
      <c r="E20" s="713" t="n"/>
      <c r="F20" s="710">
        <f>_xll.BLUEMATRIX2("/servlet/excelData",E20,$D$4,$C20)</f>
        <v/>
      </c>
      <c r="G20" s="714">
        <f>IF(ISBLANK(E20),D20,E20)</f>
        <v/>
      </c>
    </row>
    <row r="21" ht="16" customHeight="1" thickBot="1">
      <c r="B21" s="707" t="inlineStr">
        <is>
          <t>Perf 12M (%)</t>
        </is>
      </c>
      <c r="C21" s="694" t="inlineStr">
        <is>
          <t>CHG_PCT_1YR</t>
        </is>
      </c>
      <c r="D21" s="708">
        <f>_xll.BLUEMATRIX("/servlet/excelData",$D$4,$C21)</f>
        <v/>
      </c>
      <c r="E21" s="713" t="n"/>
      <c r="F21" s="710">
        <f>_xll.BLUEMATRIX2("/servlet/excelData",E21,$D$4,$C21)</f>
        <v/>
      </c>
      <c r="G21" s="714">
        <f>IF(ISBLANK(E21),D21,E21)</f>
        <v/>
      </c>
    </row>
    <row r="22" ht="17" customHeight="1" thickBot="1" thickTop="1">
      <c r="B22" s="687" t="inlineStr">
        <is>
          <t>RATING and TARGET PRICE</t>
        </is>
      </c>
      <c r="C22" s="689" t="n"/>
      <c r="D22" s="689" t="n"/>
      <c r="E22" s="715" t="n"/>
      <c r="F22" s="716" t="n"/>
      <c r="G22" s="716" t="n"/>
    </row>
    <row r="23" ht="16" customHeight="1" thickTop="1">
      <c r="B23" s="717" t="inlineStr">
        <is>
          <t>Rating</t>
        </is>
      </c>
      <c r="C23" s="694" t="inlineStr">
        <is>
          <t>RATING_SCB</t>
        </is>
      </c>
      <c r="D23" s="708" t="n"/>
      <c r="E23" s="718">
        <f>_xll.BLUEMATRIX("/servlet/excelData",$D$4,$C23)</f>
        <v/>
      </c>
      <c r="F23" s="679" t="n"/>
      <c r="G23" s="679" t="n"/>
    </row>
    <row r="24" ht="16" customHeight="1">
      <c r="B24" s="719" t="inlineStr">
        <is>
          <t>Draft</t>
        </is>
      </c>
      <c r="C24" s="694" t="inlineStr">
        <is>
          <t>RATING_SCB</t>
        </is>
      </c>
      <c r="D24" s="720" t="inlineStr">
        <is>
          <t xml:space="preserve"> </t>
        </is>
      </c>
      <c r="E24" s="721" t="inlineStr">
        <is>
          <t>Market-Perform</t>
        </is>
      </c>
      <c r="F24" s="679" t="n"/>
      <c r="G24" s="679" t="n"/>
      <c r="H24" s="679" t="n"/>
    </row>
    <row r="25">
      <c r="B25" s="722" t="inlineStr">
        <is>
          <t>BM Formula &amp; Result</t>
        </is>
      </c>
      <c r="C25" s="694" t="inlineStr">
        <is>
          <t>RATING_SCB</t>
        </is>
      </c>
      <c r="D25" s="723" t="inlineStr">
        <is>
          <t xml:space="preserve"> </t>
        </is>
      </c>
      <c r="E25" s="724">
        <f>_xll.BLUEMATRIX2("/servlet/excelData",E24,$D$4,C25)</f>
        <v/>
      </c>
      <c r="F25" s="679" t="n"/>
      <c r="G25" s="679" t="n"/>
      <c r="H25" s="679" t="n"/>
    </row>
    <row r="26">
      <c r="B26" s="717" t="inlineStr">
        <is>
          <t>Target Price</t>
        </is>
      </c>
      <c r="C26" s="694" t="inlineStr">
        <is>
          <t>PRICE_TARGET</t>
        </is>
      </c>
      <c r="D26" s="708" t="n"/>
      <c r="E26" s="725">
        <f>_xll.BLUEMATRIX("/servlet/excelData",$D$4,$C26)</f>
        <v/>
      </c>
      <c r="F26" s="679" t="n"/>
      <c r="G26" s="679" t="n"/>
      <c r="H26" s="679" t="n"/>
      <c r="I26" s="726" t="n"/>
    </row>
    <row r="27">
      <c r="B27" s="719" t="inlineStr">
        <is>
          <t>Draft</t>
        </is>
      </c>
      <c r="C27" s="694" t="inlineStr">
        <is>
          <t>PRICE_TARGET</t>
        </is>
      </c>
      <c r="D27" s="721" t="n"/>
      <c r="E27" s="727">
        <f>Valuation!B53</f>
        <v/>
      </c>
      <c r="F27" s="679" t="n"/>
      <c r="G27" s="679" t="n"/>
      <c r="H27" s="679" t="n"/>
    </row>
    <row r="28" ht="16" customHeight="1" thickBot="1">
      <c r="B28" s="722" t="inlineStr">
        <is>
          <t>BM Formula &amp; Result</t>
        </is>
      </c>
      <c r="C28" s="694" t="inlineStr">
        <is>
          <t>PRICE_TARGET</t>
        </is>
      </c>
      <c r="D28" s="721" t="n"/>
      <c r="E28" s="724">
        <f>_xll.BLUEMATRIX2("/servlet/excelData",E27,$D$4,C28)</f>
        <v/>
      </c>
      <c r="F28" s="679" t="n"/>
      <c r="G28" s="679" t="n"/>
      <c r="H28" s="679" t="n"/>
    </row>
    <row r="29" ht="17" customHeight="1" thickBot="1" thickTop="1">
      <c r="B29" s="687" t="inlineStr">
        <is>
          <t>EARNINGS SLIDER for FLASHMAILS</t>
        </is>
      </c>
      <c r="C29" s="689" t="n"/>
      <c r="D29" s="689" t="n"/>
      <c r="E29" s="715" t="inlineStr">
        <is>
          <t>Value</t>
        </is>
      </c>
      <c r="F29" s="706" t="inlineStr">
        <is>
          <t xml:space="preserve">   BM Formula &amp; Result</t>
        </is>
      </c>
      <c r="G29" s="716" t="n"/>
      <c r="H29" s="679" t="n"/>
    </row>
    <row r="30" ht="16" customHeight="1" thickTop="1">
      <c r="B30" s="717" t="inlineStr">
        <is>
          <t>Starting Slider</t>
        </is>
      </c>
      <c r="C30" s="694" t="inlineStr">
        <is>
          <t>Starting Slider</t>
        </is>
      </c>
      <c r="D30" s="728" t="inlineStr">
        <is>
          <t>-11 to +11</t>
        </is>
      </c>
      <c r="E30" s="729" t="n">
        <v>0</v>
      </c>
      <c r="G30" s="710">
        <f>_xll.BLUEMATRIX2("/servlet/excelData",E30,$D$4,$C30)</f>
        <v/>
      </c>
      <c r="H30" s="679" t="n"/>
    </row>
    <row r="31" ht="16" customHeight="1" thickBot="1">
      <c r="B31" s="717" t="inlineStr">
        <is>
          <t>Ending  Slider</t>
        </is>
      </c>
      <c r="C31" s="694" t="inlineStr">
        <is>
          <t>Ending Slider</t>
        </is>
      </c>
      <c r="D31" s="730" t="inlineStr">
        <is>
          <t>or NA</t>
        </is>
      </c>
      <c r="E31" s="729" t="n">
        <v>0</v>
      </c>
      <c r="G31" s="710">
        <f>_xll.BLUEMATRIX2("/servlet/excelData",E31,$D$4,$C31)</f>
        <v/>
      </c>
      <c r="H31" s="679" t="n"/>
    </row>
    <row r="32" ht="17" customHeight="1" thickBot="1" thickTop="1">
      <c r="B32" s="687" t="inlineStr">
        <is>
          <t>ESTIMATES - ANNUALS</t>
        </is>
      </c>
      <c r="C32" s="689" t="n"/>
      <c r="D32" s="747" t="inlineStr">
        <is>
          <t>2022A</t>
        </is>
      </c>
      <c r="E32" s="748" t="inlineStr">
        <is>
          <t>2023E</t>
        </is>
      </c>
      <c r="F32" s="748" t="inlineStr">
        <is>
          <t>2024E</t>
        </is>
      </c>
      <c r="G32" s="748" t="inlineStr">
        <is>
          <t>2025E</t>
        </is>
      </c>
    </row>
    <row r="33" customFormat="1" s="735" thickTop="1">
      <c r="B33" s="731" t="inlineStr">
        <is>
          <t>Reported EPS</t>
        </is>
      </c>
      <c r="C33" s="732">
        <f>VLOOKUP(B33,BMCodes73[],2,FALSE)</f>
        <v/>
      </c>
      <c r="D33" s="733">
        <f>_xll.BLUEMATRIX("/servlet/excelData",$D$4,$C33&amp;":"&amp;D$32&amp;":AN:NULL:FISCAL")</f>
        <v/>
      </c>
      <c r="E33" s="733">
        <f>_xll.BLUEMATRIX("/servlet/excelData",$D$4,$C33&amp;":"&amp;E$32&amp;":AN:NULL:FISCAL")</f>
        <v/>
      </c>
      <c r="F33" s="733">
        <f>_xll.BLUEMATRIX("/servlet/excelData",$D$4,$C33&amp;":"&amp;F$32&amp;":AN:NULL:FISCAL")</f>
        <v/>
      </c>
      <c r="G33" s="734">
        <f>_xll.BLUEMATRIX("/servlet/excelData",$D$4,$C33&amp;":"&amp;G$32&amp;":AN:NULL:FISCAL")</f>
        <v/>
      </c>
    </row>
    <row r="34" ht="14" customFormat="1" customHeight="1" s="735">
      <c r="B34" s="736" t="inlineStr">
        <is>
          <t>Draft</t>
        </is>
      </c>
      <c r="C34" s="732">
        <f>VLOOKUP(B33,BMCodes73[],2,FALSE)</f>
        <v/>
      </c>
      <c r="D34" s="737">
        <f>Summary!P15</f>
        <v/>
      </c>
      <c r="E34" s="737">
        <f>Summary!Q15</f>
        <v/>
      </c>
      <c r="F34" s="737">
        <f>Summary!R15</f>
        <v/>
      </c>
      <c r="G34" s="737">
        <f>Summary!S15</f>
        <v/>
      </c>
    </row>
    <row r="35" customFormat="1" s="735">
      <c r="B35" s="738" t="inlineStr">
        <is>
          <t>BM Formula &amp; Result</t>
        </is>
      </c>
      <c r="C35" s="732">
        <f>VLOOKUP(B33,BMCodes73[],2,FALSE)</f>
        <v/>
      </c>
      <c r="D35" s="739">
        <f>_xll.BLUEMATRIX2("/servlet/excelData",D34,$D$4,$C35&amp;":"&amp;D$32&amp;":AN:NULL:FISCAL")</f>
        <v/>
      </c>
      <c r="E35" s="739">
        <f>_xll.BLUEMATRIX2("/servlet/excelData",E34,$D$4,$C35&amp;":"&amp;E$32&amp;":AN:NULL:FISCAL")</f>
        <v/>
      </c>
      <c r="F35" s="739">
        <f>_xll.BLUEMATRIX2("/servlet/excelData",F34,$D$4,$C35&amp;":"&amp;F$32&amp;":AN:NULL:FISCAL")</f>
        <v/>
      </c>
      <c r="G35" s="740">
        <f>_xll.BLUEMATRIX2("/servlet/excelData",G34,$D$4,$C35&amp;":"&amp;G$32&amp;":AN:NULL:FISCAL")</f>
        <v/>
      </c>
      <c r="H35" s="682" t="n"/>
    </row>
    <row r="36" customFormat="1" s="735">
      <c r="B36" s="731" t="inlineStr">
        <is>
          <t>Revenues (M)</t>
        </is>
      </c>
      <c r="C36" s="732">
        <f>VLOOKUP(B36,BMCodes73[],2,FALSE)</f>
        <v/>
      </c>
      <c r="D36" s="741">
        <f>_xll.BLUEMATRIX("/servlet/excelData",$D$4,$C36&amp;":"&amp;D$32&amp;":AN:NULL:FISCAL")</f>
        <v/>
      </c>
      <c r="E36" s="741">
        <f>_xll.BLUEMATRIX("/servlet/excelData",$D$4,$C36&amp;":"&amp;E$32&amp;":AN:NULL:FISCAL")</f>
        <v/>
      </c>
      <c r="F36" s="741">
        <f>_xll.BLUEMATRIX("/servlet/excelData",$D$4,$C36&amp;":"&amp;F$32&amp;":AN:NULL:FISCAL")</f>
        <v/>
      </c>
      <c r="G36" s="742">
        <f>_xll.BLUEMATRIX("/servlet/excelData",$D$4,$C36&amp;":"&amp;G$32&amp;":AN:NULL:FISCAL")</f>
        <v/>
      </c>
      <c r="H36" s="682" t="n"/>
    </row>
    <row r="37" customFormat="1" s="735">
      <c r="B37" s="736" t="inlineStr">
        <is>
          <t>Draft</t>
        </is>
      </c>
      <c r="C37" s="732">
        <f>VLOOKUP(B36,BMCodes73[],2,FALSE)</f>
        <v/>
      </c>
      <c r="D37" s="954">
        <f>Summary!P9/1000</f>
        <v/>
      </c>
      <c r="E37" s="954">
        <f>Summary!Q9/1000</f>
        <v/>
      </c>
      <c r="F37" s="954">
        <f>Summary!R9/1000</f>
        <v/>
      </c>
      <c r="G37" s="954">
        <f>Summary!S9/1000</f>
        <v/>
      </c>
      <c r="H37" s="682" t="n"/>
    </row>
    <row r="38" customFormat="1" s="735">
      <c r="B38" s="738" t="inlineStr">
        <is>
          <t>BM Formula &amp; Result</t>
        </is>
      </c>
      <c r="C38" s="732">
        <f>VLOOKUP(B36,BMCodes73[],2,FALSE)</f>
        <v/>
      </c>
      <c r="D38" s="739">
        <f>_xll.BLUEMATRIX2("/servlet/excelData",D37,$D$4,$C38&amp;":"&amp;D$32&amp;":AN:NULL:FISCAL")</f>
        <v/>
      </c>
      <c r="E38" s="739">
        <f>_xll.BLUEMATRIX2("/servlet/excelData",E37,$D$4,$C38&amp;":"&amp;E$32&amp;":AN:NULL:FISCAL")</f>
        <v/>
      </c>
      <c r="F38" s="739">
        <f>_xll.BLUEMATRIX2("/servlet/excelData",F37,$D$4,$C38&amp;":"&amp;F$32&amp;":AN:NULL:FISCAL")</f>
        <v/>
      </c>
      <c r="G38" s="740">
        <f>_xll.BLUEMATRIX2("/servlet/excelData",G37,$D$4,$C38&amp;":"&amp;G$32&amp;":AN:NULL:FISCAL")</f>
        <v/>
      </c>
      <c r="H38" s="682" t="n"/>
    </row>
    <row r="39" customFormat="1" s="735">
      <c r="B39" s="731" t="inlineStr">
        <is>
          <t>EBITDA (M)</t>
        </is>
      </c>
      <c r="C39" s="732">
        <f>VLOOKUP(B39,BMCodes73[],2,FALSE)</f>
        <v/>
      </c>
      <c r="D39" s="741">
        <f>_xll.BLUEMATRIX("/servlet/excelData",$D$4,$C39&amp;":"&amp;D$32&amp;":AN:NULL:FISCAL")</f>
        <v/>
      </c>
      <c r="E39" s="741">
        <f>_xll.BLUEMATRIX("/servlet/excelData",$D$4,$C39&amp;":"&amp;E$32&amp;":AN:NULL:FISCAL")</f>
        <v/>
      </c>
      <c r="F39" s="741">
        <f>_xll.BLUEMATRIX("/servlet/excelData",$D$4,$C39&amp;":"&amp;F$32&amp;":AN:NULL:FISCAL")</f>
        <v/>
      </c>
      <c r="G39" s="742">
        <f>_xll.BLUEMATRIX("/servlet/excelData",$D$4,$C39&amp;":"&amp;G$32&amp;":AN:NULL:FISCAL")</f>
        <v/>
      </c>
      <c r="H39" s="682" t="n"/>
    </row>
    <row r="40" customFormat="1" s="735">
      <c r="B40" s="736" t="inlineStr">
        <is>
          <t>Draft</t>
        </is>
      </c>
      <c r="C40" s="732">
        <f>VLOOKUP(B39,BMCodes73[],2,FALSE)</f>
        <v/>
      </c>
      <c r="D40" s="954">
        <f>Summary!P14/1000</f>
        <v/>
      </c>
      <c r="E40" s="954">
        <f>Summary!Q14/1000</f>
        <v/>
      </c>
      <c r="F40" s="954">
        <f>Summary!R14/1000</f>
        <v/>
      </c>
      <c r="G40" s="954">
        <f>Summary!S14/1000</f>
        <v/>
      </c>
      <c r="H40" s="682" t="n"/>
    </row>
    <row r="41" customFormat="1" s="735">
      <c r="B41" s="738" t="inlineStr">
        <is>
          <t>BM Formula &amp; Result</t>
        </is>
      </c>
      <c r="C41" s="732">
        <f>VLOOKUP(B39,BMCodes73[],2,FALSE)</f>
        <v/>
      </c>
      <c r="D41" s="739">
        <f>_xll.BLUEMATRIX2("/servlet/excelData",D40,$D$4,$C41&amp;":"&amp;D$32&amp;":AN:NULL:FISCAL")</f>
        <v/>
      </c>
      <c r="E41" s="739">
        <f>_xll.BLUEMATRIX2("/servlet/excelData",E40,$D$4,$C41&amp;":"&amp;E$32&amp;":AN:NULL:FISCAL")</f>
        <v/>
      </c>
      <c r="F41" s="739">
        <f>_xll.BLUEMATRIX2("/servlet/excelData",F40,$D$4,$C41&amp;":"&amp;F$32&amp;":AN:NULL:FISCAL")</f>
        <v/>
      </c>
      <c r="G41" s="740">
        <f>_xll.BLUEMATRIX2("/servlet/excelData",G40,$D$4,$C41&amp;":"&amp;G$32&amp;":AN:NULL:FISCAL")</f>
        <v/>
      </c>
      <c r="H41" s="682" t="n"/>
    </row>
    <row r="42" customFormat="1" s="735">
      <c r="B42" s="731" t="inlineStr">
        <is>
          <t>Gross Margin (%)</t>
        </is>
      </c>
      <c r="C42" s="732">
        <f>VLOOKUP(B42,BMCodes73[],2,FALSE)</f>
        <v/>
      </c>
      <c r="D42" s="741">
        <f>_xll.BLUEMATRIX("/servlet/excelData",$D$4,$C42&amp;":"&amp;D$32&amp;":AN:NULL:FISCAL")</f>
        <v/>
      </c>
      <c r="E42" s="741">
        <f>_xll.BLUEMATRIX("/servlet/excelData",$D$4,$C42&amp;":"&amp;E$32&amp;":AN:NULL:FISCAL")</f>
        <v/>
      </c>
      <c r="F42" s="741">
        <f>_xll.BLUEMATRIX("/servlet/excelData",$D$4,$C42&amp;":"&amp;F$32&amp;":AN:NULL:FISCAL")</f>
        <v/>
      </c>
      <c r="G42" s="742">
        <f>_xll.BLUEMATRIX("/servlet/excelData",$D$4,$C42&amp;":"&amp;G$32&amp;":AN:NULL:FISCAL")</f>
        <v/>
      </c>
      <c r="H42" s="682" t="n"/>
    </row>
    <row r="43" customFormat="1" s="735">
      <c r="B43" s="736" t="inlineStr">
        <is>
          <t>Draft</t>
        </is>
      </c>
      <c r="C43" s="732">
        <f>VLOOKUP(B42,BMCodes73[],2,FALSE)</f>
        <v/>
      </c>
      <c r="D43" s="955">
        <f>Summary!P23</f>
        <v/>
      </c>
      <c r="E43" s="955">
        <f>Summary!Q23</f>
        <v/>
      </c>
      <c r="F43" s="955">
        <f>Summary!R23</f>
        <v/>
      </c>
      <c r="G43" s="955">
        <f>Summary!S23</f>
        <v/>
      </c>
      <c r="H43" s="682" t="n"/>
    </row>
    <row r="44" customFormat="1" s="735">
      <c r="B44" s="738" t="inlineStr">
        <is>
          <t>BM Formula &amp; Result</t>
        </is>
      </c>
      <c r="C44" s="732">
        <f>VLOOKUP(B42,BMCodes73[],2,FALSE)</f>
        <v/>
      </c>
      <c r="D44" s="739">
        <f>_xll.BLUEMATRIX2("/servlet/excelData",D43,$D$4,$C44&amp;":"&amp;D$32&amp;":AN:NULL:FISCAL")</f>
        <v/>
      </c>
      <c r="E44" s="739">
        <f>_xll.BLUEMATRIX2("/servlet/excelData",E43,$D$4,$C44&amp;":"&amp;E$32&amp;":AN:NULL:FISCAL")</f>
        <v/>
      </c>
      <c r="F44" s="739">
        <f>_xll.BLUEMATRIX2("/servlet/excelData",F43,$D$4,$C44&amp;":"&amp;F$32&amp;":AN:NULL:FISCAL")</f>
        <v/>
      </c>
      <c r="G44" s="740">
        <f>_xll.BLUEMATRIX2("/servlet/excelData",G43,$D$4,$C44&amp;":"&amp;G$32&amp;":AN:NULL:FISCAL")</f>
        <v/>
      </c>
      <c r="H44" s="682" t="n"/>
    </row>
    <row r="45" customFormat="1" s="735">
      <c r="B45" s="731" t="inlineStr">
        <is>
          <t>Operating Margin (%)</t>
        </is>
      </c>
      <c r="C45" s="732">
        <f>VLOOKUP(B45,BMCodes73[],2,FALSE)</f>
        <v/>
      </c>
      <c r="D45" s="741">
        <f>_xll.BLUEMATRIX("/servlet/excelData",$D$4,$C45&amp;":"&amp;D$32&amp;":AN:NULL:FISCAL")</f>
        <v/>
      </c>
      <c r="E45" s="741">
        <f>_xll.BLUEMATRIX("/servlet/excelData",$D$4,$C45&amp;":"&amp;E$32&amp;":AN:NULL:FISCAL")</f>
        <v/>
      </c>
      <c r="F45" s="741">
        <f>_xll.BLUEMATRIX("/servlet/excelData",$D$4,$C45&amp;":"&amp;F$32&amp;":AN:NULL:FISCAL")</f>
        <v/>
      </c>
      <c r="G45" s="742">
        <f>_xll.BLUEMATRIX("/servlet/excelData",$D$4,$C45&amp;":"&amp;G$32&amp;":AN:NULL:FISCAL")</f>
        <v/>
      </c>
      <c r="H45" s="682" t="n"/>
    </row>
    <row r="46" customFormat="1" s="735">
      <c r="B46" s="736" t="inlineStr">
        <is>
          <t>Draft</t>
        </is>
      </c>
      <c r="C46" s="732">
        <f>VLOOKUP(B45,BMCodes73[],2,FALSE)</f>
        <v/>
      </c>
      <c r="D46" s="955">
        <f>Summary!P24</f>
        <v/>
      </c>
      <c r="E46" s="955">
        <f>Summary!Q24</f>
        <v/>
      </c>
      <c r="F46" s="955">
        <f>Summary!R24</f>
        <v/>
      </c>
      <c r="G46" s="955">
        <f>Summary!S24</f>
        <v/>
      </c>
      <c r="H46" s="682" t="n"/>
    </row>
    <row r="47" customFormat="1" s="735">
      <c r="B47" s="738" t="inlineStr">
        <is>
          <t>BM Formula &amp; Result</t>
        </is>
      </c>
      <c r="C47" s="732">
        <f>VLOOKUP(B45,BMCodes73[],2,FALSE)</f>
        <v/>
      </c>
      <c r="D47" s="739">
        <f>_xll.BLUEMATRIX2("/servlet/excelData",D46,$D$4,$C47&amp;":"&amp;D$32&amp;":AN:NULL:FISCAL")</f>
        <v/>
      </c>
      <c r="E47" s="739">
        <f>_xll.BLUEMATRIX2("/servlet/excelData",E46,$D$4,$C47&amp;":"&amp;E$32&amp;":AN:NULL:FISCAL")</f>
        <v/>
      </c>
      <c r="F47" s="739">
        <f>_xll.BLUEMATRIX2("/servlet/excelData",F46,$D$4,$C47&amp;":"&amp;F$32&amp;":AN:NULL:FISCAL")</f>
        <v/>
      </c>
      <c r="G47" s="740">
        <f>_xll.BLUEMATRIX2("/servlet/excelData",G46,$D$4,$C47&amp;":"&amp;G$32&amp;":AN:NULL:FISCAL")</f>
        <v/>
      </c>
      <c r="H47" s="682" t="n"/>
    </row>
    <row r="48" customFormat="1" s="735">
      <c r="B48" s="731" t="inlineStr">
        <is>
          <t>Net Income Margin (%)</t>
        </is>
      </c>
      <c r="C48" s="732">
        <f>VLOOKUP(B48,BMCodes73[],2,FALSE)</f>
        <v/>
      </c>
      <c r="D48" s="741">
        <f>_xll.BLUEMATRIX("/servlet/excelData",$D$4,$C48&amp;":"&amp;D$32&amp;":AN:NULL:FISCAL")</f>
        <v/>
      </c>
      <c r="E48" s="741">
        <f>_xll.BLUEMATRIX("/servlet/excelData",$D$4,$C48&amp;":"&amp;E$32&amp;":AN:NULL:FISCAL")</f>
        <v/>
      </c>
      <c r="F48" s="741">
        <f>_xll.BLUEMATRIX("/servlet/excelData",$D$4,$C48&amp;":"&amp;F$32&amp;":AN:NULL:FISCAL")</f>
        <v/>
      </c>
      <c r="G48" s="742">
        <f>_xll.BLUEMATRIX("/servlet/excelData",$D$4,$C48&amp;":"&amp;G$32&amp;":AN:NULL:FISCAL")</f>
        <v/>
      </c>
      <c r="H48" s="682" t="n"/>
    </row>
    <row r="49" customFormat="1" s="735">
      <c r="B49" s="736" t="inlineStr">
        <is>
          <t>Draft</t>
        </is>
      </c>
      <c r="C49" s="732">
        <f>VLOOKUP(B48,BMCodes73[],2,FALSE)</f>
        <v/>
      </c>
      <c r="D49" s="955">
        <f>Summary!P25</f>
        <v/>
      </c>
      <c r="E49" s="955">
        <f>Summary!Q25</f>
        <v/>
      </c>
      <c r="F49" s="955">
        <f>Summary!R25</f>
        <v/>
      </c>
      <c r="G49" s="955">
        <f>Summary!S25</f>
        <v/>
      </c>
      <c r="H49" s="682" t="n"/>
    </row>
    <row r="50" customFormat="1" s="735">
      <c r="B50" s="738" t="inlineStr">
        <is>
          <t>BM Formula &amp; Result</t>
        </is>
      </c>
      <c r="C50" s="732">
        <f>VLOOKUP(B48,BMCodes73[],2,FALSE)</f>
        <v/>
      </c>
      <c r="D50" s="739">
        <f>_xll.BLUEMATRIX2("/servlet/excelData",D49,$D$4,$C50&amp;":"&amp;D$32&amp;":AN:NULL:FISCAL")</f>
        <v/>
      </c>
      <c r="E50" s="739">
        <f>_xll.BLUEMATRIX2("/servlet/excelData",E49,$D$4,$C50&amp;":"&amp;E$32&amp;":AN:NULL:FISCAL")</f>
        <v/>
      </c>
      <c r="F50" s="739">
        <f>_xll.BLUEMATRIX2("/servlet/excelData",F49,$D$4,$C50&amp;":"&amp;F$32&amp;":AN:NULL:FISCAL")</f>
        <v/>
      </c>
      <c r="G50" s="740">
        <f>_xll.BLUEMATRIX2("/servlet/excelData",G49,$D$4,$C50&amp;":"&amp;G$32&amp;":AN:NULL:FISCAL")</f>
        <v/>
      </c>
      <c r="H50" s="682" t="n"/>
    </row>
    <row r="51" customFormat="1" s="735">
      <c r="B51" s="731" t="inlineStr">
        <is>
          <t>ROIC (%)</t>
        </is>
      </c>
      <c r="C51" s="732">
        <f>VLOOKUP(B51,BMCodes73[],2,FALSE)</f>
        <v/>
      </c>
      <c r="D51" s="741">
        <f>_xll.BLUEMATRIX("/servlet/excelData",$D$4,$C51&amp;":"&amp;D$32&amp;":AN:NULL:FISCAL")</f>
        <v/>
      </c>
      <c r="E51" s="741">
        <f>_xll.BLUEMATRIX("/servlet/excelData",$D$4,$C51&amp;":"&amp;E$32&amp;":AN:NULL:FISCAL")</f>
        <v/>
      </c>
      <c r="F51" s="741">
        <f>_xll.BLUEMATRIX("/servlet/excelData",$D$4,$C51&amp;":"&amp;F$32&amp;":AN:NULL:FISCAL")</f>
        <v/>
      </c>
      <c r="G51" s="742">
        <f>_xll.BLUEMATRIX("/servlet/excelData",$D$4,$C51&amp;":"&amp;G$32&amp;":AN:NULL:FISCAL")</f>
        <v/>
      </c>
      <c r="H51" s="682" t="n"/>
    </row>
    <row r="52" customFormat="1" s="735">
      <c r="B52" s="736" t="inlineStr">
        <is>
          <t>Draft</t>
        </is>
      </c>
      <c r="C52" s="732">
        <f>VLOOKUP(B51,BMCodes73[],2,FALSE)</f>
        <v/>
      </c>
      <c r="D52" s="955">
        <f>Summary!P21</f>
        <v/>
      </c>
      <c r="E52" s="955">
        <f>Summary!Q21</f>
        <v/>
      </c>
      <c r="F52" s="955">
        <f>Summary!R21</f>
        <v/>
      </c>
      <c r="G52" s="955">
        <f>Summary!S21</f>
        <v/>
      </c>
      <c r="H52" s="682" t="n"/>
    </row>
    <row r="53" customFormat="1" s="735">
      <c r="B53" s="738" t="inlineStr">
        <is>
          <t>BM Formula &amp; Result</t>
        </is>
      </c>
      <c r="C53" s="732">
        <f>VLOOKUP(B51,BMCodes73[],2,FALSE)</f>
        <v/>
      </c>
      <c r="D53" s="739">
        <f>_xll.BLUEMATRIX2("/servlet/excelData",D52,$D$4,$C53&amp;":"&amp;D$32&amp;":AN:NULL:FISCAL")</f>
        <v/>
      </c>
      <c r="E53" s="739">
        <f>_xll.BLUEMATRIX2("/servlet/excelData",E52,$D$4,$C53&amp;":"&amp;E$32&amp;":AN:NULL:FISCAL")</f>
        <v/>
      </c>
      <c r="F53" s="739">
        <f>_xll.BLUEMATRIX2("/servlet/excelData",F52,$D$4,$C53&amp;":"&amp;F$32&amp;":AN:NULL:FISCAL")</f>
        <v/>
      </c>
      <c r="G53" s="740">
        <f>_xll.BLUEMATRIX2("/servlet/excelData",G52,$D$4,$C53&amp;":"&amp;G$32&amp;":AN:NULL:FISCAL")</f>
        <v/>
      </c>
      <c r="H53" s="682" t="n"/>
    </row>
    <row r="54" customFormat="1" s="735">
      <c r="B54" s="731" t="inlineStr">
        <is>
          <t>ROE (%)</t>
        </is>
      </c>
      <c r="C54" s="732">
        <f>VLOOKUP(B54,BMCodes73[],2,FALSE)</f>
        <v/>
      </c>
      <c r="D54" s="741">
        <f>_xll.BLUEMATRIX("/servlet/excelData",$D$4,$C54&amp;":"&amp;D$32&amp;":AN:NULL:FISCAL")</f>
        <v/>
      </c>
      <c r="E54" s="741">
        <f>_xll.BLUEMATRIX("/servlet/excelData",$D$4,$C54&amp;":"&amp;E$32&amp;":AN:NULL:FISCAL")</f>
        <v/>
      </c>
      <c r="F54" s="741">
        <f>_xll.BLUEMATRIX("/servlet/excelData",$D$4,$C54&amp;":"&amp;F$32&amp;":AN:NULL:FISCAL")</f>
        <v/>
      </c>
      <c r="G54" s="742">
        <f>_xll.BLUEMATRIX("/servlet/excelData",$D$4,$C54&amp;":"&amp;G$32&amp;":AN:NULL:FISCAL")</f>
        <v/>
      </c>
      <c r="H54" s="682" t="n"/>
    </row>
    <row r="55">
      <c r="B55" s="736" t="inlineStr">
        <is>
          <t>Draft</t>
        </is>
      </c>
      <c r="C55" s="732">
        <f>VLOOKUP(B54,BMCodes73[],2,FALSE)</f>
        <v/>
      </c>
      <c r="D55" s="955">
        <f>Summary!P22</f>
        <v/>
      </c>
      <c r="E55" s="955">
        <f>Summary!Q22</f>
        <v/>
      </c>
      <c r="F55" s="955">
        <f>Summary!R22</f>
        <v/>
      </c>
      <c r="G55" s="955">
        <f>Summary!S22</f>
        <v/>
      </c>
    </row>
    <row r="56">
      <c r="B56" s="738" t="inlineStr">
        <is>
          <t>BM Formula &amp; Result</t>
        </is>
      </c>
      <c r="C56" s="732">
        <f>VLOOKUP(B54,BMCodes73[],2,FALSE)</f>
        <v/>
      </c>
      <c r="D56" s="739">
        <f>_xll.BLUEMATRIX2("/servlet/excelData",D55,$D$4,$C56&amp;":"&amp;D$32&amp;":AN:NULL:FISCAL")</f>
        <v/>
      </c>
      <c r="E56" s="739">
        <f>_xll.BLUEMATRIX2("/servlet/excelData",E55,$D$4,$C56&amp;":"&amp;E$32&amp;":AN:NULL:FISCAL")</f>
        <v/>
      </c>
      <c r="F56" s="739">
        <f>_xll.BLUEMATRIX2("/servlet/excelData",F55,$D$4,$C56&amp;":"&amp;F$32&amp;":AN:NULL:FISCAL")</f>
        <v/>
      </c>
      <c r="G56" s="740">
        <f>_xll.BLUEMATRIX2("/servlet/excelData",G55,$D$4,$C56&amp;":"&amp;G$32&amp;":AN:NULL:FISCAL")</f>
        <v/>
      </c>
    </row>
    <row r="57" ht="16" customHeight="1" thickBot="1">
      <c r="B57" s="738" t="n"/>
      <c r="C57" s="736" t="n"/>
      <c r="D57" s="736" t="n"/>
      <c r="E57" s="736" t="n"/>
      <c r="F57" s="736" t="n"/>
      <c r="G57" s="736" t="n"/>
    </row>
    <row r="58" ht="17" customHeight="1" thickBot="1" thickTop="1">
      <c r="B58" s="687" t="inlineStr">
        <is>
          <t>VALUATIONS</t>
        </is>
      </c>
      <c r="C58" s="689" t="n"/>
      <c r="D58" s="743" t="n"/>
      <c r="E58" s="743" t="n"/>
      <c r="F58" s="743" t="n"/>
      <c r="G58" s="743" t="n"/>
    </row>
    <row r="59" ht="16" customHeight="1" thickTop="1">
      <c r="B59" s="682">
        <f>"P/E " &amp; MID(B33,1,FIND("EPS",B33)-2) &amp; " (x)"</f>
        <v/>
      </c>
      <c r="C59" s="732" t="n"/>
      <c r="D59" s="725">
        <f>IF(ISERROR(($G$12)/(D34)),"",($G$12)/(D34))</f>
        <v/>
      </c>
      <c r="E59" s="725">
        <f>IF(ISERROR(($G$12)/(E34)),"",($G$12)/(E34))</f>
        <v/>
      </c>
      <c r="F59" s="725">
        <f>IF(ISERROR(($G$12)/(F34)),"",($G$12)/(F34))</f>
        <v/>
      </c>
      <c r="G59" s="725">
        <f>IF(ISERROR(($G$12)/(G34)),"",($G$12)/(G34))</f>
        <v/>
      </c>
    </row>
    <row r="63">
      <c r="D63" s="726" t="n"/>
    </row>
    <row r="64" ht="15" customHeight="1">
      <c r="B64" s="744" t="inlineStr">
        <is>
          <t>BM_NAME</t>
        </is>
      </c>
      <c r="C64" s="745" t="inlineStr">
        <is>
          <t>BM_CODE</t>
        </is>
      </c>
    </row>
    <row r="65" ht="15" customHeight="1">
      <c r="B65" s="746" t="inlineStr">
        <is>
          <t>Adjusted EPS</t>
        </is>
      </c>
      <c r="C65" s="746" t="inlineStr">
        <is>
          <t>EPSADJ</t>
        </is>
      </c>
    </row>
    <row r="66" ht="15" customHeight="1">
      <c r="B66" s="746" t="inlineStr">
        <is>
          <t>Adjusted Operating Margin (%)</t>
        </is>
      </c>
      <c r="C66" s="746" t="inlineStr">
        <is>
          <t>ADJ_OPER_MARGIN</t>
        </is>
      </c>
    </row>
    <row r="67">
      <c r="B67" s="746" t="inlineStr">
        <is>
          <t>Book Value (M)</t>
        </is>
      </c>
      <c r="C67" s="746" t="inlineStr">
        <is>
          <t>BV</t>
        </is>
      </c>
    </row>
    <row r="68">
      <c r="B68" s="746" t="inlineStr">
        <is>
          <t>BV/Share</t>
        </is>
      </c>
      <c r="C68" s="746" t="inlineStr">
        <is>
          <t>BVPS</t>
        </is>
      </c>
    </row>
    <row r="69">
      <c r="B69" s="746" t="inlineStr">
        <is>
          <t>CapEx (M)</t>
        </is>
      </c>
      <c r="C69" s="746" t="inlineStr">
        <is>
          <t>CAPEX</t>
        </is>
      </c>
    </row>
    <row r="70">
      <c r="B70" s="746" t="inlineStr">
        <is>
          <t>CapEx/Sales (%)</t>
        </is>
      </c>
      <c r="C70" s="746" t="inlineStr">
        <is>
          <t>CAPEXSALES</t>
        </is>
      </c>
    </row>
    <row r="71">
      <c r="B71" s="746" t="inlineStr">
        <is>
          <t>CE T1 (%)</t>
        </is>
      </c>
      <c r="C71" s="746" t="inlineStr">
        <is>
          <t>CET1_PCT</t>
        </is>
      </c>
    </row>
    <row r="72">
      <c r="B72" s="746" t="inlineStr">
        <is>
          <t>CFO (M)</t>
        </is>
      </c>
      <c r="C72" s="746" t="inlineStr">
        <is>
          <t>OCF</t>
        </is>
      </c>
    </row>
    <row r="73">
      <c r="B73" s="746" t="inlineStr">
        <is>
          <t>CFO/Share</t>
        </is>
      </c>
      <c r="C73" s="746" t="inlineStr">
        <is>
          <t>OCFPS</t>
        </is>
      </c>
    </row>
    <row r="74">
      <c r="B74" s="746" t="inlineStr">
        <is>
          <t>Common Equity</t>
        </is>
      </c>
      <c r="C74" s="746" t="inlineStr">
        <is>
          <t>CE</t>
        </is>
      </c>
    </row>
    <row r="75">
      <c r="B75" s="746" t="inlineStr">
        <is>
          <t>Comp Store Sales Growth (%)</t>
        </is>
      </c>
      <c r="C75" s="746" t="inlineStr">
        <is>
          <t>COMPSTORESALESGROWTH</t>
        </is>
      </c>
    </row>
    <row r="76">
      <c r="B76" s="746" t="inlineStr">
        <is>
          <t>Cost of Goods Sold (M)</t>
        </is>
      </c>
      <c r="C76" s="746" t="inlineStr">
        <is>
          <t>COGS</t>
        </is>
      </c>
    </row>
    <row r="77">
      <c r="B77" s="746" t="inlineStr">
        <is>
          <t>Credit Cost (%)</t>
        </is>
      </c>
      <c r="C77" s="746" t="inlineStr">
        <is>
          <t>CREDIT_COST</t>
        </is>
      </c>
    </row>
    <row r="78">
      <c r="B78" s="746" t="inlineStr">
        <is>
          <t>Dividend Payout Ratio (%)</t>
        </is>
      </c>
      <c r="C78" s="746" t="inlineStr">
        <is>
          <t>DIVPAYOUTRATIO</t>
        </is>
      </c>
    </row>
    <row r="79">
      <c r="B79" s="746" t="inlineStr">
        <is>
          <t>Dividend/Share</t>
        </is>
      </c>
      <c r="C79" s="746" t="inlineStr">
        <is>
          <t>DIVPS</t>
        </is>
      </c>
    </row>
    <row r="80">
      <c r="B80" s="746" t="inlineStr">
        <is>
          <t>EBIT (M)</t>
        </is>
      </c>
      <c r="C80" s="746" t="inlineStr">
        <is>
          <t>EBIT</t>
        </is>
      </c>
    </row>
    <row r="81">
      <c r="B81" s="746" t="inlineStr">
        <is>
          <t>EBITDA (M)</t>
        </is>
      </c>
      <c r="C81" s="746" t="inlineStr">
        <is>
          <t>EBITDA</t>
        </is>
      </c>
    </row>
    <row r="82">
      <c r="B82" s="746" t="inlineStr">
        <is>
          <t>EBITDA Margin (%)</t>
        </is>
      </c>
      <c r="C82" s="746" t="inlineStr">
        <is>
          <t>EBITDAMARGIN</t>
        </is>
      </c>
    </row>
    <row r="83">
      <c r="B83" s="746" t="inlineStr">
        <is>
          <t>Economic Net Debt (M)</t>
        </is>
      </c>
      <c r="C83" s="746" t="inlineStr">
        <is>
          <t>ECON_NET_DEBT</t>
        </is>
      </c>
    </row>
    <row r="84">
      <c r="B84" s="746" t="inlineStr">
        <is>
          <t>Growth EPS (%)</t>
        </is>
      </c>
      <c r="C84" s="746" t="inlineStr">
        <is>
          <t>EPSGROWTH</t>
        </is>
      </c>
    </row>
    <row r="85">
      <c r="B85" s="746" t="inlineStr">
        <is>
          <t>FCF (M)</t>
        </is>
      </c>
      <c r="C85" s="746" t="inlineStr">
        <is>
          <t>FCF</t>
        </is>
      </c>
    </row>
    <row r="86">
      <c r="B86" s="746" t="inlineStr">
        <is>
          <t>FCF Unlevered</t>
        </is>
      </c>
      <c r="C86" s="746" t="inlineStr">
        <is>
          <t>FCF_UNLEV</t>
        </is>
      </c>
    </row>
    <row r="87">
      <c r="B87" s="746" t="inlineStr">
        <is>
          <t>FCF/Share</t>
        </is>
      </c>
      <c r="C87" s="746" t="inlineStr">
        <is>
          <t>FCFPS</t>
        </is>
      </c>
    </row>
    <row r="88">
      <c r="B88" s="746" t="inlineStr">
        <is>
          <t>Gross Margin (%)</t>
        </is>
      </c>
      <c r="C88" s="746" t="inlineStr">
        <is>
          <t>GM</t>
        </is>
      </c>
    </row>
    <row r="89">
      <c r="B89" s="746" t="inlineStr">
        <is>
          <t>Gross Profit (M)</t>
        </is>
      </c>
      <c r="C89" s="746" t="inlineStr">
        <is>
          <t>GROSSPROFIT</t>
        </is>
      </c>
    </row>
    <row r="90">
      <c r="B90" s="746" t="inlineStr">
        <is>
          <t>Like-For-Like Sales Growth (%)</t>
        </is>
      </c>
      <c r="C90" s="746" t="inlineStr">
        <is>
          <t>LFL_SALES_GROWTH</t>
        </is>
      </c>
    </row>
    <row r="91">
      <c r="B91" s="746" t="inlineStr">
        <is>
          <t>Loan Growth (%)</t>
        </is>
      </c>
      <c r="C91" s="746" t="inlineStr">
        <is>
          <t>LOANGROW</t>
        </is>
      </c>
    </row>
    <row r="92">
      <c r="B92" s="746" t="inlineStr">
        <is>
          <t>Local Currency Sales Growth (%)</t>
        </is>
      </c>
      <c r="C92" s="746" t="inlineStr">
        <is>
          <t>LOCAL_CUR_SALES_GROWTH</t>
        </is>
      </c>
    </row>
    <row r="93">
      <c r="B93" s="746" t="inlineStr">
        <is>
          <t>Net Debt (Cash) (M)</t>
        </is>
      </c>
      <c r="C93" s="746" t="inlineStr">
        <is>
          <t>NETDEBT_EST</t>
        </is>
      </c>
    </row>
    <row r="94">
      <c r="B94" s="746" t="inlineStr">
        <is>
          <t>Net Debt/EBITDA (x)</t>
        </is>
      </c>
      <c r="C94" s="746" t="inlineStr">
        <is>
          <t>NETDEBTEBITDA</t>
        </is>
      </c>
    </row>
    <row r="95">
      <c r="B95" s="746" t="inlineStr">
        <is>
          <t>Net Debt/Equity (x)</t>
        </is>
      </c>
      <c r="C95" s="746" t="inlineStr">
        <is>
          <t>NETDEBTEQUITY</t>
        </is>
      </c>
    </row>
    <row r="96">
      <c r="B96" s="746" t="inlineStr">
        <is>
          <t>Net Earnings (M)</t>
        </is>
      </c>
      <c r="C96" s="746" t="inlineStr">
        <is>
          <t>NI</t>
        </is>
      </c>
    </row>
    <row r="97">
      <c r="B97" s="746" t="inlineStr">
        <is>
          <t>Net Income Margin (%)</t>
        </is>
      </c>
      <c r="C97" s="746" t="inlineStr">
        <is>
          <t>NETMARGIN</t>
        </is>
      </c>
    </row>
    <row r="98">
      <c r="B98" s="746" t="inlineStr">
        <is>
          <t>Net Interest Margin (%)</t>
        </is>
      </c>
      <c r="C98" s="746" t="inlineStr">
        <is>
          <t>NIM</t>
        </is>
      </c>
    </row>
    <row r="99">
      <c r="B99" s="746" t="inlineStr">
        <is>
          <t>Net Profit Before Non-Recurring Items(M)</t>
        </is>
      </c>
      <c r="C99" s="746" t="inlineStr">
        <is>
          <t>PROFBEFOREITEMS</t>
        </is>
      </c>
    </row>
    <row r="100">
      <c r="B100" s="746" t="inlineStr">
        <is>
          <t>Operating Earnings (M)</t>
        </is>
      </c>
      <c r="C100" s="746" t="inlineStr">
        <is>
          <t>OPEARN</t>
        </is>
      </c>
    </row>
    <row r="101">
      <c r="B101" s="746" t="inlineStr">
        <is>
          <t>Operating Expenses (M)</t>
        </is>
      </c>
      <c r="C101" s="746" t="inlineStr">
        <is>
          <t>EXP</t>
        </is>
      </c>
    </row>
    <row r="102">
      <c r="B102" s="746" t="inlineStr">
        <is>
          <t>Operating Margin (%)</t>
        </is>
      </c>
      <c r="C102" s="746" t="inlineStr">
        <is>
          <t>OM</t>
        </is>
      </c>
    </row>
    <row r="103">
      <c r="B103" s="746" t="inlineStr">
        <is>
          <t>Organic Sales Growth (%)</t>
        </is>
      </c>
      <c r="C103" s="746" t="inlineStr">
        <is>
          <t>ORGSALESGROWTH</t>
        </is>
      </c>
    </row>
    <row r="104">
      <c r="B104" s="746" t="inlineStr">
        <is>
          <t>Pre-Tax Earnings (M)</t>
        </is>
      </c>
      <c r="C104" s="746" t="inlineStr">
        <is>
          <t>EBT</t>
        </is>
      </c>
    </row>
    <row r="105">
      <c r="B105" s="746" t="inlineStr">
        <is>
          <t>R&amp;D (M)</t>
        </is>
      </c>
      <c r="C105" s="746" t="inlineStr">
        <is>
          <t>RD</t>
        </is>
      </c>
    </row>
    <row r="106">
      <c r="B106" s="746" t="inlineStr">
        <is>
          <t>Reported EPS</t>
        </is>
      </c>
      <c r="C106" s="746" t="inlineStr">
        <is>
          <t>EPSRPT</t>
        </is>
      </c>
    </row>
    <row r="107">
      <c r="B107" s="746" t="inlineStr">
        <is>
          <t>Revenue/Share</t>
        </is>
      </c>
      <c r="C107" s="746" t="inlineStr">
        <is>
          <t>SALESPS</t>
        </is>
      </c>
    </row>
    <row r="108">
      <c r="B108" s="746" t="inlineStr">
        <is>
          <t>Revenues (M)</t>
        </is>
      </c>
      <c r="C108" s="746" t="inlineStr">
        <is>
          <t>SALES</t>
        </is>
      </c>
    </row>
    <row r="109">
      <c r="B109" s="746" t="inlineStr">
        <is>
          <t>ROA (%)</t>
        </is>
      </c>
      <c r="C109" s="746" t="inlineStr">
        <is>
          <t>ROA</t>
        </is>
      </c>
    </row>
    <row r="110">
      <c r="B110" s="746" t="inlineStr">
        <is>
          <t>ROCE (%)</t>
        </is>
      </c>
      <c r="C110" s="746" t="inlineStr">
        <is>
          <t>ROCE</t>
        </is>
      </c>
    </row>
    <row r="111">
      <c r="B111" s="746" t="inlineStr">
        <is>
          <t>ROE (%)</t>
        </is>
      </c>
      <c r="C111" s="746" t="inlineStr">
        <is>
          <t>ROE</t>
        </is>
      </c>
    </row>
    <row r="112">
      <c r="B112" s="746" t="inlineStr">
        <is>
          <t>ROIC (%)</t>
        </is>
      </c>
      <c r="C112" s="746" t="inlineStr">
        <is>
          <t>ROIC</t>
        </is>
      </c>
    </row>
    <row r="113">
      <c r="B113" s="746" t="inlineStr">
        <is>
          <t>ROIC Excluding Goodwill/ Intangibles (x)</t>
        </is>
      </c>
      <c r="C113" s="746" t="inlineStr">
        <is>
          <t>ROIC_EX_INTANG</t>
        </is>
      </c>
    </row>
    <row r="114">
      <c r="B114" s="746" t="inlineStr">
        <is>
          <t>SG&amp;A (M)</t>
        </is>
      </c>
      <c r="C114" s="746" t="inlineStr">
        <is>
          <t>SGA</t>
        </is>
      </c>
    </row>
    <row r="115">
      <c r="B115" s="746" t="inlineStr">
        <is>
          <t>Total Provision (M)</t>
        </is>
      </c>
      <c r="C115" s="746" t="inlineStr">
        <is>
          <t>PROV</t>
        </is>
      </c>
    </row>
  </sheetData>
  <dataValidations disablePrompts="1" count="3">
    <dataValidation sqref="B36 B39 B42 B45 B48 B51 B54" showDropDown="0" showInputMessage="1" showErrorMessage="0" allowBlank="1" type="list">
      <formula1>$B$65:$B$115</formula1>
    </dataValidation>
    <dataValidation sqref="E24" showDropDown="0" showInputMessage="1" showErrorMessage="1" allowBlank="1" type="list">
      <formula1>"Outperform, Market-Perform,Underperform, Not Rated"</formula1>
    </dataValidation>
    <dataValidation sqref="B33" showDropDown="0" showInputMessage="1" showErrorMessage="1" allowBlank="1" type="list">
      <formula1>"Reported EPS, Adjusted EPS"</formula1>
    </dataValidation>
  </dataValidations>
  <pageMargins left="0.7" right="0.7" top="0.75" bottom="0.75" header="0.3" footer="0.3"/>
  <pageSetup orientation="portrait" paperSize="195"/>
  <tableParts count="1">
    <tablePart xmlns:r="http://schemas.openxmlformats.org/officeDocument/2006/relationships" r:id="rId1"/>
  </tableParts>
</worksheet>
</file>

<file path=xl/worksheets/sheet13.xml><?xml version="1.0" encoding="utf-8"?>
<worksheet xmlns="http://schemas.openxmlformats.org/spreadsheetml/2006/main">
  <sheetPr codeName="Sheet1">
    <tabColor rgb="FF96D8CF"/>
    <outlinePr summaryBelow="1" summaryRight="1"/>
    <pageSetUpPr/>
  </sheetPr>
  <dimension ref="B1:T43"/>
  <sheetViews>
    <sheetView workbookViewId="0">
      <selection activeCell="Y51" sqref="Y51"/>
    </sheetView>
  </sheetViews>
  <sheetFormatPr baseColWidth="10" defaultColWidth="9.33203125" defaultRowHeight="14"/>
  <cols>
    <col width="9.33203125" customWidth="1" style="566" min="1" max="1"/>
    <col width="24.5" customWidth="1" style="566" min="2" max="2"/>
    <col hidden="1" style="567" min="3" max="3"/>
    <col hidden="1" style="568" min="4" max="4"/>
    <col hidden="1" width="8.6640625" customWidth="1" style="566" min="5" max="5"/>
    <col hidden="1" style="566" min="6" max="7"/>
    <col hidden="1" style="568" min="8" max="8"/>
    <col hidden="1" style="566" min="9" max="12"/>
    <col width="12.33203125" bestFit="1" customWidth="1" style="566" min="13" max="13"/>
    <col width="9.33203125" customWidth="1" style="566" min="14" max="15"/>
    <col width="12.33203125" bestFit="1" customWidth="1" style="566" min="16" max="16"/>
    <col width="9.33203125" customWidth="1" style="566" min="17" max="16384"/>
  </cols>
  <sheetData>
    <row r="1" ht="42.75" customHeight="1">
      <c r="B1" s="576" t="inlineStr">
        <is>
          <t>S&amp;P 500 Index</t>
        </is>
      </c>
      <c r="H1" s="570" t="n"/>
      <c r="I1" s="571" t="n"/>
      <c r="J1" s="571" t="n"/>
    </row>
    <row r="2" ht="12" customHeight="1" thickBot="1">
      <c r="B2" s="572" t="n"/>
      <c r="C2" s="573" t="inlineStr">
        <is>
          <t>FinancialNumberType</t>
        </is>
      </c>
      <c r="D2" s="574" t="inlineStr">
        <is>
          <t>FinancialNumberTypeCat</t>
        </is>
      </c>
      <c r="E2" s="570" t="inlineStr">
        <is>
          <t>FinancialNumberTypeId</t>
        </is>
      </c>
      <c r="F2" s="570" t="inlineStr">
        <is>
          <t>financialNumberTypeCatOrd</t>
        </is>
      </c>
      <c r="G2" s="570" t="inlineStr">
        <is>
          <t>IsDraft</t>
        </is>
      </c>
      <c r="H2" s="573" t="inlineStr">
        <is>
          <t>Formula</t>
        </is>
      </c>
      <c r="I2" s="573" t="inlineStr">
        <is>
          <t>Currency</t>
        </is>
      </c>
      <c r="J2" s="573" t="inlineStr">
        <is>
          <t>SheetID</t>
        </is>
      </c>
      <c r="K2" s="573" t="inlineStr">
        <is>
          <t>IsPerShare</t>
        </is>
      </c>
      <c r="L2" s="573" t="inlineStr">
        <is>
          <t>Format</t>
        </is>
      </c>
      <c r="R2" s="643" t="n"/>
      <c r="S2" s="642" t="n"/>
    </row>
    <row r="3" ht="17" customHeight="1" thickBot="1" thickTop="1">
      <c r="B3" s="584" t="inlineStr">
        <is>
          <t>TICKER DATA</t>
        </is>
      </c>
      <c r="C3" s="585" t="n"/>
      <c r="D3" s="585" t="n"/>
      <c r="E3" s="585" t="n"/>
      <c r="F3" s="585" t="n"/>
      <c r="G3" s="585" t="n"/>
      <c r="H3" s="586" t="n"/>
      <c r="I3" s="585" t="n"/>
      <c r="J3" s="585" t="n"/>
      <c r="K3" s="585" t="n"/>
      <c r="L3" s="585" t="n"/>
      <c r="M3" s="585" t="n"/>
      <c r="N3" s="587" t="n"/>
      <c r="O3" s="585" t="n"/>
      <c r="P3" s="585" t="n"/>
    </row>
    <row r="4" ht="15" customHeight="1" thickTop="1">
      <c r="B4" s="577" t="inlineStr">
        <is>
          <t>Ticker</t>
        </is>
      </c>
      <c r="C4" s="579" t="inlineStr">
        <is>
          <t>TICKER</t>
        </is>
      </c>
      <c r="D4" s="580" t="inlineStr">
        <is>
          <t>T</t>
        </is>
      </c>
      <c r="E4" s="577" t="n"/>
      <c r="F4" s="577" t="n"/>
      <c r="G4" s="577" t="n"/>
      <c r="H4" s="580" t="n"/>
      <c r="I4" s="577" t="n"/>
      <c r="J4" s="577" t="n"/>
      <c r="K4" s="577" t="n"/>
      <c r="L4" s="577" t="n"/>
      <c r="M4" s="582" t="inlineStr">
        <is>
          <t>SPX</t>
        </is>
      </c>
      <c r="N4" s="588" t="n"/>
      <c r="O4" s="578" t="n"/>
      <c r="P4" s="578" t="n"/>
      <c r="R4" s="646" t="inlineStr">
        <is>
          <t>DATA LAST REFRESHED</t>
        </is>
      </c>
      <c r="S4" s="644" t="n"/>
      <c r="T4" s="645" t="inlineStr">
        <is>
          <t>Feb 16, 2022 02:53 PM</t>
        </is>
      </c>
    </row>
    <row r="5">
      <c r="B5" s="577" t="inlineStr">
        <is>
          <t>BERN SecurityId</t>
        </is>
      </c>
      <c r="C5" s="579" t="inlineStr">
        <is>
          <t>SECURITYID</t>
        </is>
      </c>
      <c r="D5" s="580" t="inlineStr">
        <is>
          <t>T</t>
        </is>
      </c>
      <c r="E5" s="577" t="n"/>
      <c r="F5" s="577" t="n"/>
      <c r="G5" s="577" t="n"/>
      <c r="H5" s="580" t="n"/>
      <c r="I5" s="577" t="n"/>
      <c r="J5" s="577" t="n"/>
      <c r="K5" s="577" t="n"/>
      <c r="L5" s="577" t="n"/>
      <c r="M5" s="582" t="n">
        <v>735</v>
      </c>
      <c r="N5" s="588" t="n"/>
      <c r="O5" s="578" t="n"/>
      <c r="P5" s="578" t="n"/>
    </row>
    <row r="6">
      <c r="B6" s="577" t="inlineStr">
        <is>
          <t>BERN CompanyId</t>
        </is>
      </c>
      <c r="C6" s="579" t="inlineStr">
        <is>
          <t>COMPANYID</t>
        </is>
      </c>
      <c r="D6" s="580" t="inlineStr">
        <is>
          <t>T</t>
        </is>
      </c>
      <c r="E6" s="577" t="n"/>
      <c r="F6" s="577" t="n"/>
      <c r="G6" s="577" t="n"/>
      <c r="H6" s="580" t="n"/>
      <c r="I6" s="577" t="n"/>
      <c r="J6" s="577" t="n"/>
      <c r="K6" s="577" t="n"/>
      <c r="L6" s="577" t="n"/>
      <c r="M6" s="582" t="n">
        <v>1012</v>
      </c>
      <c r="N6" s="588" t="n"/>
      <c r="O6" s="578" t="n"/>
      <c r="P6" s="578" t="n"/>
    </row>
    <row r="7">
      <c r="B7" s="577" t="inlineStr">
        <is>
          <t>Last Reported Year</t>
        </is>
      </c>
      <c r="C7" s="579" t="inlineStr">
        <is>
          <t>BASEYEARACTUAL</t>
        </is>
      </c>
      <c r="D7" s="580" t="inlineStr">
        <is>
          <t>T</t>
        </is>
      </c>
      <c r="E7" s="577" t="n"/>
      <c r="F7" s="577" t="n"/>
      <c r="G7" s="577" t="n"/>
      <c r="H7" s="580" t="n"/>
      <c r="I7" s="577" t="n"/>
      <c r="J7" s="577" t="n"/>
      <c r="K7" s="577" t="n"/>
      <c r="L7" s="577" t="n"/>
      <c r="M7" s="582" t="n">
        <v>2020</v>
      </c>
      <c r="N7" s="588" t="n"/>
      <c r="O7" s="578" t="n"/>
      <c r="P7" s="578" t="n"/>
    </row>
    <row r="8" ht="15" customHeight="1" thickBot="1">
      <c r="B8" s="577" t="inlineStr">
        <is>
          <t>Model Units</t>
        </is>
      </c>
      <c r="C8" s="579" t="inlineStr">
        <is>
          <t>MODELUNITS</t>
        </is>
      </c>
      <c r="D8" s="580" t="inlineStr">
        <is>
          <t>T</t>
        </is>
      </c>
      <c r="E8" s="577" t="n"/>
      <c r="F8" s="577" t="n"/>
      <c r="G8" s="577" t="n"/>
      <c r="H8" s="580" t="n"/>
      <c r="I8" s="577" t="n"/>
      <c r="J8" s="577" t="n"/>
      <c r="K8" s="577" t="n"/>
      <c r="L8" s="577" t="n"/>
      <c r="M8" s="582" t="n"/>
      <c r="N8" s="588" t="n"/>
      <c r="O8" s="578" t="n"/>
      <c r="P8" s="578" t="n"/>
    </row>
    <row r="9" hidden="1" ht="17" customHeight="1" thickBot="1" thickTop="1">
      <c r="B9" s="584" t="inlineStr">
        <is>
          <t>ANALYST DATA</t>
        </is>
      </c>
      <c r="C9" s="585" t="n">
        <v>2</v>
      </c>
      <c r="D9" s="585" t="n"/>
      <c r="E9" s="585" t="n"/>
      <c r="F9" s="585" t="n"/>
      <c r="G9" s="585" t="n"/>
      <c r="H9" s="585" t="n"/>
      <c r="I9" s="585" t="n"/>
      <c r="J9" s="585" t="n"/>
      <c r="K9" s="585" t="n"/>
      <c r="L9" s="585" t="n"/>
      <c r="M9" s="585" t="n"/>
      <c r="N9" s="587" t="n"/>
      <c r="O9" s="585" t="n"/>
      <c r="P9" s="585" t="n"/>
    </row>
    <row r="10" hidden="1" ht="15" customHeight="1" thickBot="1">
      <c r="B10" s="581" t="inlineStr">
        <is>
          <t>Rating</t>
        </is>
      </c>
      <c r="C10" s="579" t="inlineStr">
        <is>
          <t>RATING</t>
        </is>
      </c>
      <c r="D10" s="580" t="inlineStr">
        <is>
          <t>A</t>
        </is>
      </c>
      <c r="E10" s="590" t="n">
        <v>1</v>
      </c>
      <c r="F10" s="577" t="n">
        <v>1</v>
      </c>
      <c r="G10" s="577" t="n">
        <v>0</v>
      </c>
      <c r="H10" s="580" t="n"/>
      <c r="I10" s="577" t="n"/>
      <c r="J10" s="577" t="n">
        <v>10</v>
      </c>
      <c r="K10" s="577" t="n"/>
      <c r="L10" s="577" t="n"/>
      <c r="M10" s="592" t="n"/>
      <c r="N10" s="568" t="n"/>
    </row>
    <row r="11" hidden="1" ht="15" customHeight="1" thickBot="1">
      <c r="B11" s="593" t="inlineStr">
        <is>
          <t>Rating</t>
        </is>
      </c>
      <c r="C11" s="594" t="inlineStr">
        <is>
          <t>RATING_DRAFT</t>
        </is>
      </c>
      <c r="D11" s="595" t="inlineStr">
        <is>
          <t>A</t>
        </is>
      </c>
      <c r="E11" s="596" t="n">
        <v>1</v>
      </c>
      <c r="F11" s="597" t="n">
        <v>1</v>
      </c>
      <c r="G11" s="597" t="n">
        <v>1</v>
      </c>
      <c r="H11" s="595" t="n"/>
      <c r="I11" s="597" t="n"/>
      <c r="J11" s="597" t="n">
        <v>11</v>
      </c>
      <c r="K11" s="597" t="n"/>
      <c r="L11" s="597" t="n"/>
      <c r="M11" s="599" t="n"/>
      <c r="N11" s="568" t="n"/>
    </row>
    <row r="12" hidden="1" ht="15" customHeight="1" thickBot="1">
      <c r="B12" s="581" t="inlineStr">
        <is>
          <t>Target Price</t>
        </is>
      </c>
      <c r="C12" s="579" t="inlineStr">
        <is>
          <t>TARGETPRICE</t>
        </is>
      </c>
      <c r="D12" s="580" t="inlineStr">
        <is>
          <t>A</t>
        </is>
      </c>
      <c r="E12" s="590" t="n">
        <v>2</v>
      </c>
      <c r="F12" s="577" t="n">
        <v>2</v>
      </c>
      <c r="G12" s="577" t="n">
        <v>0</v>
      </c>
      <c r="H12" s="580" t="n"/>
      <c r="I12" s="577" t="n"/>
      <c r="J12" s="577" t="n">
        <v>20</v>
      </c>
      <c r="K12" s="577" t="n"/>
      <c r="L12" s="577" t="n"/>
      <c r="M12" s="592" t="n"/>
      <c r="N12" s="568" t="n"/>
    </row>
    <row r="13" hidden="1" ht="15" customHeight="1" thickBot="1">
      <c r="B13" s="593" t="inlineStr">
        <is>
          <t>Target Price</t>
        </is>
      </c>
      <c r="C13" s="594" t="inlineStr">
        <is>
          <t>TARGETPRICE_DRAFT</t>
        </is>
      </c>
      <c r="D13" s="595" t="inlineStr">
        <is>
          <t>A</t>
        </is>
      </c>
      <c r="E13" s="596" t="n">
        <v>2</v>
      </c>
      <c r="F13" s="597" t="n">
        <v>2</v>
      </c>
      <c r="G13" s="597" t="n">
        <v>1</v>
      </c>
      <c r="H13" s="595" t="n"/>
      <c r="I13" s="597" t="n"/>
      <c r="J13" s="597" t="n">
        <v>21</v>
      </c>
      <c r="K13" s="597" t="n"/>
      <c r="L13" s="597" t="n"/>
      <c r="M13" s="599" t="n"/>
      <c r="N13" s="568" t="n"/>
    </row>
    <row r="14" ht="17" customHeight="1" thickBot="1" thickTop="1">
      <c r="B14" s="584" t="inlineStr">
        <is>
          <t>ESTIMATES - ANNUALS</t>
        </is>
      </c>
      <c r="C14" s="585" t="n">
        <v>103</v>
      </c>
      <c r="D14" s="585" t="n">
        <v>4</v>
      </c>
      <c r="E14" s="585" t="n"/>
      <c r="F14" s="585" t="n"/>
      <c r="G14" s="585" t="n"/>
      <c r="H14" s="585" t="n"/>
      <c r="I14" s="585" t="n"/>
      <c r="J14" s="585" t="n"/>
      <c r="K14" s="585" t="n"/>
      <c r="L14" s="585" t="n"/>
      <c r="M14" s="602" t="inlineStr">
        <is>
          <t>2020A</t>
        </is>
      </c>
      <c r="N14" s="603" t="inlineStr">
        <is>
          <t>2021E</t>
        </is>
      </c>
      <c r="O14" s="603" t="inlineStr">
        <is>
          <t>2022E</t>
        </is>
      </c>
      <c r="P14" s="585" t="inlineStr">
        <is>
          <t>2023E</t>
        </is>
      </c>
      <c r="Q14" s="589" t="n"/>
      <c r="R14" s="589" t="n"/>
    </row>
    <row r="15" hidden="1" ht="15" customFormat="1" customHeight="1" s="569" thickTop="1">
      <c r="B15" s="591" t="inlineStr">
        <is>
          <t>Year PeriodId</t>
        </is>
      </c>
      <c r="C15" s="604" t="n"/>
      <c r="D15" s="605" t="n"/>
      <c r="E15" s="590" t="n"/>
      <c r="F15" s="591" t="n"/>
      <c r="G15" s="591" t="n"/>
      <c r="H15" s="605" t="n"/>
      <c r="I15" s="577" t="n"/>
      <c r="J15" s="591" t="n"/>
      <c r="K15" s="591" t="n"/>
      <c r="L15" s="591" t="n"/>
      <c r="M15" s="606" t="n">
        <v>1</v>
      </c>
      <c r="N15" s="607" t="n">
        <v>2</v>
      </c>
      <c r="O15" s="607" t="n">
        <v>3</v>
      </c>
      <c r="P15" s="592" t="n">
        <v>4</v>
      </c>
      <c r="Q15" s="589" t="n"/>
      <c r="R15" s="589" t="n"/>
    </row>
    <row r="16" ht="15" customFormat="1" customHeight="1" s="569" thickTop="1">
      <c r="B16" s="608" t="inlineStr">
        <is>
          <t>EPS - Current</t>
        </is>
      </c>
      <c r="C16" s="604" t="inlineStr">
        <is>
          <t>EPSRPT</t>
        </is>
      </c>
      <c r="D16" s="605" t="inlineStr">
        <is>
          <t>E</t>
        </is>
      </c>
      <c r="E16" s="590" t="n">
        <v>3</v>
      </c>
      <c r="F16" s="591" t="n">
        <v>1</v>
      </c>
      <c r="G16" s="591" t="n">
        <v>0</v>
      </c>
      <c r="H16" s="605" t="n"/>
      <c r="I16" s="577" t="inlineStr">
        <is>
          <t>USD</t>
        </is>
      </c>
      <c r="J16" s="591" t="n">
        <v>30</v>
      </c>
      <c r="K16" s="591" t="n">
        <v>1</v>
      </c>
      <c r="L16" s="591" t="n"/>
      <c r="M16" s="606" t="n">
        <v>134.677</v>
      </c>
      <c r="N16" s="607" t="n">
        <v>202.186</v>
      </c>
      <c r="O16" s="607" t="n">
        <v>219.493</v>
      </c>
      <c r="P16" s="592" t="n">
        <v>241.168</v>
      </c>
      <c r="Q16" s="589" t="n"/>
      <c r="R16" s="589" t="n"/>
    </row>
    <row r="17" ht="15" customFormat="1" customHeight="1" s="569" thickBot="1">
      <c r="B17" s="609" t="inlineStr">
        <is>
          <t>EPS - New</t>
        </is>
      </c>
      <c r="C17" s="610" t="inlineStr">
        <is>
          <t>EPSRPT_DRAFT</t>
        </is>
      </c>
      <c r="D17" s="611" t="inlineStr">
        <is>
          <t>E</t>
        </is>
      </c>
      <c r="E17" s="596" t="n">
        <v>3</v>
      </c>
      <c r="F17" s="598" t="n">
        <v>1</v>
      </c>
      <c r="G17" s="598" t="n">
        <v>1</v>
      </c>
      <c r="H17" s="611" t="n"/>
      <c r="I17" s="597" t="inlineStr">
        <is>
          <t>USD</t>
        </is>
      </c>
      <c r="J17" s="598" t="n">
        <v>31</v>
      </c>
      <c r="K17" s="598" t="n">
        <v>1</v>
      </c>
      <c r="L17" s="598" t="n"/>
      <c r="M17" s="612" t="n"/>
      <c r="N17" s="613" t="n"/>
      <c r="O17" s="613" t="n"/>
      <c r="P17" s="599" t="n"/>
      <c r="Q17" s="589" t="n"/>
      <c r="R17" s="589" t="n"/>
    </row>
    <row r="18" hidden="1" customFormat="1" s="569">
      <c r="B18" s="608" t="inlineStr">
        <is>
          <t>EPS - Current</t>
        </is>
      </c>
      <c r="C18" s="604" t="inlineStr">
        <is>
          <t>EPSADJ</t>
        </is>
      </c>
      <c r="D18" s="605" t="inlineStr">
        <is>
          <t>E</t>
        </is>
      </c>
      <c r="E18" s="590" t="n">
        <v>4</v>
      </c>
      <c r="F18" s="591" t="n">
        <v>2</v>
      </c>
      <c r="G18" s="591" t="n">
        <v>0</v>
      </c>
      <c r="H18" s="605" t="n"/>
      <c r="I18" s="577" t="inlineStr">
        <is>
          <t>USD</t>
        </is>
      </c>
      <c r="J18" s="591" t="n">
        <v>40</v>
      </c>
      <c r="K18" s="591" t="n">
        <v>1</v>
      </c>
      <c r="L18" s="591" t="n"/>
      <c r="M18" s="606" t="n">
        <v>134.677</v>
      </c>
      <c r="N18" s="607" t="n">
        <v>202.186</v>
      </c>
      <c r="O18" s="607" t="n">
        <v>219.493</v>
      </c>
      <c r="P18" s="592" t="n">
        <v>241.168</v>
      </c>
      <c r="Q18" s="589" t="n"/>
      <c r="R18" s="589" t="n"/>
    </row>
    <row r="19" hidden="1" ht="15" customFormat="1" customHeight="1" s="569" thickBot="1">
      <c r="B19" s="609" t="inlineStr">
        <is>
          <t>EPS - New</t>
        </is>
      </c>
      <c r="C19" s="610" t="inlineStr">
        <is>
          <t>EPSADJ_DRAFT</t>
        </is>
      </c>
      <c r="D19" s="611" t="inlineStr">
        <is>
          <t>E</t>
        </is>
      </c>
      <c r="E19" s="596" t="n">
        <v>4</v>
      </c>
      <c r="F19" s="598" t="n">
        <v>2</v>
      </c>
      <c r="G19" s="598" t="n">
        <v>1</v>
      </c>
      <c r="H19" s="611" t="n"/>
      <c r="I19" s="597" t="inlineStr">
        <is>
          <t>USD</t>
        </is>
      </c>
      <c r="J19" s="598" t="n">
        <v>41</v>
      </c>
      <c r="K19" s="598" t="n">
        <v>1</v>
      </c>
      <c r="L19" s="598" t="n"/>
      <c r="M19" s="612" t="n"/>
      <c r="N19" s="613" t="n"/>
      <c r="O19" s="613" t="n"/>
      <c r="P19" s="599" t="n"/>
      <c r="Q19" s="589" t="n"/>
      <c r="R19" s="589" t="n"/>
    </row>
    <row r="20" hidden="1" ht="17" customHeight="1" thickBot="1" thickTop="1">
      <c r="B20" s="584" t="inlineStr">
        <is>
          <t>ESTIMATES - QUARTERS</t>
        </is>
      </c>
      <c r="C20" s="585" t="n">
        <v>103</v>
      </c>
      <c r="D20" s="585" t="n">
        <v>0</v>
      </c>
      <c r="E20" s="585" t="n"/>
      <c r="F20" s="585" t="n"/>
      <c r="G20" s="585" t="n"/>
      <c r="H20" s="585" t="n"/>
      <c r="I20" s="585" t="n"/>
      <c r="J20" s="585" t="n"/>
      <c r="K20" s="602" t="n"/>
      <c r="L20" s="615" t="n"/>
      <c r="M20" s="600" t="n"/>
      <c r="N20" s="614" t="n"/>
      <c r="O20" s="575" t="n"/>
      <c r="P20" s="575" t="n"/>
    </row>
    <row r="21" hidden="1" ht="16" customFormat="1" customHeight="1" s="569" thickBot="1" thickTop="1">
      <c r="B21" s="591" t="inlineStr">
        <is>
          <t>Quarter PeriodId</t>
        </is>
      </c>
      <c r="C21" s="604" t="n"/>
      <c r="D21" s="605" t="n"/>
      <c r="E21" s="591" t="n"/>
      <c r="F21" s="591" t="n"/>
      <c r="G21" s="591" t="n"/>
      <c r="H21" s="605" t="n"/>
      <c r="I21" s="577" t="n"/>
      <c r="J21" s="591" t="n"/>
      <c r="K21" s="616" t="n"/>
      <c r="L21" s="617" t="n"/>
      <c r="M21" s="601" t="n"/>
      <c r="N21" s="589" t="n"/>
    </row>
    <row r="22" ht="17" customHeight="1" thickBot="1" thickTop="1">
      <c r="B22" s="584" t="inlineStr">
        <is>
          <t>VALUATIONS</t>
        </is>
      </c>
      <c r="C22" s="585" t="n">
        <v>22</v>
      </c>
      <c r="D22" s="585" t="n">
        <v>4</v>
      </c>
      <c r="E22" s="585" t="n"/>
      <c r="F22" s="585" t="n"/>
      <c r="G22" s="585" t="n"/>
      <c r="H22" s="585" t="n"/>
      <c r="I22" s="585" t="n"/>
      <c r="J22" s="585" t="n"/>
      <c r="K22" s="585" t="n"/>
      <c r="L22" s="585" t="n"/>
      <c r="M22" s="585" t="n">
        <v>2020</v>
      </c>
      <c r="N22" s="585" t="n">
        <v>2021</v>
      </c>
      <c r="O22" s="585" t="n">
        <v>2022</v>
      </c>
      <c r="P22" s="585" t="n">
        <v>2023</v>
      </c>
      <c r="Q22" s="589" t="n"/>
      <c r="R22" s="589" t="n"/>
    </row>
    <row r="23" ht="15" customFormat="1" customHeight="1" s="569" thickTop="1">
      <c r="B23" s="618" t="inlineStr">
        <is>
          <t>P/E - Current (x)</t>
        </is>
      </c>
      <c r="C23" s="604" t="inlineStr">
        <is>
          <t>P/EPSRPT</t>
        </is>
      </c>
      <c r="D23" s="605" t="inlineStr">
        <is>
          <t>V</t>
        </is>
      </c>
      <c r="E23" s="591" t="n">
        <v>55</v>
      </c>
      <c r="F23" s="591" t="n">
        <v>1</v>
      </c>
      <c r="G23" s="591" t="n">
        <v>0</v>
      </c>
      <c r="H23" s="605" t="n"/>
      <c r="I23" s="577" t="n"/>
      <c r="J23" s="591" t="n">
        <v>550</v>
      </c>
      <c r="K23" s="591" t="n"/>
      <c r="L23" s="591" t="inlineStr">
        <is>
          <t>x</t>
        </is>
      </c>
      <c r="M23" s="619" t="n">
        <v>33.2</v>
      </c>
      <c r="N23" s="619" t="n">
        <v>22.11</v>
      </c>
      <c r="O23" s="619" t="n">
        <v>20.37</v>
      </c>
      <c r="P23" s="619" t="n">
        <v>18.54</v>
      </c>
      <c r="Q23" s="589" t="n"/>
      <c r="R23" s="589" t="n"/>
    </row>
    <row r="24" ht="15" customFormat="1" customHeight="1" s="569" thickBot="1">
      <c r="B24" s="620" t="inlineStr">
        <is>
          <t>P/E - New (x)</t>
        </is>
      </c>
      <c r="C24" s="621" t="inlineStr">
        <is>
          <t>P/EPSRPT_DRAFT</t>
        </is>
      </c>
      <c r="D24" s="622" t="inlineStr">
        <is>
          <t>V</t>
        </is>
      </c>
      <c r="E24" s="623" t="n">
        <v>55</v>
      </c>
      <c r="F24" s="623" t="n">
        <v>1</v>
      </c>
      <c r="G24" s="623" t="n">
        <v>1</v>
      </c>
      <c r="H24" s="622" t="inlineStr">
        <is>
          <t>[[CLOSEPRICE]/[EPSRPT]]</t>
        </is>
      </c>
      <c r="I24" s="641" t="n"/>
      <c r="J24" s="623" t="n">
        <v>551</v>
      </c>
      <c r="K24" s="623" t="n"/>
      <c r="L24" s="623" t="inlineStr">
        <is>
          <t>x</t>
        </is>
      </c>
      <c r="M24" s="624">
        <f>IF(ISERROR(($P$29)/(M17)),"",($P$29)/(M17))</f>
        <v/>
      </c>
      <c r="N24" s="624">
        <f>IF(ISERROR(($P$29)/(N17)),"",($P$29)/(N17))</f>
        <v/>
      </c>
      <c r="O24" s="624">
        <f>IF(ISERROR(($P$29)/(O17)),"",($P$29)/(O17))</f>
        <v/>
      </c>
      <c r="P24" s="624">
        <f>IF(ISERROR(($P$29)/(P17)),"",($P$29)/(P17))</f>
        <v/>
      </c>
      <c r="Q24" s="589" t="n"/>
      <c r="R24" s="589" t="n"/>
    </row>
    <row r="25" hidden="1" customFormat="1" s="569">
      <c r="B25" s="618" t="inlineStr">
        <is>
          <t>P/E - Current (x)</t>
        </is>
      </c>
      <c r="C25" s="604" t="inlineStr">
        <is>
          <t>P/EPSADJ</t>
        </is>
      </c>
      <c r="D25" s="605" t="inlineStr">
        <is>
          <t>V</t>
        </is>
      </c>
      <c r="E25" s="591" t="n">
        <v>56</v>
      </c>
      <c r="F25" s="591" t="n">
        <v>2</v>
      </c>
      <c r="G25" s="591" t="n">
        <v>0</v>
      </c>
      <c r="H25" s="605" t="n"/>
      <c r="I25" s="577" t="n"/>
      <c r="J25" s="591" t="n">
        <v>560</v>
      </c>
      <c r="K25" s="591" t="n"/>
      <c r="L25" s="591" t="inlineStr">
        <is>
          <t>x</t>
        </is>
      </c>
      <c r="M25" s="619" t="n">
        <v>33.2</v>
      </c>
      <c r="N25" s="619" t="n">
        <v>22.11</v>
      </c>
      <c r="O25" s="619" t="n">
        <v>20.37</v>
      </c>
      <c r="P25" s="619" t="n">
        <v>18.54</v>
      </c>
      <c r="Q25" s="589" t="n"/>
      <c r="R25" s="589" t="n"/>
    </row>
    <row r="26" hidden="1" ht="15" customFormat="1" customHeight="1" s="569" thickBot="1">
      <c r="B26" s="620" t="inlineStr">
        <is>
          <t>P/E - New (x)</t>
        </is>
      </c>
      <c r="C26" s="621" t="inlineStr">
        <is>
          <t>P/EPSADJ_DRAFT</t>
        </is>
      </c>
      <c r="D26" s="622" t="inlineStr">
        <is>
          <t>V</t>
        </is>
      </c>
      <c r="E26" s="623" t="n">
        <v>56</v>
      </c>
      <c r="F26" s="623" t="n">
        <v>2</v>
      </c>
      <c r="G26" s="623" t="n">
        <v>1</v>
      </c>
      <c r="H26" s="622" t="inlineStr">
        <is>
          <t>[[CLOSEPRICE]/[EPSADJ]]</t>
        </is>
      </c>
      <c r="I26" s="641" t="n"/>
      <c r="J26" s="623" t="n">
        <v>561</v>
      </c>
      <c r="K26" s="623" t="n"/>
      <c r="L26" s="623" t="inlineStr">
        <is>
          <t>x</t>
        </is>
      </c>
      <c r="M26" s="624">
        <f>IF(ISERROR(($P$29)/(M19)),"",($P$29)/(M19))</f>
        <v/>
      </c>
      <c r="N26" s="624">
        <f>IF(ISERROR(($P$29)/(N19)),"",($P$29)/(N19))</f>
        <v/>
      </c>
      <c r="O26" s="624">
        <f>IF(ISERROR(($P$29)/(O19)),"",($P$29)/(O19))</f>
        <v/>
      </c>
      <c r="P26" s="624">
        <f>IF(ISERROR(($P$29)/(P19)),"",($P$29)/(P19))</f>
        <v/>
      </c>
      <c r="Q26" s="589" t="n"/>
      <c r="R26" s="589" t="n"/>
    </row>
    <row r="27" ht="17" customHeight="1" thickBot="1" thickTop="1">
      <c r="B27" s="584" t="inlineStr">
        <is>
          <t>MARKET DATA</t>
        </is>
      </c>
      <c r="C27" s="585" t="n">
        <v>18</v>
      </c>
      <c r="D27" s="585" t="n"/>
      <c r="E27" s="585" t="n"/>
      <c r="F27" s="585" t="n"/>
      <c r="G27" s="585" t="n"/>
      <c r="H27" s="585" t="n"/>
      <c r="I27" s="585" t="n"/>
      <c r="J27" s="585" t="n"/>
      <c r="K27" s="585" t="n"/>
      <c r="L27" s="585" t="n"/>
      <c r="M27" s="585" t="inlineStr">
        <is>
          <t>Bloomberg</t>
        </is>
      </c>
      <c r="N27" s="583" t="inlineStr">
        <is>
          <t>Override</t>
        </is>
      </c>
      <c r="O27" s="636" t="inlineStr">
        <is>
          <t>Corrections</t>
        </is>
      </c>
      <c r="P27" s="585" t="inlineStr">
        <is>
          <t>Effective</t>
        </is>
      </c>
    </row>
    <row r="28" ht="15" customHeight="1" thickTop="1">
      <c r="B28" s="579" t="inlineStr">
        <is>
          <t>Close Date (USD)</t>
        </is>
      </c>
      <c r="C28" s="579" t="inlineStr">
        <is>
          <t>CLOSEDATE</t>
        </is>
      </c>
      <c r="D28" s="580" t="inlineStr">
        <is>
          <t>M</t>
        </is>
      </c>
      <c r="E28" s="577" t="n">
        <v>75</v>
      </c>
      <c r="F28" s="577" t="n">
        <v>1</v>
      </c>
      <c r="G28" s="577" t="n"/>
      <c r="H28" s="580" t="n"/>
      <c r="I28" s="577" t="inlineStr">
        <is>
          <t>USD</t>
        </is>
      </c>
      <c r="J28" s="577" t="n">
        <v>75</v>
      </c>
      <c r="K28" s="577" t="n"/>
      <c r="L28" s="577" t="n"/>
      <c r="M28" s="942" t="n">
        <v>44607</v>
      </c>
      <c r="N28" s="943" t="n"/>
      <c r="O28" s="942" t="n"/>
      <c r="P28" s="942">
        <f>IF(ISBLANK(N28),M28,N28)</f>
        <v/>
      </c>
    </row>
    <row r="29">
      <c r="B29" s="626" t="inlineStr">
        <is>
          <t>Close Price (USD)</t>
        </is>
      </c>
      <c r="C29" s="626" t="inlineStr">
        <is>
          <t>CLOSEPRICE</t>
        </is>
      </c>
      <c r="D29" s="627" t="inlineStr">
        <is>
          <t>M</t>
        </is>
      </c>
      <c r="E29" s="628" t="n">
        <v>76</v>
      </c>
      <c r="F29" s="628" t="n">
        <v>2</v>
      </c>
      <c r="G29" s="628" t="n"/>
      <c r="H29" s="627" t="n"/>
      <c r="I29" s="628" t="inlineStr">
        <is>
          <t>USD</t>
        </is>
      </c>
      <c r="J29" s="628" t="n">
        <v>76</v>
      </c>
      <c r="K29" s="628" t="n"/>
      <c r="L29" s="628" t="n"/>
      <c r="M29" s="629" t="n">
        <v>4471.07</v>
      </c>
      <c r="N29" s="612" t="n"/>
      <c r="O29" s="629" t="n"/>
      <c r="P29" s="629">
        <f>IF(ISBLANK(N29),M29,N29)</f>
        <v/>
      </c>
    </row>
    <row r="30">
      <c r="B30" s="579" t="inlineStr">
        <is>
          <t>Div Per Share (USD)</t>
        </is>
      </c>
      <c r="C30" s="579" t="inlineStr">
        <is>
          <t>DIVPERSH</t>
        </is>
      </c>
      <c r="D30" s="580" t="inlineStr">
        <is>
          <t>M</t>
        </is>
      </c>
      <c r="E30" s="577" t="n">
        <v>79</v>
      </c>
      <c r="F30" s="577" t="n">
        <v>5</v>
      </c>
      <c r="G30" s="577" t="n"/>
      <c r="H30" s="580" t="n"/>
      <c r="I30" s="577" t="inlineStr">
        <is>
          <t>USD</t>
        </is>
      </c>
      <c r="J30" s="577" t="n">
        <v>79</v>
      </c>
      <c r="K30" s="577" t="n"/>
      <c r="L30" s="577" t="n"/>
      <c r="M30" s="625" t="n"/>
      <c r="N30" s="612" t="n"/>
      <c r="O30" s="625" t="n"/>
      <c r="P30" s="625">
        <f>IF(ISBLANK(N30),M30,N30)</f>
        <v/>
      </c>
    </row>
    <row r="31">
      <c r="B31" s="626" t="inlineStr">
        <is>
          <t>EV (USD) (1,000,000)</t>
        </is>
      </c>
      <c r="C31" s="626" t="inlineStr">
        <is>
          <t>EV</t>
        </is>
      </c>
      <c r="D31" s="627" t="inlineStr">
        <is>
          <t>M</t>
        </is>
      </c>
      <c r="E31" s="628" t="n">
        <v>80</v>
      </c>
      <c r="F31" s="628" t="n">
        <v>6</v>
      </c>
      <c r="G31" s="628" t="n"/>
      <c r="H31" s="627" t="n"/>
      <c r="I31" s="628" t="inlineStr">
        <is>
          <t>USD</t>
        </is>
      </c>
      <c r="J31" s="628" t="n">
        <v>80</v>
      </c>
      <c r="K31" s="628" t="n"/>
      <c r="L31" s="630" t="n">
        <v>1000000</v>
      </c>
      <c r="M31" s="629" t="n">
        <v>4925.23</v>
      </c>
      <c r="N31" s="612" t="n"/>
      <c r="O31" s="629" t="n"/>
      <c r="P31" s="629">
        <f>IF(ISBLANK(N31),M31,N31)</f>
        <v/>
      </c>
    </row>
    <row r="32">
      <c r="B32" s="579" t="inlineStr">
        <is>
          <t>Net Debt (USD) (1,000,000)</t>
        </is>
      </c>
      <c r="C32" s="579" t="inlineStr">
        <is>
          <t>NETDEBT</t>
        </is>
      </c>
      <c r="D32" s="580" t="inlineStr">
        <is>
          <t>M</t>
        </is>
      </c>
      <c r="E32" s="577" t="n">
        <v>81</v>
      </c>
      <c r="F32" s="577" t="n">
        <v>7</v>
      </c>
      <c r="G32" s="577" t="n"/>
      <c r="H32" s="580" t="n"/>
      <c r="I32" s="577" t="inlineStr">
        <is>
          <t>USD</t>
        </is>
      </c>
      <c r="J32" s="577" t="n">
        <v>81</v>
      </c>
      <c r="K32" s="577" t="n"/>
      <c r="L32" s="631" t="n">
        <v>1000000</v>
      </c>
      <c r="M32" s="625" t="n"/>
      <c r="N32" s="612" t="n"/>
      <c r="O32" s="625" t="n"/>
      <c r="P32" s="625">
        <f>IF(ISBLANK(N32),M32,N32)</f>
        <v/>
      </c>
    </row>
    <row r="33">
      <c r="B33" s="626" t="inlineStr">
        <is>
          <t>52-Week Low (USD)</t>
        </is>
      </c>
      <c r="C33" s="626" t="inlineStr">
        <is>
          <t>52_WEEK_LOW</t>
        </is>
      </c>
      <c r="D33" s="627" t="inlineStr">
        <is>
          <t>M</t>
        </is>
      </c>
      <c r="E33" s="628" t="n">
        <v>82</v>
      </c>
      <c r="F33" s="628" t="n">
        <v>8</v>
      </c>
      <c r="G33" s="628" t="n"/>
      <c r="H33" s="627" t="n"/>
      <c r="I33" s="628" t="inlineStr">
        <is>
          <t>USD</t>
        </is>
      </c>
      <c r="J33" s="628" t="n">
        <v>82</v>
      </c>
      <c r="K33" s="628" t="n"/>
      <c r="L33" s="628" t="n"/>
      <c r="M33" s="629" t="n">
        <v>3723.34</v>
      </c>
      <c r="N33" s="612" t="n"/>
      <c r="O33" s="629" t="n"/>
      <c r="P33" s="629">
        <f>IF(ISBLANK(N33),M33,N33)</f>
        <v/>
      </c>
    </row>
    <row r="34">
      <c r="B34" s="579" t="inlineStr">
        <is>
          <t>52-Week High (USD)</t>
        </is>
      </c>
      <c r="C34" s="579" t="inlineStr">
        <is>
          <t>52_WEEK_HIGH</t>
        </is>
      </c>
      <c r="D34" s="580" t="inlineStr">
        <is>
          <t>M</t>
        </is>
      </c>
      <c r="E34" s="577" t="n">
        <v>83</v>
      </c>
      <c r="F34" s="577" t="n">
        <v>9</v>
      </c>
      <c r="G34" s="577" t="n"/>
      <c r="H34" s="580" t="n"/>
      <c r="I34" s="577" t="inlineStr">
        <is>
          <t>USD</t>
        </is>
      </c>
      <c r="J34" s="577" t="n">
        <v>83</v>
      </c>
      <c r="K34" s="577" t="n"/>
      <c r="L34" s="577" t="n"/>
      <c r="M34" s="625" t="n">
        <v>4818.62</v>
      </c>
      <c r="N34" s="612" t="n"/>
      <c r="O34" s="625" t="n"/>
      <c r="P34" s="625">
        <f>IF(ISBLANK(N34),M34,N34)</f>
        <v/>
      </c>
    </row>
    <row r="35">
      <c r="B35" s="626" t="inlineStr">
        <is>
          <t>FYE (USD)</t>
        </is>
      </c>
      <c r="C35" s="626" t="inlineStr">
        <is>
          <t>EQY_FISCAL_YR_END</t>
        </is>
      </c>
      <c r="D35" s="627" t="inlineStr">
        <is>
          <t>M</t>
        </is>
      </c>
      <c r="E35" s="628" t="n">
        <v>84</v>
      </c>
      <c r="F35" s="628" t="n">
        <v>10</v>
      </c>
      <c r="G35" s="628" t="n"/>
      <c r="H35" s="627" t="n"/>
      <c r="I35" s="628" t="inlineStr">
        <is>
          <t>USD</t>
        </is>
      </c>
      <c r="J35" s="628" t="n">
        <v>84</v>
      </c>
      <c r="K35" s="628" t="n"/>
      <c r="L35" s="628" t="n"/>
      <c r="M35" s="635" t="n"/>
      <c r="N35" s="639" t="n"/>
      <c r="O35" s="635" t="n"/>
      <c r="P35" s="635">
        <f>IF(ISBLANK(N35),M35,N35)</f>
        <v/>
      </c>
    </row>
    <row r="36">
      <c r="B36" s="579" t="inlineStr">
        <is>
          <t>Indicated Div Yield (USD) (%)</t>
        </is>
      </c>
      <c r="C36" s="579" t="inlineStr">
        <is>
          <t>EQY_DVD_YLD_IND</t>
        </is>
      </c>
      <c r="D36" s="580" t="inlineStr">
        <is>
          <t>M</t>
        </is>
      </c>
      <c r="E36" s="577" t="n">
        <v>85</v>
      </c>
      <c r="F36" s="577" t="n">
        <v>11</v>
      </c>
      <c r="G36" s="577" t="n"/>
      <c r="H36" s="580" t="n"/>
      <c r="I36" s="577" t="inlineStr">
        <is>
          <t>USD</t>
        </is>
      </c>
      <c r="J36" s="577" t="n">
        <v>85</v>
      </c>
      <c r="K36" s="577" t="n"/>
      <c r="L36" s="577" t="inlineStr">
        <is>
          <t>%</t>
        </is>
      </c>
      <c r="M36" s="632" t="n"/>
      <c r="N36" s="640" t="n"/>
      <c r="O36" s="632" t="n"/>
      <c r="P36" s="632">
        <f>IF(ISBLANK(N36),M36,N36)</f>
        <v/>
      </c>
    </row>
    <row r="37">
      <c r="B37" s="626" t="inlineStr">
        <is>
          <t>Market Cap (USD) (1,000,000)</t>
        </is>
      </c>
      <c r="C37" s="626" t="inlineStr">
        <is>
          <t>CUR_MKT_CAP</t>
        </is>
      </c>
      <c r="D37" s="627" t="inlineStr">
        <is>
          <t>M</t>
        </is>
      </c>
      <c r="E37" s="628" t="n">
        <v>86</v>
      </c>
      <c r="F37" s="628" t="n">
        <v>12</v>
      </c>
      <c r="G37" s="628" t="n"/>
      <c r="H37" s="627" t="n"/>
      <c r="I37" s="628" t="inlineStr">
        <is>
          <t>USD</t>
        </is>
      </c>
      <c r="J37" s="628" t="n">
        <v>86</v>
      </c>
      <c r="K37" s="628" t="n"/>
      <c r="L37" s="630" t="n">
        <v>1000000</v>
      </c>
      <c r="M37" s="629" t="n">
        <v>38782948.83</v>
      </c>
      <c r="N37" s="612" t="n"/>
      <c r="O37" s="629" t="n"/>
      <c r="P37" s="629">
        <f>IF(ISBLANK(N37),M37,N37)</f>
        <v/>
      </c>
    </row>
    <row r="38">
      <c r="B38" s="579" t="inlineStr">
        <is>
          <t>Perf 1M (USD) (%)</t>
        </is>
      </c>
      <c r="C38" s="579" t="inlineStr">
        <is>
          <t>CHG_PCT_1M</t>
        </is>
      </c>
      <c r="D38" s="580" t="inlineStr">
        <is>
          <t>M</t>
        </is>
      </c>
      <c r="E38" s="577" t="n">
        <v>87</v>
      </c>
      <c r="F38" s="577" t="n">
        <v>13</v>
      </c>
      <c r="G38" s="577" t="n"/>
      <c r="H38" s="580" t="n"/>
      <c r="I38" s="577" t="inlineStr">
        <is>
          <t>USD</t>
        </is>
      </c>
      <c r="J38" s="577" t="n">
        <v>87</v>
      </c>
      <c r="K38" s="577" t="n"/>
      <c r="L38" s="577" t="inlineStr">
        <is>
          <t>%</t>
        </is>
      </c>
      <c r="M38" s="632" t="n">
        <v>-0.04113</v>
      </c>
      <c r="N38" s="640" t="n"/>
      <c r="O38" s="632" t="n"/>
      <c r="P38" s="632">
        <f>IF(ISBLANK(N38),M38,N38)</f>
        <v/>
      </c>
    </row>
    <row r="39">
      <c r="B39" s="626" t="inlineStr">
        <is>
          <t>Perf 3M (USD) (%)</t>
        </is>
      </c>
      <c r="C39" s="626" t="inlineStr">
        <is>
          <t>CHG_PCT_3M</t>
        </is>
      </c>
      <c r="D39" s="627" t="inlineStr">
        <is>
          <t>M</t>
        </is>
      </c>
      <c r="E39" s="628" t="n">
        <v>88</v>
      </c>
      <c r="F39" s="628" t="n">
        <v>14</v>
      </c>
      <c r="G39" s="628" t="n"/>
      <c r="H39" s="627" t="n"/>
      <c r="I39" s="628" t="inlineStr">
        <is>
          <t>USD</t>
        </is>
      </c>
      <c r="J39" s="628" t="n">
        <v>88</v>
      </c>
      <c r="K39" s="628" t="n"/>
      <c r="L39" s="628" t="inlineStr">
        <is>
          <t>%</t>
        </is>
      </c>
      <c r="M39" s="633" t="n"/>
      <c r="N39" s="640" t="n"/>
      <c r="O39" s="633" t="n"/>
      <c r="P39" s="633">
        <f>IF(ISBLANK(N39),M39,N39)</f>
        <v/>
      </c>
    </row>
    <row r="40">
      <c r="B40" s="579" t="inlineStr">
        <is>
          <t>Perf 6M (USD) (%)</t>
        </is>
      </c>
      <c r="C40" s="579" t="inlineStr">
        <is>
          <t>CHG_PCT_6M</t>
        </is>
      </c>
      <c r="D40" s="580" t="inlineStr">
        <is>
          <t>M</t>
        </is>
      </c>
      <c r="E40" s="577" t="n">
        <v>89</v>
      </c>
      <c r="F40" s="577" t="n">
        <v>15</v>
      </c>
      <c r="G40" s="577" t="n"/>
      <c r="H40" s="580" t="n"/>
      <c r="I40" s="577" t="inlineStr">
        <is>
          <t>USD</t>
        </is>
      </c>
      <c r="J40" s="577" t="n">
        <v>89</v>
      </c>
      <c r="K40" s="577" t="n"/>
      <c r="L40" s="577" t="inlineStr">
        <is>
          <t>%</t>
        </is>
      </c>
      <c r="M40" s="632" t="n">
        <v>0.00069</v>
      </c>
      <c r="N40" s="640" t="n"/>
      <c r="O40" s="632" t="n"/>
      <c r="P40" s="632">
        <f>IF(ISBLANK(N40),M40,N40)</f>
        <v/>
      </c>
    </row>
    <row r="41">
      <c r="B41" s="626" t="inlineStr">
        <is>
          <t>Perf 12M (USD) (%)</t>
        </is>
      </c>
      <c r="C41" s="626" t="inlineStr">
        <is>
          <t>CHG_PCT_1YR</t>
        </is>
      </c>
      <c r="D41" s="627" t="inlineStr">
        <is>
          <t>M</t>
        </is>
      </c>
      <c r="E41" s="628" t="n">
        <v>90</v>
      </c>
      <c r="F41" s="628" t="n">
        <v>16</v>
      </c>
      <c r="G41" s="628" t="n"/>
      <c r="H41" s="627" t="n"/>
      <c r="I41" s="628" t="inlineStr">
        <is>
          <t>USD</t>
        </is>
      </c>
      <c r="J41" s="628" t="n">
        <v>90</v>
      </c>
      <c r="K41" s="628" t="n"/>
      <c r="L41" s="628" t="inlineStr">
        <is>
          <t>%</t>
        </is>
      </c>
      <c r="M41" s="633" t="n">
        <v>0.13628</v>
      </c>
      <c r="N41" s="640" t="n"/>
      <c r="O41" s="633" t="n"/>
      <c r="P41" s="633">
        <f>IF(ISBLANK(N41),M41,N41)</f>
        <v/>
      </c>
    </row>
    <row r="42">
      <c r="B42" s="579" t="inlineStr">
        <is>
          <t>Perf YTD (USD) (%)</t>
        </is>
      </c>
      <c r="C42" s="579" t="inlineStr">
        <is>
          <t>CHG_PCT_YTD</t>
        </is>
      </c>
      <c r="D42" s="580" t="inlineStr">
        <is>
          <t>M</t>
        </is>
      </c>
      <c r="E42" s="577" t="n">
        <v>91</v>
      </c>
      <c r="F42" s="577" t="n">
        <v>17</v>
      </c>
      <c r="G42" s="577" t="n"/>
      <c r="H42" s="580" t="n"/>
      <c r="I42" s="577" t="inlineStr">
        <is>
          <t>USD</t>
        </is>
      </c>
      <c r="J42" s="577" t="n">
        <v>91</v>
      </c>
      <c r="K42" s="577" t="n"/>
      <c r="L42" s="577" t="inlineStr">
        <is>
          <t>%</t>
        </is>
      </c>
      <c r="M42" s="632" t="n">
        <v>-0.06192</v>
      </c>
      <c r="N42" s="640" t="n"/>
      <c r="O42" s="632" t="n"/>
      <c r="P42" s="632">
        <f>IF(ISBLANK(N42),M42,N42)</f>
        <v/>
      </c>
    </row>
    <row r="43">
      <c r="B43" s="626" t="inlineStr">
        <is>
          <t>Fund Currency (USD)</t>
        </is>
      </c>
      <c r="C43" s="626" t="inlineStr">
        <is>
          <t>EQY_FUND_CRNCY</t>
        </is>
      </c>
      <c r="D43" s="627" t="inlineStr">
        <is>
          <t>M</t>
        </is>
      </c>
      <c r="E43" s="628" t="n">
        <v>92</v>
      </c>
      <c r="F43" s="628" t="n">
        <v>18</v>
      </c>
      <c r="G43" s="628" t="n"/>
      <c r="H43" s="627" t="n"/>
      <c r="I43" s="628" t="inlineStr">
        <is>
          <t>USD</t>
        </is>
      </c>
      <c r="J43" s="628" t="n">
        <v>92</v>
      </c>
      <c r="K43" s="628" t="n"/>
      <c r="L43" s="628" t="n"/>
      <c r="M43" s="629" t="inlineStr">
        <is>
          <t>USD</t>
        </is>
      </c>
      <c r="N43" s="612" t="n"/>
      <c r="O43" s="629" t="n"/>
      <c r="P43" s="629">
        <f>IF(ISBLANK(N43),M43,N43)</f>
        <v/>
      </c>
    </row>
  </sheetData>
  <sheetProtection selectLockedCells="0" selectUnlockedCells="0" algorithmName="SHA-512" sheet="1" objects="1" insertRows="1" insertHyperlinks="1" autoFilter="1" scenarios="1" formatColumns="0" deleteColumns="1" insertColumns="1" pivotTables="1" deleteRows="1" formatCells="0" saltValue="C042jsawA/LwtwVmWPD4oA==" formatRows="0" sort="1" spinCount="100000" hashValue="pnSMAbfDVndf9+fmvU46fQ2p78MDik/r+ReeIBSGY3GebRCnJvzENWZjctxViboyqBOmTT008Dwop3xQhsyxxQ=="/>
  <pageMargins left="0.7" right="0.7" top="0.75" bottom="0.75" header="0.3" footer="0.3"/>
  <pageSetup orientation="portrait" paperSize="195"/>
</worksheet>
</file>

<file path=xl/worksheets/sheet14.xml><?xml version="1.0" encoding="utf-8"?>
<worksheet xmlns="http://schemas.openxmlformats.org/spreadsheetml/2006/main">
  <sheetPr codeName="Sheet9">
    <tabColor rgb="FF92D050"/>
    <outlinePr summaryBelow="1" summaryRight="1"/>
    <pageSetUpPr fitToPage="1"/>
  </sheetPr>
  <dimension ref="A1:AY336"/>
  <sheetViews>
    <sheetView workbookViewId="0">
      <selection activeCell="A1" sqref="A1"/>
    </sheetView>
  </sheetViews>
  <sheetFormatPr baseColWidth="10" defaultColWidth="9.33203125" defaultRowHeight="13"/>
  <cols>
    <col width="45.6640625" customWidth="1" style="20" min="1" max="1"/>
    <col width="19.33203125" customWidth="1" style="20" min="2" max="2"/>
    <col width="23.6640625" customWidth="1" style="20" min="3" max="3"/>
    <col width="15.6640625" customWidth="1" style="20" min="4" max="11"/>
    <col width="8.6640625" customWidth="1" min="12" max="12"/>
    <col width="15.6640625" customWidth="1" style="20" min="13" max="20"/>
    <col width="15.6640625" customWidth="1" min="21" max="21"/>
    <col width="15.6640625" customWidth="1" style="20" min="22" max="32"/>
    <col width="9.33203125" customWidth="1" style="20" min="33" max="33"/>
    <col width="15.6640625" customWidth="1" style="20" min="34" max="51"/>
    <col width="9.33203125" customWidth="1" style="20" min="52" max="16384"/>
  </cols>
  <sheetData>
    <row r="1">
      <c r="A1" s="22">
        <f>Summary!$B$5</f>
        <v/>
      </c>
      <c r="B1" s="22" t="n"/>
      <c r="C1" s="22" t="n"/>
      <c r="D1" s="23" t="n"/>
      <c r="E1" s="23" t="n"/>
      <c r="F1" s="23">
        <f>+G1-1</f>
        <v/>
      </c>
      <c r="G1" s="23">
        <f>+H1-1</f>
        <v/>
      </c>
      <c r="H1" s="23">
        <f>+I1-1</f>
        <v/>
      </c>
      <c r="I1" s="23" t="n">
        <v>2011</v>
      </c>
      <c r="J1" s="23" t="n"/>
      <c r="K1" s="23" t="n"/>
      <c r="M1" s="23" t="n">
        <v>2012</v>
      </c>
      <c r="N1" s="23" t="n"/>
      <c r="O1" s="23" t="n"/>
      <c r="P1" s="23" t="n"/>
      <c r="Q1" s="23" t="n">
        <v>2013</v>
      </c>
      <c r="R1" s="23" t="n"/>
      <c r="S1" s="23" t="n"/>
      <c r="T1" s="23" t="n"/>
      <c r="U1" s="23" t="n"/>
      <c r="V1" s="23" t="n"/>
      <c r="W1" s="23" t="n"/>
      <c r="X1" s="23" t="n"/>
      <c r="Y1" s="23" t="n"/>
      <c r="Z1" s="23" t="n"/>
      <c r="AA1" s="23" t="n"/>
      <c r="AB1" s="23" t="n"/>
      <c r="AC1" s="23" t="n"/>
      <c r="AD1" s="23" t="n"/>
      <c r="AE1" s="23" t="n"/>
      <c r="AF1" s="23" t="n"/>
      <c r="AH1" s="23" t="n">
        <v>2001</v>
      </c>
      <c r="AI1" s="23">
        <f>+AH1+1</f>
        <v/>
      </c>
      <c r="AJ1" s="23">
        <f>+AI1+1</f>
        <v/>
      </c>
      <c r="AK1" s="23">
        <f>+AJ1+1</f>
        <v/>
      </c>
      <c r="AL1" s="23">
        <f>+AK1+1</f>
        <v/>
      </c>
      <c r="AM1" s="23">
        <f>+AL1+1</f>
        <v/>
      </c>
      <c r="AN1" s="23">
        <f>+AM1+1</f>
        <v/>
      </c>
      <c r="AO1" s="23">
        <f>+AN1+1</f>
        <v/>
      </c>
      <c r="AP1" s="23">
        <f>+AO1+1</f>
        <v/>
      </c>
      <c r="AQ1" s="23">
        <f>+AP1+1</f>
        <v/>
      </c>
      <c r="AR1" s="23">
        <f>+AQ1+1</f>
        <v/>
      </c>
      <c r="AS1" s="23">
        <f>+AR1+1</f>
        <v/>
      </c>
      <c r="AT1" s="23">
        <f>+AS1+1</f>
        <v/>
      </c>
      <c r="AU1" s="23">
        <f>+AT1+1</f>
        <v/>
      </c>
      <c r="AV1" s="23">
        <f>+AU1+1</f>
        <v/>
      </c>
      <c r="AW1" s="23">
        <f>+AV1+1</f>
        <v/>
      </c>
      <c r="AX1" s="23">
        <f>+AW1+1</f>
        <v/>
      </c>
      <c r="AY1" s="23">
        <f>+AX1+1</f>
        <v/>
      </c>
    </row>
    <row r="2">
      <c r="A2" t="inlineStr">
        <is>
          <t>Disclosed at earnings call</t>
        </is>
      </c>
      <c r="D2" s="24" t="n"/>
      <c r="E2" s="24" t="n"/>
      <c r="F2" s="24" t="n"/>
      <c r="G2" s="24" t="n"/>
      <c r="H2" s="24" t="n"/>
      <c r="I2" s="24" t="n"/>
      <c r="J2" s="24" t="n"/>
      <c r="K2" s="24" t="n"/>
      <c r="M2" s="24" t="n"/>
      <c r="N2" s="24" t="n"/>
      <c r="O2" s="24" t="n"/>
      <c r="P2" s="24" t="n"/>
      <c r="Q2" s="24" t="n"/>
      <c r="R2" s="24" t="n"/>
      <c r="S2" s="24" t="n"/>
      <c r="T2" s="24" t="n"/>
      <c r="U2" s="24" t="n"/>
      <c r="V2" s="24" t="n"/>
      <c r="W2" s="24" t="n"/>
      <c r="X2" s="24" t="n"/>
      <c r="Y2" s="24" t="n"/>
      <c r="Z2" s="24" t="n"/>
      <c r="AA2" s="24" t="n"/>
      <c r="AB2" s="24" t="n"/>
      <c r="AC2" s="24" t="n"/>
      <c r="AD2" s="24" t="n"/>
      <c r="AE2" s="24" t="n"/>
      <c r="AF2" s="24" t="n"/>
    </row>
    <row r="3"/>
    <row r="4"/>
    <row r="5">
      <c r="A5" s="25" t="n"/>
      <c r="B5" s="26" t="inlineStr">
        <is>
          <t>FY04</t>
        </is>
      </c>
      <c r="C5" s="26" t="inlineStr">
        <is>
          <t>FY05</t>
        </is>
      </c>
      <c r="D5" s="26" t="inlineStr">
        <is>
          <t>FY06</t>
        </is>
      </c>
      <c r="E5" s="26" t="inlineStr">
        <is>
          <t>FY07</t>
        </is>
      </c>
      <c r="F5" s="26" t="inlineStr">
        <is>
          <t>FY08</t>
        </is>
      </c>
      <c r="G5" s="26" t="inlineStr">
        <is>
          <t>FY09</t>
        </is>
      </c>
      <c r="H5" s="26" t="inlineStr">
        <is>
          <t>FY10</t>
        </is>
      </c>
      <c r="I5" s="26" t="inlineStr">
        <is>
          <t>FY11</t>
        </is>
      </c>
      <c r="J5" s="26" t="inlineStr">
        <is>
          <t>1Q12</t>
        </is>
      </c>
      <c r="K5" s="26" t="inlineStr">
        <is>
          <t>1H12</t>
        </is>
      </c>
      <c r="L5" s="26" t="inlineStr">
        <is>
          <t>3Q12</t>
        </is>
      </c>
      <c r="M5" s="26" t="inlineStr">
        <is>
          <t>FY12</t>
        </is>
      </c>
      <c r="N5" s="26" t="inlineStr">
        <is>
          <t>1Q13</t>
        </is>
      </c>
      <c r="O5" s="26" t="inlineStr">
        <is>
          <t>1H13</t>
        </is>
      </c>
      <c r="P5" s="26" t="inlineStr">
        <is>
          <t>3Q13</t>
        </is>
      </c>
      <c r="Q5" s="26" t="inlineStr">
        <is>
          <t>FY13</t>
        </is>
      </c>
      <c r="R5" s="26" t="inlineStr">
        <is>
          <t>1Q14</t>
        </is>
      </c>
      <c r="S5" s="26" t="inlineStr">
        <is>
          <t>1H14</t>
        </is>
      </c>
      <c r="T5" s="26" t="inlineStr">
        <is>
          <t>3Q14</t>
        </is>
      </c>
      <c r="U5" s="26" t="inlineStr">
        <is>
          <t>FY14</t>
        </is>
      </c>
      <c r="V5" s="26" t="inlineStr">
        <is>
          <t>1Q15</t>
        </is>
      </c>
      <c r="W5" s="26" t="inlineStr">
        <is>
          <t>1H15</t>
        </is>
      </c>
      <c r="X5" s="26" t="inlineStr">
        <is>
          <t>3Q15</t>
        </is>
      </c>
      <c r="Y5" s="26" t="inlineStr">
        <is>
          <t>FY15</t>
        </is>
      </c>
      <c r="Z5" s="26" t="n"/>
      <c r="AA5" s="26" t="n"/>
      <c r="AB5" s="26" t="n"/>
      <c r="AC5" s="26" t="n"/>
      <c r="AD5" s="26" t="n"/>
      <c r="AE5" s="26" t="n"/>
      <c r="AF5" s="26" t="n"/>
      <c r="AH5" s="22">
        <f>AH1</f>
        <v/>
      </c>
      <c r="AI5" s="22">
        <f>AI1</f>
        <v/>
      </c>
      <c r="AJ5" s="22">
        <f>AJ1</f>
        <v/>
      </c>
      <c r="AK5" s="22">
        <f>AK1</f>
        <v/>
      </c>
      <c r="AL5" s="22">
        <f>AL1</f>
        <v/>
      </c>
      <c r="AM5" s="22">
        <f>AM1</f>
        <v/>
      </c>
      <c r="AN5" s="22">
        <f>AN1</f>
        <v/>
      </c>
      <c r="AO5" s="22">
        <f>AO1</f>
        <v/>
      </c>
      <c r="AP5" s="22">
        <f>AP1</f>
        <v/>
      </c>
      <c r="AQ5" s="22">
        <f>AQ1</f>
        <v/>
      </c>
      <c r="AR5" s="22">
        <f>AR1</f>
        <v/>
      </c>
      <c r="AS5" s="22">
        <f>AS1</f>
        <v/>
      </c>
      <c r="AT5" s="22">
        <f>AT1</f>
        <v/>
      </c>
      <c r="AU5" s="22">
        <f>AU1</f>
        <v/>
      </c>
      <c r="AV5" s="22">
        <f>AV1</f>
        <v/>
      </c>
      <c r="AW5" s="22">
        <f>AW1</f>
        <v/>
      </c>
      <c r="AX5" s="22">
        <f>AX1</f>
        <v/>
      </c>
      <c r="AY5" s="22">
        <f>AY1</f>
        <v/>
      </c>
    </row>
    <row r="6">
      <c r="A6" s="25" t="n"/>
      <c r="B6" s="25" t="n"/>
      <c r="C6" s="25" t="n"/>
      <c r="D6" s="25" t="n"/>
      <c r="E6" s="25" t="n"/>
      <c r="F6" s="25" t="n"/>
      <c r="G6" s="25" t="n"/>
      <c r="H6" s="25" t="n"/>
      <c r="I6" s="25" t="n"/>
      <c r="J6" s="25" t="n"/>
      <c r="K6" s="49" t="n"/>
      <c r="M6" s="49" t="n"/>
      <c r="N6" s="49" t="inlineStr">
        <is>
          <t>YTD cummulative</t>
        </is>
      </c>
      <c r="O6" s="49" t="inlineStr">
        <is>
          <t>YTD cummulative</t>
        </is>
      </c>
      <c r="P6" s="49" t="inlineStr">
        <is>
          <t>YTD cummulative</t>
        </is>
      </c>
      <c r="Q6" s="49" t="inlineStr">
        <is>
          <t>YTD cummulative</t>
        </is>
      </c>
      <c r="R6" s="49" t="inlineStr">
        <is>
          <t>YTD cummulative</t>
        </is>
      </c>
      <c r="S6" s="49" t="inlineStr">
        <is>
          <t>YTD cummulative</t>
        </is>
      </c>
      <c r="T6" s="49" t="inlineStr">
        <is>
          <t>YTD cummulative</t>
        </is>
      </c>
      <c r="U6" s="49" t="inlineStr">
        <is>
          <t>YTD cummulative</t>
        </is>
      </c>
      <c r="V6" s="49" t="inlineStr">
        <is>
          <t>YTD cummulative</t>
        </is>
      </c>
      <c r="W6" s="49" t="inlineStr">
        <is>
          <t>YTD cummulative</t>
        </is>
      </c>
      <c r="X6" s="49" t="inlineStr">
        <is>
          <t>YTD cummulative</t>
        </is>
      </c>
      <c r="Y6" s="49" t="inlineStr">
        <is>
          <t>YTD cummulative</t>
        </is>
      </c>
      <c r="Z6" s="49" t="n"/>
      <c r="AA6" s="49" t="n"/>
      <c r="AB6" s="49" t="n"/>
      <c r="AC6" s="49" t="n"/>
      <c r="AD6" s="49" t="n"/>
      <c r="AE6" s="49" t="n"/>
      <c r="AF6" s="49" t="n"/>
    </row>
    <row r="7" ht="16" customHeight="1">
      <c r="A7" s="27" t="inlineStr">
        <is>
          <t>FINANCIAL STATEMENTS - USGAAP</t>
        </is>
      </c>
      <c r="B7" s="27" t="n"/>
      <c r="C7" s="27" t="n"/>
      <c r="D7" s="28" t="n"/>
      <c r="E7" s="28" t="n"/>
      <c r="F7" s="28" t="n"/>
      <c r="G7" s="28" t="n"/>
      <c r="H7" s="28" t="n"/>
      <c r="I7" s="28" t="n"/>
      <c r="J7" s="28" t="n"/>
      <c r="K7" s="28" t="n"/>
      <c r="L7" s="28" t="n"/>
      <c r="M7" s="37" t="n"/>
      <c r="N7" s="28" t="n"/>
      <c r="O7" s="28" t="n"/>
      <c r="P7" s="28" t="n"/>
      <c r="Q7" s="28" t="n"/>
      <c r="R7" s="28" t="n"/>
      <c r="S7" s="28" t="n"/>
      <c r="T7" s="28" t="n"/>
      <c r="U7" s="378" t="n"/>
      <c r="V7" s="28" t="n"/>
      <c r="W7" s="28" t="n"/>
      <c r="X7" s="28" t="n"/>
      <c r="Y7" s="28" t="n"/>
      <c r="Z7" s="28" t="n"/>
      <c r="AA7" s="28" t="n"/>
      <c r="AB7" s="28" t="n"/>
      <c r="AC7" s="28" t="n"/>
      <c r="AD7" s="28" t="n"/>
      <c r="AE7" s="28" t="n"/>
      <c r="AF7" s="28" t="n"/>
      <c r="AG7" s="39" t="n"/>
      <c r="AH7" s="39" t="n"/>
      <c r="AI7" s="39" t="n"/>
      <c r="AJ7" s="39" t="n"/>
      <c r="AK7" s="39" t="n"/>
      <c r="AL7" s="39" t="n"/>
      <c r="AM7" s="39" t="n"/>
      <c r="AN7" s="39" t="n"/>
      <c r="AO7" s="39" t="n"/>
      <c r="AP7" s="39" t="n"/>
      <c r="AQ7" s="39" t="n"/>
      <c r="AR7" s="39" t="n"/>
      <c r="AS7" s="39" t="n"/>
      <c r="AT7" s="39" t="n"/>
      <c r="AU7" s="39" t="n"/>
      <c r="AV7" s="39" t="n"/>
      <c r="AW7" s="39" t="n"/>
      <c r="AX7" s="39" t="n"/>
      <c r="AY7" s="39" t="n"/>
    </row>
    <row r="8"/>
    <row r="9">
      <c r="A9" s="81" t="inlineStr">
        <is>
          <t>Segment Information (RMB Million)</t>
        </is>
      </c>
      <c r="B9" s="140" t="n"/>
      <c r="C9" s="140" t="n"/>
      <c r="D9" s="140" t="n"/>
      <c r="E9" s="140" t="n"/>
      <c r="F9" s="140" t="n"/>
      <c r="G9" s="140" t="n"/>
      <c r="H9" s="140" t="n"/>
      <c r="I9" s="140" t="n"/>
      <c r="J9" s="140" t="n"/>
      <c r="K9" s="140" t="n"/>
      <c r="M9" s="50" t="n"/>
      <c r="N9" s="50" t="n"/>
      <c r="O9" s="50" t="n"/>
      <c r="P9" s="50" t="n"/>
      <c r="Q9" s="50" t="n"/>
      <c r="R9" s="50" t="n"/>
      <c r="S9" s="50" t="n"/>
      <c r="T9" s="50" t="n"/>
      <c r="U9" s="50" t="n"/>
      <c r="V9" s="50" t="n"/>
      <c r="W9" s="50" t="n"/>
      <c r="X9" s="50" t="n"/>
      <c r="Y9" s="50" t="n"/>
      <c r="Z9" s="50" t="n"/>
      <c r="AA9" s="50" t="n"/>
      <c r="AB9" s="50" t="n"/>
      <c r="AC9" s="50" t="n"/>
      <c r="AD9" s="50" t="n"/>
      <c r="AE9" s="50" t="n"/>
      <c r="AF9" s="50" t="n"/>
    </row>
    <row r="10">
      <c r="B10" s="140" t="n"/>
      <c r="C10" s="140" t="n"/>
      <c r="D10" s="140" t="n"/>
      <c r="E10" s="140" t="n"/>
      <c r="F10" s="140" t="n"/>
      <c r="G10" s="140" t="n"/>
      <c r="H10" s="140" t="n"/>
      <c r="I10" s="140" t="n"/>
      <c r="J10" s="140" t="n"/>
      <c r="K10" s="140" t="n"/>
      <c r="M10" s="50" t="n"/>
      <c r="N10" s="890" t="n"/>
      <c r="O10" s="890" t="n"/>
      <c r="P10" s="890" t="n"/>
      <c r="Q10" s="890" t="n"/>
      <c r="R10" s="50" t="n"/>
      <c r="S10" s="890" t="n"/>
      <c r="T10" s="890" t="n"/>
      <c r="U10" s="890" t="n"/>
      <c r="V10" s="50" t="n"/>
      <c r="W10" s="50" t="n"/>
      <c r="X10" s="50" t="n"/>
      <c r="Y10" s="50" t="n"/>
      <c r="Z10" s="50" t="n"/>
      <c r="AA10" s="50" t="n"/>
      <c r="AB10" s="50" t="n"/>
      <c r="AC10" s="50" t="n"/>
      <c r="AD10" s="50" t="n"/>
      <c r="AE10" s="50" t="n"/>
      <c r="AF10" s="50" t="n"/>
    </row>
    <row r="11">
      <c r="A11" s="22" t="inlineStr">
        <is>
          <t>Segment revenue</t>
        </is>
      </c>
      <c r="B11" s="140" t="n"/>
      <c r="C11" s="140" t="n"/>
      <c r="D11" s="140" t="n"/>
      <c r="E11" s="140" t="n"/>
      <c r="F11" s="140" t="n"/>
      <c r="G11" s="140" t="n"/>
      <c r="H11" s="140" t="n"/>
      <c r="I11" s="140" t="n"/>
      <c r="J11" s="140" t="n"/>
      <c r="K11" s="956" t="n"/>
      <c r="L11" s="956" t="n"/>
      <c r="M11" s="956" t="n"/>
      <c r="N11" s="956">
        <f>+N12/Q12</f>
        <v/>
      </c>
      <c r="O11" s="956">
        <f>(O12-N12)/Q12</f>
        <v/>
      </c>
      <c r="P11" s="956">
        <f>(P12-O12)/Q12</f>
        <v/>
      </c>
      <c r="Q11" s="956">
        <f>(Q12-P12)/Q12</f>
        <v/>
      </c>
      <c r="R11" s="50" t="n"/>
      <c r="S11" s="956" t="n"/>
      <c r="T11" s="956" t="n"/>
      <c r="U11" s="956" t="n"/>
      <c r="V11" s="50" t="n"/>
      <c r="W11" s="50" t="n"/>
      <c r="X11" s="50" t="n"/>
      <c r="Y11" s="50" t="n"/>
      <c r="Z11" s="145" t="n"/>
      <c r="AA11" s="50" t="n"/>
      <c r="AB11" s="50" t="n"/>
      <c r="AC11" s="50" t="n"/>
      <c r="AD11" s="50" t="n"/>
      <c r="AE11" s="50" t="n"/>
      <c r="AF11" s="50" t="n"/>
    </row>
    <row r="12" ht="13.5" customHeight="1">
      <c r="A12" t="inlineStr">
        <is>
          <t>New Energy</t>
        </is>
      </c>
      <c r="B12" s="86" t="n"/>
      <c r="C12" s="86" t="n"/>
      <c r="D12" s="86" t="n"/>
      <c r="E12" s="86" t="n"/>
      <c r="F12" s="86" t="n"/>
      <c r="G12" s="141">
        <f>#REF!</f>
        <v/>
      </c>
      <c r="H12" s="141">
        <f>#REF!</f>
        <v/>
      </c>
      <c r="I12" s="141">
        <f>#REF!</f>
        <v/>
      </c>
      <c r="J12" s="145" t="n"/>
      <c r="K12" s="141">
        <f>#REF!</f>
        <v/>
      </c>
      <c r="M12" s="141">
        <f>#REF!</f>
        <v/>
      </c>
      <c r="N12" s="145" t="n">
        <v>744</v>
      </c>
      <c r="O12" s="141">
        <f>#REF!</f>
        <v/>
      </c>
      <c r="P12" s="145" t="n">
        <v>3590</v>
      </c>
      <c r="Q12" s="141">
        <f>#REF!</f>
        <v/>
      </c>
      <c r="R12" s="145" t="n">
        <v>851</v>
      </c>
      <c r="S12" s="141">
        <f>#REF!</f>
        <v/>
      </c>
      <c r="T12" s="145">
        <f>SUM(T13:T15)</f>
        <v/>
      </c>
      <c r="U12" s="145" t="n">
        <v>7751</v>
      </c>
      <c r="W12" s="957" t="n"/>
      <c r="X12" s="958" t="n"/>
      <c r="Y12" s="145" t="n"/>
      <c r="Z12" s="958" t="n"/>
      <c r="AA12" s="145" t="n"/>
      <c r="AB12" s="145" t="n"/>
      <c r="AC12" s="145" t="n"/>
      <c r="AD12" s="145" t="n"/>
      <c r="AE12" s="145" t="n"/>
      <c r="AF12" s="145" t="n"/>
    </row>
    <row r="13">
      <c r="A13" s="74" t="inlineStr">
        <is>
          <t>Nuclear island</t>
        </is>
      </c>
      <c r="B13" s="145" t="n"/>
      <c r="C13" s="145" t="n"/>
      <c r="D13" s="145" t="n">
        <v>75</v>
      </c>
      <c r="E13" s="145" t="n">
        <v>156</v>
      </c>
      <c r="F13" s="145" t="n">
        <v>1000</v>
      </c>
      <c r="G13" s="145" t="n">
        <v>1801</v>
      </c>
      <c r="H13" s="145" t="n">
        <v>2312</v>
      </c>
      <c r="I13" s="145" t="n">
        <v>2645</v>
      </c>
      <c r="J13" s="145" t="n"/>
      <c r="K13" s="145" t="n">
        <v>1477</v>
      </c>
      <c r="M13" s="145" t="n">
        <v>2987</v>
      </c>
      <c r="N13" s="959" t="n"/>
      <c r="O13" s="145" t="n">
        <v>1027</v>
      </c>
      <c r="P13" s="145">
        <f>T13/0.97</f>
        <v/>
      </c>
      <c r="Q13" s="145" t="n">
        <v>2177</v>
      </c>
      <c r="R13" s="959" t="n"/>
      <c r="S13" s="145" t="n"/>
      <c r="T13" s="145" t="n">
        <v>1485</v>
      </c>
      <c r="U13" s="145" t="n">
        <v>1817</v>
      </c>
      <c r="V13" s="145" t="n">
        <v>455</v>
      </c>
      <c r="W13" s="145" t="n"/>
      <c r="X13" s="145" t="n"/>
      <c r="Y13" s="145" t="n"/>
      <c r="Z13" s="958" t="n"/>
      <c r="AA13" s="145" t="n"/>
      <c r="AB13" s="145" t="n"/>
      <c r="AC13" s="145" t="n"/>
      <c r="AD13" s="145" t="n"/>
      <c r="AE13" s="145" t="n"/>
      <c r="AF13" s="145" t="n"/>
    </row>
    <row r="14">
      <c r="A14" s="74" t="inlineStr">
        <is>
          <t>Wind</t>
        </is>
      </c>
      <c r="B14" s="145" t="n"/>
      <c r="C14" s="145" t="n"/>
      <c r="D14" s="145" t="n">
        <v>0</v>
      </c>
      <c r="E14" s="145" t="n">
        <v>111</v>
      </c>
      <c r="F14" s="145" t="n">
        <v>928</v>
      </c>
      <c r="G14" s="145" t="n">
        <v>1244</v>
      </c>
      <c r="H14" s="145" t="n">
        <v>3006</v>
      </c>
      <c r="I14" s="145" t="n">
        <v>3483</v>
      </c>
      <c r="J14" s="145" t="n"/>
      <c r="K14" s="145" t="n">
        <v>1205</v>
      </c>
      <c r="M14" s="145" t="n">
        <v>2651</v>
      </c>
      <c r="N14" s="959" t="n"/>
      <c r="O14" s="145" t="n">
        <v>879</v>
      </c>
      <c r="P14" s="145">
        <f>T14/1.922</f>
        <v/>
      </c>
      <c r="Q14" s="145" t="n">
        <v>3035</v>
      </c>
      <c r="R14" s="959" t="n"/>
      <c r="S14" s="145" t="n"/>
      <c r="T14" s="145" t="n">
        <v>3144</v>
      </c>
      <c r="U14" s="145" t="n">
        <v>5274</v>
      </c>
      <c r="V14" s="145" t="n">
        <v>900</v>
      </c>
      <c r="W14" s="145" t="n"/>
      <c r="X14" s="145" t="n"/>
      <c r="Y14" s="145" t="n"/>
      <c r="Z14" s="958" t="n"/>
      <c r="AA14" s="145" t="n"/>
      <c r="AB14" s="145" t="n"/>
      <c r="AC14" s="145" t="n"/>
      <c r="AD14" s="145" t="n"/>
      <c r="AE14" s="145" t="n"/>
      <c r="AF14" s="145" t="n"/>
    </row>
    <row r="15">
      <c r="A15" s="74" t="inlineStr">
        <is>
          <t>Forging</t>
        </is>
      </c>
      <c r="B15" s="145" t="n"/>
      <c r="C15" s="145" t="n"/>
      <c r="D15" s="145" t="n"/>
      <c r="E15" s="145" t="n"/>
      <c r="F15" s="145" t="n"/>
      <c r="G15" s="145" t="n">
        <v>1395</v>
      </c>
      <c r="H15" s="145" t="n">
        <v>1384</v>
      </c>
      <c r="I15" s="145" t="n">
        <v>1227</v>
      </c>
      <c r="J15" s="145" t="n"/>
      <c r="K15" s="145" t="n">
        <v>672</v>
      </c>
      <c r="M15" s="145" t="n">
        <v>1122</v>
      </c>
      <c r="N15" s="959" t="n"/>
      <c r="O15" s="145" t="n">
        <v>314</v>
      </c>
      <c r="P15" s="145">
        <f>T15/1.334</f>
        <v/>
      </c>
      <c r="Q15" s="145" t="n">
        <v>708</v>
      </c>
      <c r="R15" s="959" t="n"/>
      <c r="S15" s="145" t="n"/>
      <c r="T15" s="145" t="n">
        <v>639</v>
      </c>
      <c r="U15" s="145" t="n">
        <v>807</v>
      </c>
      <c r="V15" s="145" t="n"/>
      <c r="W15" s="145" t="n"/>
      <c r="X15" s="145" t="n"/>
      <c r="Y15" s="145" t="n"/>
      <c r="Z15" s="145" t="n"/>
      <c r="AA15" s="145" t="n"/>
      <c r="AB15" s="145" t="n"/>
      <c r="AC15" s="145" t="n"/>
      <c r="AD15" s="145" t="n"/>
      <c r="AE15" s="145" t="n"/>
      <c r="AF15" s="145" t="n"/>
    </row>
    <row r="16">
      <c r="A16" s="105" t="inlineStr">
        <is>
          <t>High Efficiency and Clean Energy</t>
        </is>
      </c>
      <c r="B16" s="88" t="n"/>
      <c r="C16" s="88" t="n"/>
      <c r="D16" s="88">
        <f>SUM(D17:D21)</f>
        <v/>
      </c>
      <c r="E16" s="88">
        <f>SUM(E17:E21)</f>
        <v/>
      </c>
      <c r="F16" s="88">
        <f>SUM(F17:F21)</f>
        <v/>
      </c>
      <c r="G16" s="141">
        <f>#REF!</f>
        <v/>
      </c>
      <c r="H16" s="141">
        <f>#REF!</f>
        <v/>
      </c>
      <c r="I16" s="141">
        <f>#REF!</f>
        <v/>
      </c>
      <c r="J16" s="145" t="n"/>
      <c r="K16" s="141">
        <f>#REF!</f>
        <v/>
      </c>
      <c r="M16" s="141">
        <f>#REF!</f>
        <v/>
      </c>
      <c r="N16" s="145" t="n">
        <v>7456</v>
      </c>
      <c r="O16" s="141">
        <f>#REF!</f>
        <v/>
      </c>
      <c r="P16" s="145" t="n">
        <v>21930</v>
      </c>
      <c r="Q16" s="141">
        <f>#REF!</f>
        <v/>
      </c>
      <c r="R16" s="145" t="n">
        <v>5439</v>
      </c>
      <c r="S16" s="141">
        <f>#REF!</f>
        <v/>
      </c>
      <c r="T16" s="145">
        <f>T20+293+675+9039</f>
        <v/>
      </c>
      <c r="U16" s="145" t="n">
        <v>28694</v>
      </c>
      <c r="V16" s="145" t="n"/>
      <c r="W16" s="145" t="n"/>
      <c r="X16" s="958" t="n"/>
      <c r="Y16" s="145" t="n"/>
      <c r="Z16" s="145" t="n"/>
      <c r="AA16" s="145" t="n"/>
      <c r="AB16" s="145" t="n"/>
      <c r="AC16" s="145" t="n"/>
      <c r="AD16" s="145" t="n"/>
      <c r="AE16" s="145" t="n"/>
      <c r="AF16" s="145" t="n"/>
    </row>
    <row r="17">
      <c r="A17" s="74" t="inlineStr">
        <is>
          <t>Boiler</t>
        </is>
      </c>
      <c r="B17" s="145" t="n">
        <v>4103</v>
      </c>
      <c r="C17" s="145" t="n">
        <v>7676</v>
      </c>
      <c r="D17" s="145" t="n">
        <v>8552</v>
      </c>
      <c r="E17" s="145" t="n">
        <v>9180</v>
      </c>
      <c r="F17" s="145" t="n">
        <v>8808</v>
      </c>
      <c r="G17" s="145" t="n">
        <v>10359</v>
      </c>
      <c r="H17" s="145" t="n">
        <v>10072</v>
      </c>
      <c r="I17" s="145" t="n">
        <v>11322</v>
      </c>
      <c r="J17" s="145" t="n"/>
      <c r="K17" s="145" t="n">
        <v>7184</v>
      </c>
      <c r="L17" s="145" t="n"/>
      <c r="M17" s="145" t="n">
        <v>11575</v>
      </c>
      <c r="N17" s="958" t="n"/>
      <c r="O17" s="145" t="n">
        <v>4650</v>
      </c>
      <c r="P17" s="145" t="n"/>
      <c r="Q17" s="145" t="n">
        <v>8172</v>
      </c>
      <c r="R17" s="145" t="n"/>
      <c r="S17" s="145" t="n"/>
      <c r="T17" s="145" t="n"/>
      <c r="U17" s="145" t="n">
        <v>7310</v>
      </c>
      <c r="V17" s="839" t="n">
        <v>2380</v>
      </c>
      <c r="W17" s="145" t="n"/>
      <c r="X17" s="145" t="n"/>
      <c r="Y17" s="145" t="n"/>
      <c r="Z17" s="145" t="n"/>
      <c r="AA17" s="145" t="n"/>
      <c r="AB17" s="145" t="n"/>
      <c r="AC17" s="145" t="n"/>
      <c r="AD17" s="145" t="n"/>
      <c r="AE17" s="145" t="n"/>
      <c r="AF17" s="145" t="n"/>
    </row>
    <row r="18">
      <c r="A18" s="74" t="inlineStr">
        <is>
          <t>Turbines</t>
        </is>
      </c>
      <c r="B18" s="145" t="n">
        <v>2222</v>
      </c>
      <c r="C18" s="145" t="n">
        <v>4289</v>
      </c>
      <c r="D18" s="145" t="n">
        <v>5977</v>
      </c>
      <c r="E18" s="145" t="n">
        <v>8271</v>
      </c>
      <c r="F18" s="145" t="n">
        <v>7381</v>
      </c>
      <c r="G18" s="145" t="n">
        <v>6368</v>
      </c>
      <c r="H18" s="145" t="n">
        <v>6461</v>
      </c>
      <c r="I18" s="145" t="n">
        <v>6414</v>
      </c>
      <c r="J18" s="145" t="n"/>
      <c r="K18" s="145" t="n">
        <v>3964</v>
      </c>
      <c r="L18" s="145" t="n"/>
      <c r="M18" s="145" t="n">
        <v>7890</v>
      </c>
      <c r="N18" s="145" t="n"/>
      <c r="O18" s="145" t="n">
        <v>4303</v>
      </c>
      <c r="P18" s="145" t="n"/>
      <c r="Q18" s="145" t="n">
        <v>8765</v>
      </c>
      <c r="R18" s="145" t="n"/>
      <c r="S18" s="145" t="n"/>
      <c r="T18" s="145" t="n"/>
      <c r="U18" s="145" t="n">
        <v>5462</v>
      </c>
      <c r="W18" s="145" t="n"/>
      <c r="X18" s="145" t="n"/>
      <c r="Y18" s="145" t="n"/>
      <c r="Z18" s="145" t="n"/>
      <c r="AA18" s="145" t="n"/>
      <c r="AB18" s="145" t="n"/>
      <c r="AC18" s="145" t="n"/>
      <c r="AD18" s="145" t="n"/>
      <c r="AE18" s="145" t="n"/>
      <c r="AF18" s="145" t="n"/>
    </row>
    <row r="19">
      <c r="A19" s="74" t="inlineStr">
        <is>
          <t>Turbine-generators</t>
        </is>
      </c>
      <c r="B19" s="145" t="n"/>
      <c r="C19" s="145" t="n"/>
      <c r="D19" s="145" t="n">
        <v>3335</v>
      </c>
      <c r="E19" s="145" t="n">
        <v>3137</v>
      </c>
      <c r="F19" s="145" t="n">
        <v>2831</v>
      </c>
      <c r="G19" s="145" t="n">
        <v>2732</v>
      </c>
      <c r="H19" s="145" t="n">
        <v>2656</v>
      </c>
      <c r="I19" s="145" t="n">
        <v>2816</v>
      </c>
      <c r="J19" s="145" t="n"/>
      <c r="K19" s="145" t="n">
        <v>1993</v>
      </c>
      <c r="L19" s="145" t="n"/>
      <c r="M19" s="145" t="n">
        <v>4023</v>
      </c>
      <c r="N19" s="145" t="n"/>
      <c r="O19" s="145" t="n">
        <v>1895</v>
      </c>
      <c r="P19" s="145" t="n"/>
      <c r="Q19" s="145" t="n">
        <v>3302</v>
      </c>
      <c r="R19" s="145" t="n"/>
      <c r="S19" s="145" t="n"/>
      <c r="T19" s="145" t="n"/>
      <c r="U19" s="145" t="n">
        <v>2391</v>
      </c>
      <c r="W19" s="145" t="n"/>
      <c r="X19" s="145" t="n"/>
      <c r="Y19" s="145" t="n"/>
      <c r="Z19" s="145" t="n"/>
      <c r="AA19" s="145" t="n"/>
      <c r="AB19" s="145" t="n"/>
      <c r="AC19" s="145" t="n"/>
      <c r="AD19" s="145" t="n"/>
      <c r="AE19" s="145" t="n"/>
      <c r="AF19" s="145" t="n"/>
    </row>
    <row r="20">
      <c r="A20" s="74" t="inlineStr">
        <is>
          <t>T&amp;D</t>
        </is>
      </c>
      <c r="B20" s="145" t="n"/>
      <c r="C20" s="145" t="n"/>
      <c r="D20" s="145" t="n"/>
      <c r="E20" s="145" t="n"/>
      <c r="F20" s="145" t="n"/>
      <c r="G20" s="145" t="n">
        <v>1922</v>
      </c>
      <c r="H20" s="145" t="n">
        <v>2177</v>
      </c>
      <c r="I20" s="145" t="n">
        <v>2535</v>
      </c>
      <c r="J20" s="145" t="n"/>
      <c r="K20" s="145" t="n">
        <v>2435</v>
      </c>
      <c r="L20" s="145" t="n"/>
      <c r="M20" s="145" t="n">
        <v>6596</v>
      </c>
      <c r="N20" s="145" t="n"/>
      <c r="O20" s="145" t="n">
        <v>3125</v>
      </c>
      <c r="P20" s="145">
        <f>T20/1.064</f>
        <v/>
      </c>
      <c r="Q20" s="145" t="n">
        <v>7096</v>
      </c>
      <c r="R20" s="145">
        <f>V20/1.3</f>
        <v/>
      </c>
      <c r="S20" s="145" t="n"/>
      <c r="T20" s="145" t="n">
        <v>5090</v>
      </c>
      <c r="U20" s="145" t="n">
        <v>7812</v>
      </c>
      <c r="V20" s="145" t="n">
        <v>1840</v>
      </c>
      <c r="W20" s="145" t="n"/>
      <c r="X20" s="145" t="n"/>
      <c r="Y20" s="145" t="n"/>
      <c r="Z20" s="145" t="n"/>
      <c r="AA20" s="145" t="n"/>
      <c r="AB20" s="145" t="n"/>
      <c r="AC20" s="145" t="n"/>
      <c r="AD20" s="145" t="n"/>
      <c r="AE20" s="145" t="n"/>
      <c r="AF20" s="145" t="n"/>
    </row>
    <row r="21">
      <c r="A21" s="74" t="inlineStr">
        <is>
          <t>All others</t>
        </is>
      </c>
      <c r="B21" s="86" t="n"/>
      <c r="C21" s="86" t="n"/>
      <c r="D21" s="86" t="n"/>
      <c r="E21" s="86" t="n"/>
      <c r="F21" s="86" t="n"/>
      <c r="G21" s="145" t="n"/>
      <c r="H21" s="145" t="n"/>
      <c r="I21" s="145" t="n"/>
      <c r="J21" s="145" t="n"/>
      <c r="K21" s="145" t="n"/>
      <c r="L21" s="145" t="n"/>
      <c r="M21" s="145" t="n"/>
      <c r="N21" s="145" t="n"/>
      <c r="O21" s="145" t="n"/>
      <c r="P21" s="145" t="n"/>
      <c r="Q21" s="88" t="n"/>
      <c r="R21" s="145" t="n"/>
      <c r="S21" s="145" t="n"/>
      <c r="T21" s="145" t="n"/>
      <c r="U21" s="88">
        <f>U16-SUM(U17:U20)</f>
        <v/>
      </c>
      <c r="V21" s="145" t="n"/>
      <c r="W21" s="145" t="n"/>
      <c r="X21" s="145" t="n"/>
      <c r="Y21" s="145" t="n"/>
      <c r="Z21" s="145" t="n"/>
      <c r="AA21" s="145" t="n"/>
      <c r="AB21" s="145" t="n"/>
      <c r="AC21" s="145" t="n"/>
      <c r="AD21" s="145" t="n"/>
      <c r="AE21" s="145" t="n"/>
      <c r="AF21" s="145" t="n"/>
    </row>
    <row r="22">
      <c r="A22" s="105" t="inlineStr">
        <is>
          <t>Industrial Equipment</t>
        </is>
      </c>
      <c r="B22" s="88" t="n"/>
      <c r="C22" s="88" t="n"/>
      <c r="D22" s="88" t="n"/>
      <c r="E22" s="88" t="n"/>
      <c r="F22" s="88" t="n"/>
      <c r="G22" s="141">
        <f>#REF!</f>
        <v/>
      </c>
      <c r="H22" s="141">
        <f>#REF!</f>
        <v/>
      </c>
      <c r="I22" s="141">
        <f>#REF!</f>
        <v/>
      </c>
      <c r="J22" s="145" t="n"/>
      <c r="K22" s="141">
        <f>#REF!</f>
        <v/>
      </c>
      <c r="M22" s="141">
        <f>#REF!</f>
        <v/>
      </c>
      <c r="N22" s="145" t="n">
        <v>5116</v>
      </c>
      <c r="O22" s="141">
        <f>#REF!</f>
        <v/>
      </c>
      <c r="P22" s="145" t="n">
        <v>18550</v>
      </c>
      <c r="Q22" s="141">
        <f>#REF!</f>
        <v/>
      </c>
      <c r="R22" s="145" t="n">
        <v>5129</v>
      </c>
      <c r="S22" s="141">
        <f>#REF!</f>
        <v/>
      </c>
      <c r="T22" s="145" t="n"/>
      <c r="U22" s="145" t="n">
        <v>26019</v>
      </c>
      <c r="V22" s="958" t="n"/>
      <c r="W22" s="145" t="n"/>
      <c r="X22" s="145" t="n"/>
      <c r="Y22" s="145" t="n"/>
      <c r="Z22" s="145" t="n"/>
      <c r="AA22" s="145" t="n"/>
      <c r="AB22" s="145" t="n"/>
      <c r="AC22" s="145" t="n"/>
      <c r="AD22" s="145" t="n"/>
      <c r="AE22" s="145" t="n"/>
      <c r="AF22" s="145" t="n"/>
    </row>
    <row r="23">
      <c r="A23" s="74" t="inlineStr">
        <is>
          <t>Elevator</t>
        </is>
      </c>
      <c r="B23" s="145" t="n"/>
      <c r="C23" s="145" t="n"/>
      <c r="D23" s="145" t="n">
        <v>5061</v>
      </c>
      <c r="E23" s="145" t="n">
        <v>6551</v>
      </c>
      <c r="F23" s="145" t="n">
        <v>7710</v>
      </c>
      <c r="G23" s="145" t="n">
        <v>8336</v>
      </c>
      <c r="H23" s="145" t="n">
        <v>10184</v>
      </c>
      <c r="I23" s="145" t="n">
        <v>11368</v>
      </c>
      <c r="J23" s="145" t="n"/>
      <c r="K23" s="145" t="n">
        <v>6121</v>
      </c>
      <c r="L23" s="145" t="n"/>
      <c r="M23" s="145" t="n">
        <v>12655</v>
      </c>
      <c r="N23" s="145" t="n"/>
      <c r="O23" s="145" t="n">
        <v>7561</v>
      </c>
      <c r="P23" s="145">
        <f>T23/1.079</f>
        <v/>
      </c>
      <c r="Q23" s="145" t="n">
        <v>16374</v>
      </c>
      <c r="R23" s="145">
        <f>V23/1.035</f>
        <v/>
      </c>
      <c r="S23" s="145" t="n"/>
      <c r="T23" s="145" t="n">
        <v>13050</v>
      </c>
      <c r="U23" s="145" t="n">
        <v>17346</v>
      </c>
      <c r="V23" s="145" t="n">
        <v>3480</v>
      </c>
      <c r="W23" s="145" t="n"/>
      <c r="X23" s="145" t="n"/>
      <c r="Y23" s="145" t="n"/>
      <c r="Z23" s="145" t="n"/>
      <c r="AA23" s="145" t="n"/>
      <c r="AB23" s="145" t="n"/>
      <c r="AC23" s="145" t="n"/>
      <c r="AD23" s="145" t="n"/>
      <c r="AE23" s="145" t="n"/>
      <c r="AF23" s="145" t="n"/>
    </row>
    <row r="24">
      <c r="A24" s="74" t="inlineStr">
        <is>
          <t>Printing</t>
        </is>
      </c>
      <c r="B24" s="145" t="n"/>
      <c r="C24" s="145" t="n"/>
      <c r="D24" s="145" t="n">
        <v>595</v>
      </c>
      <c r="E24" s="145" t="n">
        <v>604</v>
      </c>
      <c r="F24" s="145" t="n">
        <v>460</v>
      </c>
      <c r="G24" s="145" t="n">
        <v>504</v>
      </c>
      <c r="H24" s="145" t="n">
        <v>871</v>
      </c>
      <c r="I24" s="145" t="n">
        <v>4295</v>
      </c>
      <c r="J24" s="145" t="n"/>
      <c r="K24" s="145" t="n">
        <v>377</v>
      </c>
      <c r="L24" s="145" t="n"/>
      <c r="M24" s="145" t="n">
        <v>3595</v>
      </c>
      <c r="N24" s="145" t="n"/>
      <c r="O24" s="145" t="n">
        <v>275</v>
      </c>
      <c r="P24" s="145" t="n"/>
      <c r="Q24" s="145" t="n">
        <v>2376</v>
      </c>
      <c r="R24" s="145" t="n"/>
      <c r="S24" s="145" t="n"/>
      <c r="T24" s="145" t="n"/>
      <c r="U24" s="145" t="n">
        <v>2540</v>
      </c>
      <c r="V24" s="145" t="n"/>
      <c r="W24" s="145" t="n"/>
      <c r="X24" s="145" t="n"/>
      <c r="Y24" s="145" t="n"/>
      <c r="Z24" s="145" t="n"/>
      <c r="AA24" s="145" t="n"/>
      <c r="AB24" s="145" t="n"/>
      <c r="AC24" s="145" t="n"/>
      <c r="AD24" s="145" t="n"/>
      <c r="AE24" s="145" t="n"/>
      <c r="AF24" s="145" t="n"/>
    </row>
    <row r="25">
      <c r="A25" s="74" t="inlineStr">
        <is>
          <t>Electric motor</t>
        </is>
      </c>
      <c r="B25" s="145" t="n"/>
      <c r="C25" s="145" t="n"/>
      <c r="D25" s="145" t="n">
        <v>2209</v>
      </c>
      <c r="E25" s="145" t="n">
        <v>2363</v>
      </c>
      <c r="F25" s="145" t="n">
        <v>2793</v>
      </c>
      <c r="G25" s="145" t="n">
        <v>2545</v>
      </c>
      <c r="H25" s="145" t="n">
        <v>2660</v>
      </c>
      <c r="I25" s="145" t="n">
        <v>3349</v>
      </c>
      <c r="J25" s="145" t="n"/>
      <c r="K25" s="145" t="n">
        <v>1531</v>
      </c>
      <c r="L25" s="145" t="n"/>
      <c r="M25" s="145" t="n">
        <v>3079</v>
      </c>
      <c r="N25" s="145" t="n"/>
      <c r="O25" s="145" t="n">
        <v>1476</v>
      </c>
      <c r="P25" s="145" t="n"/>
      <c r="Q25" s="145" t="n">
        <v>2998</v>
      </c>
      <c r="R25" s="145" t="n"/>
      <c r="S25" s="145" t="n"/>
      <c r="T25" s="145" t="n"/>
      <c r="U25" s="145" t="n">
        <v>2642</v>
      </c>
      <c r="V25" s="145" t="n"/>
      <c r="W25" s="145" t="n"/>
      <c r="X25" s="145" t="n"/>
      <c r="Y25" s="145" t="n"/>
      <c r="Z25" s="145" t="n"/>
      <c r="AA25" s="145" t="n"/>
      <c r="AB25" s="145" t="n"/>
      <c r="AC25" s="145" t="n"/>
      <c r="AD25" s="145" t="n"/>
      <c r="AE25" s="145" t="n"/>
      <c r="AF25" s="145" t="n"/>
    </row>
    <row r="26">
      <c r="A26" s="74" t="inlineStr">
        <is>
          <t>Heavy machinery</t>
        </is>
      </c>
      <c r="B26" s="145" t="n"/>
      <c r="C26" s="145" t="n"/>
      <c r="D26" s="145" t="n"/>
      <c r="E26" s="145" t="n"/>
      <c r="F26" s="145" t="n"/>
      <c r="G26" s="145" t="n">
        <v>2435</v>
      </c>
      <c r="H26" s="145" t="n">
        <v>3210</v>
      </c>
      <c r="I26" s="145" t="n">
        <v>2438</v>
      </c>
      <c r="J26" s="145" t="n"/>
      <c r="K26" s="145" t="n"/>
      <c r="L26" s="145" t="n"/>
      <c r="M26" s="145" t="n">
        <v>1585</v>
      </c>
      <c r="N26" s="145" t="n"/>
      <c r="O26" s="145" t="n"/>
      <c r="P26" s="145" t="n"/>
      <c r="Q26" s="145" t="n">
        <v>1215</v>
      </c>
      <c r="R26" s="145" t="n"/>
      <c r="S26" s="145" t="n"/>
      <c r="T26" s="145" t="n"/>
      <c r="U26" s="145" t="n">
        <v>825</v>
      </c>
      <c r="V26" s="145" t="n"/>
      <c r="W26" s="145" t="n"/>
      <c r="X26" s="145" t="n"/>
      <c r="Y26" s="145" t="n"/>
      <c r="Z26" s="145" t="n"/>
      <c r="AA26" s="145" t="n"/>
      <c r="AB26" s="145" t="n"/>
      <c r="AC26" s="145" t="n"/>
      <c r="AD26" s="145" t="n"/>
      <c r="AE26" s="145" t="n"/>
      <c r="AF26" s="145" t="n"/>
    </row>
    <row r="27">
      <c r="A27" s="74" t="inlineStr">
        <is>
          <t>All others</t>
        </is>
      </c>
      <c r="B27" s="145" t="n"/>
      <c r="C27" s="145" t="n"/>
      <c r="D27" s="145" t="n"/>
      <c r="E27" s="145" t="n"/>
      <c r="F27" s="145" t="n"/>
      <c r="G27" s="145" t="n"/>
      <c r="H27" s="145" t="n"/>
      <c r="I27" s="145" t="n"/>
      <c r="J27" s="145" t="n"/>
      <c r="K27" s="145" t="n"/>
      <c r="L27" s="145" t="n"/>
      <c r="M27" s="145" t="n"/>
      <c r="N27" s="145" t="n"/>
      <c r="O27" s="145" t="n"/>
      <c r="P27" s="145" t="n"/>
      <c r="Q27" s="145" t="n"/>
      <c r="R27" s="145" t="n"/>
      <c r="S27" s="145" t="n"/>
      <c r="T27" s="145" t="n"/>
      <c r="U27" s="88">
        <f>U22-SUM(U23:U26)</f>
        <v/>
      </c>
      <c r="V27" s="145" t="n"/>
      <c r="W27" s="145" t="n"/>
      <c r="X27" s="145" t="n"/>
      <c r="Y27" s="145" t="n"/>
      <c r="Z27" s="145" t="n"/>
      <c r="AA27" s="145" t="n"/>
      <c r="AB27" s="145" t="n"/>
      <c r="AC27" s="145" t="n"/>
      <c r="AD27" s="145" t="n"/>
      <c r="AE27" s="145" t="n"/>
      <c r="AF27" s="145" t="n"/>
    </row>
    <row r="28">
      <c r="A28" s="105" t="inlineStr">
        <is>
          <t>Modern Services</t>
        </is>
      </c>
      <c r="B28" s="88" t="n"/>
      <c r="C28" s="88" t="n"/>
      <c r="D28" s="88" t="n"/>
      <c r="E28" s="88" t="n"/>
      <c r="F28" s="88" t="n"/>
      <c r="G28" s="141">
        <f>#REF!</f>
        <v/>
      </c>
      <c r="H28" s="141">
        <f>#REF!</f>
        <v/>
      </c>
      <c r="I28" s="141">
        <f>#REF!</f>
        <v/>
      </c>
      <c r="J28" s="145" t="n"/>
      <c r="K28" s="141">
        <f>#REF!</f>
        <v/>
      </c>
      <c r="M28" s="141">
        <f>#REF!</f>
        <v/>
      </c>
      <c r="N28" s="145" t="n">
        <v>4629</v>
      </c>
      <c r="O28" s="141">
        <f>#REF!</f>
        <v/>
      </c>
      <c r="P28" s="145" t="n">
        <v>15200</v>
      </c>
      <c r="Q28" s="141">
        <f>#REF!</f>
        <v/>
      </c>
      <c r="R28" s="145" t="n">
        <v>4845</v>
      </c>
      <c r="S28" s="141">
        <f>#REF!</f>
        <v/>
      </c>
      <c r="T28" s="145">
        <f>SUM(T29:T31)</f>
        <v/>
      </c>
      <c r="U28" s="145" t="n">
        <v>18140</v>
      </c>
      <c r="V28" s="145" t="n"/>
      <c r="W28" s="145" t="n"/>
      <c r="X28" s="145" t="n"/>
      <c r="Y28" s="145" t="n"/>
      <c r="Z28" s="145" t="n"/>
      <c r="AA28" s="145" t="n"/>
      <c r="AB28" s="145" t="n"/>
      <c r="AC28" s="145" t="n"/>
      <c r="AD28" s="145" t="n"/>
      <c r="AE28" s="145" t="n"/>
      <c r="AF28" s="145" t="n"/>
    </row>
    <row r="29">
      <c r="A29" s="74" t="inlineStr">
        <is>
          <t>Power plant engineering</t>
        </is>
      </c>
      <c r="B29" s="145" t="n"/>
      <c r="C29" s="145" t="n"/>
      <c r="D29" s="145" t="n">
        <v>1188</v>
      </c>
      <c r="E29" s="145" t="n">
        <v>5205</v>
      </c>
      <c r="F29" s="145" t="n">
        <v>10032</v>
      </c>
      <c r="G29" s="145" t="n">
        <v>10035</v>
      </c>
      <c r="H29" s="145" t="n">
        <v>10105</v>
      </c>
      <c r="I29" s="145" t="n">
        <v>12045</v>
      </c>
      <c r="J29" s="145" t="n"/>
      <c r="K29" s="145" t="n">
        <v>6618</v>
      </c>
      <c r="L29" s="145" t="n"/>
      <c r="M29" s="145" t="n">
        <v>14149</v>
      </c>
      <c r="N29" s="145" t="n"/>
      <c r="O29" s="145" t="n">
        <v>6807</v>
      </c>
      <c r="P29" s="145">
        <f>T29/(1-0.235)</f>
        <v/>
      </c>
      <c r="Q29" s="145" t="n">
        <v>13666</v>
      </c>
      <c r="R29" s="145" t="n"/>
      <c r="S29" s="145" t="n"/>
      <c r="T29" s="145" t="n">
        <v>8093</v>
      </c>
      <c r="U29" s="145" t="n">
        <v>10008</v>
      </c>
      <c r="V29" s="145" t="n">
        <v>1680</v>
      </c>
      <c r="W29" s="145" t="n"/>
      <c r="X29" s="145" t="n"/>
      <c r="Y29" s="145" t="n"/>
      <c r="Z29" s="145" t="n"/>
      <c r="AA29" s="145" t="n"/>
      <c r="AB29" s="145" t="n"/>
      <c r="AC29" s="145" t="n"/>
      <c r="AD29" s="145" t="n"/>
      <c r="AE29" s="145" t="n"/>
      <c r="AF29" s="145" t="n"/>
    </row>
    <row r="30">
      <c r="A30" s="74" t="inlineStr">
        <is>
          <t>Power plant service</t>
        </is>
      </c>
      <c r="B30" s="145" t="n"/>
      <c r="C30" s="145" t="n"/>
      <c r="D30" s="145" t="n"/>
      <c r="E30" s="145" t="n"/>
      <c r="F30" s="145" t="n"/>
      <c r="G30" s="145" t="n">
        <v>0</v>
      </c>
      <c r="H30" s="145" t="n">
        <v>0</v>
      </c>
      <c r="I30" s="145" t="n">
        <v>0</v>
      </c>
      <c r="J30" s="145" t="n"/>
      <c r="K30" s="145" t="n">
        <v>436</v>
      </c>
      <c r="L30" s="145" t="n"/>
      <c r="M30" s="145" t="n">
        <v>1014</v>
      </c>
      <c r="N30" s="145" t="n"/>
      <c r="O30" s="145" t="n">
        <v>923</v>
      </c>
      <c r="P30" s="145" t="n"/>
      <c r="Q30" s="145" t="n">
        <v>1755</v>
      </c>
      <c r="R30" s="145" t="n"/>
      <c r="S30" s="145" t="n"/>
      <c r="T30" s="145" t="n">
        <v>1130</v>
      </c>
      <c r="U30" s="145" t="n">
        <v>1782</v>
      </c>
      <c r="V30" s="145" t="n">
        <v>220</v>
      </c>
      <c r="W30" s="145" t="n"/>
      <c r="X30" s="145" t="n"/>
      <c r="Y30" s="145" t="n"/>
      <c r="Z30" s="145" t="n"/>
      <c r="AA30" s="145" t="n"/>
      <c r="AB30" s="145" t="n"/>
      <c r="AC30" s="145" t="n"/>
      <c r="AD30" s="145" t="n"/>
      <c r="AE30" s="145" t="n"/>
      <c r="AF30" s="145" t="n"/>
    </row>
    <row r="31">
      <c r="A31" s="74" t="inlineStr">
        <is>
          <t>All other services</t>
        </is>
      </c>
      <c r="B31" s="145" t="n"/>
      <c r="C31" s="145" t="n"/>
      <c r="D31" s="145" t="n"/>
      <c r="E31" s="145" t="n"/>
      <c r="F31" s="145" t="n"/>
      <c r="G31" s="145" t="n"/>
      <c r="H31" s="145" t="n"/>
      <c r="I31" s="145" t="n"/>
      <c r="J31" s="145" t="n"/>
      <c r="K31" s="145" t="n"/>
      <c r="L31" s="145" t="n"/>
      <c r="M31" s="145" t="n"/>
      <c r="N31" s="145" t="n"/>
      <c r="O31" s="145" t="n"/>
      <c r="P31" s="145" t="n"/>
      <c r="Q31" s="145" t="n"/>
      <c r="R31" s="145" t="n"/>
      <c r="S31" s="145" t="n"/>
      <c r="T31" s="145" t="n">
        <v>1470</v>
      </c>
      <c r="U31" s="145">
        <f>U28-SUM(U29:U30)</f>
        <v/>
      </c>
      <c r="V31" s="145" t="n"/>
      <c r="W31" s="145" t="n"/>
      <c r="X31" s="145" t="n"/>
      <c r="Y31" s="145" t="n"/>
      <c r="Z31" s="145" t="n"/>
      <c r="AA31" s="145" t="n"/>
      <c r="AB31" s="145" t="n"/>
      <c r="AC31" s="145" t="n"/>
      <c r="AD31" s="145" t="n"/>
      <c r="AE31" s="145" t="n"/>
      <c r="AF31" s="145" t="n"/>
    </row>
    <row r="32">
      <c r="A32" s="105" t="inlineStr">
        <is>
          <t>Other Business</t>
        </is>
      </c>
      <c r="B32" s="88" t="n"/>
      <c r="C32" s="88" t="n"/>
      <c r="D32" s="88" t="n"/>
      <c r="E32" s="88" t="n"/>
      <c r="F32" s="88" t="n"/>
      <c r="G32" s="141">
        <f>#REF!</f>
        <v/>
      </c>
      <c r="H32" s="141">
        <f>#REF!</f>
        <v/>
      </c>
      <c r="I32" s="141">
        <f>#REF!</f>
        <v/>
      </c>
      <c r="J32" s="145" t="n"/>
      <c r="K32" s="141">
        <f>#REF!</f>
        <v/>
      </c>
      <c r="M32" s="141">
        <f>#REF!</f>
        <v/>
      </c>
      <c r="N32" s="145" t="n"/>
      <c r="O32" s="141">
        <f>#REF!</f>
        <v/>
      </c>
      <c r="P32" s="145" t="n"/>
      <c r="Q32" s="141">
        <f>#REF!</f>
        <v/>
      </c>
      <c r="R32" s="145" t="n"/>
      <c r="S32" s="141">
        <f>#REF!</f>
        <v/>
      </c>
      <c r="T32" s="145" t="n"/>
      <c r="U32" s="145" t="n"/>
      <c r="V32" s="145" t="n"/>
      <c r="W32" s="145" t="n"/>
      <c r="X32" s="145" t="n"/>
      <c r="Y32" s="145" t="n"/>
      <c r="Z32" s="145" t="n"/>
      <c r="AA32" s="145" t="n"/>
      <c r="AB32" s="145" t="n"/>
      <c r="AC32" s="145" t="n"/>
      <c r="AD32" s="145" t="n"/>
      <c r="AE32" s="145" t="n"/>
      <c r="AF32" s="145" t="n"/>
    </row>
    <row r="33">
      <c r="A33" s="105" t="inlineStr">
        <is>
          <t>Elimination</t>
        </is>
      </c>
      <c r="B33" s="88" t="n"/>
      <c r="C33" s="88" t="n"/>
      <c r="D33" s="88" t="n"/>
      <c r="E33" s="88" t="n"/>
      <c r="F33" s="88" t="n"/>
      <c r="G33" s="141">
        <f>#REF!</f>
        <v/>
      </c>
      <c r="H33" s="141">
        <f>#REF!</f>
        <v/>
      </c>
      <c r="I33" s="141">
        <f>#REF!</f>
        <v/>
      </c>
      <c r="J33" s="88" t="n"/>
      <c r="K33" s="141">
        <f>#REF!</f>
        <v/>
      </c>
      <c r="M33" s="141">
        <f>#REF!</f>
        <v/>
      </c>
      <c r="N33" s="88" t="n"/>
      <c r="O33" s="141">
        <f>#REF!</f>
        <v/>
      </c>
      <c r="P33" s="88" t="n"/>
      <c r="Q33" s="141">
        <f>#REF!</f>
        <v/>
      </c>
      <c r="R33" s="88" t="n"/>
      <c r="S33" s="141">
        <f>#REF!</f>
        <v/>
      </c>
      <c r="T33" s="88" t="n"/>
      <c r="U33" s="88" t="n"/>
      <c r="V33" s="88" t="n"/>
      <c r="W33" s="88" t="n"/>
      <c r="X33" s="88" t="n"/>
      <c r="Y33" s="88" t="n"/>
      <c r="Z33" s="88" t="n"/>
      <c r="AA33" s="88" t="n"/>
      <c r="AB33" s="88" t="n"/>
      <c r="AC33" s="88" t="n"/>
      <c r="AD33" s="88" t="n"/>
      <c r="AE33" s="88" t="n"/>
      <c r="AF33" s="88" t="n"/>
    </row>
    <row r="34" customFormat="1" s="21">
      <c r="A34" s="40" t="inlineStr">
        <is>
          <t>Total</t>
        </is>
      </c>
      <c r="B34" s="40" t="n"/>
      <c r="C34" s="121" t="n"/>
      <c r="D34" s="121" t="n"/>
      <c r="E34" s="121" t="n"/>
      <c r="F34" s="121" t="n"/>
      <c r="G34" s="148">
        <f>#REF!</f>
        <v/>
      </c>
      <c r="H34" s="148">
        <f>#REF!</f>
        <v/>
      </c>
      <c r="I34" s="148">
        <f>#REF!</f>
        <v/>
      </c>
      <c r="J34" s="121" t="n"/>
      <c r="K34" s="148">
        <f>#REF!</f>
        <v/>
      </c>
      <c r="M34" s="148">
        <f>#REF!</f>
        <v/>
      </c>
      <c r="N34" s="133" t="n">
        <v>16980</v>
      </c>
      <c r="O34" s="148">
        <f>#REF!</f>
        <v/>
      </c>
      <c r="P34" s="133" t="n">
        <v>56496</v>
      </c>
      <c r="Q34" s="148">
        <f>#REF!</f>
        <v/>
      </c>
      <c r="R34" s="133">
        <f>#REF!</f>
        <v/>
      </c>
      <c r="S34" s="148">
        <f>#REF!</f>
        <v/>
      </c>
      <c r="T34" s="121" t="n">
        <v>54463</v>
      </c>
      <c r="U34" s="121" t="n">
        <v>76785</v>
      </c>
      <c r="V34" s="958" t="n"/>
      <c r="W34" s="121" t="n"/>
      <c r="X34" s="121" t="n"/>
      <c r="Y34" s="121" t="n"/>
      <c r="Z34" s="121" t="n"/>
      <c r="AA34" s="121" t="n"/>
      <c r="AB34" s="121" t="n"/>
      <c r="AC34" s="121" t="n"/>
      <c r="AD34" s="121" t="n"/>
      <c r="AE34" s="121" t="n"/>
      <c r="AF34" s="121" t="n"/>
    </row>
    <row r="35">
      <c r="D35" s="119" t="n"/>
      <c r="E35" s="119" t="n"/>
      <c r="F35" s="119" t="n"/>
      <c r="G35" s="119" t="n"/>
      <c r="H35" s="76" t="n"/>
      <c r="I35" s="76" t="n"/>
      <c r="J35" s="76" t="n"/>
      <c r="K35" s="76" t="n"/>
      <c r="M35" s="76" t="n"/>
      <c r="N35" s="76" t="n"/>
      <c r="O35" s="76" t="n"/>
      <c r="P35" s="76" t="n"/>
      <c r="Q35" s="76" t="n"/>
      <c r="R35" s="76" t="n"/>
      <c r="S35" s="76" t="n"/>
      <c r="T35" s="76" t="n"/>
      <c r="U35" s="76" t="n"/>
      <c r="V35" s="76" t="n"/>
      <c r="W35" s="76" t="n"/>
      <c r="X35" s="76" t="n"/>
      <c r="Y35" s="76" t="n"/>
      <c r="Z35" s="76" t="n"/>
      <c r="AA35" s="76" t="n"/>
      <c r="AB35" s="76" t="n"/>
      <c r="AC35" s="76" t="n"/>
      <c r="AD35" s="76" t="n"/>
      <c r="AE35" s="76" t="n"/>
      <c r="AF35" s="76" t="n"/>
    </row>
    <row r="36">
      <c r="A36" s="22" t="inlineStr">
        <is>
          <t>Segment GPM %</t>
        </is>
      </c>
      <c r="B36" s="22" t="n"/>
      <c r="C36" s="22" t="n"/>
      <c r="D36" s="76" t="n"/>
      <c r="E36" s="76" t="n"/>
      <c r="F36" s="76" t="n"/>
      <c r="G36" s="76" t="n"/>
      <c r="H36" s="76" t="n"/>
      <c r="I36" s="76" t="n"/>
      <c r="J36" s="76" t="n"/>
      <c r="K36" s="76" t="n"/>
      <c r="M36" s="76" t="n"/>
      <c r="N36" s="76" t="n"/>
      <c r="O36" s="76" t="n"/>
      <c r="P36" s="76" t="n"/>
      <c r="Q36" s="76" t="n"/>
      <c r="R36" s="76" t="n"/>
      <c r="S36" s="76" t="n"/>
      <c r="T36" s="76" t="n"/>
      <c r="U36" s="76" t="n"/>
      <c r="V36" s="76" t="n"/>
      <c r="W36" s="76" t="n"/>
      <c r="X36" s="76" t="n"/>
      <c r="Y36" s="76" t="n"/>
      <c r="Z36" s="76" t="n"/>
      <c r="AA36" s="76" t="n"/>
      <c r="AB36" s="76" t="n"/>
      <c r="AC36" s="76" t="n"/>
      <c r="AD36" s="76" t="n"/>
      <c r="AE36" s="76" t="n"/>
      <c r="AF36" s="76" t="n"/>
    </row>
    <row r="37">
      <c r="A37">
        <f>A12</f>
        <v/>
      </c>
      <c r="D37" s="86" t="n"/>
      <c r="E37" s="959" t="n"/>
      <c r="F37" s="959" t="n"/>
      <c r="G37" s="959" t="n">
        <v>0.121</v>
      </c>
      <c r="H37" s="959" t="n">
        <v>0.141</v>
      </c>
      <c r="I37" s="959" t="n">
        <v>0.098</v>
      </c>
      <c r="J37" s="959" t="n"/>
      <c r="K37" s="959" t="n">
        <v>0.112</v>
      </c>
      <c r="L37" s="959" t="n"/>
      <c r="M37" s="959" t="n">
        <v>0.077</v>
      </c>
      <c r="N37" s="959" t="n">
        <v>0.1163</v>
      </c>
      <c r="O37" s="959" t="n">
        <v>0.063</v>
      </c>
      <c r="P37" s="959" t="n">
        <v>0.09080000000000001</v>
      </c>
      <c r="Q37" s="959" t="n">
        <v>0.036</v>
      </c>
      <c r="R37" s="959" t="n">
        <v>0.182</v>
      </c>
      <c r="S37" s="959" t="n">
        <v>0.126</v>
      </c>
      <c r="T37" s="145" t="n"/>
      <c r="U37" s="959" t="n">
        <v>0.07199999999999999</v>
      </c>
      <c r="V37" s="959" t="n"/>
      <c r="W37" s="145" t="n"/>
      <c r="X37" s="145" t="n"/>
      <c r="Y37" s="145" t="n"/>
      <c r="Z37" s="145" t="n"/>
      <c r="AA37" s="145" t="n"/>
      <c r="AB37" s="145" t="n"/>
      <c r="AC37" s="145" t="n"/>
      <c r="AD37" s="145" t="n"/>
      <c r="AE37" s="145" t="n"/>
      <c r="AF37" s="145" t="n"/>
    </row>
    <row r="38">
      <c r="A38" s="74" t="inlineStr">
        <is>
          <t>Nuclear island</t>
        </is>
      </c>
      <c r="B38" s="74" t="n"/>
      <c r="C38" s="74" t="n"/>
      <c r="D38" s="86" t="n"/>
      <c r="E38" s="959" t="n"/>
      <c r="F38" s="959" t="n"/>
      <c r="G38" s="959" t="n">
        <v>0.107</v>
      </c>
      <c r="H38" s="959" t="n">
        <v>0.15</v>
      </c>
      <c r="I38" s="959" t="n">
        <v>0.169</v>
      </c>
      <c r="J38" s="959" t="n"/>
      <c r="K38" s="959" t="n">
        <v>0.205</v>
      </c>
      <c r="L38" s="959" t="n"/>
      <c r="M38" s="959" t="n">
        <v>0.227</v>
      </c>
      <c r="N38" s="959" t="n"/>
      <c r="O38" s="959" t="n">
        <v>0.247</v>
      </c>
      <c r="P38" s="959" t="n"/>
      <c r="Q38" s="959" t="n">
        <v>0.294</v>
      </c>
      <c r="R38" s="959" t="n"/>
      <c r="S38" s="959" t="n">
        <v>0.313</v>
      </c>
      <c r="T38" s="959" t="n">
        <v>0.314</v>
      </c>
      <c r="U38" s="959" t="n">
        <v>0.261</v>
      </c>
      <c r="V38" s="959" t="n">
        <v>0.31</v>
      </c>
      <c r="W38" s="145" t="n"/>
      <c r="X38" s="145" t="n"/>
      <c r="Y38" s="145" t="n"/>
      <c r="Z38" s="145" t="n"/>
      <c r="AA38" s="145" t="n"/>
      <c r="AB38" s="145" t="n"/>
      <c r="AC38" s="145" t="n"/>
      <c r="AD38" s="145" t="n"/>
      <c r="AE38" s="145" t="n"/>
      <c r="AF38" s="145" t="n"/>
    </row>
    <row r="39">
      <c r="A39" s="74" t="inlineStr">
        <is>
          <t>Wind</t>
        </is>
      </c>
      <c r="B39" s="74" t="n"/>
      <c r="C39" s="74" t="n"/>
      <c r="D39" s="86" t="n"/>
      <c r="E39" s="959" t="n"/>
      <c r="F39" s="959" t="n"/>
      <c r="G39" s="959" t="n">
        <v>0.138</v>
      </c>
      <c r="H39" s="959" t="n">
        <v>0.098</v>
      </c>
      <c r="I39" s="959" t="n">
        <v>0.07000000000000001</v>
      </c>
      <c r="J39" s="959" t="n"/>
      <c r="K39" s="959" t="n">
        <v>-0.011</v>
      </c>
      <c r="L39" s="959" t="n"/>
      <c r="M39" s="959" t="n">
        <v>-0.023</v>
      </c>
      <c r="N39" s="959" t="n"/>
      <c r="O39" s="959" t="n">
        <v>-0.017</v>
      </c>
      <c r="P39" s="959" t="n">
        <v>0.07000000000000001</v>
      </c>
      <c r="Q39" s="959" t="n">
        <v>-0.044</v>
      </c>
      <c r="R39" s="959" t="n"/>
      <c r="S39" s="959" t="n">
        <v>0.09</v>
      </c>
      <c r="T39" s="959" t="n">
        <v>0.112</v>
      </c>
      <c r="U39" s="959" t="n">
        <v>0.057</v>
      </c>
      <c r="V39" s="959" t="n">
        <v>0.15</v>
      </c>
      <c r="W39" s="145" t="n"/>
      <c r="X39" s="145" t="n"/>
      <c r="Y39" s="145" t="n"/>
      <c r="Z39" s="145" t="n"/>
      <c r="AA39" s="145" t="n"/>
      <c r="AB39" s="145" t="n"/>
      <c r="AC39" s="145" t="n"/>
      <c r="AD39" s="145" t="n"/>
      <c r="AE39" s="145" t="n"/>
      <c r="AF39" s="145" t="n"/>
    </row>
    <row r="40">
      <c r="A40" s="74" t="inlineStr">
        <is>
          <t>Forging</t>
        </is>
      </c>
      <c r="B40" s="74" t="n"/>
      <c r="C40" s="74" t="n"/>
      <c r="D40" s="86" t="n"/>
      <c r="E40" s="959" t="n"/>
      <c r="F40" s="959" t="n"/>
      <c r="G40" s="959" t="n"/>
      <c r="H40" s="959" t="n"/>
      <c r="I40" s="959" t="n"/>
      <c r="J40" s="959" t="n"/>
      <c r="K40" s="959" t="n"/>
      <c r="L40" s="959" t="n"/>
      <c r="M40" s="959" t="n"/>
      <c r="N40" s="959" t="n"/>
      <c r="O40" s="959" t="n"/>
      <c r="P40" s="959" t="n"/>
      <c r="Q40" s="959" t="n"/>
      <c r="R40" s="959" t="n"/>
      <c r="S40" s="959" t="n"/>
      <c r="T40" s="145" t="n"/>
      <c r="U40" s="145" t="n"/>
      <c r="V40" s="959" t="n"/>
      <c r="W40" s="145" t="n"/>
      <c r="X40" s="145" t="n"/>
      <c r="Y40" s="145" t="n"/>
      <c r="Z40" s="145" t="n"/>
      <c r="AA40" s="145" t="n"/>
      <c r="AB40" s="145" t="n"/>
      <c r="AC40" s="145" t="n"/>
      <c r="AD40" s="145" t="n"/>
      <c r="AE40" s="145" t="n"/>
      <c r="AF40" s="145" t="n"/>
    </row>
    <row r="41">
      <c r="A41">
        <f>A16</f>
        <v/>
      </c>
      <c r="D41" s="86" t="n"/>
      <c r="E41" s="959" t="n"/>
      <c r="F41" s="959" t="n"/>
      <c r="G41" s="959" t="n">
        <v>0.157</v>
      </c>
      <c r="H41" s="959" t="n">
        <v>0.173</v>
      </c>
      <c r="I41" s="959" t="n"/>
      <c r="J41" s="959" t="n"/>
      <c r="K41" s="959" t="n">
        <v>0.192</v>
      </c>
      <c r="L41" s="959" t="n"/>
      <c r="M41" s="959" t="n">
        <v>0.191</v>
      </c>
      <c r="N41" s="959" t="n">
        <v>0.162</v>
      </c>
      <c r="O41" s="959" t="n">
        <v>0.191</v>
      </c>
      <c r="P41" s="959" t="n">
        <v>0.206</v>
      </c>
      <c r="Q41" s="959" t="n">
        <v>0.176</v>
      </c>
      <c r="R41" s="959" t="n">
        <v>0.167</v>
      </c>
      <c r="S41" s="959" t="n">
        <v>0.18</v>
      </c>
      <c r="T41" s="145" t="n"/>
      <c r="U41" s="959" t="n">
        <v>0.17</v>
      </c>
      <c r="V41" s="959" t="n"/>
      <c r="W41" s="145" t="n"/>
      <c r="X41" s="145" t="n"/>
      <c r="Y41" s="145" t="n"/>
      <c r="Z41" s="145" t="n"/>
      <c r="AA41" s="145" t="n"/>
      <c r="AB41" s="145" t="n"/>
      <c r="AC41" s="145" t="n"/>
      <c r="AD41" s="145" t="n"/>
      <c r="AE41" s="145" t="n"/>
      <c r="AF41" s="145" t="n"/>
    </row>
    <row r="42">
      <c r="A42" s="74" t="inlineStr">
        <is>
          <t>Coal</t>
        </is>
      </c>
      <c r="B42" s="74" t="n"/>
      <c r="C42" s="74" t="n"/>
      <c r="D42" s="86" t="n"/>
      <c r="E42" s="959" t="n"/>
      <c r="F42" s="959" t="n"/>
      <c r="G42" s="959" t="n"/>
      <c r="H42" s="959" t="n"/>
      <c r="I42" s="959" t="n">
        <v>0.242</v>
      </c>
      <c r="J42" s="959" t="n"/>
      <c r="K42" s="959" t="n">
        <v>0.208</v>
      </c>
      <c r="L42" s="959" t="n"/>
      <c r="M42" s="959" t="n">
        <v>0.235</v>
      </c>
      <c r="N42" s="959" t="n"/>
      <c r="O42" s="959" t="n">
        <v>0.219</v>
      </c>
      <c r="P42" s="959" t="n">
        <v>0.249</v>
      </c>
      <c r="Q42" s="959" t="n">
        <v>0.204</v>
      </c>
      <c r="R42" s="959" t="n"/>
      <c r="S42" s="959" t="n"/>
      <c r="T42" s="959" t="n">
        <v>0.18</v>
      </c>
      <c r="U42" s="959" t="n">
        <v>0.183</v>
      </c>
      <c r="V42" s="959" t="n">
        <v>0.168</v>
      </c>
      <c r="W42" s="145" t="n"/>
      <c r="X42" s="145" t="n"/>
      <c r="Y42" s="145" t="n"/>
      <c r="Z42" s="145" t="n"/>
      <c r="AA42" s="145" t="n"/>
      <c r="AB42" s="145" t="n"/>
      <c r="AC42" s="145" t="n"/>
      <c r="AD42" s="145" t="n"/>
      <c r="AE42" s="145" t="n"/>
      <c r="AF42" s="145" t="n"/>
    </row>
    <row r="43">
      <c r="A43" s="74" t="inlineStr">
        <is>
          <t>Gas</t>
        </is>
      </c>
      <c r="B43" s="74" t="n"/>
      <c r="C43" s="74" t="n"/>
      <c r="D43" s="86" t="n"/>
      <c r="E43" s="959" t="n"/>
      <c r="F43" s="959" t="n"/>
      <c r="G43" s="959" t="n"/>
      <c r="H43" s="959" t="n"/>
      <c r="I43" s="959" t="n"/>
      <c r="J43" s="959" t="n"/>
      <c r="K43" s="959" t="n"/>
      <c r="L43" s="959" t="n"/>
      <c r="M43" s="959" t="n"/>
      <c r="N43" s="959" t="n"/>
      <c r="O43" s="959" t="n"/>
      <c r="P43" s="959" t="n"/>
      <c r="Q43" s="959" t="n"/>
      <c r="R43" s="959" t="n"/>
      <c r="S43" s="959" t="n"/>
      <c r="T43" s="145" t="n"/>
      <c r="U43" s="145" t="n"/>
      <c r="V43" s="959" t="n"/>
      <c r="W43" s="145" t="n"/>
      <c r="X43" s="145" t="n"/>
      <c r="Y43" s="145" t="n"/>
      <c r="Z43" s="145" t="n"/>
      <c r="AA43" s="145" t="n"/>
      <c r="AB43" s="145" t="n"/>
      <c r="AC43" s="145" t="n"/>
      <c r="AD43" s="145" t="n"/>
      <c r="AE43" s="145" t="n"/>
      <c r="AF43" s="145" t="n"/>
    </row>
    <row r="44">
      <c r="A44" s="74" t="inlineStr">
        <is>
          <t>Conventional island</t>
        </is>
      </c>
      <c r="B44" s="74" t="n"/>
      <c r="C44" s="74" t="n"/>
      <c r="D44" s="86" t="n"/>
      <c r="E44" s="959" t="n"/>
      <c r="F44" s="959" t="n"/>
      <c r="G44" s="959" t="n"/>
      <c r="H44" s="959" t="n"/>
      <c r="I44" s="959" t="n"/>
      <c r="J44" s="959" t="n"/>
      <c r="K44" s="959" t="n"/>
      <c r="L44" s="959" t="n"/>
      <c r="M44" s="959" t="n"/>
      <c r="N44" s="959" t="n"/>
      <c r="O44" s="959" t="n"/>
      <c r="P44" s="959" t="n"/>
      <c r="Q44" s="959" t="n"/>
      <c r="R44" s="959" t="n"/>
      <c r="S44" s="959" t="n"/>
      <c r="T44" s="145" t="n"/>
      <c r="U44" s="145" t="n"/>
      <c r="V44" s="959" t="n">
        <v>0.176</v>
      </c>
      <c r="W44" s="145" t="n"/>
      <c r="X44" s="145" t="n"/>
      <c r="Y44" s="145" t="n"/>
      <c r="Z44" s="145" t="n"/>
      <c r="AA44" s="145" t="n"/>
      <c r="AB44" s="145" t="n"/>
      <c r="AC44" s="145" t="n"/>
      <c r="AD44" s="145" t="n"/>
      <c r="AE44" s="145" t="n"/>
      <c r="AF44" s="145" t="n"/>
    </row>
    <row r="45">
      <c r="A45" s="74" t="inlineStr">
        <is>
          <t>T&amp;D</t>
        </is>
      </c>
      <c r="B45" s="74" t="n"/>
      <c r="C45" s="74" t="n"/>
      <c r="D45" s="86" t="n"/>
      <c r="E45" s="959" t="n"/>
      <c r="F45" s="959" t="n"/>
      <c r="G45" s="959" t="n"/>
      <c r="H45" s="959" t="n"/>
      <c r="I45" s="959" t="n">
        <v>0.156</v>
      </c>
      <c r="J45" s="959" t="n"/>
      <c r="K45" s="959" t="n"/>
      <c r="L45" s="959" t="n"/>
      <c r="M45" s="959" t="n">
        <v>0.183</v>
      </c>
      <c r="N45" s="959" t="n"/>
      <c r="O45" s="959" t="n"/>
      <c r="P45" s="959" t="n"/>
      <c r="Q45" s="959" t="n">
        <v>0.187</v>
      </c>
      <c r="R45" s="959" t="n"/>
      <c r="S45" s="959" t="n"/>
      <c r="T45" s="959" t="n">
        <v>0.206</v>
      </c>
      <c r="U45" s="959" t="n">
        <v>0.179</v>
      </c>
      <c r="V45" s="959" t="n">
        <v>0.222</v>
      </c>
      <c r="W45" s="145" t="n"/>
      <c r="X45" s="145" t="n"/>
      <c r="Y45" s="145" t="n"/>
      <c r="Z45" s="145" t="n"/>
      <c r="AA45" s="145" t="n"/>
      <c r="AB45" s="145" t="n"/>
      <c r="AC45" s="145" t="n"/>
      <c r="AD45" s="145" t="n"/>
      <c r="AE45" s="145" t="n"/>
      <c r="AF45" s="145" t="n"/>
    </row>
    <row r="46">
      <c r="A46" s="74" t="inlineStr">
        <is>
          <t>Others</t>
        </is>
      </c>
      <c r="B46" s="74" t="n"/>
      <c r="C46" s="74" t="n"/>
      <c r="D46" s="86" t="n"/>
      <c r="E46" s="959" t="n"/>
      <c r="F46" s="959" t="n"/>
      <c r="G46" s="959" t="n"/>
      <c r="H46" s="959" t="n"/>
      <c r="I46" s="959" t="n"/>
      <c r="J46" s="959" t="n"/>
      <c r="K46" s="959" t="n"/>
      <c r="L46" s="959" t="n"/>
      <c r="M46" s="959" t="n"/>
      <c r="N46" s="959" t="n"/>
      <c r="O46" s="959" t="n"/>
      <c r="P46" s="959" t="n"/>
      <c r="Q46" s="959" t="n"/>
      <c r="R46" s="959" t="n"/>
      <c r="S46" s="959" t="n"/>
      <c r="T46" s="145" t="n"/>
      <c r="U46" s="145" t="n"/>
      <c r="V46" s="959" t="n"/>
      <c r="W46" s="145" t="n"/>
      <c r="X46" s="145" t="n"/>
      <c r="Y46" s="145" t="n"/>
      <c r="Z46" s="145" t="n"/>
      <c r="AA46" s="145" t="n"/>
      <c r="AB46" s="145" t="n"/>
      <c r="AC46" s="145" t="n"/>
      <c r="AD46" s="145" t="n"/>
      <c r="AE46" s="145" t="n"/>
      <c r="AF46" s="145" t="n"/>
    </row>
    <row r="47">
      <c r="A47">
        <f>A22</f>
        <v/>
      </c>
      <c r="D47" s="86" t="n"/>
      <c r="E47" s="959" t="n"/>
      <c r="F47" s="959" t="n"/>
      <c r="G47" s="959" t="n">
        <v>0.19</v>
      </c>
      <c r="H47" s="959" t="n">
        <v>0.191</v>
      </c>
      <c r="I47" s="959" t="n">
        <v>0.185</v>
      </c>
      <c r="J47" s="959" t="n"/>
      <c r="K47" s="959" t="n">
        <v>0.192</v>
      </c>
      <c r="L47" s="959" t="n"/>
      <c r="M47" s="959" t="n">
        <v>0.2</v>
      </c>
      <c r="N47" s="959" t="n">
        <v>0.199</v>
      </c>
      <c r="O47" s="959" t="n">
        <v>0.197</v>
      </c>
      <c r="P47" s="959" t="n">
        <v>0.213</v>
      </c>
      <c r="Q47" s="959" t="n">
        <v>0.206</v>
      </c>
      <c r="R47" s="959" t="n">
        <v>0.214</v>
      </c>
      <c r="S47" s="959" t="n">
        <v>0.211</v>
      </c>
      <c r="T47" s="959" t="n">
        <v>0.224</v>
      </c>
      <c r="U47" s="959" t="n">
        <v>0.21</v>
      </c>
      <c r="V47" s="959" t="n">
        <v>0.217</v>
      </c>
      <c r="W47" s="145" t="n"/>
      <c r="X47" s="145" t="n"/>
      <c r="Y47" s="145" t="n"/>
      <c r="Z47" s="145" t="n"/>
      <c r="AA47" s="145" t="n"/>
      <c r="AB47" s="145" t="n"/>
      <c r="AC47" s="145" t="n"/>
      <c r="AD47" s="145" t="n"/>
      <c r="AE47" s="145" t="n"/>
      <c r="AF47" s="145" t="n"/>
    </row>
    <row r="48">
      <c r="A48">
        <f>A28</f>
        <v/>
      </c>
      <c r="D48" s="86" t="n"/>
      <c r="E48" s="959" t="n"/>
      <c r="F48" s="959" t="n"/>
      <c r="G48" s="959" t="n">
        <v>0.054</v>
      </c>
      <c r="H48" s="959" t="n">
        <v>0.07099999999999999</v>
      </c>
      <c r="I48" s="959" t="n">
        <v>0.067</v>
      </c>
      <c r="J48" s="959" t="n"/>
      <c r="K48" s="959" t="n">
        <v>0.107</v>
      </c>
      <c r="L48" s="959" t="n"/>
      <c r="M48" s="959" t="n">
        <v>0.098</v>
      </c>
      <c r="N48" s="959" t="n">
        <v>0.1017</v>
      </c>
      <c r="O48" s="959" t="n">
        <v>0.104</v>
      </c>
      <c r="P48" s="959" t="n">
        <v>0.116</v>
      </c>
      <c r="Q48" s="959" t="n">
        <v>0.105</v>
      </c>
      <c r="R48" s="959" t="n">
        <v>0.227</v>
      </c>
      <c r="S48" s="959" t="n">
        <v>0.18</v>
      </c>
      <c r="T48" s="145" t="n"/>
      <c r="U48" s="959" t="n">
        <v>0.164</v>
      </c>
      <c r="V48" s="959" t="n"/>
      <c r="W48" s="145" t="n"/>
      <c r="X48" s="145" t="n"/>
      <c r="Y48" s="145" t="n"/>
      <c r="Z48" s="145" t="n"/>
      <c r="AA48" s="145" t="n"/>
      <c r="AB48" s="145" t="n"/>
      <c r="AC48" s="145" t="n"/>
      <c r="AD48" s="145" t="n"/>
      <c r="AE48" s="145" t="n"/>
      <c r="AF48" s="145" t="n"/>
    </row>
    <row r="49">
      <c r="A49" s="74" t="inlineStr">
        <is>
          <t>Engineering</t>
        </is>
      </c>
      <c r="B49" s="74" t="n"/>
      <c r="C49" s="74" t="n"/>
      <c r="D49" s="86" t="n"/>
      <c r="E49" s="959" t="n"/>
      <c r="F49" s="959" t="n"/>
      <c r="G49" s="959" t="n"/>
      <c r="H49" s="959" t="n"/>
      <c r="I49" s="959" t="n"/>
      <c r="J49" s="959" t="n"/>
      <c r="K49" s="959" t="n"/>
      <c r="L49" s="959" t="n"/>
      <c r="M49" s="959" t="n"/>
      <c r="N49" s="959" t="n"/>
      <c r="O49" s="959" t="n"/>
      <c r="P49" s="959" t="n"/>
      <c r="Q49" s="145" t="n"/>
      <c r="R49" s="959" t="n"/>
      <c r="S49" s="959" t="n"/>
      <c r="T49" s="959" t="n">
        <v>0.176</v>
      </c>
      <c r="U49" s="145" t="n"/>
      <c r="V49" s="959" t="n">
        <v>0.131</v>
      </c>
      <c r="W49" s="145" t="n"/>
      <c r="X49" s="145" t="n"/>
      <c r="Y49" s="145" t="n"/>
      <c r="Z49" s="145" t="n"/>
      <c r="AA49" s="145" t="n"/>
      <c r="AB49" s="145" t="n"/>
      <c r="AC49" s="145" t="n"/>
      <c r="AD49" s="145" t="n"/>
      <c r="AE49" s="145" t="n"/>
      <c r="AF49" s="145" t="n"/>
    </row>
    <row r="50">
      <c r="A50" s="74" t="inlineStr">
        <is>
          <t>Service</t>
        </is>
      </c>
      <c r="B50" s="74" t="n"/>
      <c r="C50" s="74" t="n"/>
      <c r="D50" s="86" t="n"/>
      <c r="E50" s="959" t="n"/>
      <c r="F50" s="959" t="n"/>
      <c r="G50" s="959" t="n"/>
      <c r="H50" s="959" t="n"/>
      <c r="I50" s="959" t="n"/>
      <c r="J50" s="959" t="n"/>
      <c r="K50" s="959" t="n"/>
      <c r="L50" s="959" t="n"/>
      <c r="M50" s="959" t="n"/>
      <c r="N50" s="959" t="n"/>
      <c r="O50" s="959" t="n"/>
      <c r="P50" s="959" t="n"/>
      <c r="Q50" s="145" t="n"/>
      <c r="R50" s="959" t="n"/>
      <c r="S50" s="959" t="n"/>
      <c r="T50" s="959" t="n">
        <v>0.131</v>
      </c>
      <c r="U50" s="145" t="n"/>
      <c r="V50" s="959" t="n">
        <v>0.249</v>
      </c>
      <c r="W50" s="145" t="n"/>
      <c r="X50" s="145" t="n"/>
      <c r="Y50" s="145" t="n"/>
      <c r="Z50" s="145" t="n"/>
      <c r="AA50" s="145" t="n"/>
      <c r="AB50" s="145" t="n"/>
      <c r="AC50" s="145" t="n"/>
      <c r="AD50" s="145" t="n"/>
      <c r="AE50" s="145" t="n"/>
      <c r="AF50" s="145" t="n"/>
    </row>
    <row r="51">
      <c r="A51">
        <f>A32</f>
        <v/>
      </c>
      <c r="D51" s="86" t="n"/>
      <c r="E51" s="959" t="n"/>
      <c r="F51" s="959" t="n"/>
      <c r="G51" s="959" t="n"/>
      <c r="H51" s="959" t="n"/>
      <c r="I51" s="959" t="n"/>
      <c r="J51" s="959" t="n"/>
      <c r="K51" s="959" t="n"/>
      <c r="L51" s="959" t="n"/>
      <c r="M51" s="959" t="n"/>
      <c r="N51" s="959" t="n"/>
      <c r="O51" s="959" t="n"/>
      <c r="P51" s="959" t="n"/>
      <c r="Q51" s="145" t="n"/>
      <c r="R51" s="959" t="n"/>
      <c r="S51" s="959" t="n"/>
      <c r="T51" s="145" t="n"/>
      <c r="U51" s="145" t="n"/>
      <c r="V51" s="959" t="n"/>
      <c r="W51" s="145" t="n"/>
      <c r="X51" s="145" t="n"/>
      <c r="Y51" s="145" t="n"/>
      <c r="Z51" s="145" t="n"/>
      <c r="AA51" s="145" t="n"/>
      <c r="AB51" s="145" t="n"/>
      <c r="AC51" s="145" t="n"/>
      <c r="AD51" s="145" t="n"/>
      <c r="AE51" s="145" t="n"/>
      <c r="AF51" s="145" t="n"/>
    </row>
    <row r="52" customFormat="1" s="21">
      <c r="A52" s="40">
        <f>A34</f>
        <v/>
      </c>
      <c r="B52" s="40" t="n"/>
      <c r="C52" s="40" t="n"/>
      <c r="D52" s="121" t="n"/>
      <c r="E52" s="121" t="n"/>
      <c r="F52" s="121" t="n"/>
      <c r="G52" s="121" t="n"/>
      <c r="H52" s="121" t="n"/>
      <c r="I52" s="121" t="n"/>
      <c r="J52" s="121" t="n"/>
      <c r="K52" s="960" t="n">
        <v>0.188</v>
      </c>
      <c r="M52" s="960" t="n">
        <v>0.183</v>
      </c>
      <c r="N52" s="960" t="n">
        <v>0.188</v>
      </c>
      <c r="O52" s="960" t="n">
        <v>0.175</v>
      </c>
      <c r="P52" s="960" t="n">
        <v>0.191</v>
      </c>
      <c r="Q52" s="960" t="n">
        <v>0.174</v>
      </c>
      <c r="R52" s="960">
        <f>#REF!</f>
        <v/>
      </c>
      <c r="S52" s="960" t="n">
        <v>0.194</v>
      </c>
      <c r="T52" s="931" t="n">
        <v>0.188</v>
      </c>
      <c r="U52" s="959" t="n">
        <v>0.187</v>
      </c>
      <c r="V52" s="959" t="n">
        <v>0.165</v>
      </c>
      <c r="W52" s="121" t="n"/>
      <c r="X52" s="121" t="n"/>
      <c r="Y52" s="121" t="n"/>
      <c r="Z52" s="121" t="n"/>
      <c r="AA52" s="121" t="n"/>
      <c r="AB52" s="121" t="n"/>
      <c r="AC52" s="121" t="n"/>
      <c r="AD52" s="121" t="n"/>
      <c r="AE52" s="121" t="n"/>
      <c r="AF52" s="121" t="n"/>
    </row>
    <row r="53">
      <c r="D53" s="119" t="n"/>
      <c r="E53" s="119" t="n"/>
      <c r="F53" s="119" t="n"/>
      <c r="G53" s="119" t="n"/>
      <c r="H53" s="119" t="n"/>
      <c r="I53" s="119" t="n"/>
      <c r="J53" s="119" t="n"/>
      <c r="K53" s="119" t="n"/>
      <c r="M53" s="119" t="n"/>
      <c r="N53" s="119" t="n"/>
      <c r="O53" s="119" t="n"/>
      <c r="P53" s="119" t="n"/>
      <c r="Q53" s="119" t="n"/>
      <c r="R53" s="119" t="n"/>
      <c r="S53" s="119" t="n"/>
      <c r="T53" s="119" t="n"/>
      <c r="U53" s="76" t="n"/>
      <c r="V53" s="119" t="n"/>
      <c r="W53" s="119" t="n"/>
      <c r="X53" s="119" t="n"/>
      <c r="Y53" s="119" t="n"/>
      <c r="Z53" s="119" t="n"/>
      <c r="AA53" s="119" t="n"/>
      <c r="AB53" s="119" t="n"/>
      <c r="AC53" s="119" t="n"/>
      <c r="AD53" s="119" t="n"/>
      <c r="AE53" s="119" t="n"/>
      <c r="AF53" s="119" t="n"/>
    </row>
    <row r="54">
      <c r="A54" s="22" t="inlineStr">
        <is>
          <t>Segment new order</t>
        </is>
      </c>
      <c r="B54" s="22" t="n"/>
      <c r="C54" s="22" t="n"/>
      <c r="D54" s="76" t="n"/>
      <c r="E54" s="76" t="n"/>
      <c r="F54" s="76" t="n"/>
      <c r="G54" s="76" t="n"/>
      <c r="H54" s="76" t="n"/>
      <c r="I54" s="76" t="n"/>
      <c r="J54" s="76" t="n"/>
      <c r="K54" s="76" t="n"/>
      <c r="M54" s="76" t="n"/>
      <c r="N54" s="76" t="n"/>
      <c r="O54" s="76" t="n"/>
      <c r="P54" s="76" t="n"/>
      <c r="Q54" s="76" t="n"/>
      <c r="R54" s="76" t="n"/>
      <c r="S54" s="76" t="n"/>
      <c r="T54" s="119" t="n"/>
      <c r="U54" s="76" t="n"/>
      <c r="V54" s="76" t="n"/>
      <c r="W54" s="76" t="n"/>
      <c r="X54" s="76" t="n"/>
      <c r="Y54" s="76" t="n"/>
      <c r="Z54" s="76" t="n"/>
      <c r="AA54" s="76" t="n"/>
      <c r="AB54" s="76" t="n"/>
      <c r="AC54" s="76" t="n"/>
      <c r="AD54" s="76" t="n"/>
      <c r="AE54" s="76" t="n"/>
      <c r="AF54" s="76" t="n"/>
    </row>
    <row r="55" customFormat="1" s="21">
      <c r="A55" s="22">
        <f>A37</f>
        <v/>
      </c>
      <c r="B55" s="22" t="n"/>
      <c r="C55" s="22" t="n"/>
      <c r="D55" s="121" t="n"/>
      <c r="E55" s="121" t="n"/>
      <c r="F55" s="121">
        <f>SUM(F56:F57)</f>
        <v/>
      </c>
      <c r="G55" s="121">
        <f>SUM(G56:G57)</f>
        <v/>
      </c>
      <c r="H55" s="133" t="n">
        <v>7983</v>
      </c>
      <c r="I55" s="133" t="n">
        <v>11589</v>
      </c>
      <c r="J55" s="133" t="n"/>
      <c r="K55" s="133" t="n">
        <v>2794</v>
      </c>
      <c r="L55" s="22" t="n"/>
      <c r="M55" s="133" t="n">
        <v>4883</v>
      </c>
      <c r="N55" s="133" t="n">
        <v>400</v>
      </c>
      <c r="O55" s="133" t="n">
        <v>2459</v>
      </c>
      <c r="P55" s="133" t="n">
        <v>5490</v>
      </c>
      <c r="Q55" s="133" t="n">
        <v>6790</v>
      </c>
      <c r="R55" s="133" t="n">
        <v>5010</v>
      </c>
      <c r="S55" s="133" t="n">
        <v>6826</v>
      </c>
      <c r="T55" s="133" t="n">
        <v>10280</v>
      </c>
      <c r="U55" s="133" t="n">
        <v>13500</v>
      </c>
      <c r="V55" s="133">
        <f>SUM(V56:V58)</f>
        <v/>
      </c>
      <c r="W55" s="133" t="n"/>
      <c r="X55" s="133" t="n"/>
      <c r="Y55" s="133" t="n"/>
      <c r="Z55" s="133" t="n"/>
      <c r="AA55" s="133" t="n"/>
      <c r="AB55" s="133" t="n"/>
      <c r="AC55" s="133" t="n"/>
      <c r="AD55" s="133" t="n"/>
      <c r="AE55" s="133" t="n"/>
      <c r="AF55" s="133" t="n"/>
    </row>
    <row r="56">
      <c r="A56" s="74" t="inlineStr">
        <is>
          <t>Nuclear island</t>
        </is>
      </c>
      <c r="B56" s="74" t="n"/>
      <c r="C56" s="74" t="n"/>
      <c r="D56" s="86" t="n"/>
      <c r="E56" s="86" t="n"/>
      <c r="F56" s="86">
        <f>16276*0.5</f>
        <v/>
      </c>
      <c r="G56" s="86">
        <f>17196*0.7</f>
        <v/>
      </c>
      <c r="H56" s="145" t="n">
        <v>3971</v>
      </c>
      <c r="I56" s="145" t="n">
        <v>3328</v>
      </c>
      <c r="J56" s="145" t="n"/>
      <c r="K56" s="145" t="n"/>
      <c r="M56" s="145" t="n"/>
      <c r="N56" s="145" t="n"/>
      <c r="O56" s="145" t="n">
        <v>74</v>
      </c>
      <c r="P56" s="145" t="n">
        <v>1240</v>
      </c>
      <c r="Q56" s="145" t="n">
        <v>1631</v>
      </c>
      <c r="R56" s="145" t="n">
        <v>1200</v>
      </c>
      <c r="S56" s="145" t="n">
        <v>1545</v>
      </c>
      <c r="T56" s="145" t="n">
        <v>2340</v>
      </c>
      <c r="U56" s="145" t="n">
        <v>2970</v>
      </c>
      <c r="V56" s="145" t="n">
        <v>320</v>
      </c>
      <c r="W56" s="145" t="n"/>
      <c r="X56" s="145" t="n"/>
      <c r="Y56" s="145" t="n"/>
      <c r="Z56" s="145" t="n"/>
      <c r="AA56" s="145" t="n"/>
      <c r="AB56" s="145" t="n"/>
      <c r="AC56" s="145" t="n"/>
      <c r="AD56" s="145" t="n"/>
      <c r="AE56" s="145" t="n"/>
      <c r="AF56" s="145" t="n"/>
    </row>
    <row r="57">
      <c r="A57" s="74" t="inlineStr">
        <is>
          <t>Wind</t>
        </is>
      </c>
      <c r="B57" s="74" t="n"/>
      <c r="C57" s="74" t="n"/>
      <c r="D57" s="86" t="n"/>
      <c r="E57" s="86" t="n"/>
      <c r="F57" s="86">
        <f>75636*0.005</f>
        <v/>
      </c>
      <c r="G57" s="86">
        <f>70598*0.08</f>
        <v/>
      </c>
      <c r="H57" s="145" t="n">
        <v>2542</v>
      </c>
      <c r="I57" s="145" t="n">
        <v>6241</v>
      </c>
      <c r="J57" s="145" t="n"/>
      <c r="K57" s="145" t="n"/>
      <c r="M57" s="145" t="n"/>
      <c r="N57" s="145" t="n">
        <v>180</v>
      </c>
      <c r="O57" s="145" t="n">
        <v>1923</v>
      </c>
      <c r="P57" s="145" t="n">
        <v>3430</v>
      </c>
      <c r="Q57" s="346" t="n">
        <v>4110</v>
      </c>
      <c r="R57" s="145" t="n">
        <v>3460</v>
      </c>
      <c r="S57" s="145" t="n">
        <v>4646</v>
      </c>
      <c r="T57" s="145" t="n">
        <v>6940</v>
      </c>
      <c r="U57" s="76" t="n">
        <v>9400</v>
      </c>
      <c r="V57" s="145" t="n">
        <v>3680</v>
      </c>
      <c r="W57" s="145" t="n"/>
      <c r="X57" s="958" t="n"/>
      <c r="Y57" s="958" t="n"/>
      <c r="Z57" s="145" t="n"/>
      <c r="AA57" s="145" t="n"/>
      <c r="AB57" s="145" t="n"/>
      <c r="AC57" s="145" t="n"/>
      <c r="AD57" s="145" t="n"/>
      <c r="AE57" s="145" t="n"/>
      <c r="AF57" s="145" t="n"/>
    </row>
    <row r="58">
      <c r="A58" s="74" t="inlineStr">
        <is>
          <t>Forging</t>
        </is>
      </c>
      <c r="B58" s="74" t="n"/>
      <c r="C58" s="74" t="n"/>
      <c r="D58" s="86" t="n"/>
      <c r="E58" s="86" t="n"/>
      <c r="F58" s="86" t="n"/>
      <c r="G58" s="86" t="n"/>
      <c r="H58" s="145" t="n"/>
      <c r="I58" s="145" t="n"/>
      <c r="J58" s="145" t="n"/>
      <c r="K58" s="145" t="n"/>
      <c r="M58" s="145" t="n"/>
      <c r="N58" s="145" t="n">
        <v>210</v>
      </c>
      <c r="O58" s="145" t="n"/>
      <c r="P58" s="145" t="n">
        <v>820</v>
      </c>
      <c r="Q58" s="346" t="n"/>
      <c r="R58" s="145" t="n"/>
      <c r="S58" s="145" t="n"/>
      <c r="T58" s="145" t="n"/>
      <c r="U58" s="76" t="n"/>
      <c r="V58" s="145" t="n">
        <v>190</v>
      </c>
      <c r="W58" s="145" t="n"/>
      <c r="X58" s="145" t="n"/>
      <c r="Y58" s="145" t="n"/>
      <c r="Z58" s="145" t="n"/>
      <c r="AA58" s="145" t="n"/>
      <c r="AB58" s="145" t="n"/>
      <c r="AC58" s="145" t="n"/>
      <c r="AD58" s="145" t="n"/>
      <c r="AE58" s="145" t="n"/>
      <c r="AF58" s="145" t="n"/>
    </row>
    <row r="59" customFormat="1" s="21">
      <c r="A59" s="22">
        <f>A41</f>
        <v/>
      </c>
      <c r="B59" s="22" t="n"/>
      <c r="C59" s="22" t="n"/>
      <c r="D59" s="121" t="n"/>
      <c r="E59" s="121" t="n"/>
      <c r="F59" s="121">
        <f>SUM(F60:F63)</f>
        <v/>
      </c>
      <c r="G59" s="121">
        <f>SUM(G60:G63)</f>
        <v/>
      </c>
      <c r="H59" s="133" t="n">
        <v>39326</v>
      </c>
      <c r="I59" s="133" t="n">
        <v>26655</v>
      </c>
      <c r="J59" s="133" t="n"/>
      <c r="K59" s="133" t="n">
        <v>7341</v>
      </c>
      <c r="L59" s="22" t="n"/>
      <c r="M59" s="133" t="n">
        <v>28714</v>
      </c>
      <c r="N59" s="133" t="n">
        <v>4270</v>
      </c>
      <c r="O59" s="133" t="n">
        <v>17242</v>
      </c>
      <c r="P59" s="133" t="n">
        <v>31150</v>
      </c>
      <c r="Q59" s="354" t="n">
        <v>36300</v>
      </c>
      <c r="R59" s="133" t="n">
        <v>6790</v>
      </c>
      <c r="S59" s="133" t="n">
        <v>14498</v>
      </c>
      <c r="T59" s="133" t="n">
        <v>20090</v>
      </c>
      <c r="U59" s="133" t="n">
        <v>29000</v>
      </c>
      <c r="V59" s="133">
        <f>SUM(V60:V63)</f>
        <v/>
      </c>
      <c r="W59" s="133" t="n"/>
      <c r="X59" s="133" t="n"/>
      <c r="Y59" s="133" t="n"/>
      <c r="Z59" s="133" t="n"/>
      <c r="AA59" s="133" t="n"/>
      <c r="AB59" s="133" t="n"/>
      <c r="AC59" s="133" t="n"/>
      <c r="AD59" s="133" t="n"/>
      <c r="AE59" s="133" t="n"/>
      <c r="AF59" s="133" t="n"/>
    </row>
    <row r="60">
      <c r="A60" s="74" t="inlineStr">
        <is>
          <t>Coal</t>
        </is>
      </c>
      <c r="B60" s="74" t="n"/>
      <c r="C60" s="74" t="n"/>
      <c r="D60" s="86" t="n"/>
      <c r="E60" s="86" t="n"/>
      <c r="F60" s="86">
        <f>0.561*75636</f>
        <v/>
      </c>
      <c r="G60" s="86">
        <f>70598*0.29</f>
        <v/>
      </c>
      <c r="H60" s="86">
        <f>(H17+H18+H19+H78-G78)</f>
        <v/>
      </c>
      <c r="I60" s="145" t="n">
        <v>16762</v>
      </c>
      <c r="J60" s="145" t="n"/>
      <c r="K60" s="145" t="n">
        <v>1940</v>
      </c>
      <c r="M60" s="145" t="n">
        <v>17300</v>
      </c>
      <c r="N60" s="145" t="n">
        <v>2561</v>
      </c>
      <c r="O60" s="145" t="n">
        <v>12717</v>
      </c>
      <c r="P60" s="145" t="n">
        <v>17990</v>
      </c>
      <c r="Q60" s="145" t="n">
        <v>25210</v>
      </c>
      <c r="R60" s="145" t="n">
        <v>5450</v>
      </c>
      <c r="S60" s="145" t="n">
        <v>10500</v>
      </c>
      <c r="T60" s="145" t="n">
        <v>13820</v>
      </c>
      <c r="U60" s="145" t="n">
        <v>21400</v>
      </c>
      <c r="V60" s="145" t="n">
        <v>2530</v>
      </c>
      <c r="W60" s="145" t="n"/>
      <c r="X60" s="145" t="n"/>
      <c r="Y60" s="145" t="n"/>
      <c r="Z60" s="145" t="n"/>
      <c r="AA60" s="145" t="n"/>
      <c r="AB60" s="145" t="n"/>
      <c r="AC60" s="145" t="n"/>
      <c r="AD60" s="145" t="n"/>
      <c r="AE60" s="145" t="n"/>
      <c r="AF60" s="145" t="n"/>
    </row>
    <row r="61">
      <c r="A61" s="74" t="inlineStr">
        <is>
          <t>Gas</t>
        </is>
      </c>
      <c r="B61" s="74" t="n"/>
      <c r="C61" s="74" t="n"/>
      <c r="D61" s="86" t="n"/>
      <c r="E61" s="86" t="n"/>
      <c r="F61" s="86" t="n"/>
      <c r="G61" s="86" t="n"/>
      <c r="H61" s="365" t="n"/>
      <c r="I61" s="145" t="n">
        <v>4683</v>
      </c>
      <c r="J61" s="145" t="n"/>
      <c r="K61" s="145" t="n"/>
      <c r="M61" s="145" t="n">
        <v>5200</v>
      </c>
      <c r="N61" s="145" t="n"/>
      <c r="O61" s="145" t="n"/>
      <c r="P61" s="145" t="n">
        <v>8510</v>
      </c>
      <c r="Q61" s="145" t="n">
        <v>2300</v>
      </c>
      <c r="R61" s="145" t="n">
        <v>0</v>
      </c>
      <c r="S61" s="145" t="n">
        <v>890</v>
      </c>
      <c r="T61" s="145" t="n">
        <v>1420</v>
      </c>
      <c r="U61" s="145" t="n">
        <v>2830</v>
      </c>
      <c r="V61" s="145" t="n">
        <v>880</v>
      </c>
      <c r="W61" s="145" t="n"/>
      <c r="X61" s="145" t="n"/>
      <c r="Y61" s="145" t="n"/>
      <c r="Z61" s="145" t="n"/>
      <c r="AA61" s="145" t="n"/>
      <c r="AB61" s="145" t="n"/>
      <c r="AC61" s="145" t="n"/>
      <c r="AD61" s="145" t="n"/>
      <c r="AE61" s="145" t="n"/>
      <c r="AF61" s="145" t="n"/>
    </row>
    <row r="62">
      <c r="A62" s="74" t="inlineStr">
        <is>
          <t>Conventional island</t>
        </is>
      </c>
      <c r="B62" s="74" t="n"/>
      <c r="C62" s="74" t="n"/>
      <c r="D62" s="86" t="n"/>
      <c r="E62" s="86" t="n"/>
      <c r="F62" s="86">
        <f>75636*0.082</f>
        <v/>
      </c>
      <c r="G62" s="86">
        <f>70598*0.15</f>
        <v/>
      </c>
      <c r="H62" s="145" t="n"/>
      <c r="I62" s="145" t="n"/>
      <c r="J62" s="145" t="n"/>
      <c r="K62" s="145" t="n"/>
      <c r="M62" s="145" t="n"/>
      <c r="N62" s="145" t="n"/>
      <c r="O62" s="145" t="n"/>
      <c r="P62" s="145" t="n">
        <v>20</v>
      </c>
      <c r="Q62" s="145" t="n">
        <v>2050</v>
      </c>
      <c r="R62" s="145" t="n"/>
      <c r="S62" s="145" t="n"/>
      <c r="T62" s="145" t="n">
        <v>0</v>
      </c>
      <c r="U62" s="145" t="n">
        <v>0</v>
      </c>
      <c r="V62" s="145" t="n"/>
      <c r="W62" s="145" t="n"/>
      <c r="X62" s="145" t="n"/>
      <c r="Y62" s="145" t="n"/>
      <c r="Z62" s="145" t="n"/>
      <c r="AA62" s="145" t="n"/>
      <c r="AB62" s="145" t="n"/>
      <c r="AC62" s="145" t="n"/>
      <c r="AD62" s="145" t="n"/>
      <c r="AE62" s="145" t="n"/>
      <c r="AF62" s="145" t="n"/>
    </row>
    <row r="63">
      <c r="A63" s="74" t="inlineStr">
        <is>
          <t>Heavy machinery (coal-related)</t>
        </is>
      </c>
      <c r="B63" s="74" t="n"/>
      <c r="C63" s="74" t="n"/>
      <c r="D63" s="86" t="n"/>
      <c r="E63" s="86" t="n"/>
      <c r="F63" s="86">
        <f>16276*0.48</f>
        <v/>
      </c>
      <c r="G63" s="86">
        <f>17196*0.29</f>
        <v/>
      </c>
      <c r="H63" s="145" t="n"/>
      <c r="I63" s="145" t="n"/>
      <c r="J63" s="145" t="n"/>
      <c r="K63" s="145" t="n"/>
      <c r="M63" s="145" t="n"/>
      <c r="N63" s="145" t="n">
        <v>360</v>
      </c>
      <c r="O63" s="145" t="n"/>
      <c r="P63" s="145" t="n">
        <v>850</v>
      </c>
      <c r="Q63" s="347" t="n">
        <v>6740</v>
      </c>
      <c r="R63" s="145" t="n"/>
      <c r="S63" s="145" t="n"/>
      <c r="T63" s="145" t="n">
        <v>4850</v>
      </c>
      <c r="U63" s="76" t="n"/>
      <c r="V63" s="365" t="n">
        <v>1080</v>
      </c>
      <c r="W63" s="145" t="n"/>
      <c r="X63" s="145" t="n"/>
      <c r="Y63" s="145" t="n"/>
      <c r="Z63" s="145" t="n"/>
      <c r="AA63" s="145" t="n"/>
      <c r="AB63" s="145" t="n"/>
      <c r="AC63" s="145" t="n"/>
      <c r="AD63" s="145" t="n"/>
      <c r="AE63" s="145" t="n"/>
      <c r="AF63" s="145" t="n"/>
    </row>
    <row r="64">
      <c r="A64" s="74" t="inlineStr">
        <is>
          <t>Others</t>
        </is>
      </c>
      <c r="B64" s="74" t="n"/>
      <c r="C64" s="74" t="n"/>
      <c r="D64" s="86" t="n"/>
      <c r="E64" s="86" t="n"/>
      <c r="F64" s="86" t="n"/>
      <c r="G64" s="86" t="n"/>
      <c r="H64" s="145" t="n"/>
      <c r="I64" s="145" t="n"/>
      <c r="J64" s="145" t="n"/>
      <c r="K64" s="145" t="n"/>
      <c r="M64" s="145" t="n"/>
      <c r="N64" s="145" t="n">
        <v>1350</v>
      </c>
      <c r="O64" s="145" t="n"/>
      <c r="P64" s="145" t="n">
        <v>3780</v>
      </c>
      <c r="Q64" s="348" t="n"/>
      <c r="R64" s="145" t="n"/>
      <c r="S64" s="145" t="n"/>
      <c r="T64" s="145" t="n"/>
      <c r="U64" s="76" t="n"/>
      <c r="V64" s="145" t="n"/>
      <c r="W64" s="145" t="n"/>
      <c r="X64" s="145" t="n"/>
      <c r="Y64" s="145" t="n"/>
      <c r="Z64" s="145" t="n"/>
      <c r="AA64" s="145" t="n"/>
      <c r="AB64" s="145" t="n"/>
      <c r="AC64" s="145" t="n"/>
      <c r="AD64" s="145" t="n"/>
      <c r="AE64" s="145" t="n"/>
      <c r="AF64" s="145" t="n"/>
    </row>
    <row r="65">
      <c r="A65" s="22">
        <f>A47</f>
        <v/>
      </c>
      <c r="B65" s="22" t="n"/>
      <c r="C65" s="22" t="n"/>
      <c r="D65" s="86" t="n"/>
      <c r="E65" s="86" t="n"/>
      <c r="F65" s="86" t="n"/>
      <c r="G65" s="86" t="n"/>
      <c r="H65" s="145" t="n"/>
      <c r="I65" s="145" t="n"/>
      <c r="J65" s="145" t="n"/>
      <c r="K65" s="145" t="n"/>
      <c r="M65" s="145" t="n"/>
      <c r="N65" s="145" t="n"/>
      <c r="O65" s="145" t="n"/>
      <c r="P65" s="145" t="n"/>
      <c r="Q65" s="145" t="n"/>
      <c r="R65" s="145" t="n"/>
      <c r="S65" s="145" t="n"/>
      <c r="T65" s="145" t="n"/>
      <c r="U65" s="76" t="n"/>
      <c r="V65" s="145" t="n"/>
      <c r="W65" s="145" t="n"/>
      <c r="X65" s="145" t="n"/>
      <c r="Y65" s="145" t="n"/>
      <c r="Z65" s="145" t="n"/>
      <c r="AA65" s="145" t="n"/>
      <c r="AB65" s="145" t="n"/>
      <c r="AC65" s="145" t="n"/>
      <c r="AD65" s="145" t="n"/>
      <c r="AE65" s="145" t="n"/>
      <c r="AF65" s="145" t="n"/>
    </row>
    <row r="66" customFormat="1" s="21">
      <c r="A66" s="22">
        <f>A48</f>
        <v/>
      </c>
      <c r="B66" s="22" t="n"/>
      <c r="C66" s="22" t="n"/>
      <c r="D66" s="121" t="n"/>
      <c r="E66" s="121" t="n"/>
      <c r="F66" s="121">
        <f>75636*0.258</f>
        <v/>
      </c>
      <c r="G66" s="121">
        <f>70598*0.37</f>
        <v/>
      </c>
      <c r="H66" s="133" t="n">
        <v>40952</v>
      </c>
      <c r="I66" s="133" t="n">
        <v>39639</v>
      </c>
      <c r="J66" s="133" t="n"/>
      <c r="K66" s="133" t="n">
        <v>1123</v>
      </c>
      <c r="L66" s="22" t="n"/>
      <c r="M66" s="133" t="n">
        <v>6780</v>
      </c>
      <c r="N66" s="133" t="n">
        <v>510</v>
      </c>
      <c r="O66" s="133" t="n">
        <v>4424</v>
      </c>
      <c r="P66" s="133" t="n">
        <v>7000</v>
      </c>
      <c r="Q66" s="133" t="n">
        <v>15030</v>
      </c>
      <c r="R66" s="133" t="n">
        <v>361</v>
      </c>
      <c r="S66" s="133" t="n">
        <v>1704</v>
      </c>
      <c r="T66" s="133" t="n">
        <v>4010</v>
      </c>
      <c r="U66" s="133" t="n">
        <v>16300</v>
      </c>
      <c r="V66" s="133">
        <f>SUM(V67:V68)</f>
        <v/>
      </c>
      <c r="W66" s="133" t="n"/>
      <c r="X66" s="133" t="n"/>
      <c r="Y66" s="133" t="n"/>
      <c r="Z66" s="133" t="n"/>
      <c r="AA66" s="133" t="n"/>
      <c r="AB66" s="133" t="n"/>
      <c r="AC66" s="133" t="n"/>
      <c r="AD66" s="133" t="n"/>
      <c r="AE66" s="133" t="n"/>
      <c r="AF66" s="133" t="n"/>
    </row>
    <row r="67">
      <c r="A67" s="74" t="inlineStr">
        <is>
          <t>Engineering</t>
        </is>
      </c>
      <c r="B67" s="74" t="n"/>
      <c r="C67" s="74" t="n"/>
      <c r="D67" s="86" t="n"/>
      <c r="E67" s="86" t="n"/>
      <c r="F67" s="86" t="n"/>
      <c r="G67" s="86" t="n"/>
      <c r="H67" s="76" t="n"/>
      <c r="I67" s="145" t="n"/>
      <c r="J67" s="145" t="n"/>
      <c r="K67" s="145" t="n"/>
      <c r="M67" s="145" t="n"/>
      <c r="N67" s="145" t="n"/>
      <c r="O67" s="145" t="n"/>
      <c r="P67" s="145" t="n">
        <v>5450</v>
      </c>
      <c r="Q67" s="145">
        <f>Q66-Q68</f>
        <v/>
      </c>
      <c r="R67" s="145" t="n"/>
      <c r="S67" s="145" t="n"/>
      <c r="T67" s="145" t="n"/>
      <c r="U67" s="145" t="n">
        <v>13190</v>
      </c>
      <c r="V67" s="145" t="n">
        <v>6370</v>
      </c>
      <c r="W67" s="145" t="n"/>
      <c r="X67" s="145" t="n"/>
      <c r="Y67" s="145" t="n"/>
      <c r="Z67" s="145" t="n"/>
      <c r="AA67" s="145" t="n"/>
      <c r="AB67" s="145" t="n"/>
      <c r="AC67" s="145" t="n"/>
      <c r="AD67" s="145" t="n"/>
      <c r="AE67" s="145" t="n"/>
      <c r="AF67" s="145" t="n"/>
    </row>
    <row r="68">
      <c r="A68" s="74" t="inlineStr">
        <is>
          <t>Service</t>
        </is>
      </c>
      <c r="B68" s="74" t="n"/>
      <c r="C68" s="74" t="n"/>
      <c r="D68" s="86" t="n"/>
      <c r="E68" s="86" t="n"/>
      <c r="F68" s="86" t="n"/>
      <c r="G68" s="86" t="n"/>
      <c r="H68" s="76" t="n"/>
      <c r="I68" s="145" t="n"/>
      <c r="J68" s="145" t="n"/>
      <c r="K68" s="145" t="n"/>
      <c r="M68" s="145" t="n"/>
      <c r="N68" s="145" t="n">
        <v>510</v>
      </c>
      <c r="O68" s="145" t="n"/>
      <c r="P68" s="145" t="n">
        <v>1550</v>
      </c>
      <c r="Q68" s="145" t="n">
        <v>2110</v>
      </c>
      <c r="R68" s="145" t="n"/>
      <c r="S68" s="145" t="n"/>
      <c r="T68" s="145" t="n"/>
      <c r="U68" s="76" t="n"/>
      <c r="V68" s="145" t="n">
        <v>1540</v>
      </c>
      <c r="W68" s="145" t="n"/>
      <c r="X68" s="145" t="n"/>
      <c r="Y68" s="145" t="n"/>
      <c r="Z68" s="145" t="n"/>
      <c r="AA68" s="145" t="n"/>
      <c r="AB68" s="145" t="n"/>
      <c r="AC68" s="145" t="n"/>
      <c r="AD68" s="145" t="n"/>
      <c r="AE68" s="145" t="n"/>
      <c r="AF68" s="145" t="n"/>
    </row>
    <row r="69">
      <c r="A69">
        <f>A51</f>
        <v/>
      </c>
      <c r="D69" s="86" t="n"/>
      <c r="E69" s="86" t="n"/>
      <c r="F69" s="86" t="n"/>
      <c r="G69" s="86" t="n"/>
      <c r="H69" s="76" t="n"/>
      <c r="I69" s="145" t="n"/>
      <c r="J69" s="145" t="n"/>
      <c r="K69" s="145" t="n"/>
      <c r="M69" s="145" t="n"/>
      <c r="N69" s="145" t="n"/>
      <c r="O69" s="145" t="n"/>
      <c r="P69" s="145" t="n"/>
      <c r="Q69" s="145" t="n"/>
      <c r="R69" s="145" t="n"/>
      <c r="S69" s="145" t="n"/>
      <c r="T69" s="145" t="n"/>
      <c r="U69" s="76" t="n"/>
      <c r="V69" s="145" t="n"/>
      <c r="W69" s="145" t="n"/>
      <c r="X69" s="145" t="n"/>
      <c r="Y69" s="145" t="n"/>
      <c r="Z69" s="145" t="n"/>
      <c r="AA69" s="145" t="n"/>
      <c r="AB69" s="145" t="n"/>
      <c r="AC69" s="145" t="n"/>
      <c r="AD69" s="145" t="n"/>
      <c r="AE69" s="145" t="n"/>
      <c r="AF69" s="145" t="n"/>
    </row>
    <row r="70" customFormat="1" s="21">
      <c r="A70" s="40">
        <f>A52</f>
        <v/>
      </c>
      <c r="B70" s="40" t="n"/>
      <c r="C70" s="40" t="n"/>
      <c r="D70" s="121" t="n"/>
      <c r="E70" s="121" t="n"/>
      <c r="F70" s="121">
        <f>+F66+F59+F55</f>
        <v/>
      </c>
      <c r="G70" s="121">
        <f>+G66+G59+G55</f>
        <v/>
      </c>
      <c r="H70" s="121">
        <f>SUM(H55,H59,H66)</f>
        <v/>
      </c>
      <c r="I70" s="121">
        <f>SUM(I55,I59,I66)</f>
        <v/>
      </c>
      <c r="J70" s="121" t="n"/>
      <c r="K70" s="133" t="n">
        <v>11258</v>
      </c>
      <c r="M70" s="133" t="n">
        <v>40377</v>
      </c>
      <c r="N70" s="133" t="n">
        <v>5180</v>
      </c>
      <c r="O70" s="133" t="n">
        <v>24125</v>
      </c>
      <c r="P70" s="133" t="n">
        <v>43640</v>
      </c>
      <c r="Q70" s="133" t="n">
        <v>58120</v>
      </c>
      <c r="R70" s="133" t="n">
        <v>12160</v>
      </c>
      <c r="S70" s="133">
        <f>+S66+S55+S59</f>
        <v/>
      </c>
      <c r="T70" s="133" t="n">
        <v>34880</v>
      </c>
      <c r="U70" s="133" t="n">
        <v>58800</v>
      </c>
      <c r="V70" s="121" t="n">
        <v>16600</v>
      </c>
      <c r="W70" s="121" t="n"/>
      <c r="X70" s="121" t="n"/>
      <c r="Y70" s="121" t="n"/>
      <c r="Z70" s="121" t="n"/>
      <c r="AA70" s="121" t="n"/>
      <c r="AB70" s="121">
        <f>-AB99</f>
        <v/>
      </c>
      <c r="AC70" s="121">
        <f>-AC99</f>
        <v/>
      </c>
      <c r="AD70" s="121">
        <f>-AD99</f>
        <v/>
      </c>
      <c r="AE70" s="121">
        <f>-AE99</f>
        <v/>
      </c>
      <c r="AF70" s="121">
        <f>-AF99</f>
        <v/>
      </c>
    </row>
    <row r="71">
      <c r="A71" s="105" t="n"/>
      <c r="B71" s="105" t="n"/>
      <c r="C71" s="105" t="n"/>
      <c r="D71" s="86" t="n"/>
      <c r="E71" s="86" t="n"/>
      <c r="F71" s="86" t="n"/>
      <c r="G71" s="86" t="n"/>
      <c r="H71" s="86" t="n"/>
      <c r="I71" s="86" t="n"/>
      <c r="J71" s="86" t="n"/>
      <c r="K71" s="133" t="n"/>
      <c r="M71" s="355" t="n"/>
      <c r="N71" s="86" t="n"/>
      <c r="O71" s="86" t="n"/>
      <c r="P71" s="86" t="n"/>
      <c r="Q71" s="86" t="n"/>
      <c r="R71" s="86" t="n"/>
      <c r="S71" s="883" t="n"/>
      <c r="T71" s="86" t="n"/>
      <c r="U71" s="86" t="n"/>
      <c r="V71" s="86" t="n"/>
      <c r="W71" s="86" t="n"/>
      <c r="X71" s="86" t="n"/>
      <c r="Y71" s="86" t="n"/>
      <c r="Z71" s="86" t="n"/>
      <c r="AA71" s="86" t="n"/>
      <c r="AB71" s="86" t="n"/>
      <c r="AC71" s="86" t="n"/>
      <c r="AD71" s="86" t="n"/>
      <c r="AE71" s="86" t="n"/>
      <c r="AF71" s="86" t="n"/>
    </row>
    <row r="72">
      <c r="A72" s="22" t="inlineStr">
        <is>
          <t>Segment order backlog</t>
        </is>
      </c>
      <c r="B72" s="22" t="n"/>
      <c r="C72" s="22" t="n"/>
      <c r="D72" s="76" t="n"/>
      <c r="E72" s="76" t="n"/>
      <c r="F72" s="76" t="n"/>
      <c r="G72" s="76" t="n"/>
      <c r="H72" s="76" t="n"/>
      <c r="I72" s="76" t="n"/>
      <c r="J72" s="76" t="n"/>
      <c r="K72" s="76" t="n"/>
      <c r="M72" s="76" t="n"/>
      <c r="N72" s="76" t="n"/>
      <c r="O72" s="76" t="n"/>
      <c r="Q72" s="76" t="n"/>
      <c r="R72" s="76" t="n"/>
      <c r="S72" s="76" t="n"/>
      <c r="T72" s="86" t="n"/>
      <c r="U72" s="86" t="n"/>
      <c r="V72" s="76" t="n"/>
      <c r="W72" s="76" t="n"/>
      <c r="X72" s="76" t="n"/>
      <c r="Y72" s="76" t="n"/>
      <c r="Z72" s="76" t="n"/>
      <c r="AA72" s="76" t="n"/>
      <c r="AB72" s="76" t="n"/>
      <c r="AC72" s="76" t="n"/>
      <c r="AD72" s="76" t="n"/>
      <c r="AE72" s="76" t="n"/>
      <c r="AF72" s="76" t="n"/>
    </row>
    <row r="73" customFormat="1" s="21">
      <c r="A73" s="22">
        <f>A55</f>
        <v/>
      </c>
      <c r="B73" s="22" t="n"/>
      <c r="C73" s="22" t="n"/>
      <c r="D73" s="121" t="n"/>
      <c r="E73" s="121" t="n"/>
      <c r="F73" s="121" t="n"/>
      <c r="G73" s="133" t="n">
        <v>24481</v>
      </c>
      <c r="H73" s="133" t="n">
        <v>24609</v>
      </c>
      <c r="I73" s="133" t="n">
        <v>28602</v>
      </c>
      <c r="J73" s="133" t="n"/>
      <c r="K73" s="133" t="n"/>
      <c r="L73" s="22" t="n"/>
      <c r="M73" s="133" t="n">
        <v>22346</v>
      </c>
      <c r="N73" s="133" t="n"/>
      <c r="O73" s="133" t="n">
        <v>21298</v>
      </c>
      <c r="P73" s="133">
        <f>SUM(P74:P76)</f>
        <v/>
      </c>
      <c r="Q73" s="133">
        <f>SUM(Q74:Q76)</f>
        <v/>
      </c>
      <c r="R73" s="133" t="n"/>
      <c r="S73" s="133" t="n">
        <v>23256</v>
      </c>
      <c r="T73" s="133">
        <f>SUM(T74:T76)</f>
        <v/>
      </c>
      <c r="U73" s="133" t="n">
        <v>24400</v>
      </c>
      <c r="V73" s="133" t="n"/>
      <c r="W73" s="133" t="n"/>
      <c r="X73" s="133" t="n"/>
      <c r="Y73" s="133" t="n"/>
      <c r="Z73" s="133" t="n"/>
      <c r="AA73" s="133" t="n"/>
      <c r="AB73" s="133" t="n"/>
      <c r="AC73" s="133" t="n"/>
      <c r="AD73" s="133" t="n"/>
      <c r="AE73" s="133" t="n"/>
      <c r="AF73" s="133" t="n"/>
    </row>
    <row r="74">
      <c r="A74" s="74" t="inlineStr">
        <is>
          <t>Nuclear island</t>
        </is>
      </c>
      <c r="B74" s="74" t="n"/>
      <c r="C74" s="74" t="n"/>
      <c r="D74" s="86" t="n"/>
      <c r="E74" s="86" t="n"/>
      <c r="F74" s="86">
        <f>17012*0.5</f>
        <v/>
      </c>
      <c r="G74" s="145" t="n">
        <v>17933</v>
      </c>
      <c r="H74" s="145" t="n">
        <v>19223</v>
      </c>
      <c r="I74" s="145" t="n">
        <v>19491</v>
      </c>
      <c r="J74" s="145" t="n"/>
      <c r="K74" s="145" t="n"/>
      <c r="M74" s="145" t="n">
        <v>16251</v>
      </c>
      <c r="N74" s="145" t="n"/>
      <c r="O74" s="145" t="n"/>
      <c r="P74" s="145" t="n">
        <v>15500</v>
      </c>
      <c r="Q74" s="145" t="n">
        <v>14840</v>
      </c>
      <c r="R74" s="145" t="n"/>
      <c r="S74" s="145" t="n">
        <v>15500</v>
      </c>
      <c r="T74" s="145" t="n">
        <v>15600</v>
      </c>
      <c r="U74" s="145" t="n">
        <v>16000</v>
      </c>
      <c r="V74" s="145" t="n">
        <v>14630</v>
      </c>
      <c r="W74" s="145" t="n"/>
      <c r="X74" s="145" t="n"/>
      <c r="Y74" s="145" t="n"/>
      <c r="Z74" s="145" t="n"/>
      <c r="AA74" s="145" t="n"/>
      <c r="AB74" s="145" t="n"/>
      <c r="AC74" s="145" t="n"/>
      <c r="AD74" s="145" t="n"/>
      <c r="AE74" s="145" t="n"/>
      <c r="AF74" s="145" t="n"/>
    </row>
    <row r="75">
      <c r="A75" s="74" t="inlineStr">
        <is>
          <t>Wind</t>
        </is>
      </c>
      <c r="B75" s="74" t="n"/>
      <c r="C75" s="74" t="n"/>
      <c r="D75" s="86" t="n"/>
      <c r="E75" s="86" t="n"/>
      <c r="F75" s="86">
        <f>160589*0.007</f>
        <v/>
      </c>
      <c r="G75" s="145" t="n">
        <v>4998</v>
      </c>
      <c r="H75" s="145" t="n">
        <v>4026</v>
      </c>
      <c r="I75" s="145" t="n">
        <v>6257</v>
      </c>
      <c r="J75" s="145" t="n"/>
      <c r="K75" s="145" t="n"/>
      <c r="M75" s="145" t="n">
        <v>4306</v>
      </c>
      <c r="N75" s="145" t="n"/>
      <c r="O75" s="145" t="n"/>
      <c r="P75" s="145" t="n">
        <v>4400</v>
      </c>
      <c r="Q75" s="145" t="n">
        <v>3420</v>
      </c>
      <c r="R75" s="145" t="n"/>
      <c r="S75" s="145" t="n">
        <v>6000</v>
      </c>
      <c r="T75" s="145" t="n">
        <v>6700</v>
      </c>
      <c r="U75" s="145" t="n">
        <v>6800</v>
      </c>
      <c r="V75" s="145" t="n">
        <v>94500</v>
      </c>
      <c r="W75" s="145" t="n"/>
      <c r="X75" s="145" t="n"/>
      <c r="Y75" s="145" t="n"/>
      <c r="Z75" s="145" t="n"/>
      <c r="AA75" s="145" t="n"/>
      <c r="AB75" s="145" t="n"/>
      <c r="AC75" s="145" t="n"/>
      <c r="AD75" s="145" t="n"/>
      <c r="AE75" s="145" t="n"/>
      <c r="AF75" s="145" t="n"/>
    </row>
    <row r="76">
      <c r="A76" s="74" t="inlineStr">
        <is>
          <t>Forging</t>
        </is>
      </c>
      <c r="B76" s="74" t="n"/>
      <c r="C76" s="74" t="n"/>
      <c r="D76" s="86" t="n"/>
      <c r="E76" s="86" t="n"/>
      <c r="F76" s="86" t="n"/>
      <c r="G76" s="86">
        <f>G73-G74-G75</f>
        <v/>
      </c>
      <c r="H76" s="86">
        <f>H73-H74-H75</f>
        <v/>
      </c>
      <c r="I76" s="86">
        <f>I73-I74-I75</f>
        <v/>
      </c>
      <c r="J76" s="145" t="n"/>
      <c r="K76" s="145" t="n"/>
      <c r="M76" s="145" t="n">
        <v>1789</v>
      </c>
      <c r="N76" s="145" t="n"/>
      <c r="O76" s="145" t="n"/>
      <c r="P76" s="145">
        <f>T76/1.06</f>
        <v/>
      </c>
      <c r="Q76" s="145" t="n">
        <v>1600</v>
      </c>
      <c r="R76" s="145" t="n"/>
      <c r="S76" s="145" t="n">
        <v>1700</v>
      </c>
      <c r="T76" s="145" t="n">
        <v>1700</v>
      </c>
      <c r="U76" s="145" t="n">
        <v>1600</v>
      </c>
      <c r="V76" s="145" t="n">
        <v>1700</v>
      </c>
      <c r="W76" s="145" t="n"/>
      <c r="X76" s="145" t="n"/>
      <c r="Y76" s="145" t="n"/>
      <c r="Z76" s="145" t="n"/>
      <c r="AA76" s="145" t="n"/>
      <c r="AB76" s="145" t="n"/>
      <c r="AC76" s="145" t="n"/>
      <c r="AD76" s="145" t="n"/>
      <c r="AE76" s="145" t="n"/>
      <c r="AF76" s="145" t="n"/>
    </row>
    <row r="77" customFormat="1" s="21">
      <c r="A77" s="22">
        <f>A59</f>
        <v/>
      </c>
      <c r="B77" s="22" t="n"/>
      <c r="C77" s="22" t="n"/>
      <c r="D77" s="121" t="n"/>
      <c r="E77" s="121" t="n"/>
      <c r="F77" s="121" t="n"/>
      <c r="G77" s="133" t="n">
        <v>125749</v>
      </c>
      <c r="H77" s="133" t="n">
        <v>129093</v>
      </c>
      <c r="I77" s="133" t="n">
        <v>122894</v>
      </c>
      <c r="J77" s="133" t="n"/>
      <c r="K77" s="133" t="n"/>
      <c r="L77" s="22" t="n"/>
      <c r="M77" s="133" t="n">
        <v>116607</v>
      </c>
      <c r="N77" s="133" t="n"/>
      <c r="O77" s="133" t="n">
        <v>107691</v>
      </c>
      <c r="P77" s="133" t="n"/>
      <c r="Q77" s="133">
        <f>SUM(Q78:Q81)</f>
        <v/>
      </c>
      <c r="R77" s="133" t="n"/>
      <c r="S77" s="133" t="n">
        <v>115623</v>
      </c>
      <c r="T77" s="133">
        <f>SUM(T78:T81)</f>
        <v/>
      </c>
      <c r="U77" s="133" t="n">
        <v>117800</v>
      </c>
      <c r="V77" s="133" t="n"/>
      <c r="W77" s="133" t="n"/>
      <c r="X77" s="133" t="n"/>
      <c r="Y77" s="133" t="n"/>
      <c r="Z77" s="133" t="n"/>
      <c r="AA77" s="133" t="n"/>
      <c r="AB77" s="133" t="n"/>
      <c r="AC77" s="133" t="n"/>
      <c r="AD77" s="133" t="n"/>
      <c r="AE77" s="133" t="n"/>
      <c r="AF77" s="133" t="n"/>
    </row>
    <row r="78">
      <c r="A78" s="74" t="inlineStr">
        <is>
          <t>Coal</t>
        </is>
      </c>
      <c r="B78" s="74" t="n"/>
      <c r="C78" s="74" t="n"/>
      <c r="D78" s="86" t="n"/>
      <c r="E78" s="86" t="n"/>
      <c r="F78" s="86">
        <f>160589*0.609</f>
        <v/>
      </c>
      <c r="G78" s="86">
        <f>191118*0.51</f>
        <v/>
      </c>
      <c r="H78" s="145" t="n">
        <v>95933</v>
      </c>
      <c r="I78" s="145" t="n">
        <v>91600</v>
      </c>
      <c r="J78" s="145" t="n"/>
      <c r="K78" s="145" t="n"/>
      <c r="M78" s="145" t="n">
        <v>84718</v>
      </c>
      <c r="N78" s="145" t="n"/>
      <c r="O78" s="145" t="n"/>
      <c r="P78" s="145">
        <f>T78</f>
        <v/>
      </c>
      <c r="Q78" s="145" t="n">
        <v>85360</v>
      </c>
      <c r="R78" s="145" t="n"/>
      <c r="S78" s="145" t="n">
        <v>87000</v>
      </c>
      <c r="T78" s="145" t="n">
        <v>87700</v>
      </c>
      <c r="U78" s="145" t="n">
        <v>89800</v>
      </c>
      <c r="V78" s="145" t="n">
        <v>88780</v>
      </c>
      <c r="W78" s="145" t="n"/>
      <c r="X78" s="145" t="n"/>
      <c r="Y78" s="145" t="n"/>
      <c r="Z78" s="145" t="n"/>
      <c r="AA78" s="145" t="n"/>
      <c r="AB78" s="145" t="n"/>
      <c r="AC78" s="145" t="n"/>
      <c r="AD78" s="145" t="n"/>
      <c r="AE78" s="145" t="n"/>
      <c r="AF78" s="145" t="n"/>
    </row>
    <row r="79">
      <c r="A79" s="74" t="inlineStr">
        <is>
          <t>Gas</t>
        </is>
      </c>
      <c r="B79" s="74" t="n"/>
      <c r="C79" s="74" t="n"/>
      <c r="D79" s="86" t="n"/>
      <c r="E79" s="86" t="n"/>
      <c r="F79" s="86" t="n"/>
      <c r="G79" s="86" t="n"/>
      <c r="H79" s="145" t="n">
        <v>6233</v>
      </c>
      <c r="I79" s="145" t="n">
        <v>8376</v>
      </c>
      <c r="J79" s="145" t="n"/>
      <c r="K79" s="145" t="n"/>
      <c r="M79" s="145" t="n">
        <v>10217</v>
      </c>
      <c r="N79" s="145" t="n"/>
      <c r="O79" s="145" t="n"/>
      <c r="P79" s="145">
        <f>T79/0.51</f>
        <v/>
      </c>
      <c r="Q79" s="145" t="n">
        <v>7470</v>
      </c>
      <c r="R79" s="145" t="n"/>
      <c r="S79" s="145" t="n">
        <v>7300</v>
      </c>
      <c r="T79" s="145" t="n">
        <v>7700</v>
      </c>
      <c r="U79" s="145" t="n">
        <v>7800</v>
      </c>
      <c r="V79" s="145" t="n">
        <v>8000</v>
      </c>
      <c r="W79" s="145" t="n"/>
      <c r="X79" s="145" t="n"/>
      <c r="Y79" s="145" t="n"/>
      <c r="Z79" s="145" t="n"/>
      <c r="AA79" s="145" t="n"/>
      <c r="AB79" s="145" t="n"/>
      <c r="AC79" s="145" t="n"/>
      <c r="AD79" s="145" t="n"/>
      <c r="AE79" s="145" t="n"/>
      <c r="AF79" s="145" t="n"/>
    </row>
    <row r="80">
      <c r="A80" s="74" t="inlineStr">
        <is>
          <t>Conventional island</t>
        </is>
      </c>
      <c r="B80" s="74" t="n"/>
      <c r="C80" s="74" t="n"/>
      <c r="D80" s="86" t="n"/>
      <c r="E80" s="86" t="n"/>
      <c r="F80" s="86">
        <f>160589*0.039</f>
        <v/>
      </c>
      <c r="G80" s="86">
        <f>191118*0.09</f>
        <v/>
      </c>
      <c r="H80" s="145" t="n"/>
      <c r="I80" s="145" t="n"/>
      <c r="J80" s="145" t="n"/>
      <c r="K80" s="145" t="n"/>
      <c r="M80" s="145" t="n">
        <v>14479</v>
      </c>
      <c r="N80" s="145" t="n"/>
      <c r="O80" s="145" t="n"/>
      <c r="P80" s="145">
        <f>T80/0.98</f>
        <v/>
      </c>
      <c r="Q80" s="145" t="n">
        <v>13560</v>
      </c>
      <c r="R80" s="145" t="n"/>
      <c r="S80" s="145" t="n">
        <v>12700</v>
      </c>
      <c r="T80" s="145" t="n">
        <v>12600</v>
      </c>
      <c r="U80" s="145" t="n">
        <v>12300</v>
      </c>
      <c r="V80" s="145" t="n"/>
      <c r="W80" s="145" t="n"/>
      <c r="X80" s="145" t="n"/>
      <c r="Y80" s="145" t="n"/>
      <c r="Z80" s="145" t="n"/>
      <c r="AA80" s="145" t="n"/>
      <c r="AB80" s="145" t="n"/>
      <c r="AC80" s="145" t="n"/>
      <c r="AD80" s="145" t="n"/>
      <c r="AE80" s="145" t="n"/>
      <c r="AF80" s="145" t="n"/>
    </row>
    <row r="81">
      <c r="A81" s="74" t="inlineStr">
        <is>
          <t>Other</t>
        </is>
      </c>
      <c r="B81" s="74" t="n"/>
      <c r="C81" s="74" t="n"/>
      <c r="D81" s="86" t="n"/>
      <c r="E81" s="86" t="n"/>
      <c r="F81" s="86" t="n"/>
      <c r="G81" s="86" t="n"/>
      <c r="H81" s="145" t="n"/>
      <c r="I81" s="145" t="n"/>
      <c r="J81" s="145" t="n"/>
      <c r="K81" s="145" t="n"/>
      <c r="M81" s="145" t="n">
        <v>7193</v>
      </c>
      <c r="N81" s="145" t="n"/>
      <c r="O81" s="145" t="n"/>
      <c r="P81" s="145" t="n"/>
      <c r="Q81" s="145" t="n">
        <v>8210</v>
      </c>
      <c r="R81" s="145" t="n"/>
      <c r="S81" s="145" t="n">
        <v>8600</v>
      </c>
      <c r="T81" s="145" t="n">
        <v>8400</v>
      </c>
      <c r="U81" s="145" t="n">
        <v>7900</v>
      </c>
      <c r="V81" s="145" t="n">
        <v>7500</v>
      </c>
      <c r="W81" s="145" t="n"/>
      <c r="X81" s="145" t="n"/>
      <c r="Y81" s="145" t="n"/>
      <c r="Z81" s="145" t="n"/>
      <c r="AA81" s="145" t="n"/>
      <c r="AB81" s="145" t="n"/>
      <c r="AC81" s="145" t="n"/>
      <c r="AD81" s="145" t="n"/>
      <c r="AE81" s="145" t="n"/>
      <c r="AF81" s="145" t="n"/>
    </row>
    <row r="82">
      <c r="A82" s="22">
        <f>A65</f>
        <v/>
      </c>
      <c r="B82" s="22" t="n"/>
      <c r="C82" s="22" t="n"/>
      <c r="D82" s="86" t="n"/>
      <c r="E82" s="86" t="n"/>
      <c r="F82" s="86" t="n"/>
      <c r="G82" s="145" t="n"/>
      <c r="H82" s="145" t="n"/>
      <c r="I82" s="145" t="n"/>
      <c r="J82" s="145" t="n"/>
      <c r="K82" s="145" t="n"/>
      <c r="M82" s="145" t="n"/>
      <c r="N82" s="145" t="n"/>
      <c r="O82" s="145" t="n"/>
      <c r="P82" s="145" t="n"/>
      <c r="Q82" s="145" t="n"/>
      <c r="R82" s="145" t="n"/>
      <c r="S82" s="145" t="n"/>
      <c r="T82" s="145" t="n"/>
      <c r="U82" s="145" t="n"/>
      <c r="V82" s="145" t="n"/>
      <c r="W82" s="145" t="n"/>
      <c r="X82" s="145" t="n"/>
      <c r="Y82" s="145" t="n"/>
      <c r="Z82" s="145" t="n"/>
      <c r="AA82" s="145" t="n"/>
      <c r="AB82" s="145" t="n"/>
      <c r="AC82" s="145" t="n"/>
      <c r="AD82" s="145" t="n"/>
      <c r="AE82" s="145" t="n"/>
      <c r="AF82" s="145" t="n"/>
    </row>
    <row r="83" customFormat="1" s="21">
      <c r="A83" s="22">
        <f>A66</f>
        <v/>
      </c>
      <c r="B83" s="22" t="n"/>
      <c r="C83" s="22" t="n"/>
      <c r="D83" s="121" t="n"/>
      <c r="E83" s="121" t="n"/>
      <c r="F83" s="343">
        <f>160589*0.289</f>
        <v/>
      </c>
      <c r="G83" s="133" t="n">
        <v>62639</v>
      </c>
      <c r="H83" s="133" t="n">
        <v>87964</v>
      </c>
      <c r="I83" s="133" t="n">
        <v>110826</v>
      </c>
      <c r="J83" s="133" t="n"/>
      <c r="K83" s="133" t="n"/>
      <c r="L83" s="22" t="n"/>
      <c r="M83" s="133" t="n">
        <v>104742</v>
      </c>
      <c r="N83" s="133" t="n"/>
      <c r="O83" s="133" t="n">
        <v>99696</v>
      </c>
      <c r="P83" s="133">
        <f>SUM(P84:P86)</f>
        <v/>
      </c>
      <c r="Q83" s="133">
        <f>SUM(Q84:Q86)</f>
        <v/>
      </c>
      <c r="R83" s="133" t="n"/>
      <c r="S83" s="133" t="n">
        <v>99253</v>
      </c>
      <c r="T83" s="133" t="n">
        <v>99030</v>
      </c>
      <c r="U83" s="133" t="n">
        <v>108600</v>
      </c>
      <c r="V83" s="133" t="n"/>
      <c r="W83" s="133" t="n"/>
      <c r="X83" s="133" t="n"/>
      <c r="Y83" s="133" t="n"/>
      <c r="Z83" s="133" t="n"/>
      <c r="AA83" s="133" t="n"/>
      <c r="AB83" s="133" t="n"/>
      <c r="AC83" s="133" t="n"/>
      <c r="AD83" s="133" t="n"/>
      <c r="AE83" s="133" t="n"/>
      <c r="AF83" s="133" t="n"/>
    </row>
    <row r="84">
      <c r="A84" s="74" t="inlineStr">
        <is>
          <t>Engineering - overseas</t>
        </is>
      </c>
      <c r="B84" s="74" t="n"/>
      <c r="C84" s="74" t="n"/>
      <c r="D84" s="86" t="n"/>
      <c r="E84" s="86" t="n"/>
      <c r="F84" s="86" t="n"/>
      <c r="G84" s="86" t="n"/>
      <c r="H84" s="145" t="n"/>
      <c r="I84" s="145" t="n"/>
      <c r="J84" s="145" t="n"/>
      <c r="K84" s="145" t="n"/>
      <c r="M84" s="145" t="n">
        <v>91206</v>
      </c>
      <c r="N84" s="145" t="n"/>
      <c r="O84" s="145" t="n"/>
      <c r="P84" s="145">
        <f>T84/1.29</f>
        <v/>
      </c>
      <c r="Q84" s="838" t="n">
        <v>100420</v>
      </c>
      <c r="R84" s="145" t="n"/>
      <c r="S84" s="145" t="n">
        <v>94400</v>
      </c>
      <c r="T84" s="145" t="n">
        <v>88800</v>
      </c>
      <c r="U84" s="838" t="n">
        <v>105900</v>
      </c>
      <c r="V84" s="145" t="n">
        <v>114050</v>
      </c>
      <c r="W84" s="145" t="n"/>
      <c r="X84" s="145" t="n"/>
      <c r="Y84" s="145" t="n"/>
      <c r="Z84" s="145" t="n"/>
      <c r="AA84" s="145" t="n"/>
      <c r="AB84" s="145" t="n"/>
      <c r="AC84" s="145" t="n"/>
      <c r="AD84" s="145" t="n"/>
      <c r="AE84" s="145" t="n"/>
      <c r="AF84" s="145" t="n"/>
    </row>
    <row r="85">
      <c r="A85" s="74" t="inlineStr">
        <is>
          <t>Engineering - domestic</t>
        </is>
      </c>
      <c r="B85" s="74" t="n"/>
      <c r="C85" s="74" t="n"/>
      <c r="D85" s="86" t="n"/>
      <c r="E85" s="86" t="n"/>
      <c r="F85" s="86" t="n"/>
      <c r="G85" s="86" t="n"/>
      <c r="H85" s="145" t="n"/>
      <c r="I85" s="145" t="n"/>
      <c r="J85" s="145" t="n"/>
      <c r="K85" s="145" t="n"/>
      <c r="M85" s="145" t="n">
        <v>10855</v>
      </c>
      <c r="N85" s="145" t="n"/>
      <c r="O85" s="145" t="n"/>
      <c r="P85" s="145">
        <f>T85/0.72</f>
        <v/>
      </c>
      <c r="R85" s="145" t="n"/>
      <c r="S85" s="145" t="n">
        <v>2100</v>
      </c>
      <c r="T85" s="145" t="n">
        <v>7600</v>
      </c>
      <c r="V85" s="145" t="n"/>
      <c r="W85" s="145" t="n"/>
      <c r="X85" s="145" t="n"/>
      <c r="Y85" s="145" t="n"/>
      <c r="Z85" s="145" t="n"/>
      <c r="AA85" s="145" t="n"/>
      <c r="AB85" s="145" t="n"/>
      <c r="AC85" s="145" t="n"/>
      <c r="AD85" s="145" t="n"/>
      <c r="AE85" s="145" t="n"/>
      <c r="AF85" s="145" t="n"/>
    </row>
    <row r="86">
      <c r="A86" s="74" t="inlineStr">
        <is>
          <t>Service</t>
        </is>
      </c>
      <c r="B86" s="74" t="n"/>
      <c r="C86" s="74" t="n"/>
      <c r="D86" s="86" t="n"/>
      <c r="E86" s="86" t="n"/>
      <c r="F86" s="86" t="n"/>
      <c r="G86" s="86" t="n"/>
      <c r="H86" s="145" t="n"/>
      <c r="I86" s="145" t="n"/>
      <c r="J86" s="145" t="n"/>
      <c r="K86" s="145" t="n"/>
      <c r="M86" s="145" t="n">
        <v>2681</v>
      </c>
      <c r="N86" s="145" t="n"/>
      <c r="O86" s="145" t="n"/>
      <c r="P86" s="145">
        <f>T86/0.93</f>
        <v/>
      </c>
      <c r="Q86" s="145" t="n">
        <v>2200</v>
      </c>
      <c r="R86" s="145" t="n"/>
      <c r="S86" s="145" t="n">
        <v>2700</v>
      </c>
      <c r="T86" s="145" t="n">
        <v>2600</v>
      </c>
      <c r="U86" s="145" t="n">
        <v>2700</v>
      </c>
      <c r="V86" s="145" t="n">
        <v>3870</v>
      </c>
      <c r="W86" s="145" t="n"/>
      <c r="X86" s="145" t="n"/>
      <c r="Y86" s="145" t="n"/>
      <c r="Z86" s="145" t="n"/>
      <c r="AA86" s="145" t="n"/>
      <c r="AB86" s="145" t="n"/>
      <c r="AC86" s="145" t="n"/>
      <c r="AD86" s="145" t="n"/>
      <c r="AE86" s="145" t="n"/>
      <c r="AF86" s="145" t="n"/>
    </row>
    <row r="87">
      <c r="A87">
        <f>A69</f>
        <v/>
      </c>
      <c r="D87" s="86" t="n"/>
      <c r="E87" s="86" t="n"/>
      <c r="F87" s="86" t="n"/>
      <c r="G87" s="145" t="n"/>
      <c r="H87" s="145" t="n"/>
      <c r="I87" s="145" t="n"/>
      <c r="J87" s="88" t="n"/>
      <c r="K87" s="88" t="n"/>
      <c r="M87" s="88" t="n"/>
      <c r="N87" s="88" t="n"/>
      <c r="O87" s="88" t="n"/>
      <c r="P87" s="88" t="n"/>
      <c r="Q87" s="88" t="n"/>
      <c r="R87" s="88" t="n"/>
      <c r="S87" s="88" t="n"/>
      <c r="T87" s="88" t="n"/>
      <c r="U87" s="88" t="n"/>
      <c r="V87" s="88" t="n"/>
      <c r="W87" s="88" t="n"/>
      <c r="X87" s="88" t="n"/>
      <c r="Y87" s="88" t="n"/>
      <c r="Z87" s="88" t="n"/>
      <c r="AA87" s="88" t="n"/>
      <c r="AB87" s="88">
        <f>AB88-SUM(AB73:AB83)</f>
        <v/>
      </c>
      <c r="AC87" s="88">
        <f>AC88-SUM(AC73:AC83)</f>
        <v/>
      </c>
      <c r="AD87" s="88">
        <f>AD88-SUM(AD73:AD83)</f>
        <v/>
      </c>
      <c r="AE87" s="88">
        <f>AE88-SUM(AE73:AE83)</f>
        <v/>
      </c>
      <c r="AF87" s="88">
        <f>AF88-SUM(AF73:AF83)</f>
        <v/>
      </c>
    </row>
    <row r="88" customFormat="1" s="21">
      <c r="A88" s="40" t="inlineStr">
        <is>
          <t>Total</t>
        </is>
      </c>
      <c r="B88" s="40" t="n"/>
      <c r="C88" s="40" t="n"/>
      <c r="D88" s="121" t="n"/>
      <c r="E88" s="121" t="n"/>
      <c r="F88" s="121" t="n"/>
      <c r="G88" s="121">
        <f>SUM(G73:G83)</f>
        <v/>
      </c>
      <c r="H88" s="121">
        <f>SUM(H73:H83)</f>
        <v/>
      </c>
      <c r="I88" s="121">
        <f>SUM(I73:I83)</f>
        <v/>
      </c>
      <c r="J88" s="121" t="n"/>
      <c r="K88" s="121" t="n"/>
      <c r="M88" s="133" t="n">
        <v>243695</v>
      </c>
      <c r="N88" s="133" t="n">
        <v>238150</v>
      </c>
      <c r="O88" s="121">
        <f>SUM(O73:O83)</f>
        <v/>
      </c>
      <c r="P88" s="133" t="n">
        <v>244100</v>
      </c>
      <c r="Q88" s="133" t="n">
        <v>237080</v>
      </c>
      <c r="R88" s="133" t="n">
        <v>240051</v>
      </c>
      <c r="S88" s="121">
        <f>SUM(S73,S77,S83)</f>
        <v/>
      </c>
      <c r="T88" s="133" t="n">
        <v>239710</v>
      </c>
      <c r="U88" s="133" t="n">
        <v>250800</v>
      </c>
      <c r="V88" s="121" t="n"/>
      <c r="W88" s="121" t="n"/>
      <c r="X88" s="121" t="n"/>
      <c r="Y88" s="121" t="n"/>
      <c r="Z88" s="121" t="n"/>
      <c r="AA88" s="121" t="n"/>
      <c r="AB88" s="121">
        <f>-AB107</f>
        <v/>
      </c>
      <c r="AC88" s="121">
        <f>-AC107</f>
        <v/>
      </c>
      <c r="AD88" s="121">
        <f>-AD107</f>
        <v/>
      </c>
      <c r="AE88" s="121">
        <f>-AE107</f>
        <v/>
      </c>
      <c r="AF88" s="121">
        <f>-AF107</f>
        <v/>
      </c>
    </row>
    <row r="89">
      <c r="D89" s="119" t="n"/>
      <c r="E89" s="119" t="n"/>
      <c r="F89" s="119" t="n"/>
      <c r="G89" s="145" t="n"/>
      <c r="H89" s="145" t="n"/>
      <c r="I89" s="119" t="n"/>
      <c r="J89" s="119" t="n"/>
      <c r="K89" s="119" t="n"/>
      <c r="M89" s="133" t="n"/>
      <c r="N89" s="119" t="n"/>
      <c r="O89" s="119" t="n"/>
      <c r="P89" s="119" t="n"/>
      <c r="Q89" s="119" t="n"/>
      <c r="R89" s="961">
        <f>+R88/Q88-1</f>
        <v/>
      </c>
      <c r="S89" s="119" t="n"/>
      <c r="T89" s="119" t="n"/>
      <c r="U89" s="76" t="n"/>
      <c r="V89" s="119" t="n"/>
      <c r="W89" s="119" t="n"/>
      <c r="X89" s="119" t="n"/>
      <c r="Y89" s="119" t="n"/>
      <c r="Z89" s="119" t="n"/>
      <c r="AA89" s="119" t="n"/>
      <c r="AB89" s="119" t="n"/>
      <c r="AC89" s="119" t="n"/>
      <c r="AD89" s="119" t="n"/>
      <c r="AE89" s="119" t="n"/>
      <c r="AF89" s="119" t="n"/>
    </row>
    <row r="90">
      <c r="A90" s="427" t="inlineStr">
        <is>
          <t>Book to bill ratio</t>
        </is>
      </c>
      <c r="B90" s="427" t="n"/>
      <c r="C90" s="427" t="n"/>
      <c r="D90" s="76" t="n"/>
      <c r="E90" s="76" t="n"/>
      <c r="F90" s="76" t="n"/>
      <c r="G90" s="76" t="n"/>
      <c r="H90" s="76" t="n"/>
      <c r="I90" s="76" t="n"/>
      <c r="J90" s="76" t="n"/>
      <c r="K90" s="76" t="n"/>
      <c r="M90" s="76" t="n"/>
      <c r="N90" s="76" t="n"/>
      <c r="O90" s="76" t="n"/>
      <c r="P90" s="76" t="n"/>
      <c r="Q90" s="76" t="n"/>
      <c r="R90" s="76" t="n"/>
      <c r="S90" s="76" t="n"/>
      <c r="T90" s="76" t="n"/>
      <c r="U90" s="76" t="n"/>
      <c r="V90" s="76" t="n"/>
      <c r="W90" s="76" t="n"/>
      <c r="X90" s="76" t="n"/>
      <c r="Y90" s="76" t="n"/>
      <c r="Z90" s="76" t="n"/>
      <c r="AA90" s="76" t="n"/>
      <c r="AB90" s="76" t="n"/>
      <c r="AC90" s="76" t="n"/>
      <c r="AD90" s="76" t="n"/>
      <c r="AE90" s="76" t="n"/>
      <c r="AF90" s="76" t="n"/>
    </row>
    <row r="91">
      <c r="A91" t="inlineStr">
        <is>
          <t>New Energy</t>
        </is>
      </c>
      <c r="D91" s="76" t="n"/>
      <c r="E91" s="76" t="n"/>
      <c r="F91" s="76" t="n"/>
      <c r="G91" s="193">
        <f>G55/G12</f>
        <v/>
      </c>
      <c r="H91" s="193">
        <f>H55/H12</f>
        <v/>
      </c>
      <c r="I91" s="193">
        <f>I55/I12</f>
        <v/>
      </c>
      <c r="J91" s="76" t="n"/>
      <c r="K91" s="193">
        <f>K55/K12</f>
        <v/>
      </c>
      <c r="L91" s="193" t="n"/>
      <c r="M91" s="193">
        <f>M55/M12</f>
        <v/>
      </c>
      <c r="N91" s="193">
        <f>N55/N12</f>
        <v/>
      </c>
      <c r="O91" s="193">
        <f>O55/O12</f>
        <v/>
      </c>
      <c r="P91" s="193">
        <f>P55/P12</f>
        <v/>
      </c>
      <c r="Q91" s="193">
        <f>Q55/Q12</f>
        <v/>
      </c>
      <c r="R91" s="193">
        <f>R55/R12</f>
        <v/>
      </c>
      <c r="S91" s="193">
        <f>S55/S12</f>
        <v/>
      </c>
      <c r="T91" s="193">
        <f>T55/T12</f>
        <v/>
      </c>
      <c r="U91" s="193">
        <f>U55/U12</f>
        <v/>
      </c>
      <c r="V91" s="76" t="n"/>
      <c r="W91" s="76" t="n"/>
      <c r="X91" s="76" t="n"/>
      <c r="Y91" s="76" t="n"/>
      <c r="Z91" s="76" t="n"/>
      <c r="AA91" s="76" t="n"/>
      <c r="AB91" s="76" t="n"/>
      <c r="AC91" s="76" t="n"/>
      <c r="AD91" s="76" t="n"/>
      <c r="AE91" s="76" t="n"/>
      <c r="AF91" s="76" t="n"/>
    </row>
    <row r="92">
      <c r="A92" s="105" t="inlineStr">
        <is>
          <t>High Efficiency and Clean Energy</t>
        </is>
      </c>
      <c r="B92" s="105" t="n"/>
      <c r="C92" s="105" t="n"/>
      <c r="D92" s="145" t="n"/>
      <c r="E92" s="145" t="n"/>
      <c r="F92" s="145" t="n"/>
      <c r="G92" s="193">
        <f>G59/G16</f>
        <v/>
      </c>
      <c r="H92" s="193">
        <f>H59/H16</f>
        <v/>
      </c>
      <c r="I92" s="193">
        <f>I59/I16</f>
        <v/>
      </c>
      <c r="J92" s="145" t="n"/>
      <c r="K92" s="193">
        <f>K59/K16</f>
        <v/>
      </c>
      <c r="L92" s="193" t="n"/>
      <c r="M92" s="193">
        <f>M59/M16</f>
        <v/>
      </c>
      <c r="N92" s="193">
        <f>N59/N16</f>
        <v/>
      </c>
      <c r="O92" s="193">
        <f>O59/O16</f>
        <v/>
      </c>
      <c r="P92" s="193">
        <f>P59/P16</f>
        <v/>
      </c>
      <c r="Q92" s="193">
        <f>Q59/Q16</f>
        <v/>
      </c>
      <c r="R92" s="193">
        <f>R59/R16</f>
        <v/>
      </c>
      <c r="S92" s="193">
        <f>S59/S16</f>
        <v/>
      </c>
      <c r="T92" s="193">
        <f>T59/T16</f>
        <v/>
      </c>
      <c r="U92" s="193">
        <f>U59/U16</f>
        <v/>
      </c>
      <c r="V92" s="145" t="n"/>
      <c r="W92" s="145" t="n"/>
      <c r="X92" s="145" t="n"/>
      <c r="Y92" s="145" t="n"/>
      <c r="Z92" s="145" t="n"/>
      <c r="AA92" s="145" t="n"/>
      <c r="AB92" s="145" t="n"/>
      <c r="AC92" s="145" t="n"/>
      <c r="AD92" s="145" t="n"/>
      <c r="AE92" s="145" t="n"/>
      <c r="AF92" s="145" t="n"/>
    </row>
    <row r="93">
      <c r="A93" s="105" t="inlineStr">
        <is>
          <t>Modern Services</t>
        </is>
      </c>
      <c r="B93" s="105" t="n"/>
      <c r="C93" s="105" t="n"/>
      <c r="D93" s="88" t="n"/>
      <c r="E93" s="88" t="n"/>
      <c r="F93" s="88" t="n"/>
      <c r="G93" s="194">
        <f>G66/G28</f>
        <v/>
      </c>
      <c r="H93" s="194">
        <f>H66/H28</f>
        <v/>
      </c>
      <c r="I93" s="194">
        <f>I66/I28</f>
        <v/>
      </c>
      <c r="J93" s="88" t="n"/>
      <c r="K93" s="194">
        <f>K66/K28</f>
        <v/>
      </c>
      <c r="L93" s="194" t="n"/>
      <c r="M93" s="194">
        <f>M66/M28</f>
        <v/>
      </c>
      <c r="N93" s="194">
        <f>N66/N28</f>
        <v/>
      </c>
      <c r="O93" s="194">
        <f>O66/O28</f>
        <v/>
      </c>
      <c r="P93" s="194">
        <f>P66/P28</f>
        <v/>
      </c>
      <c r="Q93" s="194">
        <f>Q66/Q28</f>
        <v/>
      </c>
      <c r="R93" s="194">
        <f>R66/R28</f>
        <v/>
      </c>
      <c r="S93" s="194">
        <f>S66/S28</f>
        <v/>
      </c>
      <c r="T93" s="194">
        <f>T66/T28</f>
        <v/>
      </c>
      <c r="U93" s="194">
        <f>U66/U28</f>
        <v/>
      </c>
      <c r="V93" s="88" t="n"/>
      <c r="W93" s="88" t="n"/>
      <c r="X93" s="88" t="n"/>
      <c r="Y93" s="88" t="n"/>
      <c r="Z93" s="88" t="n"/>
      <c r="AA93" s="88" t="n"/>
      <c r="AB93" s="88" t="n"/>
      <c r="AC93" s="88" t="n"/>
      <c r="AD93" s="88" t="n"/>
      <c r="AE93" s="88" t="n"/>
      <c r="AF93" s="88" t="n"/>
    </row>
    <row r="94">
      <c r="A94" s="40" t="inlineStr">
        <is>
          <t>Total (rev including NE, HECE, MS only)</t>
        </is>
      </c>
      <c r="B94" s="40" t="n"/>
      <c r="C94" s="40" t="n"/>
      <c r="D94" s="145" t="n"/>
      <c r="E94" s="145" t="n"/>
      <c r="F94" s="145" t="n"/>
      <c r="G94" s="194" t="n"/>
      <c r="H94" s="194">
        <f>H70/(H12+H16+H28)</f>
        <v/>
      </c>
      <c r="I94" s="194">
        <f>I70/(I12+I16+I28)</f>
        <v/>
      </c>
      <c r="J94" s="194" t="n"/>
      <c r="K94" s="194">
        <f>K70/(K12+K16+K28)</f>
        <v/>
      </c>
      <c r="L94" s="194" t="n"/>
      <c r="M94" s="194">
        <f>M70/(M12+M16+M28)</f>
        <v/>
      </c>
      <c r="N94" s="194">
        <f>N70/(N12+N16+N28)</f>
        <v/>
      </c>
      <c r="O94" s="194">
        <f>O70/(O12+O16+O28)</f>
        <v/>
      </c>
      <c r="P94" s="194">
        <f>P70/(P12+P16+P28)</f>
        <v/>
      </c>
      <c r="Q94" s="194">
        <f>Q70/(Q12+Q16+Q28)</f>
        <v/>
      </c>
      <c r="R94" s="194">
        <f>R70/(R12+R16+R28)</f>
        <v/>
      </c>
      <c r="S94" s="194">
        <f>S70/(S12+S16+S28)</f>
        <v/>
      </c>
      <c r="T94" s="194">
        <f>T70/(T12+T16+T28)</f>
        <v/>
      </c>
      <c r="U94" s="194">
        <f>U70/(U12+U16+U28)</f>
        <v/>
      </c>
      <c r="V94" s="145" t="n"/>
      <c r="W94" s="145" t="n"/>
      <c r="X94" s="145" t="n"/>
      <c r="Y94" s="145" t="n"/>
      <c r="Z94" s="145" t="n"/>
      <c r="AA94" s="145" t="n"/>
      <c r="AB94" s="145" t="n"/>
      <c r="AC94" s="145" t="n"/>
      <c r="AD94" s="145" t="n"/>
      <c r="AE94" s="145" t="n"/>
      <c r="AF94" s="145" t="n"/>
    </row>
    <row r="95">
      <c r="A95" s="74" t="n"/>
      <c r="B95" s="74" t="n"/>
      <c r="C95" s="74" t="n"/>
      <c r="D95" s="145" t="n"/>
      <c r="E95" s="145" t="n"/>
      <c r="F95" s="145" t="n"/>
      <c r="G95" s="145" t="n"/>
      <c r="H95" s="145" t="n"/>
      <c r="I95" s="145" t="n"/>
      <c r="J95" s="145" t="n"/>
      <c r="K95" s="145" t="n"/>
      <c r="M95" s="145" t="n"/>
      <c r="N95" s="145" t="n"/>
      <c r="O95" s="145" t="n"/>
      <c r="P95" s="145" t="n"/>
      <c r="Q95" s="145" t="n"/>
      <c r="R95" s="145" t="n"/>
      <c r="S95" s="145" t="n"/>
      <c r="T95" s="145" t="n"/>
      <c r="U95" s="145" t="n"/>
      <c r="V95" s="145" t="n"/>
      <c r="W95" s="145" t="n"/>
      <c r="X95" s="145" t="n"/>
      <c r="Y95" s="145" t="n"/>
      <c r="Z95" s="145" t="n"/>
      <c r="AA95" s="145" t="n"/>
      <c r="AB95" s="145" t="n"/>
      <c r="AC95" s="145" t="n"/>
      <c r="AD95" s="145" t="n"/>
      <c r="AE95" s="145" t="n"/>
      <c r="AF95" s="145" t="n"/>
    </row>
    <row r="96" customFormat="1" s="22">
      <c r="A96" s="40" t="inlineStr">
        <is>
          <t>Backlog to bill ratio</t>
        </is>
      </c>
      <c r="B96" s="146" t="n"/>
      <c r="C96" s="146" t="n"/>
      <c r="D96" s="123" t="n"/>
      <c r="E96" s="123" t="n"/>
      <c r="F96" s="123" t="n"/>
      <c r="G96" s="123" t="n"/>
      <c r="H96" s="123" t="n"/>
      <c r="I96" s="123" t="n"/>
      <c r="J96" s="123" t="n"/>
      <c r="K96" s="123" t="n"/>
      <c r="M96" s="123" t="n"/>
      <c r="N96" s="123" t="n"/>
      <c r="O96" s="123" t="n"/>
      <c r="P96" s="123" t="n"/>
      <c r="Q96" s="123" t="n"/>
      <c r="R96" s="123" t="n"/>
      <c r="S96" s="123" t="n"/>
      <c r="T96" s="123" t="n"/>
      <c r="U96" s="123" t="n"/>
      <c r="V96" s="123" t="n"/>
      <c r="W96" s="123" t="n"/>
      <c r="X96" s="123" t="n"/>
      <c r="Y96" s="123" t="n"/>
      <c r="Z96" s="123" t="n"/>
      <c r="AA96" s="123" t="n"/>
      <c r="AB96" s="123" t="n"/>
      <c r="AC96" s="123" t="n"/>
      <c r="AD96" s="123" t="n"/>
      <c r="AE96" s="123" t="n"/>
      <c r="AF96" s="123" t="n"/>
    </row>
    <row r="97" customFormat="1" s="22">
      <c r="A97" t="inlineStr">
        <is>
          <t>New Energy</t>
        </is>
      </c>
      <c r="B97" s="146" t="n"/>
      <c r="C97" s="146" t="n"/>
      <c r="D97" s="123" t="n"/>
      <c r="E97" s="123" t="n"/>
      <c r="F97" s="123" t="n"/>
      <c r="G97" s="884">
        <f>G73/G12</f>
        <v/>
      </c>
      <c r="H97" s="884">
        <f>H73/H12</f>
        <v/>
      </c>
      <c r="I97" s="884">
        <f>I73/I12</f>
        <v/>
      </c>
      <c r="J97" s="884" t="n"/>
      <c r="K97" s="884" t="n"/>
      <c r="L97" s="884" t="n"/>
      <c r="M97" s="884">
        <f>M73/M12</f>
        <v/>
      </c>
      <c r="N97" s="884" t="n"/>
      <c r="O97" s="884">
        <f>O73/O12</f>
        <v/>
      </c>
      <c r="P97" s="884" t="n"/>
      <c r="Q97" s="884">
        <f>Q73/Q12</f>
        <v/>
      </c>
      <c r="R97" s="884" t="n"/>
      <c r="S97" s="884">
        <f>S73/S12</f>
        <v/>
      </c>
      <c r="T97" s="884">
        <f>T73/T12</f>
        <v/>
      </c>
      <c r="U97" s="884">
        <f>U73/U12</f>
        <v/>
      </c>
      <c r="V97" s="123" t="n"/>
      <c r="W97" s="123" t="n"/>
      <c r="X97" s="123" t="n"/>
      <c r="Y97" s="123" t="n"/>
      <c r="Z97" s="123" t="n"/>
      <c r="AA97" s="123" t="n"/>
      <c r="AB97" s="123" t="n"/>
      <c r="AC97" s="123" t="n"/>
      <c r="AD97" s="123" t="n"/>
      <c r="AE97" s="123" t="n"/>
      <c r="AF97" s="123" t="n"/>
    </row>
    <row r="98">
      <c r="A98" s="105" t="inlineStr">
        <is>
          <t>High Efficiency and Clean Energy</t>
        </is>
      </c>
      <c r="B98" s="74" t="n"/>
      <c r="C98" s="74" t="n"/>
      <c r="D98" s="145" t="n"/>
      <c r="E98" s="145" t="n"/>
      <c r="F98" s="145" t="n"/>
      <c r="G98" s="884">
        <f>G77/G16</f>
        <v/>
      </c>
      <c r="H98" s="884">
        <f>H77/H16</f>
        <v/>
      </c>
      <c r="I98" s="884">
        <f>I77/I16</f>
        <v/>
      </c>
      <c r="J98" s="884" t="n"/>
      <c r="K98" s="884" t="n"/>
      <c r="L98" s="884" t="n"/>
      <c r="M98" s="884">
        <f>M77/M16</f>
        <v/>
      </c>
      <c r="N98" s="884" t="n"/>
      <c r="O98" s="884">
        <f>O77/O16</f>
        <v/>
      </c>
      <c r="P98" s="145" t="n"/>
      <c r="Q98" s="884">
        <f>Q77/Q16</f>
        <v/>
      </c>
      <c r="R98" s="884" t="n"/>
      <c r="S98" s="884">
        <f>S77/S16</f>
        <v/>
      </c>
      <c r="T98" s="884">
        <f>T77/T16</f>
        <v/>
      </c>
      <c r="U98" s="884">
        <f>U77/U16</f>
        <v/>
      </c>
      <c r="V98" s="145" t="n"/>
      <c r="W98" s="145" t="n"/>
      <c r="X98" s="145" t="n"/>
      <c r="Y98" s="145" t="n"/>
      <c r="Z98" s="145" t="n"/>
      <c r="AA98" s="145" t="n"/>
      <c r="AB98" s="145" t="n"/>
      <c r="AC98" s="145" t="n"/>
      <c r="AD98" s="145" t="n"/>
      <c r="AE98" s="145" t="n"/>
      <c r="AF98" s="145" t="n"/>
    </row>
    <row r="99">
      <c r="A99" s="105" t="inlineStr">
        <is>
          <t>Modern Services</t>
        </is>
      </c>
      <c r="B99" s="74" t="n"/>
      <c r="C99" s="74" t="n"/>
      <c r="D99" s="145" t="n"/>
      <c r="E99" s="145" t="n"/>
      <c r="F99" s="145" t="n"/>
      <c r="G99" s="884">
        <f>G83/G22</f>
        <v/>
      </c>
      <c r="H99" s="884">
        <f>H83/H22</f>
        <v/>
      </c>
      <c r="I99" s="884">
        <f>I83/I22</f>
        <v/>
      </c>
      <c r="J99" s="884" t="n"/>
      <c r="K99" s="884" t="n"/>
      <c r="L99" s="884" t="n"/>
      <c r="M99" s="884">
        <f>M83/M22</f>
        <v/>
      </c>
      <c r="N99" s="884" t="n"/>
      <c r="O99" s="884">
        <f>O83/O22</f>
        <v/>
      </c>
      <c r="P99" s="145" t="n"/>
      <c r="Q99" s="884">
        <f>Q83/Q22</f>
        <v/>
      </c>
      <c r="R99" s="884" t="n"/>
      <c r="S99" s="884">
        <f>S83/S22</f>
        <v/>
      </c>
      <c r="T99" s="884">
        <f>T83/T22</f>
        <v/>
      </c>
      <c r="U99" s="884">
        <f>U83/U22</f>
        <v/>
      </c>
      <c r="V99" s="145" t="n"/>
      <c r="W99" s="145" t="n"/>
      <c r="X99" s="145" t="n"/>
      <c r="Y99" s="145" t="n"/>
      <c r="Z99" s="145" t="n"/>
      <c r="AA99" s="145" t="n"/>
      <c r="AB99" s="145" t="n"/>
      <c r="AC99" s="145" t="n"/>
      <c r="AD99" s="145" t="n"/>
      <c r="AE99" s="145" t="n"/>
      <c r="AF99" s="145" t="n"/>
    </row>
    <row r="100">
      <c r="A100" s="40" t="inlineStr">
        <is>
          <t>Total (rev including NE, HECE, MS only)</t>
        </is>
      </c>
      <c r="B100" s="74" t="n"/>
      <c r="C100" s="74" t="n"/>
      <c r="D100" s="143" t="n"/>
      <c r="E100" s="143" t="n"/>
      <c r="F100" s="143" t="n"/>
      <c r="G100" s="899">
        <f>G88/(G12+G16+G28)</f>
        <v/>
      </c>
      <c r="H100" s="899">
        <f>H88/(H12+H16+H28)</f>
        <v/>
      </c>
      <c r="I100" s="899">
        <f>I88/(I12+I16+I28)</f>
        <v/>
      </c>
      <c r="J100" s="899" t="n"/>
      <c r="K100" s="899" t="n"/>
      <c r="L100" s="899" t="n"/>
      <c r="M100" s="899">
        <f>M88/(M12+M16+M28)</f>
        <v/>
      </c>
      <c r="N100" s="899">
        <f>N88/(N12+N16+N28)</f>
        <v/>
      </c>
      <c r="O100" s="899">
        <f>O88/(O12+O16+O28)</f>
        <v/>
      </c>
      <c r="P100" s="899">
        <f>P88/(P12+P16+P28)</f>
        <v/>
      </c>
      <c r="Q100" s="899">
        <f>Q88/(Q12+Q16+Q28)</f>
        <v/>
      </c>
      <c r="R100" s="899">
        <f>R88/(R12+R16+R28)</f>
        <v/>
      </c>
      <c r="S100" s="899">
        <f>S88/(S12+S16+S28)</f>
        <v/>
      </c>
      <c r="T100" s="899">
        <f>T88/(T12+T16+T28)</f>
        <v/>
      </c>
      <c r="U100" s="899">
        <f>U88/(U12+U16+U28)</f>
        <v/>
      </c>
      <c r="V100" s="143" t="n"/>
      <c r="W100" s="143" t="n"/>
      <c r="X100" s="143" t="n"/>
      <c r="Y100" s="143" t="n"/>
      <c r="Z100" s="143" t="n"/>
      <c r="AA100" s="143" t="n"/>
      <c r="AB100" s="143" t="n"/>
      <c r="AC100" s="143" t="n"/>
      <c r="AD100" s="143" t="n"/>
      <c r="AE100" s="143" t="n"/>
      <c r="AF100" s="143" t="n"/>
    </row>
    <row r="101">
      <c r="A101" s="33" t="n"/>
      <c r="B101" s="33" t="n"/>
      <c r="C101" s="33" t="n"/>
      <c r="D101" s="143" t="n"/>
      <c r="E101" s="145" t="n"/>
      <c r="F101" s="145" t="n"/>
      <c r="G101" s="145" t="n"/>
      <c r="H101" s="145" t="n"/>
      <c r="I101" s="145" t="n"/>
      <c r="J101" s="145" t="n"/>
      <c r="K101" s="145" t="n"/>
      <c r="M101" s="145" t="n"/>
      <c r="N101" s="145" t="n"/>
      <c r="O101" s="145" t="n"/>
      <c r="P101" s="145" t="n"/>
      <c r="Q101" s="145" t="n"/>
      <c r="R101" s="145" t="n"/>
      <c r="S101" s="145" t="n"/>
      <c r="T101" s="145" t="n"/>
      <c r="U101" s="145" t="n"/>
      <c r="V101" s="145" t="n"/>
      <c r="W101" s="145" t="n"/>
      <c r="X101" s="145" t="n"/>
      <c r="Y101" s="145" t="n"/>
      <c r="Z101" s="145" t="n"/>
      <c r="AA101" s="145" t="n"/>
      <c r="AB101" s="145" t="n"/>
      <c r="AC101" s="145" t="n"/>
      <c r="AD101" s="145" t="n"/>
      <c r="AE101" s="145" t="n"/>
      <c r="AF101" s="145" t="n"/>
    </row>
    <row r="102">
      <c r="A102" s="33" t="n"/>
      <c r="B102" s="33" t="n"/>
      <c r="C102" s="33" t="n"/>
      <c r="D102" s="145" t="n"/>
      <c r="E102" s="145" t="n"/>
      <c r="F102" s="145" t="n"/>
      <c r="G102" s="145" t="n"/>
      <c r="H102" s="145" t="n"/>
      <c r="I102" s="145" t="n"/>
      <c r="J102" s="145" t="n"/>
      <c r="K102" s="145" t="n"/>
      <c r="M102" s="145" t="n"/>
      <c r="N102" s="145" t="n"/>
      <c r="O102" s="145" t="n"/>
      <c r="P102" s="145" t="n"/>
      <c r="Q102" s="145" t="n"/>
      <c r="R102" s="145" t="n"/>
      <c r="S102" s="145" t="n"/>
      <c r="T102" s="145" t="n"/>
      <c r="U102" s="145" t="n"/>
      <c r="V102" s="145" t="n"/>
      <c r="W102" s="145" t="n"/>
      <c r="X102" s="145" t="n"/>
      <c r="Y102" s="145" t="n"/>
      <c r="Z102" s="145" t="n"/>
      <c r="AA102" s="145" t="n"/>
      <c r="AB102" s="145" t="n"/>
      <c r="AC102" s="145" t="n"/>
      <c r="AD102" s="145" t="n"/>
      <c r="AE102" s="145" t="n"/>
      <c r="AF102" s="145" t="n"/>
    </row>
    <row r="103">
      <c r="A103" s="33" t="n"/>
      <c r="B103" s="33" t="n"/>
      <c r="C103" s="33" t="n"/>
      <c r="D103" s="143" t="n"/>
      <c r="E103" s="143" t="n"/>
      <c r="F103" s="143" t="n"/>
      <c r="G103" s="143" t="n"/>
      <c r="H103" s="143" t="n"/>
      <c r="I103" s="143" t="n"/>
      <c r="J103" s="143" t="n"/>
      <c r="K103" s="143" t="n"/>
      <c r="M103" s="143" t="n"/>
      <c r="N103" s="143" t="n"/>
      <c r="O103" s="143" t="n"/>
      <c r="P103" s="143" t="n"/>
      <c r="Q103" s="143" t="n"/>
      <c r="R103" s="143" t="n"/>
      <c r="S103" s="143" t="n"/>
      <c r="T103" s="143" t="n"/>
      <c r="U103" s="143" t="n"/>
      <c r="V103" s="143" t="n"/>
      <c r="W103" s="143" t="n"/>
      <c r="X103" s="143" t="n"/>
      <c r="Y103" s="143" t="n"/>
      <c r="Z103" s="143" t="n"/>
      <c r="AA103" s="143" t="n"/>
      <c r="AB103" s="143" t="n"/>
      <c r="AC103" s="143" t="n"/>
      <c r="AD103" s="143" t="n"/>
      <c r="AE103" s="143" t="n"/>
      <c r="AF103" s="143" t="n"/>
    </row>
    <row r="104">
      <c r="D104" s="88" t="n"/>
      <c r="E104" s="88" t="n"/>
      <c r="F104" s="88" t="n"/>
      <c r="G104" s="88" t="n"/>
      <c r="H104" s="88" t="n"/>
      <c r="I104" s="88" t="n"/>
      <c r="J104" s="88" t="n"/>
      <c r="K104" s="88" t="n"/>
      <c r="M104" s="88" t="n"/>
      <c r="N104" s="88" t="n"/>
      <c r="O104" s="88" t="n"/>
      <c r="P104" s="88" t="n"/>
      <c r="Q104" s="88" t="n"/>
      <c r="R104" s="88" t="n"/>
      <c r="S104" s="88" t="n"/>
      <c r="T104" s="88" t="n"/>
      <c r="U104" s="88" t="n"/>
      <c r="V104" s="88" t="n"/>
      <c r="W104" s="88" t="n"/>
      <c r="X104" s="88" t="n"/>
      <c r="Y104" s="88" t="n"/>
      <c r="Z104" s="88" t="n"/>
      <c r="AA104" s="88" t="n"/>
      <c r="AB104" s="88" t="n"/>
      <c r="AC104" s="88" t="n"/>
      <c r="AD104" s="88" t="n"/>
      <c r="AE104" s="88" t="n"/>
      <c r="AF104" s="88" t="n"/>
    </row>
    <row r="105">
      <c r="D105" s="145" t="n"/>
      <c r="E105" s="145" t="n"/>
      <c r="F105" s="145" t="n"/>
      <c r="G105" s="145" t="n"/>
      <c r="H105" s="145" t="n"/>
      <c r="I105" s="145" t="n"/>
      <c r="J105" s="145" t="n"/>
      <c r="K105" s="145" t="n"/>
      <c r="M105" s="145" t="n"/>
      <c r="N105" s="145" t="n"/>
      <c r="O105" s="145" t="n"/>
      <c r="P105" s="145" t="n"/>
      <c r="Q105" s="145" t="n"/>
      <c r="R105" s="145" t="n"/>
      <c r="S105" s="145" t="n"/>
      <c r="T105" s="145" t="n"/>
      <c r="U105" s="145" t="n"/>
      <c r="V105" s="145" t="n"/>
      <c r="W105" s="145" t="n"/>
      <c r="X105" s="145" t="n"/>
      <c r="Y105" s="145" t="n"/>
      <c r="Z105" s="145" t="n"/>
      <c r="AA105" s="145" t="n"/>
      <c r="AB105" s="145" t="n"/>
      <c r="AC105" s="145" t="n"/>
      <c r="AD105" s="145" t="n"/>
      <c r="AE105" s="145" t="n"/>
      <c r="AF105" s="145" t="n"/>
    </row>
    <row r="106">
      <c r="D106" s="88" t="n"/>
      <c r="E106" s="88" t="n"/>
      <c r="F106" s="88" t="n"/>
      <c r="G106" s="88" t="n"/>
      <c r="H106" s="88" t="n"/>
      <c r="I106" s="88" t="n"/>
      <c r="J106" s="88" t="n"/>
      <c r="K106" s="88" t="n"/>
      <c r="M106" s="88" t="n"/>
      <c r="N106" s="88" t="n"/>
      <c r="O106" s="88" t="n"/>
      <c r="P106" s="88" t="n"/>
      <c r="Q106" s="88" t="n"/>
      <c r="R106" s="88" t="n"/>
      <c r="S106" s="88" t="n"/>
      <c r="T106" s="88" t="n"/>
      <c r="U106" s="88" t="n"/>
      <c r="V106" s="88" t="n"/>
      <c r="W106" s="88" t="n"/>
      <c r="X106" s="88" t="n"/>
      <c r="Y106" s="88" t="n"/>
      <c r="Z106" s="88" t="n"/>
      <c r="AA106" s="88" t="n"/>
      <c r="AB106" s="88" t="n"/>
      <c r="AC106" s="88" t="n"/>
      <c r="AD106" s="88" t="n"/>
      <c r="AE106" s="88" t="n"/>
      <c r="AF106" s="88" t="n"/>
    </row>
    <row r="107">
      <c r="D107" s="143" t="n"/>
      <c r="E107" s="143" t="n"/>
      <c r="F107" s="143" t="n"/>
      <c r="G107" s="143" t="n"/>
      <c r="H107" s="143" t="n"/>
      <c r="I107" s="143" t="n"/>
      <c r="J107" s="143" t="n"/>
      <c r="K107" s="143" t="n"/>
      <c r="M107" s="143" t="n"/>
      <c r="N107" s="143" t="n"/>
      <c r="O107" s="143" t="n"/>
      <c r="P107" s="143" t="n"/>
      <c r="Q107" s="143" t="n"/>
      <c r="R107" s="143" t="n"/>
      <c r="S107" s="143" t="n"/>
      <c r="T107" s="143" t="n"/>
      <c r="U107" s="143" t="n"/>
      <c r="V107" s="143" t="n"/>
      <c r="W107" s="143" t="n"/>
      <c r="X107" s="143" t="n"/>
      <c r="Y107" s="143" t="n"/>
      <c r="Z107" s="143" t="n"/>
      <c r="AA107" s="143" t="n"/>
      <c r="AB107" s="143" t="n"/>
      <c r="AC107" s="143" t="n"/>
      <c r="AD107" s="143" t="n"/>
      <c r="AE107" s="143" t="n"/>
      <c r="AF107" s="143" t="n"/>
    </row>
    <row r="108">
      <c r="D108" s="143" t="n"/>
      <c r="E108" s="143" t="n"/>
      <c r="F108" s="143" t="n"/>
      <c r="G108" s="143" t="n"/>
      <c r="H108" s="143" t="n"/>
      <c r="I108" s="143" t="n"/>
      <c r="J108" s="143" t="n"/>
      <c r="K108" s="143" t="n"/>
      <c r="M108" s="143" t="n"/>
      <c r="N108" s="143" t="n"/>
      <c r="O108" s="143" t="n"/>
      <c r="P108" s="143" t="n"/>
      <c r="Q108" s="143" t="n"/>
      <c r="R108" s="143" t="n"/>
      <c r="S108" s="143" t="n"/>
      <c r="T108" s="143" t="n"/>
      <c r="U108" s="143" t="n"/>
      <c r="V108" s="143" t="n"/>
      <c r="W108" s="143" t="n"/>
      <c r="X108" s="143" t="n"/>
      <c r="Y108" s="143" t="n"/>
      <c r="Z108" s="143" t="n"/>
      <c r="AA108" s="143" t="n"/>
      <c r="AB108" s="143" t="n"/>
      <c r="AC108" s="143" t="n"/>
      <c r="AD108" s="143" t="n"/>
      <c r="AE108" s="143" t="n"/>
      <c r="AF108" s="143" t="n"/>
    </row>
    <row r="109">
      <c r="D109" s="145" t="n"/>
      <c r="E109" s="145" t="n"/>
      <c r="F109" s="145" t="n"/>
      <c r="G109" s="145" t="n"/>
      <c r="H109" s="145" t="n"/>
      <c r="I109" s="145" t="n"/>
      <c r="J109" s="145" t="n"/>
      <c r="K109" s="145" t="n"/>
      <c r="M109" s="145" t="n"/>
      <c r="N109" s="145" t="n"/>
      <c r="O109" s="145" t="n"/>
      <c r="P109" s="145" t="n"/>
      <c r="Q109" s="145" t="n"/>
      <c r="R109" s="145" t="n"/>
      <c r="S109" s="145" t="n"/>
      <c r="T109" s="145" t="n"/>
      <c r="U109" s="145" t="n"/>
      <c r="V109" s="145" t="n"/>
      <c r="W109" s="145" t="n"/>
      <c r="X109" s="145" t="n"/>
      <c r="Y109" s="145" t="n"/>
      <c r="Z109" s="145" t="n"/>
      <c r="AA109" s="145" t="n"/>
      <c r="AB109" s="145" t="n"/>
      <c r="AC109" s="145" t="n"/>
      <c r="AD109" s="145" t="n"/>
      <c r="AE109" s="145" t="n"/>
      <c r="AF109" s="145" t="n"/>
    </row>
    <row r="110">
      <c r="D110" s="88" t="n"/>
      <c r="E110" s="88" t="n"/>
      <c r="F110" s="88" t="n"/>
      <c r="G110" s="88" t="n"/>
      <c r="H110" s="88" t="n"/>
      <c r="I110" s="88" t="n"/>
      <c r="J110" s="88" t="n"/>
      <c r="K110" s="88" t="n"/>
      <c r="M110" s="88" t="n"/>
      <c r="N110" s="88" t="n"/>
      <c r="O110" s="88" t="n"/>
      <c r="P110" s="88" t="n"/>
      <c r="Q110" s="88" t="n"/>
      <c r="R110" s="88" t="n"/>
      <c r="S110" s="88" t="n"/>
      <c r="T110" s="88" t="n"/>
      <c r="U110" s="88" t="n"/>
      <c r="V110" s="88" t="n"/>
      <c r="W110" s="88" t="n"/>
      <c r="X110" s="88" t="n"/>
      <c r="Y110" s="88" t="n"/>
      <c r="Z110" s="88" t="n"/>
      <c r="AA110" s="88" t="n"/>
      <c r="AB110" s="88" t="n"/>
      <c r="AC110" s="88" t="n"/>
      <c r="AD110" s="88" t="n"/>
      <c r="AE110" s="88" t="n"/>
      <c r="AF110" s="88" t="n"/>
    </row>
    <row r="111">
      <c r="D111" s="143" t="n"/>
      <c r="E111" s="143" t="n"/>
      <c r="F111" s="143" t="n"/>
      <c r="G111" s="143" t="n"/>
      <c r="H111" s="143" t="n"/>
      <c r="I111" s="143" t="n"/>
      <c r="J111" s="143" t="n"/>
      <c r="K111" s="143" t="n"/>
      <c r="M111" s="143" t="n"/>
      <c r="N111" s="143" t="n"/>
      <c r="O111" s="143" t="n"/>
      <c r="P111" s="143" t="n"/>
      <c r="Q111" s="143" t="n"/>
      <c r="R111" s="143" t="n"/>
      <c r="S111" s="143" t="n"/>
      <c r="T111" s="143" t="n"/>
      <c r="U111" s="143" t="n"/>
      <c r="V111" s="143" t="n"/>
      <c r="W111" s="143" t="n"/>
      <c r="X111" s="143" t="n"/>
      <c r="Y111" s="143" t="n"/>
      <c r="Z111" s="143" t="n"/>
      <c r="AA111" s="143" t="n"/>
      <c r="AB111" s="143" t="n"/>
      <c r="AC111" s="143" t="n"/>
      <c r="AD111" s="143" t="n"/>
      <c r="AE111" s="143" t="n"/>
      <c r="AF111" s="143" t="n"/>
    </row>
    <row r="112" customFormat="1" s="84">
      <c r="D112" s="118" t="n"/>
      <c r="E112" s="118" t="n"/>
      <c r="F112" s="118" t="n"/>
      <c r="G112" s="118" t="n"/>
      <c r="H112" s="118" t="n"/>
      <c r="I112" s="118" t="n"/>
      <c r="J112" s="118" t="n"/>
      <c r="K112" s="118" t="n"/>
      <c r="M112" s="118" t="n"/>
      <c r="N112" s="118" t="n"/>
      <c r="O112" s="118" t="n"/>
      <c r="P112" s="118" t="n"/>
      <c r="Q112" s="118" t="n"/>
      <c r="R112" s="118" t="n"/>
      <c r="S112" s="118" t="n"/>
      <c r="T112" s="118" t="n"/>
      <c r="U112" s="118" t="n"/>
      <c r="V112" s="118" t="n"/>
      <c r="W112" s="118" t="n"/>
      <c r="X112" s="118" t="n"/>
      <c r="Y112" s="118" t="n"/>
      <c r="Z112" s="118" t="n"/>
      <c r="AA112" s="118" t="n"/>
      <c r="AB112" s="118" t="n"/>
      <c r="AC112" s="118" t="n"/>
      <c r="AD112" s="118" t="n"/>
      <c r="AE112" s="118" t="n"/>
      <c r="AF112" s="118" t="n"/>
    </row>
    <row r="113" customFormat="1" s="84">
      <c r="D113" s="118" t="n"/>
      <c r="E113" s="118" t="n"/>
      <c r="F113" s="118" t="n"/>
      <c r="G113" s="118" t="n"/>
      <c r="H113" s="118" t="n"/>
      <c r="I113" s="118" t="n"/>
      <c r="J113" s="118" t="n"/>
      <c r="K113" s="118" t="n"/>
      <c r="M113" s="118" t="n"/>
      <c r="N113" s="118" t="n"/>
      <c r="O113" s="118" t="n"/>
      <c r="P113" s="118" t="n"/>
      <c r="Q113" s="118" t="n"/>
      <c r="R113" s="118" t="n"/>
      <c r="S113" s="118" t="n"/>
      <c r="T113" s="118" t="n"/>
      <c r="U113" s="118" t="n"/>
      <c r="V113" s="118" t="n"/>
      <c r="W113" s="118" t="n"/>
      <c r="X113" s="118" t="n"/>
      <c r="Y113" s="118" t="n"/>
      <c r="Z113" s="118" t="n"/>
      <c r="AA113" s="118" t="n"/>
      <c r="AB113" s="118" t="n"/>
      <c r="AC113" s="118" t="n"/>
      <c r="AD113" s="118" t="n"/>
      <c r="AE113" s="118" t="n"/>
      <c r="AF113" s="118" t="n"/>
    </row>
    <row r="114">
      <c r="D114" s="891" t="n"/>
      <c r="E114" s="891" t="n"/>
      <c r="F114" s="891" t="n"/>
      <c r="G114" s="891" t="n"/>
      <c r="H114" s="891" t="n"/>
      <c r="I114" s="891" t="n"/>
      <c r="J114" s="891" t="n"/>
      <c r="K114" s="962" t="n"/>
      <c r="M114" s="962" t="n"/>
      <c r="N114" s="962" t="n"/>
      <c r="O114" s="962" t="n"/>
      <c r="P114" s="962" t="n"/>
      <c r="Q114" s="962" t="n"/>
      <c r="R114" s="962" t="n"/>
      <c r="S114" s="962" t="n"/>
      <c r="T114" s="962" t="n"/>
      <c r="U114" s="962" t="n"/>
      <c r="V114" s="962" t="n"/>
      <c r="W114" s="962" t="n"/>
      <c r="X114" s="962" t="n"/>
      <c r="Y114" s="962" t="n"/>
      <c r="Z114" s="962" t="n"/>
      <c r="AA114" s="962" t="n"/>
      <c r="AB114" s="962" t="n"/>
      <c r="AC114" s="962" t="n"/>
      <c r="AD114" s="962" t="n"/>
      <c r="AE114" s="962" t="n"/>
      <c r="AF114" s="962" t="n"/>
    </row>
    <row r="115">
      <c r="D115" s="962" t="n"/>
      <c r="E115" s="962" t="n"/>
      <c r="F115" s="962" t="n"/>
      <c r="G115" s="962" t="n"/>
      <c r="H115" s="962" t="n"/>
      <c r="I115" s="962" t="n"/>
      <c r="J115" s="962" t="n"/>
      <c r="K115" s="962" t="n"/>
      <c r="M115" s="962" t="n"/>
      <c r="N115" s="962" t="n"/>
      <c r="O115" s="962" t="n"/>
      <c r="P115" s="962" t="n"/>
      <c r="Q115" s="962" t="n"/>
      <c r="R115" s="962" t="n"/>
      <c r="S115" s="962" t="n"/>
      <c r="T115" s="962" t="n"/>
      <c r="U115" s="962" t="n"/>
      <c r="V115" s="962" t="n"/>
      <c r="W115" s="962" t="n"/>
      <c r="X115" s="962" t="n"/>
      <c r="Y115" s="962" t="n"/>
      <c r="Z115" s="962" t="n"/>
      <c r="AA115" s="962" t="n"/>
      <c r="AB115" s="962" t="n"/>
      <c r="AC115" s="962" t="n"/>
      <c r="AD115" s="962" t="n"/>
      <c r="AE115" s="962" t="n"/>
      <c r="AF115" s="962" t="n"/>
    </row>
    <row r="116">
      <c r="D116" s="143" t="n"/>
      <c r="E116" s="143" t="n"/>
      <c r="F116" s="143" t="n"/>
      <c r="G116" s="143" t="n"/>
      <c r="H116" s="143" t="n"/>
      <c r="I116" s="143" t="n"/>
      <c r="J116" s="143" t="n"/>
      <c r="K116" s="143" t="n"/>
      <c r="M116" s="143" t="n"/>
      <c r="N116" s="143" t="n"/>
      <c r="O116" s="143" t="n"/>
      <c r="P116" s="143" t="n"/>
      <c r="Q116" s="143" t="n"/>
      <c r="R116" s="143" t="n"/>
      <c r="S116" s="143" t="n"/>
      <c r="T116" s="143" t="n"/>
      <c r="U116" s="143" t="n"/>
      <c r="V116" s="143" t="n"/>
      <c r="W116" s="143" t="n"/>
      <c r="X116" s="143" t="n"/>
      <c r="Y116" s="143" t="n"/>
      <c r="Z116" s="143" t="n"/>
      <c r="AA116" s="143" t="n"/>
      <c r="AB116" s="143" t="n"/>
      <c r="AC116" s="143" t="n"/>
      <c r="AD116" s="143" t="n"/>
      <c r="AE116" s="143" t="n"/>
      <c r="AF116" s="143" t="n"/>
    </row>
    <row r="117" customFormat="1" s="84">
      <c r="A117" s="85" t="n"/>
      <c r="D117" s="143" t="n"/>
      <c r="E117" s="167" t="n"/>
      <c r="F117" s="167" t="n"/>
      <c r="G117" s="167" t="n"/>
      <c r="H117" s="167" t="n"/>
      <c r="I117" s="167" t="n"/>
      <c r="J117" s="167" t="n"/>
      <c r="K117" s="167" t="n"/>
      <c r="M117" s="167" t="n"/>
      <c r="N117" s="167" t="n"/>
      <c r="O117" s="167" t="n"/>
      <c r="P117" s="167" t="n"/>
      <c r="Q117" s="167" t="n"/>
      <c r="R117" s="167" t="n"/>
      <c r="S117" s="167" t="n"/>
      <c r="T117" s="143" t="n"/>
      <c r="U117" s="143" t="n"/>
      <c r="V117" s="143" t="n"/>
      <c r="W117" s="143" t="n"/>
      <c r="X117" s="143" t="n"/>
      <c r="Y117" s="143" t="n"/>
      <c r="Z117" s="143" t="n"/>
      <c r="AA117" s="143" t="n"/>
      <c r="AB117" s="143" t="n"/>
      <c r="AC117" s="143" t="n"/>
      <c r="AD117" s="143" t="n"/>
      <c r="AE117" s="143" t="n"/>
      <c r="AF117" s="143" t="n"/>
    </row>
    <row r="118">
      <c r="A118" s="85" t="n"/>
      <c r="D118" s="143" t="n"/>
      <c r="E118" s="145" t="n"/>
      <c r="F118" s="145" t="n"/>
      <c r="G118" s="145" t="n"/>
      <c r="H118" s="145" t="n"/>
      <c r="I118" s="145" t="n"/>
      <c r="J118" s="145" t="n"/>
      <c r="K118" s="145" t="n"/>
      <c r="M118" s="145" t="n"/>
      <c r="N118" s="145" t="n"/>
      <c r="O118" s="145" t="n"/>
      <c r="P118" s="145" t="n"/>
      <c r="Q118" s="145" t="n"/>
      <c r="R118" s="145" t="n"/>
      <c r="S118" s="145" t="n"/>
      <c r="T118" s="143" t="n"/>
      <c r="U118" s="143" t="n"/>
      <c r="V118" s="143" t="n"/>
      <c r="W118" s="143" t="n"/>
      <c r="X118" s="143" t="n"/>
      <c r="Y118" s="143" t="n"/>
      <c r="Z118" s="143" t="n"/>
      <c r="AA118" s="143" t="n"/>
      <c r="AB118" s="143" t="n"/>
      <c r="AC118" s="143" t="n"/>
      <c r="AD118" s="143" t="n"/>
      <c r="AE118" s="143" t="n"/>
      <c r="AF118" s="143" t="n"/>
    </row>
    <row r="119">
      <c r="D119" s="143" t="n"/>
      <c r="E119" s="145" t="n"/>
      <c r="F119" s="143" t="n"/>
      <c r="G119" s="145" t="n"/>
      <c r="H119" s="143" t="n"/>
      <c r="I119" s="145" t="n"/>
      <c r="J119" s="143" t="n"/>
      <c r="K119" s="143" t="n"/>
      <c r="M119" s="88" t="n"/>
      <c r="N119" s="143" t="n"/>
      <c r="O119" s="88" t="n"/>
      <c r="P119" s="143" t="n"/>
      <c r="Q119" s="143" t="n"/>
      <c r="R119" s="143" t="n"/>
      <c r="S119" s="88" t="n"/>
      <c r="T119" s="143" t="n"/>
      <c r="U119" s="143" t="n"/>
      <c r="V119" s="143" t="n"/>
      <c r="W119" s="143" t="n"/>
      <c r="X119" s="143" t="n"/>
      <c r="Y119" s="143" t="n"/>
      <c r="Z119" s="143" t="n"/>
      <c r="AA119" s="143" t="n"/>
      <c r="AB119" s="143" t="n"/>
      <c r="AC119" s="143" t="n"/>
      <c r="AD119" s="143" t="n"/>
      <c r="AE119" s="143" t="n"/>
      <c r="AF119" s="143" t="n"/>
    </row>
    <row r="120">
      <c r="D120" s="142" t="n"/>
      <c r="E120" s="142" t="n"/>
      <c r="F120" s="142" t="n"/>
      <c r="G120" s="142" t="n"/>
      <c r="H120" s="142" t="n"/>
      <c r="I120" s="142" t="n"/>
      <c r="J120" s="142" t="n"/>
      <c r="K120" s="142" t="n"/>
      <c r="M120" s="142" t="n"/>
      <c r="N120" s="142" t="n"/>
      <c r="O120" s="142" t="n"/>
      <c r="P120" s="142" t="n"/>
      <c r="Q120" s="142" t="n"/>
      <c r="R120" s="142" t="n"/>
      <c r="S120" s="142" t="n"/>
      <c r="T120" s="142" t="n"/>
      <c r="U120" s="142" t="n"/>
      <c r="V120" s="142" t="n"/>
      <c r="W120" s="142" t="n"/>
      <c r="X120" s="142" t="n"/>
      <c r="Y120" s="142" t="n"/>
      <c r="Z120" s="142" t="n"/>
      <c r="AA120" s="142" t="n"/>
      <c r="AB120" s="142" t="n"/>
      <c r="AC120" s="142" t="n"/>
      <c r="AD120" s="142" t="n"/>
      <c r="AE120" s="142" t="n"/>
      <c r="AF120" s="142" t="n"/>
    </row>
    <row r="121">
      <c r="A121" s="169" t="n"/>
      <c r="B121" s="169" t="n"/>
      <c r="C121" s="169" t="n"/>
      <c r="D121" s="142" t="n"/>
      <c r="E121" s="142" t="n"/>
      <c r="F121" s="142" t="n"/>
      <c r="G121" s="142" t="n"/>
      <c r="H121" s="142" t="n"/>
      <c r="I121" s="142" t="n"/>
      <c r="J121" s="142" t="n"/>
      <c r="K121" s="142" t="n"/>
      <c r="M121" s="142" t="n"/>
      <c r="N121" s="142" t="n"/>
      <c r="O121" s="142" t="n"/>
      <c r="P121" s="142" t="n"/>
      <c r="Q121" s="142" t="n"/>
      <c r="R121" s="142" t="n"/>
      <c r="S121" s="142" t="n"/>
      <c r="T121" s="142" t="n"/>
      <c r="U121" s="142" t="n"/>
      <c r="V121" s="142" t="n"/>
      <c r="W121" s="142" t="n"/>
      <c r="X121" s="142" t="n"/>
      <c r="Y121" s="142" t="n"/>
      <c r="Z121" s="142" t="n"/>
      <c r="AA121" s="142" t="n"/>
      <c r="AB121" s="142" t="n"/>
      <c r="AC121" s="142" t="n"/>
      <c r="AD121" s="142" t="n"/>
      <c r="AE121" s="142" t="n"/>
      <c r="AF121" s="142" t="n"/>
    </row>
    <row r="122">
      <c r="D122" s="142" t="n"/>
      <c r="E122" s="142" t="n"/>
      <c r="F122" s="142" t="n"/>
      <c r="G122" s="142" t="n"/>
      <c r="H122" s="142" t="n"/>
      <c r="I122" s="142" t="n"/>
      <c r="J122" s="142" t="n"/>
      <c r="K122" s="142" t="n"/>
      <c r="M122" s="142" t="n"/>
      <c r="N122" s="142" t="n"/>
      <c r="O122" s="142" t="n"/>
      <c r="P122" s="142" t="n"/>
      <c r="Q122" s="142" t="n"/>
      <c r="R122" s="142" t="n"/>
      <c r="S122" s="142" t="n"/>
      <c r="T122" s="142" t="n"/>
      <c r="U122" s="142" t="n"/>
      <c r="V122" s="142" t="n"/>
      <c r="W122" s="142" t="n"/>
      <c r="X122" s="142" t="n"/>
      <c r="Y122" s="142" t="n"/>
      <c r="Z122" s="142" t="n"/>
      <c r="AA122" s="142" t="n"/>
      <c r="AB122" s="142" t="n"/>
      <c r="AC122" s="142" t="n"/>
      <c r="AD122" s="142" t="n"/>
      <c r="AE122" s="142" t="n"/>
      <c r="AF122" s="142" t="n"/>
    </row>
    <row r="123">
      <c r="A123" s="22" t="n"/>
      <c r="B123" s="22" t="n"/>
      <c r="C123" s="22" t="n"/>
      <c r="D123" s="108" t="n"/>
      <c r="E123" s="108" t="n"/>
      <c r="F123" s="108" t="n"/>
      <c r="G123" s="108" t="n"/>
      <c r="H123" s="108" t="n"/>
      <c r="I123" s="108" t="n"/>
      <c r="J123" s="108" t="n"/>
      <c r="K123" s="108" t="n"/>
      <c r="M123" s="108" t="n"/>
      <c r="N123" s="108" t="n"/>
      <c r="O123" s="108" t="n"/>
      <c r="P123" s="108" t="n"/>
      <c r="Q123" s="108" t="n"/>
      <c r="R123" s="108" t="n"/>
      <c r="S123" s="108" t="n"/>
      <c r="T123" s="108" t="n"/>
      <c r="U123" s="108" t="n"/>
      <c r="V123" s="108" t="n"/>
      <c r="W123" s="108" t="n"/>
      <c r="X123" s="108" t="n"/>
      <c r="Y123" s="108" t="n"/>
      <c r="Z123" s="108" t="n"/>
      <c r="AA123" s="108" t="n"/>
      <c r="AB123" s="108" t="n"/>
      <c r="AC123" s="108" t="n"/>
      <c r="AD123" s="108" t="n"/>
      <c r="AE123" s="108" t="n"/>
      <c r="AF123" s="108" t="n"/>
    </row>
    <row r="124">
      <c r="A124" s="74" t="n"/>
      <c r="B124" s="74" t="n"/>
      <c r="C124" s="74" t="n"/>
      <c r="D124" s="145" t="n"/>
      <c r="E124" s="145" t="n"/>
      <c r="F124" s="145" t="n"/>
      <c r="G124" s="145" t="n"/>
      <c r="H124" s="145" t="n"/>
      <c r="I124" s="145" t="n"/>
      <c r="J124" s="145" t="n"/>
      <c r="K124" s="145" t="n"/>
      <c r="M124" s="145" t="n"/>
      <c r="N124" s="145" t="n"/>
      <c r="O124" s="145" t="n"/>
      <c r="P124" s="145" t="n"/>
      <c r="Q124" s="145" t="n"/>
      <c r="R124" s="145" t="n"/>
      <c r="S124" s="145" t="n"/>
      <c r="T124" s="145" t="n"/>
      <c r="U124" s="145" t="n"/>
      <c r="V124" s="145" t="n"/>
      <c r="W124" s="145" t="n"/>
      <c r="X124" s="145" t="n"/>
      <c r="Y124" s="145" t="n"/>
      <c r="Z124" s="145" t="n"/>
      <c r="AA124" s="145" t="n"/>
      <c r="AB124" s="145" t="n"/>
      <c r="AC124" s="145" t="n"/>
      <c r="AD124" s="145" t="n"/>
      <c r="AE124" s="145" t="n"/>
      <c r="AF124" s="145" t="n"/>
    </row>
    <row r="125">
      <c r="A125" s="74" t="n"/>
      <c r="B125" s="74" t="n"/>
      <c r="C125" s="74" t="n"/>
      <c r="D125" s="145" t="n"/>
      <c r="E125" s="145" t="n"/>
      <c r="F125" s="145" t="n"/>
      <c r="G125" s="145" t="n"/>
      <c r="H125" s="145" t="n"/>
      <c r="I125" s="145" t="n"/>
      <c r="J125" s="145" t="n"/>
      <c r="K125" s="145" t="n"/>
      <c r="M125" s="145" t="n"/>
      <c r="N125" s="145" t="n"/>
      <c r="O125" s="145" t="n"/>
      <c r="P125" s="145" t="n"/>
      <c r="Q125" s="145" t="n"/>
      <c r="R125" s="145" t="n"/>
      <c r="S125" s="145" t="n"/>
      <c r="T125" s="145" t="n"/>
      <c r="U125" s="145" t="n"/>
      <c r="V125" s="145" t="n"/>
      <c r="W125" s="145" t="n"/>
      <c r="X125" s="145" t="n"/>
      <c r="Y125" s="145" t="n"/>
      <c r="Z125" s="145" t="n"/>
      <c r="AA125" s="145" t="n"/>
      <c r="AB125" s="145" t="n"/>
      <c r="AC125" s="145" t="n"/>
      <c r="AD125" s="145" t="n"/>
      <c r="AE125" s="145" t="n"/>
      <c r="AF125" s="145" t="n"/>
    </row>
    <row r="126">
      <c r="A126" s="74" t="n"/>
      <c r="B126" s="74" t="n"/>
      <c r="C126" s="74" t="n"/>
      <c r="D126" s="145" t="n"/>
      <c r="E126" s="145" t="n"/>
      <c r="F126" s="145" t="n"/>
      <c r="G126" s="145" t="n"/>
      <c r="H126" s="145" t="n"/>
      <c r="I126" s="145" t="n"/>
      <c r="J126" s="145" t="n"/>
      <c r="K126" s="145" t="n"/>
      <c r="M126" s="145" t="n"/>
      <c r="N126" s="145" t="n"/>
      <c r="O126" s="145" t="n"/>
      <c r="P126" s="145" t="n"/>
      <c r="Q126" s="145" t="n"/>
      <c r="R126" s="145" t="n"/>
      <c r="S126" s="145" t="n"/>
      <c r="T126" s="145" t="n"/>
      <c r="U126" s="145" t="n"/>
      <c r="V126" s="145" t="n"/>
      <c r="W126" s="145" t="n"/>
      <c r="X126" s="145" t="n"/>
      <c r="Y126" s="145" t="n"/>
      <c r="Z126" s="145" t="n"/>
      <c r="AA126" s="145" t="n"/>
      <c r="AB126" s="145" t="n"/>
      <c r="AC126" s="145" t="n"/>
      <c r="AD126" s="145" t="n"/>
      <c r="AE126" s="145" t="n"/>
      <c r="AF126" s="145" t="n"/>
    </row>
    <row r="127">
      <c r="A127" s="74" t="n"/>
      <c r="B127" s="74" t="n"/>
      <c r="C127" s="74" t="n"/>
      <c r="D127" s="145" t="n"/>
      <c r="E127" s="145" t="n"/>
      <c r="F127" s="145" t="n"/>
      <c r="G127" s="145" t="n"/>
      <c r="H127" s="145" t="n"/>
      <c r="I127" s="145" t="n"/>
      <c r="J127" s="145" t="n"/>
      <c r="K127" s="145" t="n"/>
      <c r="M127" s="145" t="n"/>
      <c r="N127" s="145" t="n"/>
      <c r="O127" s="145" t="n"/>
      <c r="P127" s="145" t="n"/>
      <c r="Q127" s="145" t="n"/>
      <c r="R127" s="145" t="n"/>
      <c r="S127" s="145" t="n"/>
      <c r="T127" s="145" t="n"/>
      <c r="U127" s="145" t="n"/>
      <c r="V127" s="145" t="n"/>
      <c r="W127" s="145" t="n"/>
      <c r="X127" s="145" t="n"/>
      <c r="Y127" s="145" t="n"/>
      <c r="Z127" s="145" t="n"/>
      <c r="AA127" s="145" t="n"/>
      <c r="AB127" s="145" t="n"/>
      <c r="AC127" s="145" t="n"/>
      <c r="AD127" s="145" t="n"/>
      <c r="AE127" s="145" t="n"/>
      <c r="AF127" s="145" t="n"/>
    </row>
    <row r="128">
      <c r="A128" s="74" t="n"/>
      <c r="B128" s="74" t="n"/>
      <c r="C128" s="74" t="n"/>
      <c r="D128" s="145" t="n"/>
      <c r="E128" s="145" t="n"/>
      <c r="F128" s="145" t="n"/>
      <c r="G128" s="145" t="n"/>
      <c r="H128" s="145" t="n"/>
      <c r="I128" s="145" t="n"/>
      <c r="J128" s="145" t="n"/>
      <c r="K128" s="145" t="n"/>
      <c r="M128" s="145" t="n"/>
      <c r="N128" s="145" t="n"/>
      <c r="O128" s="145" t="n"/>
      <c r="P128" s="145" t="n"/>
      <c r="Q128" s="145" t="n"/>
      <c r="R128" s="145" t="n"/>
      <c r="S128" s="145" t="n"/>
      <c r="T128" s="145" t="n"/>
      <c r="U128" s="145" t="n"/>
      <c r="V128" s="145" t="n"/>
      <c r="W128" s="145" t="n"/>
      <c r="X128" s="145" t="n"/>
      <c r="Y128" s="145" t="n"/>
      <c r="Z128" s="145" t="n"/>
      <c r="AA128" s="145" t="n"/>
      <c r="AB128" s="145" t="n"/>
      <c r="AC128" s="145" t="n"/>
      <c r="AD128" s="145" t="n"/>
      <c r="AE128" s="145" t="n"/>
      <c r="AF128" s="145" t="n"/>
    </row>
    <row r="129">
      <c r="A129" s="74" t="n"/>
      <c r="B129" s="74" t="n"/>
      <c r="C129" s="74" t="n"/>
      <c r="D129" s="145" t="n"/>
      <c r="E129" s="145" t="n"/>
      <c r="F129" s="145" t="n"/>
      <c r="G129" s="145" t="n"/>
      <c r="H129" s="145" t="n"/>
      <c r="I129" s="145" t="n"/>
      <c r="J129" s="145" t="n"/>
      <c r="K129" s="145" t="n"/>
      <c r="M129" s="145" t="n"/>
      <c r="N129" s="145" t="n"/>
      <c r="O129" s="145" t="n"/>
      <c r="P129" s="145" t="n"/>
      <c r="Q129" s="145" t="n"/>
      <c r="R129" s="145" t="n"/>
      <c r="S129" s="145" t="n"/>
      <c r="T129" s="145" t="n"/>
      <c r="U129" s="145" t="n"/>
      <c r="V129" s="145" t="n"/>
      <c r="W129" s="145" t="n"/>
      <c r="X129" s="145" t="n"/>
      <c r="Y129" s="145" t="n"/>
      <c r="Z129" s="145" t="n"/>
      <c r="AA129" s="145" t="n"/>
      <c r="AB129" s="145" t="n"/>
      <c r="AC129" s="145" t="n"/>
      <c r="AD129" s="145" t="n"/>
      <c r="AE129" s="145" t="n"/>
      <c r="AF129" s="145" t="n"/>
    </row>
    <row r="130">
      <c r="A130" s="74" t="n"/>
      <c r="B130" s="74" t="n"/>
      <c r="C130" s="74" t="n"/>
      <c r="D130" s="145" t="n"/>
      <c r="E130" s="145" t="n"/>
      <c r="F130" s="145" t="n"/>
      <c r="G130" s="145" t="n"/>
      <c r="H130" s="145" t="n"/>
      <c r="I130" s="145" t="n"/>
      <c r="J130" s="145" t="n"/>
      <c r="K130" s="145" t="n"/>
      <c r="M130" s="145" t="n"/>
      <c r="N130" s="145" t="n"/>
      <c r="O130" s="145" t="n"/>
      <c r="P130" s="145" t="n"/>
      <c r="Q130" s="145" t="n"/>
      <c r="R130" s="145" t="n"/>
      <c r="S130" s="145" t="n"/>
      <c r="T130" s="145" t="n"/>
      <c r="U130" s="145" t="n"/>
      <c r="V130" s="145" t="n"/>
      <c r="W130" s="145" t="n"/>
      <c r="X130" s="145" t="n"/>
      <c r="Y130" s="145" t="n"/>
      <c r="Z130" s="145" t="n"/>
      <c r="AA130" s="145" t="n"/>
      <c r="AB130" s="145" t="n"/>
      <c r="AC130" s="145" t="n"/>
      <c r="AD130" s="145" t="n"/>
      <c r="AE130" s="145" t="n"/>
      <c r="AF130" s="145" t="n"/>
    </row>
    <row r="131">
      <c r="A131" s="74" t="n"/>
      <c r="B131" s="74" t="n"/>
      <c r="C131" s="74" t="n"/>
      <c r="D131" s="145" t="n"/>
      <c r="E131" s="145" t="n"/>
      <c r="F131" s="145" t="n"/>
      <c r="G131" s="145" t="n"/>
      <c r="H131" s="145" t="n"/>
      <c r="I131" s="145" t="n"/>
      <c r="J131" s="145" t="n"/>
      <c r="K131" s="145" t="n"/>
      <c r="M131" s="145" t="n"/>
      <c r="N131" s="145" t="n"/>
      <c r="O131" s="145" t="n"/>
      <c r="P131" s="145" t="n"/>
      <c r="Q131" s="145" t="n"/>
      <c r="R131" s="145" t="n"/>
      <c r="S131" s="145" t="n"/>
      <c r="T131" s="145" t="n"/>
      <c r="U131" s="145" t="n"/>
      <c r="V131" s="145" t="n"/>
      <c r="W131" s="145" t="n"/>
      <c r="X131" s="145" t="n"/>
      <c r="Y131" s="145" t="n"/>
      <c r="Z131" s="145" t="n"/>
      <c r="AA131" s="145" t="n"/>
      <c r="AB131" s="145" t="n"/>
      <c r="AC131" s="145" t="n"/>
      <c r="AD131" s="145" t="n"/>
      <c r="AE131" s="145" t="n"/>
      <c r="AF131" s="145" t="n"/>
    </row>
    <row r="132">
      <c r="A132" s="74" t="n"/>
      <c r="B132" s="74" t="n"/>
      <c r="C132" s="74" t="n"/>
      <c r="D132" s="145" t="n"/>
      <c r="E132" s="145" t="n"/>
      <c r="F132" s="145" t="n"/>
      <c r="G132" s="145" t="n"/>
      <c r="H132" s="145" t="n"/>
      <c r="I132" s="145" t="n"/>
      <c r="J132" s="145" t="n"/>
      <c r="K132" s="145" t="n"/>
      <c r="M132" s="145" t="n"/>
      <c r="N132" s="145" t="n"/>
      <c r="O132" s="145" t="n"/>
      <c r="P132" s="145" t="n"/>
      <c r="Q132" s="145" t="n"/>
      <c r="R132" s="145" t="n"/>
      <c r="S132" s="145" t="n"/>
      <c r="T132" s="145" t="n"/>
      <c r="U132" s="145" t="n"/>
      <c r="V132" s="145" t="n"/>
      <c r="W132" s="145" t="n"/>
      <c r="X132" s="145" t="n"/>
      <c r="Y132" s="145" t="n"/>
      <c r="Z132" s="145" t="n"/>
      <c r="AA132" s="145" t="n"/>
      <c r="AB132" s="145" t="n"/>
      <c r="AC132" s="145" t="n"/>
      <c r="AD132" s="145" t="n"/>
      <c r="AE132" s="145" t="n"/>
      <c r="AF132" s="145" t="n"/>
    </row>
    <row r="133">
      <c r="A133" s="74" t="n"/>
      <c r="B133" s="74" t="n"/>
      <c r="C133" s="74" t="n"/>
      <c r="D133" s="145" t="n"/>
      <c r="E133" s="145" t="n"/>
      <c r="F133" s="145" t="n"/>
      <c r="G133" s="145" t="n"/>
      <c r="H133" s="145" t="n"/>
      <c r="I133" s="145" t="n"/>
      <c r="J133" s="145" t="n"/>
      <c r="K133" s="145" t="n"/>
      <c r="M133" s="145" t="n"/>
      <c r="N133" s="145" t="n"/>
      <c r="O133" s="145" t="n"/>
      <c r="P133" s="145" t="n"/>
      <c r="Q133" s="145" t="n"/>
      <c r="R133" s="145" t="n"/>
      <c r="S133" s="145" t="n"/>
      <c r="T133" s="145" t="n"/>
      <c r="U133" s="145" t="n"/>
      <c r="V133" s="145" t="n"/>
      <c r="W133" s="145" t="n"/>
      <c r="X133" s="145" t="n"/>
      <c r="Y133" s="145" t="n"/>
      <c r="Z133" s="145" t="n"/>
      <c r="AA133" s="145" t="n"/>
      <c r="AB133" s="145" t="n"/>
      <c r="AC133" s="145" t="n"/>
      <c r="AD133" s="145" t="n"/>
      <c r="AE133" s="145" t="n"/>
      <c r="AF133" s="145" t="n"/>
    </row>
    <row r="134">
      <c r="A134" s="74" t="n"/>
      <c r="B134" s="74" t="n"/>
      <c r="C134" s="74" t="n"/>
      <c r="D134" s="145" t="n"/>
      <c r="E134" s="145" t="n"/>
      <c r="F134" s="145" t="n"/>
      <c r="G134" s="145" t="n"/>
      <c r="H134" s="145" t="n"/>
      <c r="I134" s="145" t="n"/>
      <c r="J134" s="145" t="n"/>
      <c r="K134" s="145" t="n"/>
      <c r="M134" s="145" t="n"/>
      <c r="N134" s="145" t="n"/>
      <c r="O134" s="145" t="n"/>
      <c r="P134" s="145" t="n"/>
      <c r="Q134" s="145" t="n"/>
      <c r="R134" s="145" t="n"/>
      <c r="S134" s="145" t="n"/>
      <c r="T134" s="145" t="n"/>
      <c r="U134" s="145" t="n"/>
      <c r="V134" s="145" t="n"/>
      <c r="W134" s="145" t="n"/>
      <c r="X134" s="145" t="n"/>
      <c r="Y134" s="145" t="n"/>
      <c r="Z134" s="145" t="n"/>
      <c r="AA134" s="145" t="n"/>
      <c r="AB134" s="145" t="n"/>
      <c r="AC134" s="145" t="n"/>
      <c r="AD134" s="145" t="n"/>
      <c r="AE134" s="145" t="n"/>
      <c r="AF134" s="145" t="n"/>
    </row>
    <row r="135">
      <c r="A135" s="74" t="n"/>
      <c r="B135" s="74" t="n"/>
      <c r="C135" s="74" t="n"/>
      <c r="D135" s="145" t="n"/>
      <c r="E135" s="145" t="n"/>
      <c r="F135" s="145" t="n"/>
      <c r="G135" s="145" t="n"/>
      <c r="H135" s="145" t="n"/>
      <c r="I135" s="145" t="n"/>
      <c r="J135" s="145" t="n"/>
      <c r="K135" s="145" t="n"/>
      <c r="M135" s="145" t="n"/>
      <c r="N135" s="145" t="n"/>
      <c r="O135" s="145" t="n"/>
      <c r="P135" s="145" t="n"/>
      <c r="Q135" s="145" t="n"/>
      <c r="R135" s="145" t="n"/>
      <c r="S135" s="145" t="n"/>
      <c r="T135" s="145" t="n"/>
      <c r="U135" s="145" t="n"/>
      <c r="V135" s="145" t="n"/>
      <c r="W135" s="145" t="n"/>
      <c r="X135" s="145" t="n"/>
      <c r="Y135" s="145" t="n"/>
      <c r="Z135" s="145" t="n"/>
      <c r="AA135" s="145" t="n"/>
      <c r="AB135" s="145" t="n"/>
      <c r="AC135" s="145" t="n"/>
      <c r="AD135" s="145" t="n"/>
      <c r="AE135" s="145" t="n"/>
      <c r="AF135" s="145" t="n"/>
    </row>
    <row r="136">
      <c r="A136" s="74" t="n"/>
      <c r="B136" s="74" t="n"/>
      <c r="C136" s="74" t="n"/>
      <c r="D136" s="145" t="n"/>
      <c r="E136" s="145" t="n"/>
      <c r="F136" s="145" t="n"/>
      <c r="G136" s="145" t="n"/>
      <c r="H136" s="145" t="n"/>
      <c r="I136" s="145" t="n"/>
      <c r="J136" s="108" t="n"/>
      <c r="K136" s="145" t="n"/>
      <c r="M136" s="145" t="n"/>
      <c r="N136" s="145" t="n"/>
      <c r="O136" s="145" t="n"/>
      <c r="P136" s="145" t="n"/>
      <c r="Q136" s="145" t="n"/>
      <c r="R136" s="145" t="n"/>
      <c r="S136" s="145" t="n"/>
      <c r="T136" s="145" t="n"/>
      <c r="U136" s="145" t="n"/>
      <c r="V136" s="145" t="n"/>
      <c r="W136" s="145" t="n"/>
      <c r="X136" s="145" t="n"/>
      <c r="Y136" s="145" t="n"/>
      <c r="Z136" s="145" t="n"/>
      <c r="AA136" s="145" t="n"/>
      <c r="AB136" s="145" t="n"/>
      <c r="AC136" s="145" t="n"/>
      <c r="AD136" s="145" t="n"/>
      <c r="AE136" s="145" t="n"/>
      <c r="AF136" s="145" t="n"/>
    </row>
    <row r="137" customFormat="1" s="22">
      <c r="A137" s="40" t="n"/>
      <c r="B137" s="40" t="n"/>
      <c r="C137" s="40" t="n"/>
      <c r="D137" s="128" t="n"/>
      <c r="E137" s="128" t="n"/>
      <c r="F137" s="128" t="n"/>
      <c r="G137" s="128" t="n"/>
      <c r="H137" s="128" t="n"/>
      <c r="I137" s="128" t="n"/>
      <c r="J137" s="128" t="n"/>
      <c r="K137" s="128" t="n"/>
      <c r="M137" s="128" t="n"/>
      <c r="N137" s="128" t="n"/>
      <c r="O137" s="128" t="n"/>
      <c r="P137" s="128" t="n"/>
      <c r="Q137" s="128" t="n"/>
      <c r="R137" s="128" t="n"/>
      <c r="S137" s="128" t="n"/>
      <c r="T137" s="128" t="n"/>
      <c r="U137" s="128" t="n"/>
      <c r="V137" s="128" t="n"/>
      <c r="W137" s="128" t="n"/>
      <c r="X137" s="128" t="n"/>
      <c r="Y137" s="128" t="n"/>
      <c r="Z137" s="128" t="n"/>
      <c r="AA137" s="128" t="n"/>
      <c r="AB137" s="128" t="n"/>
      <c r="AC137" s="128" t="n"/>
      <c r="AD137" s="128" t="n"/>
      <c r="AE137" s="128" t="n"/>
      <c r="AF137" s="128" t="n"/>
    </row>
    <row r="138">
      <c r="D138" s="108" t="n"/>
      <c r="E138" s="108" t="n"/>
      <c r="F138" s="108" t="n"/>
      <c r="G138" s="108" t="n"/>
      <c r="H138" s="108" t="n"/>
      <c r="I138" s="108" t="n"/>
      <c r="J138" s="108" t="n"/>
      <c r="K138" s="108" t="n"/>
      <c r="M138" s="108" t="n"/>
      <c r="N138" s="108" t="n"/>
      <c r="O138" s="108" t="n"/>
      <c r="P138" s="108" t="n"/>
      <c r="Q138" s="108" t="n"/>
      <c r="R138" s="108" t="n"/>
      <c r="S138" s="108" t="n"/>
      <c r="T138" s="108" t="n"/>
      <c r="U138" s="108" t="n"/>
      <c r="V138" s="108" t="n"/>
      <c r="W138" s="108" t="n"/>
      <c r="X138" s="108" t="n"/>
      <c r="Y138" s="108" t="n"/>
      <c r="Z138" s="108" t="n"/>
      <c r="AA138" s="108" t="n"/>
      <c r="AB138" s="108" t="n"/>
      <c r="AC138" s="108" t="n"/>
      <c r="AD138" s="108" t="n"/>
      <c r="AE138" s="108" t="n"/>
      <c r="AF138" s="108" t="n"/>
    </row>
    <row r="139">
      <c r="A139" s="22" t="n"/>
      <c r="B139" s="22" t="n"/>
      <c r="C139" s="22" t="n"/>
      <c r="D139" s="142" t="n"/>
      <c r="E139" s="142" t="n"/>
      <c r="F139" s="142" t="n"/>
      <c r="G139" s="142" t="n"/>
      <c r="H139" s="142" t="n"/>
      <c r="I139" s="142" t="n"/>
      <c r="J139" s="142" t="n"/>
      <c r="K139" s="142" t="n"/>
      <c r="M139" s="142" t="n"/>
      <c r="N139" s="142" t="n"/>
      <c r="O139" s="142" t="n"/>
      <c r="P139" s="142" t="n"/>
      <c r="Q139" s="142" t="n"/>
      <c r="R139" s="142" t="n"/>
      <c r="S139" s="142" t="n"/>
      <c r="T139" s="142" t="n"/>
      <c r="U139" s="142" t="n"/>
      <c r="V139" s="142" t="n"/>
      <c r="W139" s="142" t="n"/>
      <c r="X139" s="142" t="n"/>
      <c r="Y139" s="142" t="n"/>
      <c r="Z139" s="142" t="n"/>
      <c r="AA139" s="142" t="n"/>
      <c r="AB139" s="142" t="n"/>
      <c r="AC139" s="142" t="n"/>
      <c r="AD139" s="142" t="n"/>
      <c r="AE139" s="142" t="n"/>
      <c r="AF139" s="142" t="n"/>
    </row>
    <row r="140">
      <c r="A140" s="74" t="n"/>
      <c r="B140" s="74" t="n"/>
      <c r="C140" s="74" t="n"/>
      <c r="D140" s="145" t="n"/>
      <c r="E140" s="145" t="n"/>
      <c r="F140" s="145" t="n"/>
      <c r="G140" s="145" t="n"/>
      <c r="H140" s="145" t="n"/>
      <c r="I140" s="145" t="n"/>
      <c r="J140" s="145" t="n"/>
      <c r="K140" s="145" t="n"/>
      <c r="M140" s="145" t="n"/>
      <c r="N140" s="145" t="n"/>
      <c r="O140" s="145" t="n"/>
      <c r="P140" s="145" t="n"/>
      <c r="Q140" s="145" t="n"/>
      <c r="R140" s="145" t="n"/>
      <c r="S140" s="145" t="n"/>
      <c r="T140" s="145" t="n"/>
      <c r="U140" s="145" t="n"/>
      <c r="V140" s="145" t="n"/>
      <c r="W140" s="145" t="n"/>
      <c r="X140" s="145" t="n"/>
      <c r="Y140" s="145" t="n"/>
      <c r="Z140" s="145" t="n"/>
      <c r="AA140" s="145" t="n"/>
      <c r="AB140" s="145" t="n"/>
      <c r="AC140" s="145" t="n"/>
      <c r="AD140" s="145" t="n"/>
      <c r="AE140" s="145" t="n"/>
      <c r="AF140" s="145" t="n"/>
    </row>
    <row r="141">
      <c r="A141" s="74" t="n"/>
      <c r="B141" s="74" t="n"/>
      <c r="C141" s="74" t="n"/>
      <c r="D141" s="143" t="n"/>
      <c r="E141" s="145" t="n"/>
      <c r="F141" s="143" t="n"/>
      <c r="G141" s="143" t="n"/>
      <c r="H141" s="143" t="n"/>
      <c r="I141" s="145" t="n"/>
      <c r="J141" s="145" t="n"/>
      <c r="K141" s="145" t="n"/>
      <c r="M141" s="145" t="n"/>
      <c r="N141" s="145" t="n"/>
      <c r="O141" s="145" t="n"/>
      <c r="P141" s="145" t="n"/>
      <c r="Q141" s="145" t="n"/>
      <c r="R141" s="145" t="n"/>
      <c r="S141" s="145" t="n"/>
      <c r="T141" s="145" t="n"/>
      <c r="U141" s="145" t="n"/>
      <c r="V141" s="145" t="n"/>
      <c r="W141" s="145" t="n"/>
      <c r="X141" s="145" t="n"/>
      <c r="Y141" s="145" t="n"/>
      <c r="Z141" s="145" t="n"/>
      <c r="AA141" s="145" t="n"/>
      <c r="AB141" s="145" t="n"/>
      <c r="AC141" s="145" t="n"/>
      <c r="AD141" s="145" t="n"/>
      <c r="AE141" s="145" t="n"/>
      <c r="AF141" s="145" t="n"/>
    </row>
    <row r="142">
      <c r="A142" s="74" t="n"/>
      <c r="B142" s="74" t="n"/>
      <c r="C142" s="74" t="n"/>
      <c r="D142" s="145" t="n"/>
      <c r="E142" s="145" t="n"/>
      <c r="F142" s="145" t="n"/>
      <c r="G142" s="145" t="n"/>
      <c r="H142" s="145" t="n"/>
      <c r="I142" s="145" t="n"/>
      <c r="J142" s="145" t="n"/>
      <c r="K142" s="145" t="n"/>
      <c r="M142" s="145" t="n"/>
      <c r="N142" s="145" t="n"/>
      <c r="O142" s="145" t="n"/>
      <c r="P142" s="145" t="n"/>
      <c r="Q142" s="145" t="n"/>
      <c r="R142" s="145" t="n"/>
      <c r="S142" s="145" t="n"/>
      <c r="T142" s="145" t="n"/>
      <c r="U142" s="145" t="n"/>
      <c r="V142" s="145" t="n"/>
      <c r="W142" s="145" t="n"/>
      <c r="X142" s="145" t="n"/>
      <c r="Y142" s="145" t="n"/>
      <c r="Z142" s="145" t="n"/>
      <c r="AA142" s="145" t="n"/>
      <c r="AB142" s="145" t="n"/>
      <c r="AC142" s="145" t="n"/>
      <c r="AD142" s="145" t="n"/>
      <c r="AE142" s="145" t="n"/>
      <c r="AF142" s="145" t="n"/>
    </row>
    <row r="143">
      <c r="A143" s="74" t="n"/>
      <c r="B143" s="74" t="n"/>
      <c r="C143" s="74" t="n"/>
      <c r="D143" s="145" t="n"/>
      <c r="E143" s="145" t="n"/>
      <c r="F143" s="145" t="n"/>
      <c r="G143" s="145" t="n"/>
      <c r="H143" s="145" t="n"/>
      <c r="I143" s="145" t="n"/>
      <c r="J143" s="145" t="n"/>
      <c r="K143" s="145" t="n"/>
      <c r="M143" s="145" t="n"/>
      <c r="N143" s="145" t="n"/>
      <c r="O143" s="145" t="n"/>
      <c r="P143" s="145" t="n"/>
      <c r="Q143" s="145" t="n"/>
      <c r="R143" s="145" t="n"/>
      <c r="S143" s="145" t="n"/>
      <c r="T143" s="145" t="n"/>
      <c r="U143" s="145" t="n"/>
      <c r="V143" s="145" t="n"/>
      <c r="W143" s="145" t="n"/>
      <c r="X143" s="145" t="n"/>
      <c r="Y143" s="145" t="n"/>
      <c r="Z143" s="145" t="n"/>
      <c r="AA143" s="145" t="n"/>
      <c r="AB143" s="145" t="n"/>
      <c r="AC143" s="145" t="n"/>
      <c r="AD143" s="145" t="n"/>
      <c r="AE143" s="145" t="n"/>
      <c r="AF143" s="145" t="n"/>
    </row>
    <row r="144">
      <c r="A144" s="74" t="n"/>
      <c r="B144" s="74" t="n"/>
      <c r="C144" s="74" t="n"/>
      <c r="D144" s="145" t="n"/>
      <c r="E144" s="145" t="n"/>
      <c r="F144" s="145" t="n"/>
      <c r="G144" s="145" t="n"/>
      <c r="H144" s="145" t="n"/>
      <c r="I144" s="145" t="n"/>
      <c r="J144" s="145" t="n"/>
      <c r="K144" s="145" t="n"/>
      <c r="M144" s="145" t="n"/>
      <c r="N144" s="145" t="n"/>
      <c r="O144" s="145" t="n"/>
      <c r="P144" s="145" t="n"/>
      <c r="Q144" s="145" t="n"/>
      <c r="R144" s="145" t="n"/>
      <c r="S144" s="145" t="n"/>
      <c r="T144" s="145" t="n"/>
      <c r="U144" s="145" t="n"/>
      <c r="V144" s="145" t="n"/>
      <c r="W144" s="145" t="n"/>
      <c r="X144" s="145" t="n"/>
      <c r="Y144" s="145" t="n"/>
      <c r="Z144" s="145" t="n"/>
      <c r="AA144" s="145" t="n"/>
      <c r="AB144" s="145" t="n"/>
      <c r="AC144" s="145" t="n"/>
      <c r="AD144" s="145" t="n"/>
      <c r="AE144" s="145" t="n"/>
      <c r="AF144" s="145" t="n"/>
    </row>
    <row r="145">
      <c r="A145" s="74" t="n"/>
      <c r="B145" s="74" t="n"/>
      <c r="C145" s="74" t="n"/>
      <c r="D145" s="143" t="n"/>
      <c r="E145" s="145" t="n"/>
      <c r="F145" s="143" t="n"/>
      <c r="G145" s="145" t="n"/>
      <c r="H145" s="145" t="n"/>
      <c r="I145" s="145" t="n"/>
      <c r="J145" s="145" t="n"/>
      <c r="K145" s="145" t="n"/>
      <c r="M145" s="145" t="n"/>
      <c r="N145" s="145" t="n"/>
      <c r="O145" s="145" t="n"/>
      <c r="P145" s="145" t="n"/>
      <c r="Q145" s="145" t="n"/>
      <c r="R145" s="145" t="n"/>
      <c r="S145" s="145" t="n"/>
      <c r="T145" s="145" t="n"/>
      <c r="U145" s="145" t="n"/>
      <c r="V145" s="145" t="n"/>
      <c r="W145" s="145" t="n"/>
      <c r="X145" s="145" t="n"/>
      <c r="Y145" s="145" t="n"/>
      <c r="Z145" s="145" t="n"/>
      <c r="AA145" s="145" t="n"/>
      <c r="AB145" s="145" t="n"/>
      <c r="AC145" s="145" t="n"/>
      <c r="AD145" s="145" t="n"/>
      <c r="AE145" s="145" t="n"/>
      <c r="AF145" s="145" t="n"/>
    </row>
    <row r="146">
      <c r="A146" s="74" t="n"/>
      <c r="B146" s="74" t="n"/>
      <c r="C146" s="74" t="n"/>
      <c r="D146" s="145" t="n"/>
      <c r="E146" s="145" t="n"/>
      <c r="F146" s="145" t="n"/>
      <c r="G146" s="145" t="n"/>
      <c r="H146" s="145" t="n"/>
      <c r="I146" s="145" t="n"/>
      <c r="J146" s="145" t="n"/>
      <c r="K146" s="145" t="n"/>
      <c r="M146" s="145" t="n"/>
      <c r="N146" s="145" t="n"/>
      <c r="O146" s="145" t="n"/>
      <c r="P146" s="145" t="n"/>
      <c r="Q146" s="145" t="n"/>
      <c r="R146" s="145" t="n"/>
      <c r="S146" s="145" t="n"/>
      <c r="T146" s="145" t="n"/>
      <c r="U146" s="145" t="n"/>
      <c r="V146" s="145" t="n"/>
      <c r="W146" s="145" t="n"/>
      <c r="X146" s="145" t="n"/>
      <c r="Y146" s="145" t="n"/>
      <c r="Z146" s="145" t="n"/>
      <c r="AA146" s="145" t="n"/>
      <c r="AB146" s="145" t="n"/>
      <c r="AC146" s="145" t="n"/>
      <c r="AD146" s="145" t="n"/>
      <c r="AE146" s="145" t="n"/>
      <c r="AF146" s="145" t="n"/>
    </row>
    <row r="147">
      <c r="A147" s="74" t="n"/>
      <c r="B147" s="74" t="n"/>
      <c r="C147" s="74" t="n"/>
      <c r="D147" s="145" t="n"/>
      <c r="E147" s="145" t="n"/>
      <c r="F147" s="145" t="n"/>
      <c r="G147" s="145" t="n"/>
      <c r="H147" s="145" t="n"/>
      <c r="I147" s="145" t="n"/>
      <c r="J147" s="145" t="n"/>
      <c r="K147" s="145" t="n"/>
      <c r="M147" s="145" t="n"/>
      <c r="N147" s="145" t="n"/>
      <c r="O147" s="145" t="n"/>
      <c r="P147" s="145" t="n"/>
      <c r="Q147" s="145" t="n"/>
      <c r="R147" s="145" t="n"/>
      <c r="S147" s="145" t="n"/>
      <c r="T147" s="145" t="n"/>
      <c r="U147" s="145" t="n"/>
      <c r="V147" s="145" t="n"/>
      <c r="W147" s="145" t="n"/>
      <c r="X147" s="145" t="n"/>
      <c r="Y147" s="145" t="n"/>
      <c r="Z147" s="145" t="n"/>
      <c r="AA147" s="145" t="n"/>
      <c r="AB147" s="145" t="n"/>
      <c r="AC147" s="145" t="n"/>
      <c r="AD147" s="145" t="n"/>
      <c r="AE147" s="145" t="n"/>
      <c r="AF147" s="145" t="n"/>
    </row>
    <row r="148">
      <c r="A148" s="74" t="n"/>
      <c r="B148" s="74" t="n"/>
      <c r="C148" s="74" t="n"/>
      <c r="D148" s="145" t="n"/>
      <c r="E148" s="145" t="n"/>
      <c r="F148" s="145" t="n"/>
      <c r="G148" s="145" t="n"/>
      <c r="H148" s="145" t="n"/>
      <c r="I148" s="145" t="n"/>
      <c r="J148" s="145" t="n"/>
      <c r="K148" s="145" t="n"/>
      <c r="M148" s="145" t="n"/>
      <c r="N148" s="145" t="n"/>
      <c r="O148" s="145" t="n"/>
      <c r="P148" s="145" t="n"/>
      <c r="Q148" s="145" t="n"/>
      <c r="R148" s="145" t="n"/>
      <c r="S148" s="145" t="n"/>
      <c r="T148" s="145" t="n"/>
      <c r="U148" s="145" t="n"/>
      <c r="V148" s="145" t="n"/>
      <c r="W148" s="145" t="n"/>
      <c r="X148" s="145" t="n"/>
      <c r="Y148" s="145" t="n"/>
      <c r="Z148" s="145" t="n"/>
      <c r="AA148" s="145" t="n"/>
      <c r="AB148" s="145" t="n"/>
      <c r="AC148" s="145" t="n"/>
      <c r="AD148" s="145" t="n"/>
      <c r="AE148" s="145" t="n"/>
      <c r="AF148" s="145" t="n"/>
    </row>
    <row r="149">
      <c r="A149" s="74" t="n"/>
      <c r="B149" s="74" t="n"/>
      <c r="C149" s="74" t="n"/>
      <c r="D149" s="143" t="n"/>
      <c r="E149" s="143" t="n"/>
      <c r="F149" s="143" t="n"/>
      <c r="G149" s="143" t="n"/>
      <c r="H149" s="143" t="n"/>
      <c r="I149" s="143" t="n"/>
      <c r="J149" s="143" t="n"/>
      <c r="K149" s="143" t="n"/>
      <c r="M149" s="145" t="n"/>
      <c r="N149" s="145" t="n"/>
      <c r="O149" s="145" t="n"/>
      <c r="P149" s="145" t="n"/>
      <c r="Q149" s="145" t="n"/>
      <c r="R149" s="145" t="n"/>
      <c r="S149" s="145" t="n"/>
      <c r="T149" s="145" t="n"/>
      <c r="U149" s="145" t="n"/>
      <c r="V149" s="145" t="n"/>
      <c r="W149" s="145" t="n"/>
      <c r="X149" s="145" t="n"/>
      <c r="Y149" s="145" t="n"/>
      <c r="Z149" s="145" t="n"/>
      <c r="AA149" s="145" t="n"/>
      <c r="AB149" s="145" t="n"/>
      <c r="AC149" s="145" t="n"/>
      <c r="AD149" s="145" t="n"/>
      <c r="AE149" s="145" t="n"/>
      <c r="AF149" s="145" t="n"/>
    </row>
    <row r="150">
      <c r="A150" s="74" t="n"/>
      <c r="B150" s="74" t="n"/>
      <c r="C150" s="74" t="n"/>
      <c r="D150" s="145" t="n"/>
      <c r="E150" s="145" t="n"/>
      <c r="F150" s="145" t="n"/>
      <c r="G150" s="145" t="n"/>
      <c r="H150" s="145" t="n"/>
      <c r="I150" s="145" t="n"/>
      <c r="J150" s="145" t="n"/>
      <c r="K150" s="145" t="n"/>
      <c r="M150" s="145" t="n"/>
      <c r="N150" s="145" t="n"/>
      <c r="O150" s="145" t="n"/>
      <c r="P150" s="145" t="n"/>
      <c r="Q150" s="145" t="n"/>
      <c r="R150" s="145" t="n"/>
      <c r="S150" s="145" t="n"/>
      <c r="T150" s="145" t="n"/>
      <c r="U150" s="145" t="n"/>
      <c r="V150" s="145" t="n"/>
      <c r="W150" s="145" t="n"/>
      <c r="X150" s="145" t="n"/>
      <c r="Y150" s="145" t="n"/>
      <c r="Z150" s="145" t="n"/>
      <c r="AA150" s="145" t="n"/>
      <c r="AB150" s="145" t="n"/>
      <c r="AC150" s="145" t="n"/>
      <c r="AD150" s="145" t="n"/>
      <c r="AE150" s="145" t="n"/>
      <c r="AF150" s="145" t="n"/>
    </row>
    <row r="151">
      <c r="A151" s="74" t="n"/>
      <c r="B151" s="74" t="n"/>
      <c r="C151" s="74" t="n"/>
      <c r="D151" s="145" t="n"/>
      <c r="E151" s="145" t="n"/>
      <c r="F151" s="145" t="n"/>
      <c r="G151" s="145" t="n"/>
      <c r="H151" s="145" t="n"/>
      <c r="I151" s="145" t="n"/>
      <c r="J151" s="145" t="n"/>
      <c r="K151" s="145" t="n"/>
      <c r="M151" s="145" t="n"/>
      <c r="N151" s="145" t="n"/>
      <c r="O151" s="145" t="n"/>
      <c r="P151" s="145" t="n"/>
      <c r="Q151" s="145" t="n"/>
      <c r="R151" s="145" t="n"/>
      <c r="S151" s="145" t="n"/>
      <c r="T151" s="145" t="n"/>
      <c r="U151" s="145" t="n"/>
      <c r="V151" s="145" t="n"/>
      <c r="W151" s="145" t="n"/>
      <c r="X151" s="145" t="n"/>
      <c r="Y151" s="145" t="n"/>
      <c r="Z151" s="145" t="n"/>
      <c r="AA151" s="145" t="n"/>
      <c r="AB151" s="145" t="n"/>
      <c r="AC151" s="145" t="n"/>
      <c r="AD151" s="145" t="n"/>
      <c r="AE151" s="145" t="n"/>
      <c r="AF151" s="145" t="n"/>
    </row>
    <row r="152" customFormat="1" s="22">
      <c r="D152" s="121" t="n"/>
      <c r="E152" s="121" t="n"/>
      <c r="F152" s="121" t="n"/>
      <c r="G152" s="121" t="n"/>
      <c r="H152" s="121" t="n"/>
      <c r="I152" s="121" t="n"/>
      <c r="J152" s="121" t="n"/>
      <c r="K152" s="121" t="n"/>
      <c r="M152" s="121" t="n"/>
      <c r="N152" s="121" t="n"/>
      <c r="O152" s="121" t="n"/>
      <c r="P152" s="121" t="n"/>
      <c r="Q152" s="121" t="n"/>
      <c r="R152" s="121" t="n"/>
      <c r="S152" s="121" t="n"/>
      <c r="T152" s="121" t="n"/>
      <c r="U152" s="121" t="n"/>
      <c r="V152" s="121" t="n"/>
      <c r="W152" s="121" t="n"/>
      <c r="X152" s="121" t="n"/>
      <c r="Y152" s="121" t="n"/>
      <c r="Z152" s="121" t="n"/>
      <c r="AA152" s="121" t="n"/>
      <c r="AB152" s="121" t="n"/>
      <c r="AC152" s="121" t="n"/>
      <c r="AD152" s="121" t="n"/>
      <c r="AE152" s="121" t="n"/>
      <c r="AF152" s="121" t="n"/>
    </row>
    <row r="153">
      <c r="D153" s="76" t="n"/>
      <c r="E153" s="76" t="n"/>
      <c r="F153" s="76" t="n"/>
      <c r="G153" s="76" t="n"/>
      <c r="H153" s="76" t="n"/>
      <c r="I153" s="76" t="n"/>
      <c r="J153" s="76" t="n"/>
      <c r="K153" s="76" t="n"/>
      <c r="M153" s="76" t="n"/>
      <c r="N153" s="76" t="n"/>
      <c r="O153" s="76" t="n"/>
      <c r="P153" s="76" t="n"/>
      <c r="Q153" s="76" t="n"/>
      <c r="R153" s="76" t="n"/>
      <c r="S153" s="76" t="n"/>
      <c r="T153" s="76" t="n"/>
      <c r="U153" s="76" t="n"/>
      <c r="V153" s="76" t="n"/>
      <c r="W153" s="76" t="n"/>
      <c r="X153" s="76" t="n"/>
      <c r="Y153" s="76" t="n"/>
      <c r="Z153" s="76" t="n"/>
      <c r="AA153" s="76" t="n"/>
      <c r="AB153" s="76" t="n"/>
      <c r="AC153" s="76" t="n"/>
      <c r="AD153" s="76" t="n"/>
      <c r="AE153" s="76" t="n"/>
      <c r="AF153" s="76" t="n"/>
    </row>
    <row r="154" customFormat="1" s="22">
      <c r="D154" s="121" t="n"/>
      <c r="E154" s="121" t="n"/>
      <c r="F154" s="121" t="n"/>
      <c r="G154" s="121" t="n"/>
      <c r="H154" s="121" t="n"/>
      <c r="I154" s="121" t="n"/>
      <c r="J154" s="121" t="n"/>
      <c r="K154" s="121" t="n"/>
      <c r="M154" s="121" t="n"/>
      <c r="N154" s="121" t="n"/>
      <c r="O154" s="121" t="n"/>
      <c r="P154" s="121" t="n"/>
      <c r="Q154" s="121" t="n"/>
      <c r="R154" s="121" t="n"/>
      <c r="S154" s="121" t="n"/>
      <c r="T154" s="121" t="n"/>
      <c r="U154" s="121" t="n"/>
      <c r="V154" s="121" t="n"/>
      <c r="W154" s="121" t="n"/>
      <c r="X154" s="121" t="n"/>
      <c r="Y154" s="121" t="n"/>
      <c r="Z154" s="121" t="n"/>
      <c r="AA154" s="121" t="n"/>
      <c r="AB154" s="121" t="n"/>
      <c r="AC154" s="121" t="n"/>
      <c r="AD154" s="121" t="n"/>
      <c r="AE154" s="121" t="n"/>
      <c r="AF154" s="121" t="n"/>
    </row>
    <row r="155">
      <c r="D155" s="76" t="n"/>
      <c r="E155" s="76" t="n"/>
      <c r="F155" s="76" t="n"/>
      <c r="G155" s="76" t="n"/>
      <c r="H155" s="76" t="n"/>
      <c r="I155" s="76" t="n"/>
      <c r="J155" s="76" t="n"/>
      <c r="K155" s="76" t="n"/>
      <c r="M155" s="76" t="n"/>
      <c r="N155" s="76" t="n"/>
      <c r="O155" s="76" t="n"/>
      <c r="P155" s="76" t="n"/>
      <c r="Q155" s="76" t="n"/>
      <c r="R155" s="76" t="n"/>
      <c r="S155" s="76" t="n"/>
      <c r="T155" s="76" t="n"/>
      <c r="U155" s="76" t="n"/>
      <c r="V155" s="76" t="n"/>
      <c r="W155" s="76" t="n"/>
      <c r="X155" s="76" t="n"/>
      <c r="Y155" s="76" t="n"/>
      <c r="Z155" s="76" t="n"/>
      <c r="AA155" s="76" t="n"/>
      <c r="AB155" s="76" t="n"/>
      <c r="AC155" s="76" t="n"/>
      <c r="AD155" s="76" t="n"/>
      <c r="AE155" s="76" t="n"/>
      <c r="AF155" s="76" t="n"/>
    </row>
    <row r="156">
      <c r="A156" s="22" t="n"/>
      <c r="B156" s="22" t="n"/>
      <c r="C156" s="22" t="n"/>
      <c r="D156" s="76" t="n"/>
      <c r="E156" s="76" t="n"/>
      <c r="F156" s="76" t="n"/>
      <c r="G156" s="76" t="n"/>
      <c r="H156" s="76" t="n"/>
      <c r="I156" s="76" t="n"/>
      <c r="J156" s="76" t="n"/>
      <c r="K156" s="76" t="n"/>
      <c r="M156" s="76" t="n"/>
      <c r="N156" s="76" t="n"/>
      <c r="O156" s="76" t="n"/>
      <c r="P156" s="76" t="n"/>
      <c r="Q156" s="76" t="n"/>
      <c r="R156" s="76" t="n"/>
      <c r="S156" s="76" t="n"/>
      <c r="T156" s="76" t="n"/>
      <c r="U156" s="76" t="n"/>
      <c r="V156" s="76" t="n"/>
      <c r="W156" s="76" t="n"/>
      <c r="X156" s="76" t="n"/>
      <c r="Y156" s="76" t="n"/>
      <c r="Z156" s="76" t="n"/>
      <c r="AA156" s="76" t="n"/>
      <c r="AB156" s="76" t="n"/>
      <c r="AC156" s="76" t="n"/>
      <c r="AD156" s="76" t="n"/>
      <c r="AE156" s="76" t="n"/>
      <c r="AF156" s="76" t="n"/>
    </row>
    <row r="157">
      <c r="A157" s="74" t="n"/>
      <c r="B157" s="74" t="n"/>
      <c r="C157" s="74" t="n"/>
      <c r="D157" s="145" t="n"/>
      <c r="E157" s="145" t="n"/>
      <c r="F157" s="145" t="n"/>
      <c r="G157" s="145" t="n"/>
      <c r="H157" s="145" t="n"/>
      <c r="I157" s="145" t="n"/>
      <c r="J157" s="145" t="n"/>
      <c r="K157" s="145" t="n"/>
      <c r="M157" s="145" t="n"/>
      <c r="N157" s="145" t="n"/>
      <c r="O157" s="145" t="n"/>
      <c r="P157" s="145" t="n"/>
      <c r="Q157" s="145" t="n"/>
      <c r="R157" s="145" t="n"/>
      <c r="S157" s="145" t="n"/>
      <c r="T157" s="145" t="n"/>
      <c r="U157" s="145" t="n"/>
      <c r="V157" s="145" t="n"/>
      <c r="W157" s="145" t="n"/>
      <c r="X157" s="145" t="n"/>
      <c r="Y157" s="145" t="n"/>
      <c r="Z157" s="145" t="n"/>
      <c r="AA157" s="145" t="n"/>
      <c r="AB157" s="145" t="n"/>
      <c r="AC157" s="145" t="n"/>
      <c r="AD157" s="145" t="n"/>
      <c r="AE157" s="145" t="n"/>
      <c r="AF157" s="145" t="n"/>
    </row>
    <row r="158">
      <c r="A158" s="74" t="n"/>
      <c r="B158" s="74" t="n"/>
      <c r="C158" s="74" t="n"/>
      <c r="D158" s="145" t="n"/>
      <c r="E158" s="145" t="n"/>
      <c r="F158" s="145" t="n"/>
      <c r="G158" s="145" t="n"/>
      <c r="H158" s="145" t="n"/>
      <c r="I158" s="145" t="n"/>
      <c r="J158" s="145" t="n"/>
      <c r="K158" s="145" t="n"/>
      <c r="M158" s="145" t="n"/>
      <c r="N158" s="145" t="n"/>
      <c r="O158" s="145" t="n"/>
      <c r="P158" s="145" t="n"/>
      <c r="Q158" s="145" t="n"/>
      <c r="R158" s="145" t="n"/>
      <c r="S158" s="145" t="n"/>
      <c r="T158" s="145" t="n"/>
      <c r="U158" s="145" t="n"/>
      <c r="V158" s="145" t="n"/>
      <c r="W158" s="145" t="n"/>
      <c r="X158" s="145" t="n"/>
      <c r="Y158" s="145" t="n"/>
      <c r="Z158" s="145" t="n"/>
      <c r="AA158" s="145" t="n"/>
      <c r="AB158" s="145" t="n"/>
      <c r="AC158" s="145" t="n"/>
      <c r="AD158" s="145" t="n"/>
      <c r="AE158" s="145" t="n"/>
      <c r="AF158" s="145" t="n"/>
    </row>
    <row r="159">
      <c r="A159" s="74" t="n"/>
      <c r="B159" s="74" t="n"/>
      <c r="C159" s="74" t="n"/>
      <c r="D159" s="143" t="n"/>
      <c r="E159" s="143" t="n"/>
      <c r="F159" s="143" t="n"/>
      <c r="G159" s="145" t="n"/>
      <c r="H159" s="145" t="n"/>
      <c r="I159" s="145" t="n"/>
      <c r="J159" s="143" t="n"/>
      <c r="K159" s="143" t="n"/>
      <c r="M159" s="145" t="n"/>
      <c r="N159" s="145" t="n"/>
      <c r="O159" s="145" t="n"/>
      <c r="P159" s="143" t="n"/>
      <c r="Q159" s="143" t="n"/>
      <c r="R159" s="145" t="n"/>
      <c r="S159" s="145" t="n"/>
      <c r="T159" s="143" t="n"/>
      <c r="U159" s="143" t="n"/>
      <c r="V159" s="143" t="n"/>
      <c r="W159" s="143" t="n"/>
      <c r="X159" s="143" t="n"/>
      <c r="Y159" s="143" t="n"/>
      <c r="Z159" s="143" t="n"/>
      <c r="AA159" s="143" t="n"/>
      <c r="AB159" s="143" t="n"/>
      <c r="AC159" s="143" t="n"/>
      <c r="AD159" s="143" t="n"/>
      <c r="AE159" s="143" t="n"/>
      <c r="AF159" s="143" t="n"/>
    </row>
    <row r="160">
      <c r="A160" s="74" t="n"/>
      <c r="B160" s="74" t="n"/>
      <c r="C160" s="74" t="n"/>
      <c r="D160" s="145" t="n"/>
      <c r="E160" s="145" t="n"/>
      <c r="F160" s="145" t="n"/>
      <c r="G160" s="145" t="n"/>
      <c r="H160" s="145" t="n"/>
      <c r="I160" s="145" t="n"/>
      <c r="J160" s="145" t="n"/>
      <c r="K160" s="145" t="n"/>
      <c r="M160" s="145" t="n"/>
      <c r="N160" s="145" t="n"/>
      <c r="O160" s="145" t="n"/>
      <c r="P160" s="145" t="n"/>
      <c r="Q160" s="145" t="n"/>
      <c r="R160" s="145" t="n"/>
      <c r="S160" s="145" t="n"/>
      <c r="T160" s="145" t="n"/>
      <c r="U160" s="145" t="n"/>
      <c r="V160" s="145" t="n"/>
      <c r="W160" s="145" t="n"/>
      <c r="X160" s="145" t="n"/>
      <c r="Y160" s="145" t="n"/>
      <c r="Z160" s="145" t="n"/>
      <c r="AA160" s="145" t="n"/>
      <c r="AB160" s="145" t="n"/>
      <c r="AC160" s="145" t="n"/>
      <c r="AD160" s="145" t="n"/>
      <c r="AE160" s="145" t="n"/>
      <c r="AF160" s="145" t="n"/>
    </row>
    <row r="161">
      <c r="A161" s="74" t="n"/>
      <c r="B161" s="74" t="n"/>
      <c r="C161" s="74" t="n"/>
      <c r="D161" s="145" t="n"/>
      <c r="E161" s="145" t="n"/>
      <c r="F161" s="145" t="n"/>
      <c r="G161" s="145" t="n"/>
      <c r="H161" s="145" t="n"/>
      <c r="I161" s="145" t="n"/>
      <c r="J161" s="145" t="n"/>
      <c r="K161" s="143" t="n"/>
      <c r="M161" s="145" t="n"/>
      <c r="N161" s="145" t="n"/>
      <c r="O161" s="145" t="n"/>
      <c r="P161" s="145" t="n"/>
      <c r="Q161" s="145" t="n"/>
      <c r="R161" s="145" t="n"/>
      <c r="S161" s="145" t="n"/>
      <c r="T161" s="145" t="n"/>
      <c r="U161" s="145" t="n"/>
      <c r="V161" s="145" t="n"/>
      <c r="W161" s="145" t="n"/>
      <c r="X161" s="145" t="n"/>
      <c r="Y161" s="145" t="n"/>
      <c r="Z161" s="145" t="n"/>
      <c r="AA161" s="145" t="n"/>
      <c r="AB161" s="145" t="n"/>
      <c r="AC161" s="145" t="n"/>
      <c r="AD161" s="145" t="n"/>
      <c r="AE161" s="145" t="n"/>
      <c r="AF161" s="145" t="n"/>
    </row>
    <row r="162">
      <c r="A162" s="74" t="n"/>
      <c r="B162" s="74" t="n"/>
      <c r="C162" s="74" t="n"/>
      <c r="D162" s="145" t="n"/>
      <c r="E162" s="143" t="n"/>
      <c r="F162" s="143" t="n"/>
      <c r="G162" s="143" t="n"/>
      <c r="H162" s="143" t="n"/>
      <c r="I162" s="143" t="n"/>
      <c r="J162" s="143" t="n"/>
      <c r="K162" s="143" t="n"/>
      <c r="M162" s="143" t="n"/>
      <c r="N162" s="143" t="n"/>
      <c r="O162" s="143" t="n"/>
      <c r="P162" s="143" t="n"/>
      <c r="Q162" s="143" t="n"/>
      <c r="R162" s="143" t="n"/>
      <c r="S162" s="143" t="n"/>
      <c r="T162" s="143" t="n"/>
      <c r="U162" s="143" t="n"/>
      <c r="V162" s="143" t="n"/>
      <c r="W162" s="143" t="n"/>
      <c r="X162" s="143" t="n"/>
      <c r="Y162" s="143" t="n"/>
      <c r="Z162" s="143" t="n"/>
      <c r="AA162" s="143" t="n"/>
      <c r="AB162" s="143" t="n"/>
      <c r="AC162" s="143" t="n"/>
      <c r="AD162" s="143" t="n"/>
      <c r="AE162" s="143" t="n"/>
      <c r="AF162" s="143" t="n"/>
    </row>
    <row r="163">
      <c r="A163" s="74" t="n"/>
      <c r="B163" s="74" t="n"/>
      <c r="C163" s="74" t="n"/>
      <c r="D163" s="145" t="n"/>
      <c r="E163" s="145" t="n"/>
      <c r="F163" s="145" t="n"/>
      <c r="G163" s="145" t="n"/>
      <c r="H163" s="145" t="n"/>
      <c r="I163" s="145" t="n"/>
      <c r="J163" s="145" t="n"/>
      <c r="K163" s="145" t="n"/>
      <c r="M163" s="145" t="n"/>
      <c r="N163" s="145" t="n"/>
      <c r="O163" s="145" t="n"/>
      <c r="P163" s="145" t="n"/>
      <c r="Q163" s="145" t="n"/>
      <c r="R163" s="145" t="n"/>
      <c r="S163" s="145" t="n"/>
      <c r="T163" s="145" t="n"/>
      <c r="U163" s="145" t="n"/>
      <c r="V163" s="145" t="n"/>
      <c r="W163" s="145" t="n"/>
      <c r="X163" s="145" t="n"/>
      <c r="Y163" s="145" t="n"/>
      <c r="Z163" s="145" t="n"/>
      <c r="AA163" s="145" t="n"/>
      <c r="AB163" s="145" t="n"/>
      <c r="AC163" s="145" t="n"/>
      <c r="AD163" s="145" t="n"/>
      <c r="AE163" s="145" t="n"/>
      <c r="AF163" s="145" t="n"/>
    </row>
    <row r="164">
      <c r="A164" s="74" t="n"/>
      <c r="B164" s="74" t="n"/>
      <c r="C164" s="74" t="n"/>
      <c r="D164" s="145" t="n"/>
      <c r="E164" s="145" t="n"/>
      <c r="F164" s="145" t="n"/>
      <c r="G164" s="145" t="n"/>
      <c r="H164" s="145" t="n"/>
      <c r="I164" s="145" t="n"/>
      <c r="J164" s="145" t="n"/>
      <c r="K164" s="145" t="n"/>
      <c r="M164" s="145" t="n"/>
      <c r="N164" s="145" t="n"/>
      <c r="O164" s="145" t="n"/>
      <c r="P164" s="145" t="n"/>
      <c r="Q164" s="145" t="n"/>
      <c r="R164" s="145" t="n"/>
      <c r="S164" s="145" t="n"/>
      <c r="T164" s="145" t="n"/>
      <c r="U164" s="145" t="n"/>
      <c r="V164" s="145" t="n"/>
      <c r="W164" s="145" t="n"/>
      <c r="X164" s="145" t="n"/>
      <c r="Y164" s="145" t="n"/>
      <c r="Z164" s="145" t="n"/>
      <c r="AA164" s="145" t="n"/>
      <c r="AB164" s="145" t="n"/>
      <c r="AC164" s="145" t="n"/>
      <c r="AD164" s="145" t="n"/>
      <c r="AE164" s="145" t="n"/>
      <c r="AF164" s="145" t="n"/>
    </row>
    <row r="165">
      <c r="A165" s="74" t="n"/>
      <c r="B165" s="74" t="n"/>
      <c r="C165" s="74" t="n"/>
      <c r="D165" s="145" t="n"/>
      <c r="E165" s="145" t="n"/>
      <c r="F165" s="145" t="n"/>
      <c r="G165" s="145" t="n"/>
      <c r="H165" s="145" t="n"/>
      <c r="I165" s="145" t="n"/>
      <c r="J165" s="145" t="n"/>
      <c r="K165" s="145" t="n"/>
      <c r="M165" s="145" t="n"/>
      <c r="N165" s="145" t="n"/>
      <c r="O165" s="145" t="n"/>
      <c r="P165" s="145" t="n"/>
      <c r="Q165" s="145" t="n"/>
      <c r="R165" s="145" t="n"/>
      <c r="S165" s="145" t="n"/>
      <c r="T165" s="145" t="n"/>
      <c r="U165" s="145" t="n"/>
      <c r="V165" s="145" t="n"/>
      <c r="W165" s="145" t="n"/>
      <c r="X165" s="145" t="n"/>
      <c r="Y165" s="145" t="n"/>
      <c r="Z165" s="145" t="n"/>
      <c r="AA165" s="145" t="n"/>
      <c r="AB165" s="145" t="n"/>
      <c r="AC165" s="145" t="n"/>
      <c r="AD165" s="145" t="n"/>
      <c r="AE165" s="145" t="n"/>
      <c r="AF165" s="145" t="n"/>
    </row>
    <row r="166">
      <c r="A166" s="74" t="n"/>
      <c r="B166" s="74" t="n"/>
      <c r="C166" s="74" t="n"/>
      <c r="D166" s="145" t="n"/>
      <c r="E166" s="145" t="n"/>
      <c r="F166" s="145" t="n"/>
      <c r="G166" s="145" t="n"/>
      <c r="H166" s="145" t="n"/>
      <c r="I166" s="145" t="n"/>
      <c r="J166" s="145" t="n"/>
      <c r="K166" s="145" t="n"/>
      <c r="M166" s="145" t="n"/>
      <c r="N166" s="145" t="n"/>
      <c r="O166" s="145" t="n"/>
      <c r="P166" s="145" t="n"/>
      <c r="Q166" s="145" t="n"/>
      <c r="R166" s="145" t="n"/>
      <c r="S166" s="145" t="n"/>
      <c r="T166" s="145" t="n"/>
      <c r="U166" s="145" t="n"/>
      <c r="V166" s="145" t="n"/>
      <c r="W166" s="145" t="n"/>
      <c r="X166" s="145" t="n"/>
      <c r="Y166" s="145" t="n"/>
      <c r="Z166" s="145" t="n"/>
      <c r="AA166" s="145" t="n"/>
      <c r="AB166" s="145" t="n"/>
      <c r="AC166" s="145" t="n"/>
      <c r="AD166" s="145" t="n"/>
      <c r="AE166" s="145" t="n"/>
      <c r="AF166" s="145" t="n"/>
    </row>
    <row r="167">
      <c r="A167" s="74" t="n"/>
      <c r="B167" s="74" t="n"/>
      <c r="C167" s="74" t="n"/>
      <c r="D167" s="145" t="n"/>
      <c r="E167" s="143" t="n"/>
      <c r="F167" s="143" t="n"/>
      <c r="G167" s="143" t="n"/>
      <c r="H167" s="143" t="n"/>
      <c r="I167" s="143" t="n"/>
      <c r="J167" s="143" t="n"/>
      <c r="K167" s="145" t="n"/>
      <c r="M167" s="145" t="n"/>
      <c r="N167" s="145" t="n"/>
      <c r="O167" s="145" t="n"/>
      <c r="P167" s="145" t="n"/>
      <c r="Q167" s="145" t="n"/>
      <c r="R167" s="145" t="n"/>
      <c r="S167" s="145" t="n"/>
      <c r="T167" s="145" t="n"/>
      <c r="U167" s="145" t="n"/>
      <c r="V167" s="145" t="n"/>
      <c r="W167" s="145" t="n"/>
      <c r="X167" s="145" t="n"/>
      <c r="Y167" s="145" t="n"/>
      <c r="Z167" s="145" t="n"/>
      <c r="AA167" s="145" t="n"/>
      <c r="AB167" s="145" t="n"/>
      <c r="AC167" s="145" t="n"/>
      <c r="AD167" s="145" t="n"/>
      <c r="AE167" s="145" t="n"/>
      <c r="AF167" s="145" t="n"/>
    </row>
    <row r="168" customFormat="1" s="22">
      <c r="D168" s="121" t="n"/>
      <c r="E168" s="121" t="n"/>
      <c r="F168" s="121" t="n"/>
      <c r="G168" s="121" t="n"/>
      <c r="H168" s="121" t="n"/>
      <c r="I168" s="121" t="n"/>
      <c r="J168" s="121" t="n"/>
      <c r="K168" s="121" t="n"/>
      <c r="M168" s="121" t="n"/>
      <c r="N168" s="121" t="n"/>
      <c r="O168" s="121" t="n"/>
      <c r="P168" s="121" t="n"/>
      <c r="Q168" s="121" t="n"/>
      <c r="R168" s="121" t="n"/>
      <c r="S168" s="121" t="n"/>
      <c r="T168" s="121" t="n"/>
      <c r="U168" s="121" t="n"/>
      <c r="V168" s="121" t="n"/>
      <c r="W168" s="121" t="n"/>
      <c r="X168" s="121" t="n"/>
      <c r="Y168" s="121" t="n"/>
      <c r="Z168" s="121" t="n"/>
      <c r="AA168" s="121" t="n"/>
      <c r="AB168" s="121" t="n"/>
      <c r="AC168" s="121" t="n"/>
      <c r="AD168" s="121" t="n"/>
      <c r="AE168" s="121" t="n"/>
      <c r="AF168" s="121" t="n"/>
    </row>
    <row r="169">
      <c r="D169" s="76" t="n"/>
      <c r="E169" s="76" t="n"/>
      <c r="F169" s="76" t="n"/>
      <c r="G169" s="76" t="n"/>
      <c r="H169" s="76" t="n"/>
      <c r="I169" s="76" t="n"/>
      <c r="J169" s="76" t="n"/>
      <c r="K169" s="76" t="n"/>
      <c r="M169" s="76" t="n"/>
      <c r="N169" s="76" t="n"/>
      <c r="O169" s="76" t="n"/>
      <c r="P169" s="76" t="n"/>
      <c r="Q169" s="76" t="n"/>
      <c r="R169" s="76" t="n"/>
      <c r="S169" s="76" t="n"/>
      <c r="T169" s="76" t="n"/>
      <c r="U169" s="76" t="n"/>
      <c r="V169" s="76" t="n"/>
      <c r="W169" s="76" t="n"/>
      <c r="X169" s="76" t="n"/>
      <c r="Y169" s="76" t="n"/>
      <c r="Z169" s="76" t="n"/>
      <c r="AA169" s="76" t="n"/>
      <c r="AB169" s="76" t="n"/>
      <c r="AC169" s="76" t="n"/>
      <c r="AD169" s="76" t="n"/>
      <c r="AE169" s="76" t="n"/>
      <c r="AF169" s="76" t="n"/>
    </row>
    <row r="170">
      <c r="D170" s="86" t="n"/>
      <c r="E170" s="86" t="n"/>
      <c r="F170" s="86" t="n"/>
      <c r="G170" s="86" t="n"/>
      <c r="H170" s="86" t="n"/>
      <c r="I170" s="86" t="n"/>
      <c r="J170" s="86" t="n"/>
      <c r="K170" s="86" t="n"/>
      <c r="M170" s="86" t="n"/>
      <c r="N170" s="86" t="n"/>
      <c r="O170" s="86" t="n"/>
      <c r="P170" s="86" t="n"/>
      <c r="Q170" s="86" t="n"/>
      <c r="R170" s="86" t="n"/>
      <c r="S170" s="86" t="n"/>
      <c r="T170" s="86" t="n"/>
      <c r="U170" s="86" t="n"/>
      <c r="V170" s="86" t="n"/>
      <c r="W170" s="86" t="n"/>
      <c r="X170" s="86" t="n"/>
      <c r="Y170" s="86" t="n"/>
      <c r="Z170" s="86" t="n"/>
      <c r="AA170" s="86" t="n"/>
      <c r="AB170" s="86" t="n"/>
      <c r="AC170" s="86" t="n"/>
      <c r="AD170" s="86" t="n"/>
      <c r="AE170" s="86" t="n"/>
      <c r="AF170" s="86" t="n"/>
    </row>
    <row r="171">
      <c r="D171" s="86" t="n"/>
      <c r="E171" s="86" t="n"/>
      <c r="F171" s="86" t="n"/>
      <c r="G171" s="86" t="n"/>
      <c r="H171" s="86" t="n"/>
      <c r="I171" s="86" t="n"/>
      <c r="J171" s="86" t="n"/>
      <c r="K171" s="86" t="n"/>
      <c r="M171" s="86" t="n"/>
      <c r="N171" s="86" t="n"/>
      <c r="O171" s="86" t="n"/>
      <c r="P171" s="86" t="n"/>
      <c r="Q171" s="86" t="n"/>
      <c r="R171" s="86" t="n"/>
      <c r="S171" s="86" t="n"/>
      <c r="T171" s="86" t="n"/>
      <c r="U171" s="86" t="n"/>
      <c r="V171" s="86" t="n"/>
      <c r="W171" s="86" t="n"/>
      <c r="X171" s="86" t="n"/>
      <c r="Y171" s="86" t="n"/>
      <c r="Z171" s="86" t="n"/>
      <c r="AA171" s="86" t="n"/>
      <c r="AB171" s="86" t="n"/>
      <c r="AC171" s="86" t="n"/>
      <c r="AD171" s="86" t="n"/>
      <c r="AE171" s="86" t="n"/>
      <c r="AF171" s="86" t="n"/>
    </row>
    <row r="172">
      <c r="D172" s="76" t="n"/>
      <c r="E172" s="76" t="n"/>
      <c r="F172" s="76" t="n"/>
      <c r="G172" s="76" t="n"/>
      <c r="H172" s="76" t="n"/>
      <c r="I172" s="76" t="n"/>
      <c r="J172" s="76" t="n"/>
      <c r="K172" s="76" t="n"/>
      <c r="M172" s="76" t="n"/>
      <c r="N172" s="76" t="n"/>
      <c r="O172" s="76" t="n"/>
      <c r="P172" s="76" t="n"/>
      <c r="Q172" s="76" t="n"/>
      <c r="R172" s="76" t="n"/>
      <c r="S172" s="76" t="n"/>
      <c r="T172" s="76" t="n"/>
      <c r="U172" s="76" t="n"/>
      <c r="V172" s="76" t="n"/>
      <c r="W172" s="76" t="n"/>
      <c r="X172" s="76" t="n"/>
      <c r="Y172" s="76" t="n"/>
      <c r="Z172" s="76" t="n"/>
      <c r="AA172" s="76" t="n"/>
      <c r="AB172" s="76" t="n"/>
      <c r="AC172" s="76" t="n"/>
      <c r="AD172" s="76" t="n"/>
      <c r="AE172" s="76" t="n"/>
      <c r="AF172" s="76" t="n"/>
    </row>
    <row r="173" customFormat="1" s="22">
      <c r="D173" s="122" t="n"/>
      <c r="E173" s="122" t="n"/>
      <c r="F173" s="122" t="n"/>
      <c r="G173" s="122" t="n"/>
      <c r="H173" s="122" t="n"/>
      <c r="I173" s="122" t="n"/>
      <c r="J173" s="122" t="n"/>
      <c r="K173" s="122" t="n"/>
      <c r="M173" s="122" t="n"/>
      <c r="N173" s="122" t="n"/>
      <c r="O173" s="122" t="n"/>
      <c r="P173" s="122" t="n"/>
      <c r="Q173" s="122" t="n"/>
      <c r="R173" s="122" t="n"/>
      <c r="S173" s="122" t="n"/>
      <c r="T173" s="122" t="n"/>
      <c r="U173" s="122" t="n"/>
      <c r="V173" s="122" t="n"/>
      <c r="W173" s="122" t="n"/>
      <c r="X173" s="122" t="n"/>
      <c r="Y173" s="122" t="n"/>
      <c r="Z173" s="122" t="n"/>
      <c r="AA173" s="122" t="n"/>
      <c r="AB173" s="122" t="n"/>
      <c r="AC173" s="122" t="n"/>
      <c r="AD173" s="122" t="n"/>
      <c r="AE173" s="122" t="n"/>
      <c r="AF173" s="122" t="n"/>
    </row>
    <row r="174">
      <c r="A174" s="74" t="n"/>
      <c r="B174" s="74" t="n"/>
      <c r="C174" s="74" t="n"/>
      <c r="D174" s="143" t="n"/>
      <c r="E174" s="145" t="n"/>
      <c r="F174" s="145" t="n"/>
      <c r="G174" s="145" t="n"/>
      <c r="H174" s="145" t="n"/>
      <c r="I174" s="145" t="n"/>
      <c r="J174" s="145" t="n"/>
      <c r="K174" s="145" t="n"/>
      <c r="M174" s="145" t="n"/>
      <c r="N174" s="143" t="n"/>
      <c r="O174" s="143" t="n"/>
      <c r="P174" s="145" t="n"/>
      <c r="Q174" s="145" t="n"/>
      <c r="R174" s="143" t="n"/>
      <c r="S174" s="143" t="n"/>
      <c r="T174" s="145" t="n"/>
      <c r="U174" s="145" t="n"/>
      <c r="V174" s="145" t="n"/>
      <c r="W174" s="145" t="n"/>
      <c r="X174" s="145" t="n"/>
      <c r="Y174" s="145" t="n"/>
      <c r="Z174" s="145" t="n"/>
      <c r="AA174" s="145" t="n"/>
      <c r="AB174" s="145" t="n"/>
      <c r="AC174" s="145" t="n"/>
      <c r="AD174" s="145" t="n"/>
      <c r="AE174" s="145" t="n"/>
      <c r="AF174" s="145" t="n"/>
    </row>
    <row r="175">
      <c r="A175" s="74" t="n"/>
      <c r="B175" s="74" t="n"/>
      <c r="C175" s="74" t="n"/>
      <c r="D175" s="145" t="n"/>
      <c r="E175" s="145" t="n"/>
      <c r="F175" s="145" t="n"/>
      <c r="G175" s="145" t="n"/>
      <c r="H175" s="145" t="n"/>
      <c r="I175" s="145" t="n"/>
      <c r="J175" s="145" t="n"/>
      <c r="K175" s="145" t="n"/>
      <c r="M175" s="145" t="n"/>
      <c r="N175" s="145" t="n"/>
      <c r="O175" s="145" t="n"/>
      <c r="P175" s="145" t="n"/>
      <c r="Q175" s="145" t="n"/>
      <c r="R175" s="145" t="n"/>
      <c r="S175" s="145" t="n"/>
      <c r="T175" s="145" t="n"/>
      <c r="U175" s="145" t="n"/>
      <c r="V175" s="145" t="n"/>
      <c r="W175" s="145" t="n"/>
      <c r="X175" s="145" t="n"/>
      <c r="Y175" s="145" t="n"/>
      <c r="Z175" s="145" t="n"/>
      <c r="AA175" s="145" t="n"/>
      <c r="AB175" s="145" t="n"/>
      <c r="AC175" s="145" t="n"/>
      <c r="AD175" s="145" t="n"/>
      <c r="AE175" s="145" t="n"/>
      <c r="AF175" s="145" t="n"/>
    </row>
    <row r="176">
      <c r="A176" s="74" t="n"/>
      <c r="B176" s="74" t="n"/>
      <c r="C176" s="74" t="n"/>
      <c r="D176" s="145" t="n"/>
      <c r="E176" s="145" t="n"/>
      <c r="F176" s="145" t="n"/>
      <c r="G176" s="145" t="n"/>
      <c r="H176" s="145" t="n"/>
      <c r="I176" s="145" t="n"/>
      <c r="J176" s="145" t="n"/>
      <c r="K176" s="145" t="n"/>
      <c r="M176" s="145" t="n"/>
      <c r="N176" s="145" t="n"/>
      <c r="O176" s="145" t="n"/>
      <c r="P176" s="145" t="n"/>
      <c r="Q176" s="145" t="n"/>
      <c r="R176" s="145" t="n"/>
      <c r="S176" s="145" t="n"/>
      <c r="T176" s="145" t="n"/>
      <c r="U176" s="145" t="n"/>
      <c r="V176" s="145" t="n"/>
      <c r="W176" s="145" t="n"/>
      <c r="X176" s="145" t="n"/>
      <c r="Y176" s="145" t="n"/>
      <c r="Z176" s="145" t="n"/>
      <c r="AA176" s="145" t="n"/>
      <c r="AB176" s="145" t="n"/>
      <c r="AC176" s="145" t="n"/>
      <c r="AD176" s="145" t="n"/>
      <c r="AE176" s="145" t="n"/>
      <c r="AF176" s="145" t="n"/>
    </row>
    <row r="177" customFormat="1" s="22">
      <c r="A177" s="74" t="n"/>
      <c r="B177" s="74" t="n"/>
      <c r="C177" s="74" t="n"/>
      <c r="D177" s="145" t="n"/>
      <c r="E177" s="145" t="n"/>
      <c r="F177" s="145" t="n"/>
      <c r="G177" s="145" t="n"/>
      <c r="H177" s="145" t="n"/>
      <c r="I177" s="145" t="n"/>
      <c r="J177" s="145" t="n"/>
      <c r="K177" s="145" t="n"/>
      <c r="M177" s="145" t="n"/>
      <c r="N177" s="145" t="n"/>
      <c r="O177" s="145" t="n"/>
      <c r="P177" s="145" t="n"/>
      <c r="Q177" s="145" t="n"/>
      <c r="R177" s="145" t="n"/>
      <c r="S177" s="145" t="n"/>
      <c r="T177" s="145" t="n"/>
      <c r="U177" s="145" t="n"/>
      <c r="V177" s="145" t="n"/>
      <c r="W177" s="145" t="n"/>
      <c r="X177" s="145" t="n"/>
      <c r="Y177" s="145" t="n"/>
      <c r="Z177" s="145" t="n"/>
      <c r="AA177" s="145" t="n"/>
      <c r="AB177" s="145" t="n"/>
      <c r="AC177" s="145" t="n"/>
      <c r="AD177" s="145" t="n"/>
      <c r="AE177" s="145" t="n"/>
      <c r="AF177" s="145" t="n"/>
    </row>
    <row r="178" customFormat="1" s="22">
      <c r="A178" s="74" t="n"/>
      <c r="B178" s="74" t="n"/>
      <c r="C178" s="74" t="n"/>
      <c r="D178" s="143" t="n"/>
      <c r="E178" s="145" t="n"/>
      <c r="F178" s="143" t="n"/>
      <c r="G178" s="143" t="n"/>
      <c r="H178" s="143" t="n"/>
      <c r="I178" s="143" t="n"/>
      <c r="J178" s="143" t="n"/>
      <c r="K178" s="143" t="n"/>
      <c r="M178" s="145" t="n"/>
      <c r="N178" s="145" t="n"/>
      <c r="O178" s="145" t="n"/>
      <c r="P178" s="145" t="n"/>
      <c r="Q178" s="145" t="n"/>
      <c r="R178" s="145" t="n"/>
      <c r="S178" s="145" t="n"/>
      <c r="T178" s="145" t="n"/>
      <c r="U178" s="145" t="n"/>
      <c r="V178" s="145" t="n"/>
      <c r="W178" s="145" t="n"/>
      <c r="X178" s="145" t="n"/>
      <c r="Y178" s="145" t="n"/>
      <c r="Z178" s="145" t="n"/>
      <c r="AA178" s="145" t="n"/>
      <c r="AB178" s="145" t="n"/>
      <c r="AC178" s="145" t="n"/>
      <c r="AD178" s="145" t="n"/>
      <c r="AE178" s="145" t="n"/>
      <c r="AF178" s="145" t="n"/>
    </row>
    <row r="179" customFormat="1" s="22">
      <c r="A179" s="74" t="n"/>
      <c r="B179" s="74" t="n"/>
      <c r="C179" s="74" t="n"/>
      <c r="D179" s="145" t="n"/>
      <c r="E179" s="145" t="n"/>
      <c r="F179" s="145" t="n"/>
      <c r="G179" s="145" t="n"/>
      <c r="H179" s="145" t="n"/>
      <c r="I179" s="145" t="n"/>
      <c r="J179" s="145" t="n"/>
      <c r="K179" s="145" t="n"/>
      <c r="M179" s="145" t="n"/>
      <c r="N179" s="145" t="n"/>
      <c r="O179" s="145" t="n"/>
      <c r="P179" s="145" t="n"/>
      <c r="Q179" s="145" t="n"/>
      <c r="R179" s="145" t="n"/>
      <c r="S179" s="145" t="n"/>
      <c r="T179" s="145" t="n"/>
      <c r="U179" s="145" t="n"/>
      <c r="V179" s="145" t="n"/>
      <c r="W179" s="145" t="n"/>
      <c r="X179" s="145" t="n"/>
      <c r="Y179" s="145" t="n"/>
      <c r="Z179" s="145" t="n"/>
      <c r="AA179" s="145" t="n"/>
      <c r="AB179" s="145" t="n"/>
      <c r="AC179" s="145" t="n"/>
      <c r="AD179" s="145" t="n"/>
      <c r="AE179" s="145" t="n"/>
      <c r="AF179" s="145" t="n"/>
    </row>
    <row r="180">
      <c r="A180" s="74" t="n"/>
      <c r="B180" s="74" t="n"/>
      <c r="C180" s="74" t="n"/>
      <c r="D180" s="145" t="n"/>
      <c r="E180" s="145" t="n"/>
      <c r="F180" s="145" t="n"/>
      <c r="G180" s="145" t="n"/>
      <c r="H180" s="145" t="n"/>
      <c r="I180" s="145" t="n"/>
      <c r="J180" s="145" t="n"/>
      <c r="K180" s="145" t="n"/>
      <c r="M180" s="145" t="n"/>
      <c r="N180" s="145" t="n"/>
      <c r="O180" s="145" t="n"/>
      <c r="P180" s="145" t="n"/>
      <c r="Q180" s="145" t="n"/>
      <c r="R180" s="145" t="n"/>
      <c r="S180" s="145" t="n"/>
      <c r="T180" s="145" t="n"/>
      <c r="U180" s="145" t="n"/>
      <c r="V180" s="145" t="n"/>
      <c r="W180" s="145" t="n"/>
      <c r="X180" s="145" t="n"/>
      <c r="Y180" s="145" t="n"/>
      <c r="Z180" s="145" t="n"/>
      <c r="AA180" s="145" t="n"/>
      <c r="AB180" s="145" t="n"/>
      <c r="AC180" s="145" t="n"/>
      <c r="AD180" s="145" t="n"/>
      <c r="AE180" s="145" t="n"/>
      <c r="AF180" s="145" t="n"/>
    </row>
    <row r="181" customFormat="1" s="22">
      <c r="D181" s="121" t="n"/>
      <c r="E181" s="121" t="n"/>
      <c r="F181" s="121" t="n"/>
      <c r="G181" s="121" t="n"/>
      <c r="H181" s="121" t="n"/>
      <c r="I181" s="121" t="n"/>
      <c r="J181" s="121" t="n"/>
      <c r="K181" s="121" t="n"/>
      <c r="M181" s="121" t="n"/>
      <c r="N181" s="121" t="n"/>
      <c r="O181" s="121" t="n"/>
      <c r="P181" s="121" t="n"/>
      <c r="Q181" s="121" t="n"/>
      <c r="R181" s="121" t="n"/>
      <c r="S181" s="121" t="n"/>
      <c r="T181" s="121" t="n"/>
      <c r="U181" s="121" t="n"/>
      <c r="V181" s="121" t="n"/>
      <c r="W181" s="121" t="n"/>
      <c r="X181" s="121" t="n"/>
      <c r="Y181" s="121" t="n"/>
      <c r="Z181" s="121" t="n"/>
      <c r="AA181" s="121" t="n"/>
      <c r="AB181" s="121" t="n"/>
      <c r="AC181" s="121" t="n"/>
      <c r="AD181" s="121" t="n"/>
      <c r="AE181" s="121" t="n"/>
      <c r="AF181" s="121" t="n"/>
    </row>
    <row r="182">
      <c r="D182" s="76" t="n"/>
      <c r="E182" s="76" t="n"/>
      <c r="F182" s="76" t="n"/>
      <c r="G182" s="76" t="n"/>
      <c r="H182" s="76" t="n"/>
      <c r="I182" s="76" t="n"/>
      <c r="J182" s="76" t="n"/>
      <c r="K182" s="76" t="n"/>
      <c r="M182" s="76" t="n"/>
      <c r="N182" s="76" t="n"/>
      <c r="O182" s="76" t="n"/>
      <c r="P182" s="76" t="n"/>
      <c r="Q182" s="76" t="n"/>
      <c r="R182" s="76" t="n"/>
      <c r="S182" s="76" t="n"/>
      <c r="T182" s="76" t="n"/>
      <c r="U182" s="76" t="n"/>
      <c r="V182" s="76" t="n"/>
      <c r="W182" s="76" t="n"/>
      <c r="X182" s="76" t="n"/>
      <c r="Y182" s="76" t="n"/>
      <c r="Z182" s="76" t="n"/>
      <c r="AA182" s="76" t="n"/>
      <c r="AB182" s="76" t="n"/>
      <c r="AC182" s="76" t="n"/>
      <c r="AD182" s="76" t="n"/>
      <c r="AE182" s="76" t="n"/>
      <c r="AF182" s="76" t="n"/>
    </row>
    <row r="183" customFormat="1" s="22">
      <c r="D183" s="121" t="n"/>
      <c r="E183" s="121" t="n"/>
      <c r="F183" s="121" t="n"/>
      <c r="G183" s="121" t="n"/>
      <c r="H183" s="121" t="n"/>
      <c r="I183" s="121" t="n"/>
      <c r="J183" s="121" t="n"/>
      <c r="K183" s="121" t="n"/>
      <c r="M183" s="121" t="n"/>
      <c r="N183" s="121" t="n"/>
      <c r="O183" s="121" t="n"/>
      <c r="P183" s="121" t="n"/>
      <c r="Q183" s="121" t="n"/>
      <c r="R183" s="121" t="n"/>
      <c r="S183" s="121" t="n"/>
      <c r="T183" s="121" t="n"/>
      <c r="U183" s="121" t="n"/>
      <c r="V183" s="121" t="n"/>
      <c r="W183" s="121" t="n"/>
      <c r="X183" s="121" t="n"/>
      <c r="Y183" s="121" t="n"/>
      <c r="Z183" s="121" t="n"/>
      <c r="AA183" s="121" t="n"/>
      <c r="AB183" s="121" t="n"/>
      <c r="AC183" s="121" t="n"/>
      <c r="AD183" s="121" t="n"/>
      <c r="AE183" s="121" t="n"/>
      <c r="AF183" s="121" t="n"/>
    </row>
    <row r="184">
      <c r="D184" s="76" t="n"/>
      <c r="E184" s="76" t="n"/>
      <c r="F184" s="76" t="n"/>
      <c r="G184" s="76" t="n"/>
      <c r="H184" s="76" t="n"/>
      <c r="I184" s="76" t="n"/>
      <c r="J184" s="76" t="n"/>
      <c r="K184" s="76" t="n"/>
      <c r="M184" s="76" t="n"/>
      <c r="N184" s="76" t="n"/>
      <c r="O184" s="76" t="n"/>
      <c r="P184" s="76" t="n"/>
      <c r="Q184" s="76" t="n"/>
      <c r="R184" s="76" t="n"/>
      <c r="S184" s="76" t="n"/>
      <c r="T184" s="76" t="n"/>
      <c r="U184" s="76" t="n"/>
      <c r="V184" s="76" t="n"/>
      <c r="W184" s="76" t="n"/>
      <c r="X184" s="76" t="n"/>
      <c r="Y184" s="76" t="n"/>
      <c r="Z184" s="76" t="n"/>
      <c r="AA184" s="76" t="n"/>
      <c r="AB184" s="76" t="n"/>
      <c r="AC184" s="76" t="n"/>
      <c r="AD184" s="76" t="n"/>
      <c r="AE184" s="76" t="n"/>
      <c r="AF184" s="76" t="n"/>
    </row>
    <row r="185">
      <c r="D185" s="86" t="n"/>
      <c r="E185" s="86" t="n"/>
      <c r="F185" s="86" t="n"/>
      <c r="G185" s="86" t="n"/>
      <c r="H185" s="86" t="n"/>
      <c r="I185" s="86" t="n"/>
      <c r="J185" s="86" t="n"/>
      <c r="K185" s="86" t="n"/>
      <c r="M185" s="86" t="n"/>
      <c r="N185" s="86" t="n"/>
      <c r="O185" s="86" t="n"/>
      <c r="P185" s="86" t="n"/>
      <c r="Q185" s="86" t="n"/>
      <c r="R185" s="86" t="n"/>
      <c r="S185" s="86" t="n"/>
      <c r="T185" s="86" t="n"/>
      <c r="U185" s="86" t="n"/>
      <c r="V185" s="86" t="n"/>
      <c r="W185" s="86" t="n"/>
      <c r="X185" s="86" t="n"/>
      <c r="Y185" s="86" t="n"/>
      <c r="Z185" s="86" t="n"/>
      <c r="AA185" s="86" t="n"/>
      <c r="AB185" s="86" t="n"/>
      <c r="AC185" s="86" t="n"/>
      <c r="AD185" s="86" t="n"/>
      <c r="AE185" s="86" t="n"/>
      <c r="AF185" s="86" t="n"/>
    </row>
    <row r="186">
      <c r="D186" s="76" t="n"/>
      <c r="E186" s="76" t="n"/>
      <c r="F186" s="76" t="n"/>
      <c r="G186" s="76" t="n"/>
      <c r="H186" s="76" t="n"/>
      <c r="I186" s="76" t="n"/>
      <c r="J186" s="76" t="n"/>
      <c r="K186" s="76" t="n"/>
      <c r="M186" s="76" t="n"/>
      <c r="N186" s="76" t="n"/>
      <c r="O186" s="76" t="n"/>
      <c r="P186" s="76" t="n"/>
      <c r="Q186" s="76" t="n"/>
      <c r="R186" s="76" t="n"/>
      <c r="S186" s="76" t="n"/>
      <c r="T186" s="76" t="n"/>
      <c r="U186" s="76" t="n"/>
      <c r="V186" s="76" t="n"/>
      <c r="W186" s="76" t="n"/>
      <c r="X186" s="76" t="n"/>
      <c r="Y186" s="76" t="n"/>
      <c r="Z186" s="76" t="n"/>
      <c r="AA186" s="76" t="n"/>
      <c r="AB186" s="76" t="n"/>
      <c r="AC186" s="76" t="n"/>
      <c r="AD186" s="76" t="n"/>
      <c r="AE186" s="76" t="n"/>
      <c r="AF186" s="76" t="n"/>
    </row>
    <row r="187">
      <c r="A187" s="74" t="n"/>
      <c r="B187" s="74" t="n"/>
      <c r="C187" s="74" t="n"/>
      <c r="D187" s="145" t="n"/>
      <c r="E187" s="145" t="n"/>
      <c r="F187" s="145" t="n"/>
      <c r="G187" s="145" t="n"/>
      <c r="H187" s="145" t="n"/>
      <c r="I187" s="145" t="n"/>
      <c r="J187" s="145" t="n"/>
      <c r="K187" s="145" t="n"/>
      <c r="M187" s="145" t="n"/>
      <c r="N187" s="145" t="n"/>
      <c r="O187" s="145" t="n"/>
      <c r="P187" s="145" t="n"/>
      <c r="Q187" s="145" t="n"/>
      <c r="R187" s="145" t="n"/>
      <c r="S187" s="145" t="n"/>
      <c r="T187" s="145" t="n"/>
      <c r="U187" s="145" t="n"/>
      <c r="V187" s="145" t="n"/>
      <c r="W187" s="145" t="n"/>
      <c r="X187" s="145" t="n"/>
      <c r="Y187" s="145" t="n"/>
      <c r="Z187" s="145" t="n"/>
      <c r="AA187" s="145" t="n"/>
      <c r="AB187" s="145" t="n"/>
      <c r="AC187" s="145" t="n"/>
      <c r="AD187" s="145" t="n"/>
      <c r="AE187" s="145" t="n"/>
      <c r="AF187" s="145" t="n"/>
    </row>
    <row r="188">
      <c r="A188" s="74" t="n"/>
      <c r="B188" s="74" t="n"/>
      <c r="C188" s="74" t="n"/>
      <c r="D188" s="145" t="n"/>
      <c r="E188" s="145" t="n"/>
      <c r="F188" s="145" t="n"/>
      <c r="G188" s="145" t="n"/>
      <c r="H188" s="145" t="n"/>
      <c r="I188" s="134" t="n"/>
      <c r="J188" s="145" t="n"/>
      <c r="K188" s="134" t="n"/>
      <c r="M188" s="134" t="n"/>
      <c r="N188" s="134" t="n"/>
      <c r="O188" s="134" t="n"/>
      <c r="P188" s="134" t="n"/>
      <c r="Q188" s="134" t="n"/>
      <c r="R188" s="134" t="n"/>
      <c r="S188" s="134" t="n"/>
      <c r="T188" s="134" t="n"/>
      <c r="U188" s="134" t="n"/>
      <c r="V188" s="134" t="n"/>
      <c r="W188" s="134" t="n"/>
      <c r="X188" s="134" t="n"/>
      <c r="Y188" s="134" t="n"/>
      <c r="Z188" s="134" t="n"/>
      <c r="AA188" s="134" t="n"/>
      <c r="AB188" s="134" t="n"/>
      <c r="AC188" s="134" t="n"/>
      <c r="AD188" s="134" t="n"/>
      <c r="AE188" s="134" t="n"/>
      <c r="AF188" s="134" t="n"/>
    </row>
    <row r="189">
      <c r="A189" s="74" t="n"/>
      <c r="B189" s="74" t="n"/>
      <c r="C189" s="74" t="n"/>
      <c r="D189" s="145" t="n"/>
      <c r="E189" s="145" t="n"/>
      <c r="F189" s="143" t="n"/>
      <c r="G189" s="145" t="n"/>
      <c r="H189" s="145" t="n"/>
      <c r="I189" s="145" t="n"/>
      <c r="J189" s="145" t="n"/>
      <c r="K189" s="145" t="n"/>
      <c r="M189" s="145" t="n"/>
      <c r="N189" s="145" t="n"/>
      <c r="O189" s="145" t="n"/>
      <c r="P189" s="145" t="n"/>
      <c r="Q189" s="145" t="n"/>
      <c r="R189" s="145" t="n"/>
      <c r="S189" s="145" t="n"/>
      <c r="T189" s="145" t="n"/>
      <c r="U189" s="145" t="n"/>
      <c r="V189" s="145" t="n"/>
      <c r="W189" s="145" t="n"/>
      <c r="X189" s="145" t="n"/>
      <c r="Y189" s="145" t="n"/>
      <c r="Z189" s="145" t="n"/>
      <c r="AA189" s="145" t="n"/>
      <c r="AB189" s="145" t="n"/>
      <c r="AC189" s="145" t="n"/>
      <c r="AD189" s="145" t="n"/>
      <c r="AE189" s="145" t="n"/>
      <c r="AF189" s="145" t="n"/>
    </row>
    <row r="190">
      <c r="A190" s="105" t="n"/>
      <c r="B190" s="105" t="n"/>
      <c r="C190" s="105" t="n"/>
      <c r="D190" s="86" t="n"/>
      <c r="E190" s="86" t="n"/>
      <c r="F190" s="86" t="n"/>
      <c r="G190" s="86" t="n"/>
      <c r="H190" s="86" t="n"/>
      <c r="I190" s="86" t="n"/>
      <c r="J190" s="86" t="n"/>
      <c r="K190" s="86" t="n"/>
      <c r="M190" s="86" t="n"/>
      <c r="N190" s="86" t="n"/>
      <c r="O190" s="86" t="n"/>
      <c r="P190" s="86" t="n"/>
      <c r="Q190" s="86" t="n"/>
      <c r="R190" s="86" t="n"/>
      <c r="S190" s="86" t="n"/>
      <c r="T190" s="86" t="n"/>
      <c r="U190" s="86" t="n"/>
      <c r="V190" s="86" t="n"/>
      <c r="W190" s="86" t="n"/>
      <c r="X190" s="86" t="n"/>
      <c r="Y190" s="86" t="n"/>
      <c r="Z190" s="86" t="n"/>
      <c r="AA190" s="86" t="n"/>
      <c r="AB190" s="86" t="n"/>
      <c r="AC190" s="86" t="n"/>
      <c r="AD190" s="86" t="n"/>
      <c r="AE190" s="86" t="n"/>
      <c r="AF190" s="86" t="n"/>
    </row>
    <row r="191">
      <c r="D191" s="145" t="n"/>
      <c r="E191" s="145" t="n"/>
      <c r="F191" s="145" t="n"/>
      <c r="G191" s="145" t="n"/>
      <c r="H191" s="145" t="n"/>
      <c r="I191" s="134" t="n"/>
      <c r="J191" s="145" t="n"/>
      <c r="K191" s="134" t="n"/>
      <c r="M191" s="134" t="n"/>
      <c r="N191" s="134" t="n"/>
      <c r="O191" s="134" t="n"/>
      <c r="P191" s="134" t="n"/>
      <c r="Q191" s="134" t="n"/>
      <c r="R191" s="134" t="n"/>
      <c r="S191" s="134" t="n"/>
      <c r="T191" s="134" t="n"/>
      <c r="U191" s="134" t="n"/>
      <c r="V191" s="134" t="n"/>
      <c r="W191" s="134" t="n"/>
      <c r="X191" s="134" t="n"/>
      <c r="Y191" s="134" t="n"/>
      <c r="Z191" s="134" t="n"/>
      <c r="AA191" s="134" t="n"/>
      <c r="AB191" s="134" t="n"/>
      <c r="AC191" s="134" t="n"/>
      <c r="AD191" s="134" t="n"/>
      <c r="AE191" s="134" t="n"/>
      <c r="AF191" s="134" t="n"/>
    </row>
    <row r="192" customFormat="1" s="22">
      <c r="D192" s="121" t="n"/>
      <c r="E192" s="121" t="n"/>
      <c r="F192" s="121" t="n"/>
      <c r="G192" s="121" t="n"/>
      <c r="H192" s="121" t="n"/>
      <c r="I192" s="121" t="n"/>
      <c r="J192" s="121" t="n"/>
      <c r="K192" s="121" t="n"/>
      <c r="M192" s="121" t="n"/>
      <c r="N192" s="121" t="n"/>
      <c r="O192" s="121" t="n"/>
      <c r="P192" s="121" t="n"/>
      <c r="Q192" s="121" t="n"/>
      <c r="R192" s="121" t="n"/>
      <c r="S192" s="121" t="n"/>
      <c r="T192" s="121" t="n"/>
      <c r="U192" s="121" t="n"/>
      <c r="V192" s="121" t="n"/>
      <c r="W192" s="121" t="n"/>
      <c r="X192" s="121" t="n"/>
      <c r="Y192" s="121" t="n"/>
      <c r="Z192" s="121" t="n"/>
      <c r="AA192" s="121" t="n"/>
      <c r="AB192" s="121" t="n"/>
      <c r="AC192" s="121" t="n"/>
      <c r="AD192" s="121" t="n"/>
      <c r="AE192" s="121" t="n"/>
      <c r="AF192" s="121" t="n"/>
    </row>
    <row r="193" customFormat="1" s="22">
      <c r="D193" s="121" t="n"/>
      <c r="E193" s="121" t="n"/>
      <c r="F193" s="121" t="n"/>
      <c r="G193" s="121" t="n"/>
      <c r="H193" s="121" t="n"/>
      <c r="I193" s="121" t="n"/>
      <c r="J193" s="121" t="n"/>
      <c r="K193" s="121" t="n"/>
      <c r="M193" s="121" t="n"/>
      <c r="N193" s="121" t="n"/>
      <c r="O193" s="121" t="n"/>
      <c r="P193" s="121" t="n"/>
      <c r="Q193" s="121" t="n"/>
      <c r="R193" s="121" t="n"/>
      <c r="S193" s="121" t="n"/>
      <c r="T193" s="121" t="n"/>
      <c r="U193" s="121" t="n"/>
      <c r="V193" s="121" t="n"/>
      <c r="W193" s="121" t="n"/>
      <c r="X193" s="121" t="n"/>
      <c r="Y193" s="121" t="n"/>
      <c r="Z193" s="121" t="n"/>
      <c r="AA193" s="121" t="n"/>
      <c r="AB193" s="121" t="n"/>
      <c r="AC193" s="121" t="n"/>
      <c r="AD193" s="121" t="n"/>
      <c r="AE193" s="121" t="n"/>
      <c r="AF193" s="121" t="n"/>
    </row>
    <row r="194">
      <c r="A194" s="136" t="n"/>
      <c r="B194" s="136" t="n"/>
      <c r="C194" s="136" t="n"/>
      <c r="D194" s="120" t="n"/>
      <c r="E194" s="120" t="n"/>
      <c r="F194" s="120" t="n"/>
      <c r="G194" s="120" t="n"/>
      <c r="H194" s="120" t="n"/>
      <c r="I194" s="120" t="n"/>
      <c r="J194" s="120" t="n"/>
      <c r="K194" s="120" t="n"/>
      <c r="M194" s="120" t="n"/>
      <c r="N194" s="120" t="n"/>
      <c r="O194" s="120" t="n"/>
      <c r="P194" s="120" t="n"/>
      <c r="Q194" s="120" t="n"/>
      <c r="R194" s="120" t="n"/>
      <c r="S194" s="120" t="n"/>
      <c r="T194" s="120" t="n"/>
      <c r="U194" s="120" t="n"/>
      <c r="V194" s="120" t="n"/>
      <c r="W194" s="120" t="n"/>
      <c r="X194" s="120" t="n"/>
      <c r="Y194" s="120" t="n"/>
      <c r="Z194" s="120" t="n"/>
      <c r="AA194" s="120" t="n"/>
      <c r="AB194" s="120" t="n"/>
      <c r="AC194" s="120" t="n"/>
      <c r="AD194" s="120" t="n"/>
      <c r="AE194" s="120" t="n"/>
      <c r="AF194" s="120" t="n"/>
    </row>
    <row r="195">
      <c r="D195" s="108" t="n"/>
      <c r="E195" s="108" t="n"/>
      <c r="F195" s="108" t="n"/>
      <c r="G195" s="108" t="n"/>
      <c r="H195" s="108" t="n"/>
      <c r="I195" s="108" t="n"/>
      <c r="J195" s="108" t="n"/>
      <c r="K195" s="108" t="n"/>
      <c r="M195" s="108" t="n"/>
      <c r="N195" s="108" t="n"/>
      <c r="O195" s="108" t="n"/>
      <c r="P195" s="108" t="n"/>
      <c r="Q195" s="108" t="n"/>
      <c r="R195" s="108" t="n"/>
      <c r="S195" s="108" t="n"/>
      <c r="T195" s="108" t="n"/>
      <c r="U195" s="108" t="n"/>
      <c r="V195" s="108" t="n"/>
      <c r="W195" s="108" t="n"/>
      <c r="X195" s="108" t="n"/>
      <c r="Y195" s="108" t="n"/>
      <c r="Z195" s="108" t="n"/>
      <c r="AA195" s="108" t="n"/>
      <c r="AB195" s="108" t="n"/>
      <c r="AC195" s="108" t="n"/>
      <c r="AD195" s="108" t="n"/>
      <c r="AE195" s="108" t="n"/>
      <c r="AF195" s="108" t="n"/>
    </row>
    <row r="196">
      <c r="D196" s="108" t="n"/>
      <c r="E196" s="108" t="n"/>
      <c r="F196" s="108" t="n"/>
      <c r="G196" s="108" t="n"/>
      <c r="H196" s="108" t="n"/>
      <c r="I196" s="108" t="n"/>
      <c r="J196" s="108" t="n"/>
      <c r="K196" s="108" t="n"/>
      <c r="M196" s="108" t="n"/>
      <c r="N196" s="108" t="n"/>
      <c r="O196" s="108" t="n"/>
      <c r="P196" s="108" t="n"/>
      <c r="Q196" s="108" t="n"/>
      <c r="R196" s="108" t="n"/>
      <c r="S196" s="108" t="n"/>
      <c r="T196" s="108" t="n"/>
      <c r="U196" s="108" t="n"/>
      <c r="V196" s="108" t="n"/>
      <c r="W196" s="108" t="n"/>
      <c r="X196" s="108" t="n"/>
      <c r="Y196" s="108" t="n"/>
      <c r="Z196" s="108" t="n"/>
      <c r="AA196" s="108" t="n"/>
      <c r="AB196" s="108" t="n"/>
      <c r="AC196" s="108" t="n"/>
      <c r="AD196" s="108" t="n"/>
      <c r="AE196" s="108" t="n"/>
      <c r="AF196" s="108" t="n"/>
    </row>
    <row r="197">
      <c r="A197" s="169" t="n"/>
      <c r="B197" s="169" t="n"/>
      <c r="C197" s="169" t="n"/>
      <c r="D197" s="108" t="n"/>
      <c r="E197" s="108" t="n"/>
      <c r="F197" s="108" t="n"/>
      <c r="G197" s="108" t="n"/>
      <c r="H197" s="108" t="n"/>
      <c r="I197" s="108" t="n"/>
      <c r="J197" s="108" t="n"/>
      <c r="K197" s="108" t="n"/>
      <c r="M197" s="108" t="n"/>
      <c r="N197" s="108" t="n"/>
      <c r="O197" s="108" t="n"/>
      <c r="P197" s="108" t="n"/>
      <c r="Q197" s="108" t="n"/>
      <c r="R197" s="108" t="n"/>
      <c r="S197" s="108" t="n"/>
      <c r="T197" s="108" t="n"/>
      <c r="U197" s="108" t="n"/>
      <c r="V197" s="108" t="n"/>
      <c r="W197" s="108" t="n"/>
      <c r="X197" s="108" t="n"/>
      <c r="Y197" s="108" t="n"/>
      <c r="Z197" s="108" t="n"/>
      <c r="AA197" s="108" t="n"/>
      <c r="AB197" s="108" t="n"/>
      <c r="AC197" s="108" t="n"/>
      <c r="AD197" s="108" t="n"/>
      <c r="AE197" s="108" t="n"/>
      <c r="AF197" s="108" t="n"/>
    </row>
    <row r="198">
      <c r="D198" s="108" t="n"/>
      <c r="E198" s="108" t="n"/>
      <c r="F198" s="108" t="n"/>
      <c r="G198" s="108" t="n"/>
      <c r="H198" s="108" t="n"/>
      <c r="I198" s="108" t="n"/>
      <c r="J198" s="108" t="n"/>
      <c r="K198" s="108" t="n"/>
      <c r="M198" s="108" t="n"/>
      <c r="N198" s="108" t="n"/>
      <c r="O198" s="108" t="n"/>
      <c r="P198" s="108" t="n"/>
      <c r="Q198" s="108" t="n"/>
      <c r="R198" s="108" t="n"/>
      <c r="S198" s="108" t="n"/>
      <c r="T198" s="108" t="n"/>
      <c r="U198" s="108" t="n"/>
      <c r="V198" s="108" t="n"/>
      <c r="W198" s="108" t="n"/>
      <c r="X198" s="108" t="n"/>
      <c r="Y198" s="108" t="n"/>
      <c r="Z198" s="108" t="n"/>
      <c r="AA198" s="108" t="n"/>
      <c r="AB198" s="108" t="n"/>
      <c r="AC198" s="108" t="n"/>
      <c r="AD198" s="108" t="n"/>
      <c r="AE198" s="108" t="n"/>
      <c r="AF198" s="108" t="n"/>
    </row>
    <row r="199">
      <c r="A199" s="22" t="n"/>
      <c r="B199" s="22" t="n"/>
      <c r="C199" s="22" t="n"/>
      <c r="D199" s="108" t="n"/>
      <c r="E199" s="108" t="n"/>
      <c r="F199" s="108" t="n"/>
      <c r="G199" s="108" t="n"/>
      <c r="H199" s="108" t="n"/>
      <c r="I199" s="108" t="n"/>
      <c r="J199" s="108" t="n"/>
      <c r="K199" s="108" t="n"/>
      <c r="M199" s="108" t="n"/>
      <c r="N199" s="108" t="n"/>
      <c r="O199" s="108" t="n"/>
      <c r="P199" s="108" t="n"/>
      <c r="Q199" s="108" t="n"/>
      <c r="R199" s="108" t="n"/>
      <c r="S199" s="108" t="n"/>
      <c r="T199" s="108" t="n"/>
      <c r="U199" s="108" t="n"/>
      <c r="V199" s="108" t="n"/>
      <c r="W199" s="108" t="n"/>
      <c r="X199" s="108" t="n"/>
      <c r="Y199" s="108" t="n"/>
      <c r="Z199" s="108" t="n"/>
      <c r="AA199" s="108" t="n"/>
      <c r="AB199" s="108" t="n"/>
      <c r="AC199" s="108" t="n"/>
      <c r="AD199" s="108" t="n"/>
      <c r="AE199" s="108" t="n"/>
      <c r="AF199" s="108" t="n"/>
    </row>
    <row r="200">
      <c r="A200" s="105" t="n"/>
      <c r="B200" s="105" t="n"/>
      <c r="C200" s="105" t="n"/>
      <c r="D200" s="143" t="n"/>
      <c r="E200" s="143" t="n"/>
      <c r="F200" s="143" t="n"/>
      <c r="G200" s="143" t="n"/>
      <c r="H200" s="143" t="n"/>
      <c r="I200" s="143" t="n"/>
      <c r="J200" s="143" t="n"/>
      <c r="K200" s="143" t="n"/>
      <c r="M200" s="143" t="n"/>
      <c r="N200" s="143" t="n"/>
      <c r="O200" s="143" t="n"/>
      <c r="P200" s="143" t="n"/>
      <c r="Q200" s="143" t="n"/>
      <c r="R200" s="143" t="n"/>
      <c r="S200" s="143" t="n"/>
      <c r="T200" s="143" t="n"/>
      <c r="U200" s="143" t="n"/>
      <c r="V200" s="143" t="n"/>
      <c r="W200" s="143" t="n"/>
      <c r="X200" s="143" t="n"/>
      <c r="Y200" s="143" t="n"/>
      <c r="Z200" s="143" t="n"/>
      <c r="AA200" s="143" t="n"/>
      <c r="AB200" s="143" t="n"/>
      <c r="AC200" s="143" t="n"/>
      <c r="AD200" s="143" t="n"/>
      <c r="AE200" s="143" t="n"/>
      <c r="AF200" s="143" t="n"/>
    </row>
    <row r="201">
      <c r="D201" s="145" t="n"/>
      <c r="E201" s="145" t="n"/>
      <c r="F201" s="145" t="n"/>
      <c r="G201" s="145" t="n"/>
      <c r="H201" s="108" t="n"/>
      <c r="I201" s="145" t="n"/>
      <c r="J201" s="108" t="n"/>
      <c r="K201" s="145" t="n"/>
      <c r="M201" s="145" t="n"/>
      <c r="N201" s="145" t="n"/>
      <c r="O201" s="145" t="n"/>
      <c r="P201" s="145" t="n"/>
      <c r="Q201" s="145" t="n"/>
      <c r="R201" s="145" t="n"/>
      <c r="S201" s="145" t="n"/>
      <c r="T201" s="145" t="n"/>
      <c r="U201" s="145" t="n"/>
      <c r="V201" s="145" t="n"/>
      <c r="W201" s="145" t="n"/>
      <c r="X201" s="145" t="n"/>
      <c r="Y201" s="145" t="n"/>
      <c r="Z201" s="145" t="n"/>
      <c r="AA201" s="145" t="n"/>
      <c r="AB201" s="145" t="n"/>
      <c r="AC201" s="145" t="n"/>
      <c r="AD201" s="145" t="n"/>
      <c r="AE201" s="145" t="n"/>
      <c r="AF201" s="145" t="n"/>
    </row>
    <row r="202">
      <c r="D202" s="145" t="n"/>
      <c r="E202" s="145" t="n"/>
      <c r="F202" s="145" t="n"/>
      <c r="G202" s="145" t="n"/>
      <c r="H202" s="108" t="n"/>
      <c r="I202" s="145" t="n"/>
      <c r="J202" s="108" t="n"/>
      <c r="K202" s="145" t="n"/>
      <c r="M202" s="145" t="n"/>
      <c r="N202" s="145" t="n"/>
      <c r="O202" s="145" t="n"/>
      <c r="P202" s="145" t="n"/>
      <c r="Q202" s="145" t="n"/>
      <c r="R202" s="145" t="n"/>
      <c r="S202" s="145" t="n"/>
      <c r="T202" s="145" t="n"/>
      <c r="U202" s="145" t="n"/>
      <c r="V202" s="145" t="n"/>
      <c r="W202" s="145" t="n"/>
      <c r="X202" s="145" t="n"/>
      <c r="Y202" s="145" t="n"/>
      <c r="Z202" s="145" t="n"/>
      <c r="AA202" s="145" t="n"/>
      <c r="AB202" s="145" t="n"/>
      <c r="AC202" s="145" t="n"/>
      <c r="AD202" s="145" t="n"/>
      <c r="AE202" s="145" t="n"/>
      <c r="AF202" s="145" t="n"/>
    </row>
    <row r="203">
      <c r="A203" s="74" t="n"/>
      <c r="B203" s="74" t="n"/>
      <c r="C203" s="74" t="n"/>
      <c r="D203" s="143" t="n"/>
      <c r="E203" s="145" t="n"/>
      <c r="F203" s="143" t="n"/>
      <c r="G203" s="145" t="n"/>
      <c r="H203" s="76" t="n"/>
      <c r="I203" s="145" t="n"/>
      <c r="J203" s="76" t="n"/>
      <c r="K203" s="143" t="n"/>
      <c r="M203" s="145" t="n"/>
      <c r="N203" s="143" t="n"/>
      <c r="O203" s="145" t="n"/>
      <c r="P203" s="143" t="n"/>
      <c r="Q203" s="145" t="n"/>
      <c r="R203" s="143" t="n"/>
      <c r="S203" s="145" t="n"/>
      <c r="T203" s="143" t="n"/>
      <c r="U203" s="143" t="n"/>
      <c r="V203" s="143" t="n"/>
      <c r="W203" s="143" t="n"/>
      <c r="X203" s="145" t="n"/>
      <c r="Y203" s="143" t="n"/>
      <c r="Z203" s="145" t="n"/>
      <c r="AA203" s="143" t="n"/>
      <c r="AB203" s="145" t="n"/>
      <c r="AC203" s="143" t="n"/>
      <c r="AD203" s="145" t="n"/>
      <c r="AE203" s="143" t="n"/>
      <c r="AF203" s="145" t="n"/>
    </row>
    <row r="204">
      <c r="A204" s="74" t="n"/>
      <c r="B204" s="74" t="n"/>
      <c r="C204" s="74" t="n"/>
      <c r="D204" s="143" t="n"/>
      <c r="E204" s="145" t="n"/>
      <c r="F204" s="143" t="n"/>
      <c r="G204" s="145" t="n"/>
      <c r="H204" s="76" t="n"/>
      <c r="I204" s="145" t="n"/>
      <c r="J204" s="76" t="n"/>
      <c r="K204" s="143" t="n"/>
      <c r="M204" s="145" t="n"/>
      <c r="N204" s="143" t="n"/>
      <c r="O204" s="145" t="n"/>
      <c r="P204" s="143" t="n"/>
      <c r="Q204" s="145" t="n"/>
      <c r="R204" s="143" t="n"/>
      <c r="S204" s="145" t="n"/>
      <c r="T204" s="143" t="n"/>
      <c r="U204" s="143" t="n"/>
      <c r="V204" s="143" t="n"/>
      <c r="W204" s="143" t="n"/>
      <c r="X204" s="145" t="n"/>
      <c r="Y204" s="143" t="n"/>
      <c r="Z204" s="145" t="n"/>
      <c r="AA204" s="143" t="n"/>
      <c r="AB204" s="145" t="n"/>
      <c r="AC204" s="143" t="n"/>
      <c r="AD204" s="145" t="n"/>
      <c r="AE204" s="143" t="n"/>
      <c r="AF204" s="145" t="n"/>
    </row>
    <row r="205">
      <c r="A205" s="105" t="n"/>
      <c r="B205" s="105" t="n"/>
      <c r="C205" s="105" t="n"/>
      <c r="D205" s="143" t="n"/>
      <c r="E205" s="143" t="n"/>
      <c r="F205" s="143" t="n"/>
      <c r="G205" s="143" t="n"/>
      <c r="H205" s="76" t="n"/>
      <c r="I205" s="143" t="n"/>
      <c r="J205" s="76" t="n"/>
      <c r="K205" s="143" t="n"/>
      <c r="M205" s="145" t="n"/>
      <c r="N205" s="143" t="n"/>
      <c r="O205" s="145" t="n"/>
      <c r="P205" s="143" t="n"/>
      <c r="Q205" s="145" t="n"/>
      <c r="R205" s="143" t="n"/>
      <c r="S205" s="145" t="n"/>
      <c r="T205" s="143" t="n"/>
      <c r="U205" s="143" t="n"/>
      <c r="V205" s="143" t="n"/>
      <c r="W205" s="143" t="n"/>
      <c r="X205" s="145" t="n"/>
      <c r="Y205" s="143" t="n"/>
      <c r="Z205" s="145" t="n"/>
      <c r="AA205" s="143" t="n"/>
      <c r="AB205" s="145" t="n"/>
      <c r="AC205" s="143" t="n"/>
      <c r="AD205" s="145" t="n"/>
      <c r="AE205" s="143" t="n"/>
      <c r="AF205" s="145" t="n"/>
    </row>
    <row r="206">
      <c r="D206" s="143" t="n"/>
      <c r="E206" s="145" t="n"/>
      <c r="F206" s="143" t="n"/>
      <c r="G206" s="145" t="n"/>
      <c r="H206" s="76" t="n"/>
      <c r="I206" s="145" t="n"/>
      <c r="J206" s="76" t="n"/>
      <c r="K206" s="143" t="n"/>
      <c r="M206" s="145" t="n"/>
      <c r="N206" s="143" t="n"/>
      <c r="O206" s="145" t="n"/>
      <c r="P206" s="143" t="n"/>
      <c r="Q206" s="145" t="n"/>
      <c r="R206" s="143" t="n"/>
      <c r="S206" s="145" t="n"/>
      <c r="T206" s="143" t="n"/>
      <c r="U206" s="143" t="n"/>
      <c r="V206" s="143" t="n"/>
      <c r="W206" s="143" t="n"/>
      <c r="X206" s="145" t="n"/>
      <c r="Y206" s="143" t="n"/>
      <c r="Z206" s="145" t="n"/>
      <c r="AA206" s="143" t="n"/>
      <c r="AB206" s="145" t="n"/>
      <c r="AC206" s="143" t="n"/>
      <c r="AD206" s="145" t="n"/>
      <c r="AE206" s="143" t="n"/>
      <c r="AF206" s="145" t="n"/>
    </row>
    <row r="207">
      <c r="D207" s="143" t="n"/>
      <c r="E207" s="145" t="n"/>
      <c r="F207" s="143" t="n"/>
      <c r="G207" s="145" t="n"/>
      <c r="H207" s="76" t="n"/>
      <c r="I207" s="145" t="n"/>
      <c r="J207" s="76" t="n"/>
      <c r="K207" s="143" t="n"/>
      <c r="M207" s="145" t="n"/>
      <c r="N207" s="143" t="n"/>
      <c r="O207" s="145" t="n"/>
      <c r="P207" s="143" t="n"/>
      <c r="Q207" s="145" t="n"/>
      <c r="R207" s="143" t="n"/>
      <c r="S207" s="145" t="n"/>
      <c r="T207" s="143" t="n"/>
      <c r="U207" s="143" t="n"/>
      <c r="V207" s="143" t="n"/>
      <c r="W207" s="143" t="n"/>
      <c r="X207" s="145" t="n"/>
      <c r="Y207" s="143" t="n"/>
      <c r="Z207" s="145" t="n"/>
      <c r="AA207" s="143" t="n"/>
      <c r="AB207" s="145" t="n"/>
      <c r="AC207" s="143" t="n"/>
      <c r="AD207" s="145" t="n"/>
      <c r="AE207" s="143" t="n"/>
      <c r="AF207" s="145" t="n"/>
    </row>
    <row r="208">
      <c r="D208" s="143" t="n"/>
      <c r="E208" s="145" t="n"/>
      <c r="F208" s="143" t="n"/>
      <c r="G208" s="145" t="n"/>
      <c r="H208" s="76" t="n"/>
      <c r="I208" s="145" t="n"/>
      <c r="J208" s="76" t="n"/>
      <c r="K208" s="143" t="n"/>
      <c r="M208" s="145" t="n"/>
      <c r="N208" s="143" t="n"/>
      <c r="O208" s="145" t="n"/>
      <c r="P208" s="143" t="n"/>
      <c r="Q208" s="145" t="n"/>
      <c r="R208" s="143" t="n"/>
      <c r="S208" s="145" t="n"/>
      <c r="T208" s="143" t="n"/>
      <c r="U208" s="143" t="n"/>
      <c r="V208" s="143" t="n"/>
      <c r="W208" s="143" t="n"/>
      <c r="X208" s="145" t="n"/>
      <c r="Y208" s="143" t="n"/>
      <c r="Z208" s="145" t="n"/>
      <c r="AA208" s="143" t="n"/>
      <c r="AB208" s="145" t="n"/>
      <c r="AC208" s="143" t="n"/>
      <c r="AD208" s="145" t="n"/>
      <c r="AE208" s="143" t="n"/>
      <c r="AF208" s="145" t="n"/>
    </row>
    <row r="209">
      <c r="D209" s="143" t="n"/>
      <c r="E209" s="145" t="n"/>
      <c r="F209" s="143" t="n"/>
      <c r="G209" s="145" t="n"/>
      <c r="H209" s="76" t="n"/>
      <c r="I209" s="145" t="n"/>
      <c r="J209" s="76" t="n"/>
      <c r="K209" s="143" t="n"/>
      <c r="M209" s="145" t="n"/>
      <c r="N209" s="143" t="n"/>
      <c r="O209" s="145" t="n"/>
      <c r="P209" s="143" t="n"/>
      <c r="Q209" s="145" t="n"/>
      <c r="R209" s="143" t="n"/>
      <c r="S209" s="145" t="n"/>
      <c r="T209" s="143" t="n"/>
      <c r="U209" s="143" t="n"/>
      <c r="V209" s="143" t="n"/>
      <c r="W209" s="143" t="n"/>
      <c r="X209" s="145" t="n"/>
      <c r="Y209" s="143" t="n"/>
      <c r="Z209" s="145" t="n"/>
      <c r="AA209" s="143" t="n"/>
      <c r="AB209" s="145" t="n"/>
      <c r="AC209" s="143" t="n"/>
      <c r="AD209" s="145" t="n"/>
      <c r="AE209" s="143" t="n"/>
      <c r="AF209" s="145" t="n"/>
    </row>
    <row r="210">
      <c r="D210" s="143" t="n"/>
      <c r="E210" s="143" t="n"/>
      <c r="F210" s="143" t="n"/>
      <c r="G210" s="143" t="n"/>
      <c r="H210" s="76" t="n"/>
      <c r="I210" s="145" t="n"/>
      <c r="J210" s="76" t="n"/>
      <c r="K210" s="143" t="n"/>
      <c r="M210" s="145" t="n"/>
      <c r="N210" s="143" t="n"/>
      <c r="O210" s="145" t="n"/>
      <c r="P210" s="143" t="n"/>
      <c r="Q210" s="145" t="n"/>
      <c r="R210" s="143" t="n"/>
      <c r="S210" s="145" t="n"/>
      <c r="T210" s="143" t="n"/>
      <c r="U210" s="143" t="n"/>
      <c r="V210" s="143" t="n"/>
      <c r="W210" s="143" t="n"/>
      <c r="X210" s="145" t="n"/>
      <c r="Y210" s="143" t="n"/>
      <c r="Z210" s="145" t="n"/>
      <c r="AA210" s="143" t="n"/>
      <c r="AB210" s="145" t="n"/>
      <c r="AC210" s="143" t="n"/>
      <c r="AD210" s="145" t="n"/>
      <c r="AE210" s="143" t="n"/>
      <c r="AF210" s="145" t="n"/>
    </row>
    <row r="211">
      <c r="D211" s="143" t="n"/>
      <c r="E211" s="143" t="n"/>
      <c r="F211" s="143" t="n"/>
      <c r="G211" s="143" t="n"/>
      <c r="H211" s="76" t="n"/>
      <c r="I211" s="143" t="n"/>
      <c r="J211" s="76" t="n"/>
      <c r="K211" s="143" t="n"/>
      <c r="M211" s="145" t="n"/>
      <c r="N211" s="143" t="n"/>
      <c r="O211" s="145" t="n"/>
      <c r="P211" s="143" t="n"/>
      <c r="Q211" s="145" t="n"/>
      <c r="R211" s="143" t="n"/>
      <c r="S211" s="145" t="n"/>
      <c r="T211" s="143" t="n"/>
      <c r="U211" s="143" t="n"/>
      <c r="V211" s="143" t="n"/>
      <c r="W211" s="143" t="n"/>
      <c r="X211" s="145" t="n"/>
      <c r="Y211" s="143" t="n"/>
      <c r="Z211" s="145" t="n"/>
      <c r="AA211" s="143" t="n"/>
      <c r="AB211" s="145" t="n"/>
      <c r="AC211" s="143" t="n"/>
      <c r="AD211" s="145" t="n"/>
      <c r="AE211" s="143" t="n"/>
      <c r="AF211" s="145" t="n"/>
    </row>
    <row r="212">
      <c r="D212" s="143" t="n"/>
      <c r="E212" s="143" t="n"/>
      <c r="F212" s="143" t="n"/>
      <c r="G212" s="143" t="n"/>
      <c r="H212" s="76" t="n"/>
      <c r="I212" s="143" t="n"/>
      <c r="J212" s="76" t="n"/>
      <c r="K212" s="143" t="n"/>
      <c r="M212" s="145" t="n"/>
      <c r="N212" s="143" t="n"/>
      <c r="O212" s="145" t="n"/>
      <c r="P212" s="143" t="n"/>
      <c r="Q212" s="145" t="n"/>
      <c r="R212" s="143" t="n"/>
      <c r="S212" s="145" t="n"/>
      <c r="T212" s="143" t="n"/>
      <c r="U212" s="143" t="n"/>
      <c r="V212" s="143" t="n"/>
      <c r="W212" s="143" t="n"/>
      <c r="X212" s="145" t="n"/>
      <c r="Y212" s="143" t="n"/>
      <c r="Z212" s="145" t="n"/>
      <c r="AA212" s="143" t="n"/>
      <c r="AB212" s="145" t="n"/>
      <c r="AC212" s="143" t="n"/>
      <c r="AD212" s="145" t="n"/>
      <c r="AE212" s="143" t="n"/>
      <c r="AF212" s="145" t="n"/>
    </row>
    <row r="213">
      <c r="D213" s="143" t="n"/>
      <c r="E213" s="145" t="n"/>
      <c r="F213" s="143" t="n"/>
      <c r="G213" s="145" t="n"/>
      <c r="H213" s="76" t="n"/>
      <c r="I213" s="145" t="n"/>
      <c r="J213" s="76" t="n"/>
      <c r="K213" s="143" t="n"/>
      <c r="M213" s="145" t="n"/>
      <c r="N213" s="143" t="n"/>
      <c r="O213" s="145" t="n"/>
      <c r="P213" s="143" t="n"/>
      <c r="Q213" s="145" t="n"/>
      <c r="R213" s="143" t="n"/>
      <c r="S213" s="145" t="n"/>
      <c r="T213" s="143" t="n"/>
      <c r="U213" s="143" t="n"/>
      <c r="V213" s="143" t="n"/>
      <c r="W213" s="143" t="n"/>
      <c r="X213" s="145" t="n"/>
      <c r="Y213" s="143" t="n"/>
      <c r="Z213" s="145" t="n"/>
      <c r="AA213" s="143" t="n"/>
      <c r="AB213" s="145" t="n"/>
      <c r="AC213" s="143" t="n"/>
      <c r="AD213" s="145" t="n"/>
      <c r="AE213" s="143" t="n"/>
      <c r="AF213" s="145" t="n"/>
    </row>
    <row r="214">
      <c r="D214" s="143" t="n"/>
      <c r="E214" s="145" t="n"/>
      <c r="F214" s="143" t="n"/>
      <c r="G214" s="145" t="n"/>
      <c r="H214" s="76" t="n"/>
      <c r="I214" s="143" t="n"/>
      <c r="J214" s="76" t="n"/>
      <c r="K214" s="143" t="n"/>
      <c r="M214" s="143" t="n"/>
      <c r="N214" s="143" t="n"/>
      <c r="O214" s="143" t="n"/>
      <c r="P214" s="143" t="n"/>
      <c r="Q214" s="143" t="n"/>
      <c r="R214" s="143" t="n"/>
      <c r="S214" s="143" t="n"/>
      <c r="T214" s="143" t="n"/>
      <c r="U214" s="143" t="n"/>
      <c r="V214" s="143" t="n"/>
      <c r="W214" s="143" t="n"/>
      <c r="X214" s="143" t="n"/>
      <c r="Y214" s="143" t="n"/>
      <c r="Z214" s="143" t="n"/>
      <c r="AA214" s="143" t="n"/>
      <c r="AB214" s="143" t="n"/>
      <c r="AC214" s="143" t="n"/>
      <c r="AD214" s="143" t="n"/>
      <c r="AE214" s="143" t="n"/>
      <c r="AF214" s="143" t="n"/>
    </row>
    <row r="215">
      <c r="D215" s="143" t="n"/>
      <c r="E215" s="145" t="n"/>
      <c r="F215" s="143" t="n"/>
      <c r="G215" s="145" t="n"/>
      <c r="H215" s="76" t="n"/>
      <c r="I215" s="145" t="n"/>
      <c r="J215" s="76" t="n"/>
      <c r="K215" s="143" t="n"/>
      <c r="M215" s="145" t="n"/>
      <c r="N215" s="143" t="n"/>
      <c r="O215" s="145" t="n"/>
      <c r="P215" s="143" t="n"/>
      <c r="Q215" s="145" t="n"/>
      <c r="R215" s="143" t="n"/>
      <c r="S215" s="145" t="n"/>
      <c r="T215" s="143" t="n"/>
      <c r="U215" s="143" t="n"/>
      <c r="V215" s="143" t="n"/>
      <c r="W215" s="143" t="n"/>
      <c r="X215" s="145" t="n"/>
      <c r="Y215" s="143" t="n"/>
      <c r="Z215" s="145" t="n"/>
      <c r="AA215" s="143" t="n"/>
      <c r="AB215" s="145" t="n"/>
      <c r="AC215" s="143" t="n"/>
      <c r="AD215" s="145" t="n"/>
      <c r="AE215" s="143" t="n"/>
      <c r="AF215" s="145" t="n"/>
    </row>
    <row r="216">
      <c r="D216" s="143" t="n"/>
      <c r="E216" s="143" t="n"/>
      <c r="F216" s="143" t="n"/>
      <c r="G216" s="143" t="n"/>
      <c r="H216" s="76" t="n"/>
      <c r="I216" s="143" t="n"/>
      <c r="J216" s="76" t="n"/>
      <c r="K216" s="143" t="n"/>
      <c r="M216" s="143" t="n"/>
      <c r="N216" s="143" t="n"/>
      <c r="O216" s="143" t="n"/>
      <c r="P216" s="143" t="n"/>
      <c r="Q216" s="143" t="n"/>
      <c r="R216" s="143" t="n"/>
      <c r="S216" s="143" t="n"/>
      <c r="T216" s="143" t="n"/>
      <c r="U216" s="143" t="n"/>
      <c r="V216" s="143" t="n"/>
      <c r="W216" s="143" t="n"/>
      <c r="X216" s="143" t="n"/>
      <c r="Y216" s="143" t="n"/>
      <c r="Z216" s="143" t="n"/>
      <c r="AA216" s="143" t="n"/>
      <c r="AB216" s="143" t="n"/>
      <c r="AC216" s="143" t="n"/>
      <c r="AD216" s="143" t="n"/>
      <c r="AE216" s="143" t="n"/>
      <c r="AF216" s="143" t="n"/>
    </row>
    <row r="217">
      <c r="D217" s="143" t="n"/>
      <c r="E217" s="143" t="n"/>
      <c r="F217" s="143" t="n"/>
      <c r="G217" s="143" t="n"/>
      <c r="H217" s="76" t="n"/>
      <c r="I217" s="143" t="n"/>
      <c r="J217" s="76" t="n"/>
      <c r="K217" s="143" t="n"/>
      <c r="M217" s="143" t="n"/>
      <c r="N217" s="143" t="n"/>
      <c r="O217" s="143" t="n"/>
      <c r="P217" s="143" t="n"/>
      <c r="Q217" s="143" t="n"/>
      <c r="R217" s="143" t="n"/>
      <c r="S217" s="143" t="n"/>
      <c r="T217" s="143" t="n"/>
      <c r="U217" s="143" t="n"/>
      <c r="V217" s="143" t="n"/>
      <c r="W217" s="143" t="n"/>
      <c r="X217" s="143" t="n"/>
      <c r="Y217" s="143" t="n"/>
      <c r="Z217" s="143" t="n"/>
      <c r="AA217" s="143" t="n"/>
      <c r="AB217" s="143" t="n"/>
      <c r="AC217" s="143" t="n"/>
      <c r="AD217" s="143" t="n"/>
      <c r="AE217" s="143" t="n"/>
      <c r="AF217" s="143" t="n"/>
    </row>
    <row r="218">
      <c r="A218" s="74" t="n"/>
      <c r="B218" s="74" t="n"/>
      <c r="C218" s="74" t="n"/>
      <c r="D218" s="143" t="n"/>
      <c r="E218" s="145" t="n"/>
      <c r="F218" s="143" t="n"/>
      <c r="G218" s="145" t="n"/>
      <c r="H218" s="76" t="n"/>
      <c r="I218" s="145" t="n"/>
      <c r="J218" s="76" t="n"/>
      <c r="K218" s="143" t="n"/>
      <c r="M218" s="145" t="n"/>
      <c r="N218" s="143" t="n"/>
      <c r="O218" s="145" t="n"/>
      <c r="P218" s="143" t="n"/>
      <c r="Q218" s="145" t="n"/>
      <c r="R218" s="143" t="n"/>
      <c r="S218" s="145" t="n"/>
      <c r="T218" s="143" t="n"/>
      <c r="U218" s="143" t="n"/>
      <c r="V218" s="143" t="n"/>
      <c r="W218" s="143" t="n"/>
      <c r="X218" s="145" t="n"/>
      <c r="Y218" s="143" t="n"/>
      <c r="Z218" s="145" t="n"/>
      <c r="AA218" s="143" t="n"/>
      <c r="AB218" s="145" t="n"/>
      <c r="AC218" s="143" t="n"/>
      <c r="AD218" s="145" t="n"/>
      <c r="AE218" s="143" t="n"/>
      <c r="AF218" s="145" t="n"/>
    </row>
    <row r="219">
      <c r="A219" s="74" t="n"/>
      <c r="B219" s="74" t="n"/>
      <c r="C219" s="74" t="n"/>
      <c r="D219" s="143" t="n"/>
      <c r="E219" s="145" t="n"/>
      <c r="F219" s="143" t="n"/>
      <c r="G219" s="145" t="n"/>
      <c r="H219" s="76" t="n"/>
      <c r="I219" s="145" t="n"/>
      <c r="J219" s="76" t="n"/>
      <c r="K219" s="143" t="n"/>
      <c r="M219" s="145" t="n"/>
      <c r="N219" s="143" t="n"/>
      <c r="O219" s="145" t="n"/>
      <c r="P219" s="143" t="n"/>
      <c r="Q219" s="145" t="n"/>
      <c r="R219" s="143" t="n"/>
      <c r="S219" s="145" t="n"/>
      <c r="T219" s="143" t="n"/>
      <c r="U219" s="143" t="n"/>
      <c r="V219" s="143" t="n"/>
      <c r="W219" s="143" t="n"/>
      <c r="X219" s="145" t="n"/>
      <c r="Y219" s="143" t="n"/>
      <c r="Z219" s="145" t="n"/>
      <c r="AA219" s="143" t="n"/>
      <c r="AB219" s="145" t="n"/>
      <c r="AC219" s="143" t="n"/>
      <c r="AD219" s="145" t="n"/>
      <c r="AE219" s="143" t="n"/>
      <c r="AF219" s="145" t="n"/>
    </row>
    <row r="220">
      <c r="D220" s="143" t="n"/>
      <c r="E220" s="143" t="n"/>
      <c r="F220" s="143" t="n"/>
      <c r="G220" s="143" t="n"/>
      <c r="H220" s="76" t="n"/>
      <c r="I220" s="143" t="n"/>
      <c r="J220" s="76" t="n"/>
      <c r="K220" s="143" t="n"/>
      <c r="M220" s="143" t="n"/>
      <c r="N220" s="143" t="n"/>
      <c r="O220" s="143" t="n"/>
      <c r="P220" s="143" t="n"/>
      <c r="Q220" s="143" t="n"/>
      <c r="R220" s="143" t="n"/>
      <c r="S220" s="143" t="n"/>
      <c r="T220" s="143" t="n"/>
      <c r="U220" s="143" t="n"/>
      <c r="V220" s="143" t="n"/>
      <c r="W220" s="143" t="n"/>
      <c r="X220" s="143" t="n"/>
      <c r="Y220" s="143" t="n"/>
      <c r="Z220" s="143" t="n"/>
      <c r="AA220" s="143" t="n"/>
      <c r="AB220" s="143" t="n"/>
      <c r="AC220" s="143" t="n"/>
      <c r="AD220" s="143" t="n"/>
      <c r="AE220" s="143" t="n"/>
      <c r="AF220" s="143" t="n"/>
    </row>
    <row r="221">
      <c r="A221" s="74" t="n"/>
      <c r="B221" s="74" t="n"/>
      <c r="C221" s="74" t="n"/>
      <c r="D221" s="143" t="n"/>
      <c r="E221" s="145" t="n"/>
      <c r="F221" s="143" t="n"/>
      <c r="G221" s="145" t="n"/>
      <c r="H221" s="76" t="n"/>
      <c r="I221" s="145" t="n"/>
      <c r="J221" s="76" t="n"/>
      <c r="K221" s="143" t="n"/>
      <c r="M221" s="145" t="n"/>
      <c r="N221" s="143" t="n"/>
      <c r="O221" s="145" t="n"/>
      <c r="P221" s="143" t="n"/>
      <c r="Q221" s="145" t="n"/>
      <c r="R221" s="143" t="n"/>
      <c r="S221" s="145" t="n"/>
      <c r="T221" s="143" t="n"/>
      <c r="U221" s="143" t="n"/>
      <c r="V221" s="143" t="n"/>
      <c r="W221" s="143" t="n"/>
      <c r="X221" s="145" t="n"/>
      <c r="Y221" s="143" t="n"/>
      <c r="Z221" s="145" t="n"/>
      <c r="AA221" s="143" t="n"/>
      <c r="AB221" s="145" t="n"/>
      <c r="AC221" s="143" t="n"/>
      <c r="AD221" s="145" t="n"/>
      <c r="AE221" s="143" t="n"/>
      <c r="AF221" s="145" t="n"/>
    </row>
    <row r="222">
      <c r="A222" s="74" t="n"/>
      <c r="B222" s="74" t="n"/>
      <c r="C222" s="74" t="n"/>
      <c r="D222" s="143" t="n"/>
      <c r="E222" s="145" t="n"/>
      <c r="F222" s="143" t="n"/>
      <c r="G222" s="145" t="n"/>
      <c r="H222" s="76" t="n"/>
      <c r="I222" s="145" t="n"/>
      <c r="J222" s="76" t="n"/>
      <c r="K222" s="143" t="n"/>
      <c r="M222" s="145" t="n"/>
      <c r="N222" s="143" t="n"/>
      <c r="O222" s="145" t="n"/>
      <c r="P222" s="143" t="n"/>
      <c r="Q222" s="145" t="n"/>
      <c r="R222" s="143" t="n"/>
      <c r="S222" s="145" t="n"/>
      <c r="T222" s="143" t="n"/>
      <c r="U222" s="143" t="n"/>
      <c r="V222" s="143" t="n"/>
      <c r="W222" s="143" t="n"/>
      <c r="X222" s="145" t="n"/>
      <c r="Y222" s="143" t="n"/>
      <c r="Z222" s="145" t="n"/>
      <c r="AA222" s="143" t="n"/>
      <c r="AB222" s="145" t="n"/>
      <c r="AC222" s="143" t="n"/>
      <c r="AD222" s="145" t="n"/>
      <c r="AE222" s="143" t="n"/>
      <c r="AF222" s="145" t="n"/>
    </row>
    <row r="223">
      <c r="D223" s="143" t="n"/>
      <c r="E223" s="145" t="n"/>
      <c r="F223" s="143" t="n"/>
      <c r="G223" s="145" t="n"/>
      <c r="H223" s="76" t="n"/>
      <c r="I223" s="145" t="n"/>
      <c r="J223" s="76" t="n"/>
      <c r="K223" s="143" t="n"/>
      <c r="M223" s="145" t="n"/>
      <c r="N223" s="143" t="n"/>
      <c r="O223" s="145" t="n"/>
      <c r="P223" s="143" t="n"/>
      <c r="Q223" s="145" t="n"/>
      <c r="R223" s="143" t="n"/>
      <c r="S223" s="145" t="n"/>
      <c r="T223" s="143" t="n"/>
      <c r="U223" s="143" t="n"/>
      <c r="V223" s="143" t="n"/>
      <c r="W223" s="143" t="n"/>
      <c r="X223" s="145" t="n"/>
      <c r="Y223" s="143" t="n"/>
      <c r="Z223" s="145" t="n"/>
      <c r="AA223" s="143" t="n"/>
      <c r="AB223" s="145" t="n"/>
      <c r="AC223" s="143" t="n"/>
      <c r="AD223" s="145" t="n"/>
      <c r="AE223" s="143" t="n"/>
      <c r="AF223" s="145" t="n"/>
    </row>
    <row r="224">
      <c r="D224" s="143" t="n"/>
      <c r="E224" s="145" t="n"/>
      <c r="F224" s="143" t="n"/>
      <c r="G224" s="145" t="n"/>
      <c r="H224" s="76" t="n"/>
      <c r="I224" s="145" t="n"/>
      <c r="J224" s="76" t="n"/>
      <c r="K224" s="143" t="n"/>
      <c r="M224" s="145" t="n"/>
      <c r="N224" s="143" t="n"/>
      <c r="O224" s="145" t="n"/>
      <c r="P224" s="143" t="n"/>
      <c r="Q224" s="145" t="n"/>
      <c r="R224" s="143" t="n"/>
      <c r="S224" s="145" t="n"/>
      <c r="T224" s="143" t="n"/>
      <c r="U224" s="143" t="n"/>
      <c r="V224" s="143" t="n"/>
      <c r="W224" s="143" t="n"/>
      <c r="X224" s="145" t="n"/>
      <c r="Y224" s="143" t="n"/>
      <c r="Z224" s="145" t="n"/>
      <c r="AA224" s="143" t="n"/>
      <c r="AB224" s="145" t="n"/>
      <c r="AC224" s="143" t="n"/>
      <c r="AD224" s="145" t="n"/>
      <c r="AE224" s="143" t="n"/>
      <c r="AF224" s="145" t="n"/>
    </row>
    <row r="225">
      <c r="D225" s="143" t="n"/>
      <c r="E225" s="143" t="n"/>
      <c r="F225" s="143" t="n"/>
      <c r="G225" s="143" t="n"/>
      <c r="H225" s="76" t="n"/>
      <c r="I225" s="143" t="n"/>
      <c r="J225" s="76" t="n"/>
      <c r="K225" s="143" t="n"/>
      <c r="M225" s="145" t="n"/>
      <c r="N225" s="143" t="n"/>
      <c r="O225" s="145" t="n"/>
      <c r="P225" s="143" t="n"/>
      <c r="Q225" s="145" t="n"/>
      <c r="R225" s="143" t="n"/>
      <c r="S225" s="145" t="n"/>
      <c r="T225" s="143" t="n"/>
      <c r="U225" s="143" t="n"/>
      <c r="V225" s="143" t="n"/>
      <c r="W225" s="143" t="n"/>
      <c r="X225" s="145" t="n"/>
      <c r="Y225" s="143" t="n"/>
      <c r="Z225" s="145" t="n"/>
      <c r="AA225" s="143" t="n"/>
      <c r="AB225" s="145" t="n"/>
      <c r="AC225" s="143" t="n"/>
      <c r="AD225" s="145" t="n"/>
      <c r="AE225" s="143" t="n"/>
      <c r="AF225" s="145" t="n"/>
    </row>
    <row r="226">
      <c r="D226" s="143" t="n"/>
      <c r="E226" s="145" t="n"/>
      <c r="F226" s="143" t="n"/>
      <c r="G226" s="143" t="n"/>
      <c r="H226" s="76" t="n"/>
      <c r="I226" s="143" t="n"/>
      <c r="J226" s="76" t="n"/>
      <c r="K226" s="143" t="n"/>
      <c r="M226" s="143" t="n"/>
      <c r="N226" s="143" t="n"/>
      <c r="O226" s="143" t="n"/>
      <c r="P226" s="143" t="n"/>
      <c r="Q226" s="143" t="n"/>
      <c r="R226" s="143" t="n"/>
      <c r="S226" s="143" t="n"/>
      <c r="T226" s="143" t="n"/>
      <c r="U226" s="143" t="n"/>
      <c r="V226" s="143" t="n"/>
      <c r="W226" s="143" t="n"/>
      <c r="X226" s="143" t="n"/>
      <c r="Y226" s="143" t="n"/>
      <c r="Z226" s="143" t="n"/>
      <c r="AA226" s="143" t="n"/>
      <c r="AB226" s="143" t="n"/>
      <c r="AC226" s="143" t="n"/>
      <c r="AD226" s="143" t="n"/>
      <c r="AE226" s="143" t="n"/>
      <c r="AF226" s="143" t="n"/>
    </row>
    <row r="227">
      <c r="D227" s="143" t="n"/>
      <c r="E227" s="145" t="n"/>
      <c r="F227" s="143" t="n"/>
      <c r="G227" s="145" t="n"/>
      <c r="H227" s="76" t="n"/>
      <c r="I227" s="145" t="n"/>
      <c r="J227" s="76" t="n"/>
      <c r="K227" s="143" t="n"/>
      <c r="M227" s="143" t="n"/>
      <c r="N227" s="143" t="n"/>
      <c r="O227" s="143" t="n"/>
      <c r="P227" s="143" t="n"/>
      <c r="Q227" s="143" t="n"/>
      <c r="R227" s="143" t="n"/>
      <c r="S227" s="143" t="n"/>
      <c r="T227" s="143" t="n"/>
      <c r="U227" s="143" t="n"/>
      <c r="V227" s="143" t="n"/>
      <c r="W227" s="143" t="n"/>
      <c r="X227" s="143" t="n"/>
      <c r="Y227" s="143" t="n"/>
      <c r="Z227" s="143" t="n"/>
      <c r="AA227" s="143" t="n"/>
      <c r="AB227" s="143" t="n"/>
      <c r="AC227" s="143" t="n"/>
      <c r="AD227" s="143" t="n"/>
      <c r="AE227" s="143" t="n"/>
      <c r="AF227" s="143" t="n"/>
    </row>
    <row r="228">
      <c r="D228" s="143" t="n"/>
      <c r="E228" s="143" t="n"/>
      <c r="F228" s="143" t="n"/>
      <c r="G228" s="143" t="n"/>
      <c r="H228" s="76" t="n"/>
      <c r="I228" s="143" t="n"/>
      <c r="J228" s="76" t="n"/>
      <c r="K228" s="143" t="n"/>
      <c r="M228" s="143" t="n"/>
      <c r="N228" s="143" t="n"/>
      <c r="O228" s="143" t="n"/>
      <c r="P228" s="143" t="n"/>
      <c r="Q228" s="143" t="n"/>
      <c r="R228" s="143" t="n"/>
      <c r="S228" s="143" t="n"/>
      <c r="T228" s="143" t="n"/>
      <c r="U228" s="143" t="n"/>
      <c r="V228" s="143" t="n"/>
      <c r="W228" s="143" t="n"/>
      <c r="X228" s="143" t="n"/>
      <c r="Y228" s="143" t="n"/>
      <c r="Z228" s="143" t="n"/>
      <c r="AA228" s="143" t="n"/>
      <c r="AB228" s="143" t="n"/>
      <c r="AC228" s="143" t="n"/>
      <c r="AD228" s="143" t="n"/>
      <c r="AE228" s="143" t="n"/>
      <c r="AF228" s="143" t="n"/>
    </row>
    <row r="229">
      <c r="A229" s="74" t="n"/>
      <c r="B229" s="74" t="n"/>
      <c r="C229" s="74" t="n"/>
      <c r="D229" s="143" t="n"/>
      <c r="E229" s="145" t="n"/>
      <c r="F229" s="143" t="n"/>
      <c r="G229" s="145" t="n"/>
      <c r="H229" s="76" t="n"/>
      <c r="I229" s="145" t="n"/>
      <c r="J229" s="76" t="n"/>
      <c r="K229" s="143" t="n"/>
      <c r="M229" s="145" t="n"/>
      <c r="N229" s="143" t="n"/>
      <c r="O229" s="145" t="n"/>
      <c r="P229" s="143" t="n"/>
      <c r="Q229" s="145" t="n"/>
      <c r="R229" s="143" t="n"/>
      <c r="S229" s="145" t="n"/>
      <c r="T229" s="143" t="n"/>
      <c r="U229" s="143" t="n"/>
      <c r="V229" s="143" t="n"/>
      <c r="W229" s="143" t="n"/>
      <c r="X229" s="145" t="n"/>
      <c r="Y229" s="143" t="n"/>
      <c r="Z229" s="145" t="n"/>
      <c r="AA229" s="143" t="n"/>
      <c r="AB229" s="145" t="n"/>
      <c r="AC229" s="143" t="n"/>
      <c r="AD229" s="145" t="n"/>
      <c r="AE229" s="143" t="n"/>
      <c r="AF229" s="145" t="n"/>
    </row>
    <row r="230">
      <c r="A230" s="74" t="n"/>
      <c r="B230" s="74" t="n"/>
      <c r="C230" s="74" t="n"/>
      <c r="D230" s="143" t="n"/>
      <c r="E230" s="145" t="n"/>
      <c r="F230" s="143" t="n"/>
      <c r="G230" s="145" t="n"/>
      <c r="H230" s="76" t="n"/>
      <c r="I230" s="145" t="n"/>
      <c r="J230" s="76" t="n"/>
      <c r="K230" s="143" t="n"/>
      <c r="M230" s="145" t="n"/>
      <c r="N230" s="143" t="n"/>
      <c r="O230" s="145" t="n"/>
      <c r="P230" s="143" t="n"/>
      <c r="Q230" s="145" t="n"/>
      <c r="R230" s="143" t="n"/>
      <c r="S230" s="145" t="n"/>
      <c r="T230" s="143" t="n"/>
      <c r="U230" s="143" t="n"/>
      <c r="V230" s="143" t="n"/>
      <c r="W230" s="143" t="n"/>
      <c r="X230" s="145" t="n"/>
      <c r="Y230" s="143" t="n"/>
      <c r="Z230" s="145" t="n"/>
      <c r="AA230" s="143" t="n"/>
      <c r="AB230" s="145" t="n"/>
      <c r="AC230" s="143" t="n"/>
      <c r="AD230" s="145" t="n"/>
      <c r="AE230" s="143" t="n"/>
      <c r="AF230" s="145" t="n"/>
    </row>
    <row r="231">
      <c r="A231" s="74" t="n"/>
      <c r="B231" s="74" t="n"/>
      <c r="C231" s="74" t="n"/>
      <c r="D231" s="143" t="n"/>
      <c r="E231" s="145" t="n"/>
      <c r="F231" s="143" t="n"/>
      <c r="G231" s="145" t="n"/>
      <c r="H231" s="76" t="n"/>
      <c r="I231" s="145" t="n"/>
      <c r="J231" s="76" t="n"/>
      <c r="K231" s="143" t="n"/>
      <c r="M231" s="145" t="n"/>
      <c r="N231" s="143" t="n"/>
      <c r="O231" s="145" t="n"/>
      <c r="P231" s="143" t="n"/>
      <c r="Q231" s="145" t="n"/>
      <c r="R231" s="143" t="n"/>
      <c r="S231" s="145" t="n"/>
      <c r="T231" s="143" t="n"/>
      <c r="U231" s="143" t="n"/>
      <c r="V231" s="143" t="n"/>
      <c r="W231" s="143" t="n"/>
      <c r="X231" s="145" t="n"/>
      <c r="Y231" s="143" t="n"/>
      <c r="Z231" s="145" t="n"/>
      <c r="AA231" s="143" t="n"/>
      <c r="AB231" s="145" t="n"/>
      <c r="AC231" s="143" t="n"/>
      <c r="AD231" s="145" t="n"/>
      <c r="AE231" s="143" t="n"/>
      <c r="AF231" s="145" t="n"/>
    </row>
    <row r="232">
      <c r="D232" s="143" t="n"/>
      <c r="E232" s="145" t="n"/>
      <c r="F232" s="145" t="n"/>
      <c r="G232" s="141" t="n"/>
      <c r="H232" s="145" t="n"/>
      <c r="I232" s="141" t="n"/>
      <c r="J232" s="145" t="n"/>
      <c r="K232" s="145" t="n"/>
      <c r="M232" s="141" t="n"/>
      <c r="N232" s="145" t="n"/>
      <c r="O232" s="141" t="n"/>
      <c r="P232" s="145" t="n"/>
      <c r="Q232" s="145" t="n"/>
      <c r="R232" s="145" t="n"/>
      <c r="S232" s="141" t="n"/>
      <c r="T232" s="145" t="n"/>
      <c r="U232" s="145" t="n"/>
      <c r="V232" s="143" t="n"/>
      <c r="W232" s="143" t="n"/>
      <c r="X232" s="145" t="n"/>
      <c r="Y232" s="143" t="n"/>
      <c r="Z232" s="145" t="n"/>
      <c r="AA232" s="143" t="n"/>
      <c r="AB232" s="145" t="n"/>
      <c r="AC232" s="143" t="n"/>
      <c r="AD232" s="145" t="n"/>
      <c r="AE232" s="143" t="n"/>
      <c r="AF232" s="145" t="n"/>
    </row>
    <row r="233">
      <c r="D233" s="143" t="n"/>
      <c r="E233" s="145" t="n"/>
      <c r="F233" s="143" t="n"/>
      <c r="G233" s="145" t="n"/>
      <c r="H233" s="76" t="n"/>
      <c r="I233" s="145" t="n"/>
      <c r="J233" s="76" t="n"/>
      <c r="K233" s="143" t="n"/>
      <c r="M233" s="145" t="n"/>
      <c r="N233" s="143" t="n"/>
      <c r="O233" s="145" t="n"/>
      <c r="P233" s="143" t="n"/>
      <c r="Q233" s="145" t="n"/>
      <c r="R233" s="143" t="n"/>
      <c r="S233" s="145" t="n"/>
      <c r="T233" s="143" t="n"/>
      <c r="U233" s="143" t="n"/>
      <c r="V233" s="143" t="n"/>
      <c r="W233" s="143" t="n"/>
      <c r="X233" s="145" t="n"/>
      <c r="Y233" s="143" t="n"/>
      <c r="Z233" s="145" t="n"/>
      <c r="AA233" s="143" t="n"/>
      <c r="AB233" s="145" t="n"/>
      <c r="AC233" s="143" t="n"/>
      <c r="AD233" s="145" t="n"/>
      <c r="AE233" s="143" t="n"/>
      <c r="AF233" s="145" t="n"/>
    </row>
    <row r="234">
      <c r="D234" s="143" t="n"/>
      <c r="E234" s="145" t="n"/>
      <c r="F234" s="143" t="n"/>
      <c r="G234" s="145" t="n"/>
      <c r="H234" s="76" t="n"/>
      <c r="I234" s="145" t="n"/>
      <c r="J234" s="76" t="n"/>
      <c r="K234" s="143" t="n"/>
      <c r="M234" s="145" t="n"/>
      <c r="N234" s="143" t="n"/>
      <c r="O234" s="145" t="n"/>
      <c r="P234" s="143" t="n"/>
      <c r="Q234" s="145" t="n"/>
      <c r="R234" s="143" t="n"/>
      <c r="S234" s="145" t="n"/>
      <c r="T234" s="143" t="n"/>
      <c r="U234" s="143" t="n"/>
      <c r="V234" s="143" t="n"/>
      <c r="W234" s="143" t="n"/>
      <c r="X234" s="145" t="n"/>
      <c r="Y234" s="143" t="n"/>
      <c r="Z234" s="145" t="n"/>
      <c r="AA234" s="143" t="n"/>
      <c r="AB234" s="145" t="n"/>
      <c r="AC234" s="143" t="n"/>
      <c r="AD234" s="145" t="n"/>
      <c r="AE234" s="143" t="n"/>
      <c r="AF234" s="145" t="n"/>
    </row>
    <row r="235">
      <c r="D235" s="143" t="n"/>
      <c r="E235" s="145" t="n"/>
      <c r="F235" s="143" t="n"/>
      <c r="G235" s="145" t="n"/>
      <c r="H235" s="76" t="n"/>
      <c r="I235" s="145" t="n"/>
      <c r="J235" s="76" t="n"/>
      <c r="K235" s="143" t="n"/>
      <c r="M235" s="145" t="n"/>
      <c r="N235" s="143" t="n"/>
      <c r="O235" s="145" t="n"/>
      <c r="P235" s="143" t="n"/>
      <c r="Q235" s="145" t="n"/>
      <c r="R235" s="143" t="n"/>
      <c r="S235" s="145" t="n"/>
      <c r="T235" s="143" t="n"/>
      <c r="U235" s="143" t="n"/>
      <c r="V235" s="143" t="n"/>
      <c r="W235" s="143" t="n"/>
      <c r="X235" s="145" t="n"/>
      <c r="Y235" s="143" t="n"/>
      <c r="Z235" s="145" t="n"/>
      <c r="AA235" s="143" t="n"/>
      <c r="AB235" s="145" t="n"/>
      <c r="AC235" s="143" t="n"/>
      <c r="AD235" s="145" t="n"/>
      <c r="AE235" s="143" t="n"/>
      <c r="AF235" s="145" t="n"/>
    </row>
    <row r="236">
      <c r="D236" s="143" t="n"/>
      <c r="E236" s="145" t="n"/>
      <c r="F236" s="143" t="n"/>
      <c r="G236" s="145" t="n"/>
      <c r="H236" s="76" t="n"/>
      <c r="I236" s="145" t="n"/>
      <c r="J236" s="76" t="n"/>
      <c r="K236" s="143" t="n"/>
      <c r="M236" s="145" t="n"/>
      <c r="N236" s="143" t="n"/>
      <c r="O236" s="145" t="n"/>
      <c r="P236" s="143" t="n"/>
      <c r="Q236" s="145" t="n"/>
      <c r="R236" s="143" t="n"/>
      <c r="S236" s="145" t="n"/>
      <c r="T236" s="143" t="n"/>
      <c r="U236" s="143" t="n"/>
      <c r="V236" s="143" t="n"/>
      <c r="W236" s="143" t="n"/>
      <c r="X236" s="145" t="n"/>
      <c r="Y236" s="143" t="n"/>
      <c r="Z236" s="145" t="n"/>
      <c r="AA236" s="143" t="n"/>
      <c r="AB236" s="145" t="n"/>
      <c r="AC236" s="143" t="n"/>
      <c r="AD236" s="145" t="n"/>
      <c r="AE236" s="143" t="n"/>
      <c r="AF236" s="145" t="n"/>
    </row>
    <row r="237">
      <c r="D237" s="143" t="n"/>
      <c r="E237" s="145" t="n"/>
      <c r="F237" s="143" t="n"/>
      <c r="G237" s="145" t="n"/>
      <c r="H237" s="76" t="n"/>
      <c r="I237" s="145" t="n"/>
      <c r="J237" s="76" t="n"/>
      <c r="K237" s="143" t="n"/>
      <c r="M237" s="145" t="n"/>
      <c r="N237" s="143" t="n"/>
      <c r="O237" s="145" t="n"/>
      <c r="P237" s="143" t="n"/>
      <c r="Q237" s="145" t="n"/>
      <c r="R237" s="143" t="n"/>
      <c r="S237" s="145" t="n"/>
      <c r="T237" s="143" t="n"/>
      <c r="U237" s="143" t="n"/>
      <c r="V237" s="143" t="n"/>
      <c r="W237" s="143" t="n"/>
      <c r="X237" s="145" t="n"/>
      <c r="Y237" s="143" t="n"/>
      <c r="Z237" s="145" t="n"/>
      <c r="AA237" s="143" t="n"/>
      <c r="AB237" s="145" t="n"/>
      <c r="AC237" s="143" t="n"/>
      <c r="AD237" s="145" t="n"/>
      <c r="AE237" s="143" t="n"/>
      <c r="AF237" s="145" t="n"/>
    </row>
    <row r="238">
      <c r="D238" s="143" t="n"/>
      <c r="E238" s="145" t="n"/>
      <c r="F238" s="143" t="n"/>
      <c r="G238" s="145" t="n"/>
      <c r="H238" s="76" t="n"/>
      <c r="I238" s="145" t="n"/>
      <c r="J238" s="76" t="n"/>
      <c r="K238" s="143" t="n"/>
      <c r="M238" s="145" t="n"/>
      <c r="N238" s="143" t="n"/>
      <c r="O238" s="145" t="n"/>
      <c r="P238" s="143" t="n"/>
      <c r="Q238" s="145" t="n"/>
      <c r="R238" s="143" t="n"/>
      <c r="S238" s="145" t="n"/>
      <c r="T238" s="143" t="n"/>
      <c r="U238" s="143" t="n"/>
      <c r="V238" s="143" t="n"/>
      <c r="W238" s="143" t="n"/>
      <c r="X238" s="145" t="n"/>
      <c r="Y238" s="143" t="n"/>
      <c r="Z238" s="145" t="n"/>
      <c r="AA238" s="143" t="n"/>
      <c r="AB238" s="145" t="n"/>
      <c r="AC238" s="143" t="n"/>
      <c r="AD238" s="145" t="n"/>
      <c r="AE238" s="143" t="n"/>
      <c r="AF238" s="145" t="n"/>
    </row>
    <row r="239">
      <c r="D239" s="143" t="n"/>
      <c r="E239" s="145" t="n"/>
      <c r="F239" s="143" t="n"/>
      <c r="G239" s="145" t="n"/>
      <c r="H239" s="76" t="n"/>
      <c r="I239" s="145" t="n"/>
      <c r="J239" s="76" t="n"/>
      <c r="K239" s="143" t="n"/>
      <c r="M239" s="145" t="n"/>
      <c r="N239" s="143" t="n"/>
      <c r="O239" s="145" t="n"/>
      <c r="P239" s="143" t="n"/>
      <c r="Q239" s="145" t="n"/>
      <c r="R239" s="143" t="n"/>
      <c r="S239" s="145" t="n"/>
      <c r="T239" s="143" t="n"/>
      <c r="U239" s="143" t="n"/>
      <c r="V239" s="143" t="n"/>
      <c r="W239" s="143" t="n"/>
      <c r="X239" s="145" t="n"/>
      <c r="Y239" s="143" t="n"/>
      <c r="Z239" s="145" t="n"/>
      <c r="AA239" s="143" t="n"/>
      <c r="AB239" s="145" t="n"/>
      <c r="AC239" s="143" t="n"/>
      <c r="AD239" s="145" t="n"/>
      <c r="AE239" s="143" t="n"/>
      <c r="AF239" s="145" t="n"/>
    </row>
    <row r="240">
      <c r="D240" s="143" t="n"/>
      <c r="E240" s="145" t="n"/>
      <c r="F240" s="143" t="n"/>
      <c r="G240" s="145" t="n"/>
      <c r="H240" s="76" t="n"/>
      <c r="I240" s="145" t="n"/>
      <c r="J240" s="76" t="n"/>
      <c r="K240" s="143" t="n"/>
      <c r="M240" s="145" t="n"/>
      <c r="N240" s="143" t="n"/>
      <c r="O240" s="145" t="n"/>
      <c r="P240" s="143" t="n"/>
      <c r="Q240" s="145" t="n"/>
      <c r="R240" s="143" t="n"/>
      <c r="S240" s="145" t="n"/>
      <c r="T240" s="143" t="n"/>
      <c r="U240" s="143" t="n"/>
      <c r="V240" s="143" t="n"/>
      <c r="W240" s="143" t="n"/>
      <c r="X240" s="145" t="n"/>
      <c r="Y240" s="143" t="n"/>
      <c r="Z240" s="145" t="n"/>
      <c r="AA240" s="143" t="n"/>
      <c r="AB240" s="145" t="n"/>
      <c r="AC240" s="143" t="n"/>
      <c r="AD240" s="145" t="n"/>
      <c r="AE240" s="143" t="n"/>
      <c r="AF240" s="145" t="n"/>
    </row>
    <row r="241">
      <c r="D241" s="143" t="n"/>
      <c r="E241" s="145" t="n"/>
      <c r="F241" s="143" t="n"/>
      <c r="G241" s="145" t="n"/>
      <c r="H241" s="76" t="n"/>
      <c r="I241" s="145" t="n"/>
      <c r="J241" s="76" t="n"/>
      <c r="K241" s="143" t="n"/>
      <c r="M241" s="145" t="n"/>
      <c r="N241" s="143" t="n"/>
      <c r="O241" s="145" t="n"/>
      <c r="P241" s="143" t="n"/>
      <c r="Q241" s="145" t="n"/>
      <c r="R241" s="143" t="n"/>
      <c r="S241" s="145" t="n"/>
      <c r="T241" s="143" t="n"/>
      <c r="U241" s="143" t="n"/>
      <c r="V241" s="143" t="n"/>
      <c r="W241" s="143" t="n"/>
      <c r="X241" s="145" t="n"/>
      <c r="Y241" s="143" t="n"/>
      <c r="Z241" s="145" t="n"/>
      <c r="AA241" s="143" t="n"/>
      <c r="AB241" s="145" t="n"/>
      <c r="AC241" s="143" t="n"/>
      <c r="AD241" s="145" t="n"/>
      <c r="AE241" s="143" t="n"/>
      <c r="AF241" s="145" t="n"/>
    </row>
    <row r="242">
      <c r="D242" s="143" t="n"/>
      <c r="E242" s="143" t="n"/>
      <c r="F242" s="143" t="n"/>
      <c r="G242" s="143" t="n"/>
      <c r="H242" s="76" t="n"/>
      <c r="I242" s="143" t="n"/>
      <c r="J242" s="76" t="n"/>
      <c r="K242" s="143" t="n"/>
      <c r="M242" s="145" t="n"/>
      <c r="N242" s="143" t="n"/>
      <c r="O242" s="145" t="n"/>
      <c r="P242" s="143" t="n"/>
      <c r="Q242" s="145" t="n"/>
      <c r="R242" s="143" t="n"/>
      <c r="S242" s="145" t="n"/>
      <c r="T242" s="143" t="n"/>
      <c r="U242" s="143" t="n"/>
      <c r="V242" s="143" t="n"/>
      <c r="W242" s="143" t="n"/>
      <c r="X242" s="145" t="n"/>
      <c r="Y242" s="143" t="n"/>
      <c r="Z242" s="145" t="n"/>
      <c r="AA242" s="143" t="n"/>
      <c r="AB242" s="145" t="n"/>
      <c r="AC242" s="143" t="n"/>
      <c r="AD242" s="145" t="n"/>
      <c r="AE242" s="143" t="n"/>
      <c r="AF242" s="145" t="n"/>
    </row>
    <row r="243">
      <c r="D243" s="143" t="n"/>
      <c r="E243" s="145" t="n"/>
      <c r="F243" s="143" t="n"/>
      <c r="G243" s="145" t="n"/>
      <c r="H243" s="76" t="n"/>
      <c r="I243" s="145" t="n"/>
      <c r="J243" s="76" t="n"/>
      <c r="K243" s="143" t="n"/>
      <c r="M243" s="145" t="n"/>
      <c r="N243" s="143" t="n"/>
      <c r="O243" s="145" t="n"/>
      <c r="P243" s="143" t="n"/>
      <c r="Q243" s="145" t="n"/>
      <c r="R243" s="143" t="n"/>
      <c r="S243" s="145" t="n"/>
      <c r="T243" s="143" t="n"/>
      <c r="U243" s="143" t="n"/>
      <c r="V243" s="143" t="n"/>
      <c r="W243" s="143" t="n"/>
      <c r="X243" s="145" t="n"/>
      <c r="Y243" s="143" t="n"/>
      <c r="Z243" s="145" t="n"/>
      <c r="AA243" s="143" t="n"/>
      <c r="AB243" s="145" t="n"/>
      <c r="AC243" s="143" t="n"/>
      <c r="AD243" s="145" t="n"/>
      <c r="AE243" s="143" t="n"/>
      <c r="AF243" s="145" t="n"/>
    </row>
    <row r="244">
      <c r="D244" s="143" t="n"/>
      <c r="E244" s="143" t="n"/>
      <c r="F244" s="143" t="n"/>
      <c r="G244" s="145" t="n"/>
      <c r="H244" s="76" t="n"/>
      <c r="I244" s="145" t="n"/>
      <c r="J244" s="76" t="n"/>
      <c r="K244" s="143" t="n"/>
      <c r="M244" s="145" t="n"/>
      <c r="N244" s="143" t="n"/>
      <c r="O244" s="145" t="n"/>
      <c r="P244" s="143" t="n"/>
      <c r="Q244" s="145" t="n"/>
      <c r="R244" s="143" t="n"/>
      <c r="S244" s="145" t="n"/>
      <c r="T244" s="143" t="n"/>
      <c r="U244" s="143" t="n"/>
      <c r="V244" s="143" t="n"/>
      <c r="W244" s="143" t="n"/>
      <c r="X244" s="145" t="n"/>
      <c r="Y244" s="143" t="n"/>
      <c r="Z244" s="145" t="n"/>
      <c r="AA244" s="143" t="n"/>
      <c r="AB244" s="145" t="n"/>
      <c r="AC244" s="143" t="n"/>
      <c r="AD244" s="145" t="n"/>
      <c r="AE244" s="143" t="n"/>
      <c r="AF244" s="145" t="n"/>
    </row>
    <row r="245">
      <c r="D245" s="143" t="n"/>
      <c r="E245" s="145" t="n"/>
      <c r="F245" s="143" t="n"/>
      <c r="G245" s="145" t="n"/>
      <c r="H245" s="76" t="n"/>
      <c r="I245" s="143" t="n"/>
      <c r="J245" s="76" t="n"/>
      <c r="K245" s="143" t="n"/>
      <c r="M245" s="143" t="n"/>
      <c r="N245" s="143" t="n"/>
      <c r="O245" s="145" t="n"/>
      <c r="P245" s="143" t="n"/>
      <c r="Q245" s="145" t="n"/>
      <c r="R245" s="143" t="n"/>
      <c r="S245" s="145" t="n"/>
      <c r="T245" s="143" t="n"/>
      <c r="U245" s="143" t="n"/>
      <c r="V245" s="143" t="n"/>
      <c r="W245" s="143" t="n"/>
      <c r="X245" s="145" t="n"/>
      <c r="Y245" s="143" t="n"/>
      <c r="Z245" s="145" t="n"/>
      <c r="AA245" s="143" t="n"/>
      <c r="AB245" s="145" t="n"/>
      <c r="AC245" s="143" t="n"/>
      <c r="AD245" s="145" t="n"/>
      <c r="AE245" s="143" t="n"/>
      <c r="AF245" s="145" t="n"/>
    </row>
    <row r="246">
      <c r="D246" s="143" t="n"/>
      <c r="E246" s="143" t="n"/>
      <c r="F246" s="143" t="n"/>
      <c r="G246" s="143" t="n"/>
      <c r="H246" s="76" t="n"/>
      <c r="I246" s="143" t="n"/>
      <c r="J246" s="76" t="n"/>
      <c r="K246" s="143" t="n"/>
      <c r="M246" s="143" t="n"/>
      <c r="N246" s="143" t="n"/>
      <c r="O246" s="145" t="n"/>
      <c r="P246" s="143" t="n"/>
      <c r="Q246" s="145" t="n"/>
      <c r="R246" s="143" t="n"/>
      <c r="S246" s="145" t="n"/>
      <c r="T246" s="143" t="n"/>
      <c r="U246" s="143" t="n"/>
      <c r="V246" s="143" t="n"/>
      <c r="W246" s="143" t="n"/>
      <c r="X246" s="145" t="n"/>
      <c r="Y246" s="143" t="n"/>
      <c r="Z246" s="145" t="n"/>
      <c r="AA246" s="143" t="n"/>
      <c r="AB246" s="145" t="n"/>
      <c r="AC246" s="143" t="n"/>
      <c r="AD246" s="145" t="n"/>
      <c r="AE246" s="143" t="n"/>
      <c r="AF246" s="145" t="n"/>
    </row>
    <row r="247">
      <c r="D247" s="143" t="n"/>
      <c r="E247" s="145" t="n"/>
      <c r="F247" s="143" t="n"/>
      <c r="G247" s="145" t="n"/>
      <c r="H247" s="76" t="n"/>
      <c r="I247" s="145" t="n"/>
      <c r="J247" s="76" t="n"/>
      <c r="K247" s="143" t="n"/>
      <c r="M247" s="145" t="n"/>
      <c r="N247" s="143" t="n"/>
      <c r="O247" s="145" t="n"/>
      <c r="P247" s="143" t="n"/>
      <c r="Q247" s="145" t="n"/>
      <c r="R247" s="143" t="n"/>
      <c r="S247" s="145" t="n"/>
      <c r="T247" s="143" t="n"/>
      <c r="U247" s="143" t="n"/>
      <c r="V247" s="143" t="n"/>
      <c r="W247" s="143" t="n"/>
      <c r="X247" s="145" t="n"/>
      <c r="Y247" s="143" t="n"/>
      <c r="Z247" s="145" t="n"/>
      <c r="AA247" s="143" t="n"/>
      <c r="AB247" s="145" t="n"/>
      <c r="AC247" s="143" t="n"/>
      <c r="AD247" s="145" t="n"/>
      <c r="AE247" s="143" t="n"/>
      <c r="AF247" s="145" t="n"/>
    </row>
    <row r="248">
      <c r="D248" s="143" t="n"/>
      <c r="E248" s="145" t="n"/>
      <c r="F248" s="143" t="n"/>
      <c r="G248" s="145" t="n"/>
      <c r="H248" s="76" t="n"/>
      <c r="I248" s="145" t="n"/>
      <c r="J248" s="76" t="n"/>
      <c r="K248" s="143" t="n"/>
      <c r="M248" s="145" t="n"/>
      <c r="N248" s="143" t="n"/>
      <c r="O248" s="145" t="n"/>
      <c r="P248" s="143" t="n"/>
      <c r="Q248" s="145" t="n"/>
      <c r="R248" s="143" t="n"/>
      <c r="S248" s="145" t="n"/>
      <c r="T248" s="143" t="n"/>
      <c r="U248" s="143" t="n"/>
      <c r="V248" s="143" t="n"/>
      <c r="W248" s="143" t="n"/>
      <c r="X248" s="145" t="n"/>
      <c r="Y248" s="143" t="n"/>
      <c r="Z248" s="145" t="n"/>
      <c r="AA248" s="143" t="n"/>
      <c r="AB248" s="145" t="n"/>
      <c r="AC248" s="143" t="n"/>
      <c r="AD248" s="145" t="n"/>
      <c r="AE248" s="143" t="n"/>
      <c r="AF248" s="145" t="n"/>
    </row>
    <row r="249">
      <c r="D249" s="143" t="n"/>
      <c r="E249" s="145" t="n"/>
      <c r="F249" s="143" t="n"/>
      <c r="G249" s="143" t="n"/>
      <c r="H249" s="76" t="n"/>
      <c r="I249" s="143" t="n"/>
      <c r="J249" s="76" t="n"/>
      <c r="K249" s="143" t="n"/>
      <c r="M249" s="143" t="n"/>
      <c r="N249" s="143" t="n"/>
      <c r="O249" s="145" t="n"/>
      <c r="P249" s="143" t="n"/>
      <c r="Q249" s="145" t="n"/>
      <c r="R249" s="143" t="n"/>
      <c r="S249" s="145" t="n"/>
      <c r="T249" s="143" t="n"/>
      <c r="U249" s="143" t="n"/>
      <c r="V249" s="143" t="n"/>
      <c r="W249" s="143" t="n"/>
      <c r="X249" s="145" t="n"/>
      <c r="Y249" s="143" t="n"/>
      <c r="Z249" s="145" t="n"/>
      <c r="AA249" s="143" t="n"/>
      <c r="AB249" s="145" t="n"/>
      <c r="AC249" s="143" t="n"/>
      <c r="AD249" s="145" t="n"/>
      <c r="AE249" s="143" t="n"/>
      <c r="AF249" s="145" t="n"/>
    </row>
    <row r="250">
      <c r="D250" s="143" t="n"/>
      <c r="E250" s="145" t="n"/>
      <c r="F250" s="143" t="n"/>
      <c r="G250" s="145" t="n"/>
      <c r="H250" s="76" t="n"/>
      <c r="I250" s="145" t="n"/>
      <c r="J250" s="76" t="n"/>
      <c r="K250" s="143" t="n"/>
      <c r="M250" s="145" t="n"/>
      <c r="N250" s="143" t="n"/>
      <c r="O250" s="145" t="n"/>
      <c r="P250" s="143" t="n"/>
      <c r="Q250" s="145" t="n"/>
      <c r="R250" s="143" t="n"/>
      <c r="S250" s="145" t="n"/>
      <c r="T250" s="143" t="n"/>
      <c r="U250" s="143" t="n"/>
      <c r="V250" s="143" t="n"/>
      <c r="W250" s="143" t="n"/>
      <c r="X250" s="145" t="n"/>
      <c r="Y250" s="143" t="n"/>
      <c r="Z250" s="145" t="n"/>
      <c r="AA250" s="143" t="n"/>
      <c r="AB250" s="145" t="n"/>
      <c r="AC250" s="143" t="n"/>
      <c r="AD250" s="145" t="n"/>
      <c r="AE250" s="143" t="n"/>
      <c r="AF250" s="145" t="n"/>
    </row>
    <row r="251">
      <c r="D251" s="143" t="n"/>
      <c r="E251" s="145" t="n"/>
      <c r="F251" s="143" t="n"/>
      <c r="G251" s="145" t="n"/>
      <c r="H251" s="76" t="n"/>
      <c r="I251" s="145" t="n"/>
      <c r="J251" s="76" t="n"/>
      <c r="K251" s="143" t="n"/>
      <c r="M251" s="145" t="n"/>
      <c r="N251" s="143" t="n"/>
      <c r="O251" s="143" t="n"/>
      <c r="P251" s="143" t="n"/>
      <c r="Q251" s="143" t="n"/>
      <c r="R251" s="143" t="n"/>
      <c r="S251" s="143" t="n"/>
      <c r="T251" s="143" t="n"/>
      <c r="U251" s="143" t="n"/>
      <c r="V251" s="143" t="n"/>
      <c r="W251" s="143" t="n"/>
      <c r="X251" s="143" t="n"/>
      <c r="Y251" s="143" t="n"/>
      <c r="Z251" s="143" t="n"/>
      <c r="AA251" s="143" t="n"/>
      <c r="AB251" s="143" t="n"/>
      <c r="AC251" s="143" t="n"/>
      <c r="AD251" s="143" t="n"/>
      <c r="AE251" s="143" t="n"/>
      <c r="AF251" s="143" t="n"/>
    </row>
    <row r="252">
      <c r="D252" s="143" t="n"/>
      <c r="E252" s="145" t="n"/>
      <c r="F252" s="143" t="n"/>
      <c r="G252" s="145" t="n"/>
      <c r="H252" s="76" t="n"/>
      <c r="I252" s="145" t="n"/>
      <c r="J252" s="76" t="n"/>
      <c r="K252" s="143" t="n"/>
      <c r="M252" s="145" t="n"/>
      <c r="N252" s="143" t="n"/>
      <c r="O252" s="145" t="n"/>
      <c r="P252" s="143" t="n"/>
      <c r="Q252" s="145" t="n"/>
      <c r="R252" s="143" t="n"/>
      <c r="S252" s="145" t="n"/>
      <c r="T252" s="143" t="n"/>
      <c r="U252" s="143" t="n"/>
      <c r="V252" s="143" t="n"/>
      <c r="W252" s="143" t="n"/>
      <c r="X252" s="145" t="n"/>
      <c r="Y252" s="143" t="n"/>
      <c r="Z252" s="145" t="n"/>
      <c r="AA252" s="143" t="n"/>
      <c r="AB252" s="145" t="n"/>
      <c r="AC252" s="143" t="n"/>
      <c r="AD252" s="145" t="n"/>
      <c r="AE252" s="143" t="n"/>
      <c r="AF252" s="145" t="n"/>
    </row>
    <row r="253">
      <c r="D253" s="143" t="n"/>
      <c r="E253" s="145" t="n"/>
      <c r="F253" s="143" t="n"/>
      <c r="G253" s="145" t="n"/>
      <c r="H253" s="76" t="n"/>
      <c r="I253" s="145" t="n"/>
      <c r="J253" s="76" t="n"/>
      <c r="K253" s="143" t="n"/>
      <c r="M253" s="145" t="n"/>
      <c r="N253" s="143" t="n"/>
      <c r="O253" s="145" t="n"/>
      <c r="P253" s="143" t="n"/>
      <c r="Q253" s="145" t="n"/>
      <c r="R253" s="143" t="n"/>
      <c r="S253" s="145" t="n"/>
      <c r="T253" s="143" t="n"/>
      <c r="U253" s="143" t="n"/>
      <c r="V253" s="143" t="n"/>
      <c r="W253" s="143" t="n"/>
      <c r="X253" s="145" t="n"/>
      <c r="Y253" s="143" t="n"/>
      <c r="Z253" s="145" t="n"/>
      <c r="AA253" s="143" t="n"/>
      <c r="AB253" s="145" t="n"/>
      <c r="AC253" s="143" t="n"/>
      <c r="AD253" s="145" t="n"/>
      <c r="AE253" s="143" t="n"/>
      <c r="AF253" s="145" t="n"/>
    </row>
    <row r="254">
      <c r="D254" s="143" t="n"/>
      <c r="E254" s="145" t="n"/>
      <c r="F254" s="143" t="n"/>
      <c r="G254" s="145" t="n"/>
      <c r="H254" s="76" t="n"/>
      <c r="I254" s="145" t="n"/>
      <c r="J254" s="76" t="n"/>
      <c r="K254" s="143" t="n"/>
      <c r="M254" s="145" t="n"/>
      <c r="N254" s="143" t="n"/>
      <c r="O254" s="145" t="n"/>
      <c r="P254" s="143" t="n"/>
      <c r="Q254" s="145" t="n"/>
      <c r="R254" s="143" t="n"/>
      <c r="S254" s="145" t="n"/>
      <c r="T254" s="143" t="n"/>
      <c r="U254" s="143" t="n"/>
      <c r="V254" s="143" t="n"/>
      <c r="W254" s="143" t="n"/>
      <c r="X254" s="145" t="n"/>
      <c r="Y254" s="143" t="n"/>
      <c r="Z254" s="145" t="n"/>
      <c r="AA254" s="143" t="n"/>
      <c r="AB254" s="145" t="n"/>
      <c r="AC254" s="143" t="n"/>
      <c r="AD254" s="145" t="n"/>
      <c r="AE254" s="143" t="n"/>
      <c r="AF254" s="145" t="n"/>
    </row>
    <row r="255">
      <c r="D255" s="143" t="n"/>
      <c r="E255" s="143" t="n"/>
      <c r="F255" s="143" t="n"/>
      <c r="G255" s="145" t="n"/>
      <c r="H255" s="76" t="n"/>
      <c r="I255" s="145" t="n"/>
      <c r="J255" s="76" t="n"/>
      <c r="K255" s="143" t="n"/>
      <c r="M255" s="145" t="n"/>
      <c r="N255" s="143" t="n"/>
      <c r="O255" s="145" t="n"/>
      <c r="P255" s="143" t="n"/>
      <c r="Q255" s="145" t="n"/>
      <c r="R255" s="143" t="n"/>
      <c r="S255" s="145" t="n"/>
      <c r="T255" s="143" t="n"/>
      <c r="U255" s="143" t="n"/>
      <c r="V255" s="143" t="n"/>
      <c r="W255" s="143" t="n"/>
      <c r="X255" s="145" t="n"/>
      <c r="Y255" s="143" t="n"/>
      <c r="Z255" s="145" t="n"/>
      <c r="AA255" s="143" t="n"/>
      <c r="AB255" s="145" t="n"/>
      <c r="AC255" s="143" t="n"/>
      <c r="AD255" s="145" t="n"/>
      <c r="AE255" s="143" t="n"/>
      <c r="AF255" s="145" t="n"/>
    </row>
    <row r="256">
      <c r="D256" s="143" t="n"/>
      <c r="E256" s="145" t="n"/>
      <c r="F256" s="143" t="n"/>
      <c r="G256" s="145" t="n"/>
      <c r="H256" s="76" t="n"/>
      <c r="I256" s="145" t="n"/>
      <c r="J256" s="76" t="n"/>
      <c r="K256" s="143" t="n"/>
      <c r="M256" s="145" t="n"/>
      <c r="N256" s="143" t="n"/>
      <c r="O256" s="145" t="n"/>
      <c r="P256" s="143" t="n"/>
      <c r="Q256" s="145" t="n"/>
      <c r="R256" s="143" t="n"/>
      <c r="S256" s="145" t="n"/>
      <c r="T256" s="143" t="n"/>
      <c r="U256" s="143" t="n"/>
      <c r="V256" s="143" t="n"/>
      <c r="W256" s="143" t="n"/>
      <c r="X256" s="145" t="n"/>
      <c r="Y256" s="143" t="n"/>
      <c r="Z256" s="145" t="n"/>
      <c r="AA256" s="143" t="n"/>
      <c r="AB256" s="145" t="n"/>
      <c r="AC256" s="143" t="n"/>
      <c r="AD256" s="145" t="n"/>
      <c r="AE256" s="143" t="n"/>
      <c r="AF256" s="145" t="n"/>
    </row>
    <row r="257">
      <c r="D257" s="143" t="n"/>
      <c r="E257" s="143" t="n"/>
      <c r="F257" s="143" t="n"/>
      <c r="G257" s="143" t="n"/>
      <c r="H257" s="76" t="n"/>
      <c r="I257" s="143" t="n"/>
      <c r="J257" s="76" t="n"/>
      <c r="K257" s="143" t="n"/>
      <c r="M257" s="145" t="n"/>
      <c r="N257" s="143" t="n"/>
      <c r="O257" s="145" t="n"/>
      <c r="P257" s="143" t="n"/>
      <c r="Q257" s="145" t="n"/>
      <c r="R257" s="143" t="n"/>
      <c r="S257" s="145" t="n"/>
      <c r="T257" s="143" t="n"/>
      <c r="U257" s="143" t="n"/>
      <c r="V257" s="143" t="n"/>
      <c r="W257" s="143" t="n"/>
      <c r="X257" s="145" t="n"/>
      <c r="Y257" s="143" t="n"/>
      <c r="Z257" s="145" t="n"/>
      <c r="AA257" s="143" t="n"/>
      <c r="AB257" s="145" t="n"/>
      <c r="AC257" s="143" t="n"/>
      <c r="AD257" s="145" t="n"/>
      <c r="AE257" s="143" t="n"/>
      <c r="AF257" s="145" t="n"/>
    </row>
    <row r="258">
      <c r="D258" s="143" t="n"/>
      <c r="E258" s="145" t="n"/>
      <c r="F258" s="143" t="n"/>
      <c r="G258" s="145" t="n"/>
      <c r="H258" s="76" t="n"/>
      <c r="I258" s="145" t="n"/>
      <c r="J258" s="76" t="n"/>
      <c r="K258" s="143" t="n"/>
      <c r="M258" s="145" t="n"/>
      <c r="N258" s="143" t="n"/>
      <c r="O258" s="145" t="n"/>
      <c r="P258" s="143" t="n"/>
      <c r="Q258" s="145" t="n"/>
      <c r="R258" s="143" t="n"/>
      <c r="S258" s="145" t="n"/>
      <c r="T258" s="143" t="n"/>
      <c r="U258" s="143" t="n"/>
      <c r="V258" s="143" t="n"/>
      <c r="W258" s="143" t="n"/>
      <c r="X258" s="145" t="n"/>
      <c r="Y258" s="143" t="n"/>
      <c r="Z258" s="145" t="n"/>
      <c r="AA258" s="143" t="n"/>
      <c r="AB258" s="145" t="n"/>
      <c r="AC258" s="143" t="n"/>
      <c r="AD258" s="145" t="n"/>
      <c r="AE258" s="143" t="n"/>
      <c r="AF258" s="145" t="n"/>
    </row>
    <row r="259">
      <c r="A259" s="22" t="n"/>
      <c r="B259" s="22" t="n"/>
      <c r="C259" s="22" t="n"/>
      <c r="D259" s="76" t="n"/>
      <c r="E259" s="88" t="n"/>
      <c r="F259" s="76" t="n"/>
      <c r="G259" s="88" t="n"/>
      <c r="H259" s="76" t="n"/>
      <c r="I259" s="88" t="n"/>
      <c r="J259" s="76" t="n"/>
      <c r="K259" s="76" t="n"/>
      <c r="M259" s="88" t="n"/>
      <c r="N259" s="76" t="n"/>
      <c r="O259" s="88" t="n"/>
      <c r="P259" s="76" t="n"/>
      <c r="Q259" s="88" t="n"/>
      <c r="R259" s="76" t="n"/>
      <c r="S259" s="88" t="n"/>
      <c r="T259" s="76" t="n"/>
      <c r="U259" s="76" t="n"/>
      <c r="V259" s="76" t="n"/>
      <c r="W259" s="76" t="n"/>
      <c r="X259" s="88" t="n"/>
      <c r="Y259" s="76" t="n"/>
      <c r="Z259" s="88" t="n"/>
      <c r="AA259" s="76" t="n"/>
      <c r="AB259" s="88" t="n"/>
      <c r="AC259" s="76" t="n"/>
      <c r="AD259" s="88" t="n"/>
      <c r="AE259" s="76" t="n"/>
      <c r="AF259" s="88" t="n"/>
    </row>
    <row r="260">
      <c r="A260" s="22" t="n"/>
      <c r="B260" s="22" t="n"/>
      <c r="C260" s="22" t="n"/>
      <c r="D260" s="76" t="n"/>
      <c r="E260" s="76" t="n"/>
      <c r="F260" s="76" t="n"/>
      <c r="G260" s="76" t="n"/>
      <c r="H260" s="76" t="n"/>
      <c r="I260" s="76" t="n"/>
      <c r="J260" s="76" t="n"/>
      <c r="K260" s="76" t="n"/>
      <c r="M260" s="76" t="n"/>
      <c r="N260" s="76" t="n"/>
      <c r="O260" s="76" t="n"/>
      <c r="P260" s="76" t="n"/>
      <c r="Q260" s="76" t="n"/>
      <c r="R260" s="76" t="n"/>
      <c r="S260" s="76" t="n"/>
      <c r="T260" s="76" t="n"/>
      <c r="U260" s="76" t="n"/>
      <c r="V260" s="76" t="n"/>
      <c r="W260" s="76" t="n"/>
      <c r="X260" s="76" t="n"/>
      <c r="Y260" s="76" t="n"/>
      <c r="Z260" s="76" t="n"/>
      <c r="AA260" s="76" t="n"/>
      <c r="AB260" s="76" t="n"/>
      <c r="AC260" s="76" t="n"/>
      <c r="AD260" s="76" t="n"/>
      <c r="AE260" s="76" t="n"/>
      <c r="AF260" s="76" t="n"/>
    </row>
    <row r="261">
      <c r="D261" s="143" t="n"/>
      <c r="E261" s="145" t="n"/>
      <c r="F261" s="143" t="n"/>
      <c r="G261" s="145" t="n"/>
      <c r="H261" s="76" t="n"/>
      <c r="I261" s="145" t="n"/>
      <c r="J261" s="76" t="n"/>
      <c r="K261" s="143" t="n"/>
      <c r="M261" s="145" t="n"/>
      <c r="N261" s="143" t="n"/>
      <c r="O261" s="145" t="n"/>
      <c r="P261" s="143" t="n"/>
      <c r="Q261" s="145" t="n"/>
      <c r="R261" s="143" t="n"/>
      <c r="S261" s="145" t="n"/>
      <c r="T261" s="143" t="n"/>
      <c r="U261" s="143" t="n"/>
      <c r="V261" s="143" t="n"/>
      <c r="W261" s="143" t="n"/>
      <c r="X261" s="145" t="n"/>
      <c r="Y261" s="143" t="n"/>
      <c r="Z261" s="145" t="n"/>
      <c r="AA261" s="143" t="n"/>
      <c r="AB261" s="145" t="n"/>
      <c r="AC261" s="143" t="n"/>
      <c r="AD261" s="145" t="n"/>
      <c r="AE261" s="143" t="n"/>
      <c r="AF261" s="145" t="n"/>
    </row>
    <row r="262">
      <c r="D262" s="143" t="n"/>
      <c r="E262" s="145" t="n"/>
      <c r="F262" s="143" t="n"/>
      <c r="G262" s="145" t="n"/>
      <c r="H262" s="76" t="n"/>
      <c r="I262" s="145" t="n"/>
      <c r="J262" s="76" t="n"/>
      <c r="K262" s="143" t="n"/>
      <c r="M262" s="145" t="n"/>
      <c r="N262" s="143" t="n"/>
      <c r="O262" s="145" t="n"/>
      <c r="P262" s="143" t="n"/>
      <c r="Q262" s="145" t="n"/>
      <c r="R262" s="143" t="n"/>
      <c r="S262" s="145" t="n"/>
      <c r="T262" s="143" t="n"/>
      <c r="U262" s="143" t="n"/>
      <c r="V262" s="143" t="n"/>
      <c r="W262" s="143" t="n"/>
      <c r="X262" s="145" t="n"/>
      <c r="Y262" s="143" t="n"/>
      <c r="Z262" s="145" t="n"/>
      <c r="AA262" s="143" t="n"/>
      <c r="AB262" s="145" t="n"/>
      <c r="AC262" s="143" t="n"/>
      <c r="AD262" s="145" t="n"/>
      <c r="AE262" s="143" t="n"/>
      <c r="AF262" s="145" t="n"/>
    </row>
    <row r="263">
      <c r="D263" s="76" t="n"/>
      <c r="E263" s="134" t="n"/>
      <c r="F263" s="76" t="n"/>
      <c r="G263" s="134" t="n"/>
      <c r="H263" s="76" t="n"/>
      <c r="I263" s="134" t="n"/>
      <c r="J263" s="76" t="n"/>
      <c r="K263" s="143" t="n"/>
      <c r="M263" s="145" t="n"/>
      <c r="N263" s="143" t="n"/>
      <c r="O263" s="145" t="n"/>
      <c r="P263" s="143" t="n"/>
      <c r="Q263" s="145" t="n"/>
      <c r="R263" s="143" t="n"/>
      <c r="S263" s="145" t="n"/>
      <c r="T263" s="143" t="n"/>
      <c r="U263" s="143" t="n"/>
      <c r="V263" s="143" t="n"/>
      <c r="W263" s="143" t="n"/>
      <c r="X263" s="145" t="n"/>
      <c r="Y263" s="143" t="n"/>
      <c r="Z263" s="145" t="n"/>
      <c r="AA263" s="143" t="n"/>
      <c r="AB263" s="145" t="n"/>
      <c r="AC263" s="143" t="n"/>
      <c r="AD263" s="145" t="n"/>
      <c r="AE263" s="143" t="n"/>
      <c r="AF263" s="145" t="n"/>
    </row>
    <row r="264">
      <c r="D264" s="143" t="n"/>
      <c r="E264" s="145" t="n"/>
      <c r="F264" s="143" t="n"/>
      <c r="G264" s="145" t="n"/>
      <c r="H264" s="76" t="n"/>
      <c r="I264" s="145" t="n"/>
      <c r="J264" s="76" t="n"/>
      <c r="K264" s="143" t="n"/>
      <c r="M264" s="145" t="n"/>
      <c r="N264" s="143" t="n"/>
      <c r="O264" s="145" t="n"/>
      <c r="P264" s="143" t="n"/>
      <c r="Q264" s="145" t="n"/>
      <c r="R264" s="143" t="n"/>
      <c r="S264" s="145" t="n"/>
      <c r="T264" s="143" t="n"/>
      <c r="U264" s="143" t="n"/>
      <c r="V264" s="143" t="n"/>
      <c r="W264" s="143" t="n"/>
      <c r="X264" s="145" t="n"/>
      <c r="Y264" s="143" t="n"/>
      <c r="Z264" s="145" t="n"/>
      <c r="AA264" s="143" t="n"/>
      <c r="AB264" s="145" t="n"/>
      <c r="AC264" s="143" t="n"/>
      <c r="AD264" s="145" t="n"/>
      <c r="AE264" s="143" t="n"/>
      <c r="AF264" s="145" t="n"/>
    </row>
    <row r="265">
      <c r="D265" s="143" t="n"/>
      <c r="E265" s="145" t="n"/>
      <c r="F265" s="143" t="n"/>
      <c r="G265" s="145" t="n"/>
      <c r="H265" s="76" t="n"/>
      <c r="I265" s="145" t="n"/>
      <c r="J265" s="76" t="n"/>
      <c r="K265" s="143" t="n"/>
      <c r="M265" s="145" t="n"/>
      <c r="N265" s="143" t="n"/>
      <c r="O265" s="145" t="n"/>
      <c r="P265" s="143" t="n"/>
      <c r="Q265" s="145" t="n"/>
      <c r="R265" s="143" t="n"/>
      <c r="S265" s="145" t="n"/>
      <c r="T265" s="143" t="n"/>
      <c r="U265" s="143" t="n"/>
      <c r="V265" s="143" t="n"/>
      <c r="W265" s="143" t="n"/>
      <c r="X265" s="145" t="n"/>
      <c r="Y265" s="143" t="n"/>
      <c r="Z265" s="145" t="n"/>
      <c r="AA265" s="143" t="n"/>
      <c r="AB265" s="145" t="n"/>
      <c r="AC265" s="143" t="n"/>
      <c r="AD265" s="145" t="n"/>
      <c r="AE265" s="143" t="n"/>
      <c r="AF265" s="145" t="n"/>
    </row>
    <row r="266">
      <c r="D266" s="143" t="n"/>
      <c r="E266" s="145" t="n"/>
      <c r="F266" s="143" t="n"/>
      <c r="G266" s="145" t="n"/>
      <c r="H266" s="76" t="n"/>
      <c r="I266" s="145" t="n"/>
      <c r="J266" s="76" t="n"/>
      <c r="K266" s="143" t="n"/>
      <c r="M266" s="145" t="n"/>
      <c r="N266" s="143" t="n"/>
      <c r="O266" s="145" t="n"/>
      <c r="P266" s="143" t="n"/>
      <c r="Q266" s="145" t="n"/>
      <c r="R266" s="143" t="n"/>
      <c r="S266" s="145" t="n"/>
      <c r="T266" s="143" t="n"/>
      <c r="U266" s="143" t="n"/>
      <c r="V266" s="143" t="n"/>
      <c r="W266" s="143" t="n"/>
      <c r="X266" s="145" t="n"/>
      <c r="Y266" s="143" t="n"/>
      <c r="Z266" s="145" t="n"/>
      <c r="AA266" s="143" t="n"/>
      <c r="AB266" s="145" t="n"/>
      <c r="AC266" s="143" t="n"/>
      <c r="AD266" s="145" t="n"/>
      <c r="AE266" s="143" t="n"/>
      <c r="AF266" s="145" t="n"/>
    </row>
    <row r="267">
      <c r="D267" s="143" t="n"/>
      <c r="E267" s="88" t="n"/>
      <c r="F267" s="143" t="n"/>
      <c r="G267" s="88" t="n"/>
      <c r="H267" s="76" t="n"/>
      <c r="I267" s="88" t="n"/>
      <c r="J267" s="76" t="n"/>
      <c r="K267" s="143" t="n"/>
      <c r="M267" s="88" t="n"/>
      <c r="N267" s="143" t="n"/>
      <c r="O267" s="88" t="n"/>
      <c r="P267" s="143" t="n"/>
      <c r="Q267" s="88" t="n"/>
      <c r="R267" s="143" t="n"/>
      <c r="S267" s="88" t="n"/>
      <c r="T267" s="143" t="n"/>
      <c r="U267" s="143" t="n"/>
      <c r="V267" s="143" t="n"/>
      <c r="W267" s="143" t="n"/>
      <c r="X267" s="88" t="n"/>
      <c r="Y267" s="143" t="n"/>
      <c r="Z267" s="88" t="n"/>
      <c r="AA267" s="143" t="n"/>
      <c r="AB267" s="88" t="n"/>
      <c r="AC267" s="143" t="n"/>
      <c r="AD267" s="88" t="n"/>
      <c r="AE267" s="143" t="n"/>
      <c r="AF267" s="88" t="n"/>
    </row>
    <row r="268">
      <c r="D268" s="76" t="n"/>
      <c r="E268" s="134" t="n"/>
      <c r="F268" s="76" t="n"/>
      <c r="G268" s="134" t="n"/>
      <c r="H268" s="76" t="n"/>
      <c r="I268" s="134" t="n"/>
      <c r="J268" s="76" t="n"/>
      <c r="K268" s="143" t="n"/>
      <c r="M268" s="145" t="n"/>
      <c r="N268" s="143" t="n"/>
      <c r="O268" s="145" t="n"/>
      <c r="P268" s="143" t="n"/>
      <c r="Q268" s="145" t="n"/>
      <c r="R268" s="143" t="n"/>
      <c r="S268" s="145" t="n"/>
      <c r="T268" s="143" t="n"/>
      <c r="U268" s="143" t="n"/>
      <c r="V268" s="143" t="n"/>
      <c r="W268" s="143" t="n"/>
      <c r="X268" s="145" t="n"/>
      <c r="Y268" s="143" t="n"/>
      <c r="Z268" s="145" t="n"/>
      <c r="AA268" s="143" t="n"/>
      <c r="AB268" s="145" t="n"/>
      <c r="AC268" s="143" t="n"/>
      <c r="AD268" s="145" t="n"/>
      <c r="AE268" s="143" t="n"/>
      <c r="AF268" s="145" t="n"/>
    </row>
    <row r="269">
      <c r="A269" s="22" t="n"/>
      <c r="B269" s="22" t="n"/>
      <c r="C269" s="22" t="n"/>
      <c r="D269" s="170" t="n"/>
      <c r="E269" s="121" t="n"/>
      <c r="F269" s="170" t="n"/>
      <c r="G269" s="121" t="n"/>
      <c r="H269" s="145" t="n"/>
      <c r="I269" s="128" t="n"/>
      <c r="J269" s="145" t="n"/>
      <c r="K269" s="133" t="n"/>
      <c r="M269" s="128" t="n"/>
      <c r="N269" s="145" t="n"/>
      <c r="O269" s="128" t="n"/>
      <c r="P269" s="145" t="n"/>
      <c r="Q269" s="128" t="n"/>
      <c r="R269" s="145" t="n"/>
      <c r="S269" s="128" t="n"/>
      <c r="T269" s="145" t="n"/>
      <c r="U269" s="145" t="n"/>
      <c r="V269" s="145" t="n"/>
      <c r="W269" s="145" t="n"/>
      <c r="X269" s="128" t="n"/>
      <c r="Y269" s="145" t="n"/>
      <c r="Z269" s="128" t="n"/>
      <c r="AA269" s="145" t="n"/>
      <c r="AB269" s="128" t="n"/>
      <c r="AC269" s="145" t="n"/>
      <c r="AD269" s="128" t="n"/>
      <c r="AE269" s="145" t="n"/>
      <c r="AF269" s="128" t="n"/>
    </row>
    <row r="270">
      <c r="D270" s="142" t="n"/>
      <c r="E270" s="142" t="n"/>
      <c r="F270" s="142" t="n"/>
      <c r="G270" s="142" t="n"/>
      <c r="H270" s="142" t="n"/>
      <c r="I270" s="142" t="n"/>
      <c r="J270" s="142" t="n"/>
      <c r="K270" s="142" t="n"/>
      <c r="M270" s="142" t="n"/>
      <c r="N270" s="142" t="n"/>
      <c r="O270" s="142" t="n"/>
      <c r="P270" s="142" t="n"/>
      <c r="Q270" s="142" t="n"/>
      <c r="R270" s="142" t="n"/>
      <c r="S270" s="142" t="n"/>
      <c r="T270" s="142" t="n"/>
      <c r="U270" s="142" t="n"/>
      <c r="V270" s="142" t="n"/>
      <c r="W270" s="142" t="n"/>
      <c r="X270" s="142" t="n"/>
      <c r="Y270" s="142" t="n"/>
      <c r="Z270" s="142" t="n"/>
      <c r="AA270" s="142" t="n"/>
      <c r="AB270" s="142" t="n"/>
      <c r="AC270" s="142" t="n"/>
      <c r="AD270" s="142" t="n"/>
      <c r="AE270" s="142" t="n"/>
      <c r="AF270" s="142" t="n"/>
    </row>
    <row r="271">
      <c r="A271" s="22" t="n"/>
      <c r="B271" s="22" t="n"/>
      <c r="C271" s="22" t="n"/>
      <c r="D271" s="142" t="n"/>
      <c r="E271" s="142" t="n"/>
      <c r="F271" s="142" t="n"/>
      <c r="G271" s="142" t="n"/>
      <c r="H271" s="142" t="n"/>
      <c r="I271" s="142" t="n"/>
      <c r="J271" s="142" t="n"/>
      <c r="K271" s="142" t="n"/>
      <c r="M271" s="142" t="n"/>
      <c r="N271" s="142" t="n"/>
      <c r="O271" s="142" t="n"/>
      <c r="P271" s="142" t="n"/>
      <c r="Q271" s="142" t="n"/>
      <c r="R271" s="142" t="n"/>
      <c r="S271" s="142" t="n"/>
      <c r="T271" s="142" t="n"/>
      <c r="U271" s="142" t="n"/>
      <c r="V271" s="142" t="n"/>
      <c r="W271" s="142" t="n"/>
      <c r="X271" s="142" t="n"/>
      <c r="Y271" s="142" t="n"/>
      <c r="Z271" s="142" t="n"/>
      <c r="AA271" s="142" t="n"/>
      <c r="AB271" s="142" t="n"/>
      <c r="AC271" s="142" t="n"/>
      <c r="AD271" s="142" t="n"/>
      <c r="AE271" s="142" t="n"/>
      <c r="AF271" s="142" t="n"/>
    </row>
    <row r="272">
      <c r="D272" s="145" t="n"/>
      <c r="E272" s="145" t="n"/>
      <c r="F272" s="145" t="n"/>
      <c r="G272" s="145" t="n"/>
      <c r="H272" s="108" t="n"/>
      <c r="I272" s="145" t="n"/>
      <c r="J272" s="108" t="n"/>
      <c r="K272" s="108" t="n"/>
      <c r="M272" s="145" t="n"/>
      <c r="N272" s="108" t="n"/>
      <c r="O272" s="145" t="n"/>
      <c r="P272" s="108" t="n"/>
      <c r="Q272" s="145" t="n"/>
      <c r="R272" s="108" t="n"/>
      <c r="S272" s="145" t="n"/>
      <c r="T272" s="108" t="n"/>
      <c r="U272" s="108" t="n"/>
      <c r="V272" s="108" t="n"/>
      <c r="W272" s="108" t="n"/>
      <c r="X272" s="145" t="n"/>
      <c r="Y272" s="108" t="n"/>
      <c r="Z272" s="145" t="n"/>
      <c r="AA272" s="108" t="n"/>
      <c r="AB272" s="145" t="n"/>
      <c r="AC272" s="108" t="n"/>
      <c r="AD272" s="145" t="n"/>
      <c r="AE272" s="108" t="n"/>
      <c r="AF272" s="145" t="n"/>
    </row>
    <row r="273">
      <c r="A273" s="31" t="n"/>
      <c r="B273" s="31" t="n"/>
      <c r="C273" s="31" t="n"/>
      <c r="D273" s="145" t="n"/>
      <c r="E273" s="145" t="n"/>
      <c r="F273" s="145" t="n"/>
      <c r="G273" s="145" t="n"/>
      <c r="H273" s="108" t="n"/>
      <c r="I273" s="145" t="n"/>
      <c r="J273" s="108" t="n"/>
      <c r="K273" s="108" t="n"/>
      <c r="M273" s="145" t="n"/>
      <c r="N273" s="108" t="n"/>
      <c r="O273" s="145" t="n"/>
      <c r="P273" s="108" t="n"/>
      <c r="Q273" s="145" t="n"/>
      <c r="R273" s="108" t="n"/>
      <c r="S273" s="145" t="n"/>
      <c r="T273" s="108" t="n"/>
      <c r="U273" s="108" t="n"/>
      <c r="V273" s="108" t="n"/>
      <c r="W273" s="108" t="n"/>
      <c r="X273" s="145" t="n"/>
      <c r="Y273" s="108" t="n"/>
      <c r="Z273" s="145" t="n"/>
      <c r="AA273" s="108" t="n"/>
      <c r="AB273" s="145" t="n"/>
      <c r="AC273" s="108" t="n"/>
      <c r="AD273" s="145" t="n"/>
      <c r="AE273" s="108" t="n"/>
      <c r="AF273" s="145" t="n"/>
    </row>
    <row r="274">
      <c r="D274" s="145" t="n"/>
      <c r="E274" s="145" t="n"/>
      <c r="F274" s="145" t="n"/>
      <c r="G274" s="145" t="n"/>
      <c r="H274" s="108" t="n"/>
      <c r="I274" s="145" t="n"/>
      <c r="J274" s="108" t="n"/>
      <c r="K274" s="108" t="n"/>
      <c r="M274" s="145" t="n"/>
      <c r="N274" s="108" t="n"/>
      <c r="O274" s="145" t="n"/>
      <c r="P274" s="108" t="n"/>
      <c r="Q274" s="145" t="n"/>
      <c r="R274" s="108" t="n"/>
      <c r="S274" s="145" t="n"/>
      <c r="T274" s="108" t="n"/>
      <c r="U274" s="108" t="n"/>
      <c r="V274" s="108" t="n"/>
      <c r="W274" s="108" t="n"/>
      <c r="X274" s="145" t="n"/>
      <c r="Y274" s="108" t="n"/>
      <c r="Z274" s="145" t="n"/>
      <c r="AA274" s="108" t="n"/>
      <c r="AB274" s="145" t="n"/>
      <c r="AC274" s="108" t="n"/>
      <c r="AD274" s="145" t="n"/>
      <c r="AE274" s="108" t="n"/>
      <c r="AF274" s="145" t="n"/>
    </row>
    <row r="275">
      <c r="D275" s="145" t="n"/>
      <c r="E275" s="145" t="n"/>
      <c r="F275" s="145" t="n"/>
      <c r="G275" s="145" t="n"/>
      <c r="H275" s="108" t="n"/>
      <c r="I275" s="145" t="n"/>
      <c r="J275" s="108" t="n"/>
      <c r="K275" s="108" t="n"/>
      <c r="M275" s="145" t="n"/>
      <c r="N275" s="108" t="n"/>
      <c r="O275" s="145" t="n"/>
      <c r="P275" s="108" t="n"/>
      <c r="Q275" s="145" t="n"/>
      <c r="R275" s="108" t="n"/>
      <c r="S275" s="145" t="n"/>
      <c r="T275" s="108" t="n"/>
      <c r="U275" s="108" t="n"/>
      <c r="V275" s="108" t="n"/>
      <c r="W275" s="108" t="n"/>
      <c r="X275" s="145" t="n"/>
      <c r="Y275" s="108" t="n"/>
      <c r="Z275" s="145" t="n"/>
      <c r="AA275" s="108" t="n"/>
      <c r="AB275" s="145" t="n"/>
      <c r="AC275" s="108" t="n"/>
      <c r="AD275" s="145" t="n"/>
      <c r="AE275" s="108" t="n"/>
      <c r="AF275" s="145" t="n"/>
    </row>
    <row r="276">
      <c r="D276" s="145" t="n"/>
      <c r="E276" s="145" t="n"/>
      <c r="F276" s="145" t="n"/>
      <c r="G276" s="145" t="n"/>
      <c r="H276" s="108" t="n"/>
      <c r="I276" s="145" t="n"/>
      <c r="J276" s="108" t="n"/>
      <c r="K276" s="108" t="n"/>
      <c r="M276" s="145" t="n"/>
      <c r="N276" s="108" t="n"/>
      <c r="O276" s="145" t="n"/>
      <c r="P276" s="108" t="n"/>
      <c r="Q276" s="145" t="n"/>
      <c r="R276" s="108" t="n"/>
      <c r="S276" s="145" t="n"/>
      <c r="T276" s="108" t="n"/>
      <c r="U276" s="108" t="n"/>
      <c r="V276" s="108" t="n"/>
      <c r="W276" s="108" t="n"/>
      <c r="X276" s="145" t="n"/>
      <c r="Y276" s="108" t="n"/>
      <c r="Z276" s="145" t="n"/>
      <c r="AA276" s="108" t="n"/>
      <c r="AB276" s="145" t="n"/>
      <c r="AC276" s="108" t="n"/>
      <c r="AD276" s="145" t="n"/>
      <c r="AE276" s="108" t="n"/>
      <c r="AF276" s="145" t="n"/>
    </row>
    <row r="277">
      <c r="D277" s="145" t="n"/>
      <c r="E277" s="145" t="n"/>
      <c r="F277" s="145" t="n"/>
      <c r="G277" s="145" t="n"/>
      <c r="H277" s="108" t="n"/>
      <c r="I277" s="145" t="n"/>
      <c r="J277" s="108" t="n"/>
      <c r="K277" s="108" t="n"/>
      <c r="M277" s="145" t="n"/>
      <c r="N277" s="108" t="n"/>
      <c r="O277" s="145" t="n"/>
      <c r="P277" s="108" t="n"/>
      <c r="Q277" s="145" t="n"/>
      <c r="R277" s="108" t="n"/>
      <c r="S277" s="145" t="n"/>
      <c r="T277" s="108" t="n"/>
      <c r="U277" s="108" t="n"/>
      <c r="V277" s="108" t="n"/>
      <c r="W277" s="108" t="n"/>
      <c r="X277" s="145" t="n"/>
      <c r="Y277" s="108" t="n"/>
      <c r="Z277" s="145" t="n"/>
      <c r="AA277" s="108" t="n"/>
      <c r="AB277" s="145" t="n"/>
      <c r="AC277" s="108" t="n"/>
      <c r="AD277" s="145" t="n"/>
      <c r="AE277" s="108" t="n"/>
      <c r="AF277" s="145" t="n"/>
    </row>
    <row r="278">
      <c r="D278" s="145" t="n"/>
      <c r="E278" s="145" t="n"/>
      <c r="F278" s="145" t="n"/>
      <c r="G278" s="145" t="n"/>
      <c r="H278" s="108" t="n"/>
      <c r="I278" s="145" t="n"/>
      <c r="J278" s="108" t="n"/>
      <c r="K278" s="108" t="n"/>
      <c r="M278" s="145" t="n"/>
      <c r="N278" s="108" t="n"/>
      <c r="O278" s="145" t="n"/>
      <c r="P278" s="108" t="n"/>
      <c r="Q278" s="145" t="n"/>
      <c r="R278" s="108" t="n"/>
      <c r="S278" s="145" t="n"/>
      <c r="T278" s="108" t="n"/>
      <c r="U278" s="108" t="n"/>
      <c r="V278" s="108" t="n"/>
      <c r="W278" s="108" t="n"/>
      <c r="X278" s="145" t="n"/>
      <c r="Y278" s="108" t="n"/>
      <c r="Z278" s="145" t="n"/>
      <c r="AA278" s="108" t="n"/>
      <c r="AB278" s="145" t="n"/>
      <c r="AC278" s="108" t="n"/>
      <c r="AD278" s="145" t="n"/>
      <c r="AE278" s="108" t="n"/>
      <c r="AF278" s="145" t="n"/>
    </row>
    <row r="279">
      <c r="D279" s="145" t="n"/>
      <c r="E279" s="145" t="n"/>
      <c r="F279" s="145" t="n"/>
      <c r="G279" s="145" t="n"/>
      <c r="H279" s="108" t="n"/>
      <c r="I279" s="145" t="n"/>
      <c r="J279" s="108" t="n"/>
      <c r="K279" s="108" t="n"/>
      <c r="M279" s="145" t="n"/>
      <c r="N279" s="108" t="n"/>
      <c r="O279" s="145" t="n"/>
      <c r="P279" s="108" t="n"/>
      <c r="Q279" s="145" t="n"/>
      <c r="R279" s="108" t="n"/>
      <c r="S279" s="145" t="n"/>
      <c r="T279" s="108" t="n"/>
      <c r="U279" s="108" t="n"/>
      <c r="V279" s="108" t="n"/>
      <c r="W279" s="108" t="n"/>
      <c r="X279" s="145" t="n"/>
      <c r="Y279" s="108" t="n"/>
      <c r="Z279" s="145" t="n"/>
      <c r="AA279" s="108" t="n"/>
      <c r="AB279" s="145" t="n"/>
      <c r="AC279" s="108" t="n"/>
      <c r="AD279" s="145" t="n"/>
      <c r="AE279" s="108" t="n"/>
      <c r="AF279" s="145" t="n"/>
    </row>
    <row r="280">
      <c r="D280" s="145" t="n"/>
      <c r="E280" s="145" t="n"/>
      <c r="F280" s="145" t="n"/>
      <c r="G280" s="145" t="n"/>
      <c r="H280" s="108" t="n"/>
      <c r="I280" s="145" t="n"/>
      <c r="J280" s="108" t="n"/>
      <c r="K280" s="108" t="n"/>
      <c r="M280" s="145" t="n"/>
      <c r="N280" s="108" t="n"/>
      <c r="O280" s="145" t="n"/>
      <c r="P280" s="108" t="n"/>
      <c r="Q280" s="145" t="n"/>
      <c r="R280" s="108" t="n"/>
      <c r="S280" s="145" t="n"/>
      <c r="T280" s="108" t="n"/>
      <c r="U280" s="108" t="n"/>
      <c r="V280" s="108" t="n"/>
      <c r="W280" s="108" t="n"/>
      <c r="X280" s="145" t="n"/>
      <c r="Y280" s="108" t="n"/>
      <c r="Z280" s="145" t="n"/>
      <c r="AA280" s="108" t="n"/>
      <c r="AB280" s="145" t="n"/>
      <c r="AC280" s="108" t="n"/>
      <c r="AD280" s="145" t="n"/>
      <c r="AE280" s="108" t="n"/>
      <c r="AF280" s="145" t="n"/>
    </row>
    <row r="281">
      <c r="D281" s="145" t="n"/>
      <c r="E281" s="145" t="n"/>
      <c r="F281" s="145" t="n"/>
      <c r="G281" s="145" t="n"/>
      <c r="H281" s="108" t="n"/>
      <c r="I281" s="145" t="n"/>
      <c r="J281" s="108" t="n"/>
      <c r="K281" s="108" t="n"/>
      <c r="M281" s="145" t="n"/>
      <c r="N281" s="108" t="n"/>
      <c r="O281" s="145" t="n"/>
      <c r="P281" s="108" t="n"/>
      <c r="Q281" s="145" t="n"/>
      <c r="R281" s="108" t="n"/>
      <c r="S281" s="145" t="n"/>
      <c r="T281" s="108" t="n"/>
      <c r="U281" s="108" t="n"/>
      <c r="V281" s="108" t="n"/>
      <c r="W281" s="108" t="n"/>
      <c r="X281" s="145" t="n"/>
      <c r="Y281" s="108" t="n"/>
      <c r="Z281" s="145" t="n"/>
      <c r="AA281" s="108" t="n"/>
      <c r="AB281" s="145" t="n"/>
      <c r="AC281" s="108" t="n"/>
      <c r="AD281" s="145" t="n"/>
      <c r="AE281" s="108" t="n"/>
      <c r="AF281" s="145" t="n"/>
    </row>
    <row r="282">
      <c r="D282" s="145" t="n"/>
      <c r="E282" s="145" t="n"/>
      <c r="F282" s="145" t="n"/>
      <c r="G282" s="145" t="n"/>
      <c r="H282" s="108" t="n"/>
      <c r="I282" s="145" t="n"/>
      <c r="J282" s="108" t="n"/>
      <c r="K282" s="108" t="n"/>
      <c r="M282" s="145" t="n"/>
      <c r="N282" s="108" t="n"/>
      <c r="O282" s="145" t="n"/>
      <c r="P282" s="108" t="n"/>
      <c r="Q282" s="145" t="n"/>
      <c r="R282" s="108" t="n"/>
      <c r="S282" s="145" t="n"/>
      <c r="T282" s="108" t="n"/>
      <c r="U282" s="108" t="n"/>
      <c r="V282" s="108" t="n"/>
      <c r="W282" s="108" t="n"/>
      <c r="X282" s="145" t="n"/>
      <c r="Y282" s="108" t="n"/>
      <c r="Z282" s="145" t="n"/>
      <c r="AA282" s="108" t="n"/>
      <c r="AB282" s="145" t="n"/>
      <c r="AC282" s="108" t="n"/>
      <c r="AD282" s="145" t="n"/>
      <c r="AE282" s="108" t="n"/>
      <c r="AF282" s="145" t="n"/>
    </row>
    <row r="283">
      <c r="D283" s="145" t="n"/>
      <c r="E283" s="145" t="n"/>
      <c r="F283" s="145" t="n"/>
      <c r="G283" s="145" t="n"/>
      <c r="H283" s="108" t="n"/>
      <c r="I283" s="145" t="n"/>
      <c r="J283" s="108" t="n"/>
      <c r="K283" s="108" t="n"/>
      <c r="M283" s="145" t="n"/>
      <c r="N283" s="108" t="n"/>
      <c r="O283" s="145" t="n"/>
      <c r="P283" s="108" t="n"/>
      <c r="Q283" s="145" t="n"/>
      <c r="R283" s="108" t="n"/>
      <c r="S283" s="145" t="n"/>
      <c r="T283" s="108" t="n"/>
      <c r="U283" s="108" t="n"/>
      <c r="V283" s="108" t="n"/>
      <c r="W283" s="108" t="n"/>
      <c r="X283" s="145" t="n"/>
      <c r="Y283" s="108" t="n"/>
      <c r="Z283" s="145" t="n"/>
      <c r="AA283" s="108" t="n"/>
      <c r="AB283" s="145" t="n"/>
      <c r="AC283" s="108" t="n"/>
      <c r="AD283" s="145" t="n"/>
      <c r="AE283" s="108" t="n"/>
      <c r="AF283" s="145" t="n"/>
    </row>
    <row r="284">
      <c r="D284" s="145" t="n"/>
      <c r="E284" s="145" t="n"/>
      <c r="F284" s="145" t="n"/>
      <c r="G284" s="145" t="n"/>
      <c r="H284" s="108" t="n"/>
      <c r="I284" s="145" t="n"/>
      <c r="J284" s="108" t="n"/>
      <c r="K284" s="108" t="n"/>
      <c r="M284" s="145" t="n"/>
      <c r="N284" s="108" t="n"/>
      <c r="O284" s="145" t="n"/>
      <c r="P284" s="108" t="n"/>
      <c r="Q284" s="145" t="n"/>
      <c r="R284" s="108" t="n"/>
      <c r="S284" s="145" t="n"/>
      <c r="T284" s="108" t="n"/>
      <c r="U284" s="108" t="n"/>
      <c r="V284" s="108" t="n"/>
      <c r="W284" s="108" t="n"/>
      <c r="X284" s="145" t="n"/>
      <c r="Y284" s="108" t="n"/>
      <c r="Z284" s="145" t="n"/>
      <c r="AA284" s="108" t="n"/>
      <c r="AB284" s="145" t="n"/>
      <c r="AC284" s="108" t="n"/>
      <c r="AD284" s="145" t="n"/>
      <c r="AE284" s="108" t="n"/>
      <c r="AF284" s="145" t="n"/>
    </row>
    <row r="285">
      <c r="D285" s="145" t="n"/>
      <c r="E285" s="145" t="n"/>
      <c r="F285" s="145" t="n"/>
      <c r="G285" s="145" t="n"/>
      <c r="H285" s="108" t="n"/>
      <c r="I285" s="145" t="n"/>
      <c r="J285" s="108" t="n"/>
      <c r="K285" s="108" t="n"/>
      <c r="M285" s="145" t="n"/>
      <c r="N285" s="108" t="n"/>
      <c r="O285" s="145" t="n"/>
      <c r="P285" s="108" t="n"/>
      <c r="Q285" s="145" t="n"/>
      <c r="R285" s="108" t="n"/>
      <c r="S285" s="145" t="n"/>
      <c r="T285" s="108" t="n"/>
      <c r="U285" s="108" t="n"/>
      <c r="V285" s="108" t="n"/>
      <c r="W285" s="108" t="n"/>
      <c r="X285" s="145" t="n"/>
      <c r="Y285" s="108" t="n"/>
      <c r="Z285" s="145" t="n"/>
      <c r="AA285" s="108" t="n"/>
      <c r="AB285" s="145" t="n"/>
      <c r="AC285" s="108" t="n"/>
      <c r="AD285" s="145" t="n"/>
      <c r="AE285" s="108" t="n"/>
      <c r="AF285" s="145" t="n"/>
    </row>
    <row r="286">
      <c r="D286" s="145" t="n"/>
      <c r="E286" s="145" t="n"/>
      <c r="F286" s="145" t="n"/>
      <c r="G286" s="145" t="n"/>
      <c r="H286" s="108" t="n"/>
      <c r="I286" s="145" t="n"/>
      <c r="J286" s="108" t="n"/>
      <c r="K286" s="108" t="n"/>
      <c r="M286" s="145" t="n"/>
      <c r="N286" s="108" t="n"/>
      <c r="O286" s="145" t="n"/>
      <c r="P286" s="108" t="n"/>
      <c r="Q286" s="145" t="n"/>
      <c r="R286" s="108" t="n"/>
      <c r="S286" s="145" t="n"/>
      <c r="T286" s="108" t="n"/>
      <c r="U286" s="108" t="n"/>
      <c r="V286" s="108" t="n"/>
      <c r="W286" s="108" t="n"/>
      <c r="X286" s="145" t="n"/>
      <c r="Y286" s="108" t="n"/>
      <c r="Z286" s="145" t="n"/>
      <c r="AA286" s="108" t="n"/>
      <c r="AB286" s="145" t="n"/>
      <c r="AC286" s="108" t="n"/>
      <c r="AD286" s="145" t="n"/>
      <c r="AE286" s="108" t="n"/>
      <c r="AF286" s="145" t="n"/>
    </row>
    <row r="287">
      <c r="D287" s="145" t="n"/>
      <c r="E287" s="145" t="n"/>
      <c r="F287" s="145" t="n"/>
      <c r="G287" s="145" t="n"/>
      <c r="H287" s="108" t="n"/>
      <c r="I287" s="145" t="n"/>
      <c r="J287" s="108" t="n"/>
      <c r="K287" s="108" t="n"/>
      <c r="M287" s="145" t="n"/>
      <c r="N287" s="108" t="n"/>
      <c r="O287" s="145" t="n"/>
      <c r="P287" s="108" t="n"/>
      <c r="Q287" s="145" t="n"/>
      <c r="R287" s="108" t="n"/>
      <c r="S287" s="145" t="n"/>
      <c r="T287" s="108" t="n"/>
      <c r="U287" s="108" t="n"/>
      <c r="V287" s="108" t="n"/>
      <c r="W287" s="108" t="n"/>
      <c r="X287" s="145" t="n"/>
      <c r="Y287" s="108" t="n"/>
      <c r="Z287" s="145" t="n"/>
      <c r="AA287" s="108" t="n"/>
      <c r="AB287" s="145" t="n"/>
      <c r="AC287" s="108" t="n"/>
      <c r="AD287" s="145" t="n"/>
      <c r="AE287" s="108" t="n"/>
      <c r="AF287" s="145" t="n"/>
    </row>
    <row r="288">
      <c r="D288" s="145" t="n"/>
      <c r="E288" s="145" t="n"/>
      <c r="F288" s="145" t="n"/>
      <c r="G288" s="145" t="n"/>
      <c r="H288" s="108" t="n"/>
      <c r="I288" s="145" t="n"/>
      <c r="J288" s="108" t="n"/>
      <c r="K288" s="108" t="n"/>
      <c r="M288" s="145" t="n"/>
      <c r="N288" s="108" t="n"/>
      <c r="O288" s="145" t="n"/>
      <c r="P288" s="108" t="n"/>
      <c r="Q288" s="145" t="n"/>
      <c r="R288" s="108" t="n"/>
      <c r="S288" s="145" t="n"/>
      <c r="T288" s="108" t="n"/>
      <c r="U288" s="108" t="n"/>
      <c r="V288" s="108" t="n"/>
      <c r="W288" s="108" t="n"/>
      <c r="X288" s="145" t="n"/>
      <c r="Y288" s="108" t="n"/>
      <c r="Z288" s="145" t="n"/>
      <c r="AA288" s="108" t="n"/>
      <c r="AB288" s="145" t="n"/>
      <c r="AC288" s="108" t="n"/>
      <c r="AD288" s="145" t="n"/>
      <c r="AE288" s="108" t="n"/>
      <c r="AF288" s="145" t="n"/>
    </row>
    <row r="289">
      <c r="D289" s="145" t="n"/>
      <c r="E289" s="145" t="n"/>
      <c r="F289" s="145" t="n"/>
      <c r="G289" s="145" t="n"/>
      <c r="H289" s="108" t="n"/>
      <c r="I289" s="145" t="n"/>
      <c r="J289" s="108" t="n"/>
      <c r="K289" s="108" t="n"/>
      <c r="M289" s="145" t="n"/>
      <c r="N289" s="108" t="n"/>
      <c r="O289" s="145" t="n"/>
      <c r="P289" s="108" t="n"/>
      <c r="Q289" s="145" t="n"/>
      <c r="R289" s="108" t="n"/>
      <c r="S289" s="145" t="n"/>
      <c r="T289" s="108" t="n"/>
      <c r="U289" s="108" t="n"/>
      <c r="V289" s="108" t="n"/>
      <c r="W289" s="108" t="n"/>
      <c r="X289" s="145" t="n"/>
      <c r="Y289" s="108" t="n"/>
      <c r="Z289" s="145" t="n"/>
      <c r="AA289" s="108" t="n"/>
      <c r="AB289" s="145" t="n"/>
      <c r="AC289" s="108" t="n"/>
      <c r="AD289" s="145" t="n"/>
      <c r="AE289" s="108" t="n"/>
      <c r="AF289" s="145" t="n"/>
    </row>
    <row r="290">
      <c r="D290" s="145" t="n"/>
      <c r="E290" s="145" t="n"/>
      <c r="F290" s="145" t="n"/>
      <c r="G290" s="145" t="n"/>
      <c r="H290" s="108" t="n"/>
      <c r="I290" s="145" t="n"/>
      <c r="J290" s="108" t="n"/>
      <c r="K290" s="108" t="n"/>
      <c r="M290" s="145" t="n"/>
      <c r="N290" s="108" t="n"/>
      <c r="O290" s="145" t="n"/>
      <c r="P290" s="108" t="n"/>
      <c r="Q290" s="145" t="n"/>
      <c r="R290" s="108" t="n"/>
      <c r="S290" s="145" t="n"/>
      <c r="T290" s="108" t="n"/>
      <c r="U290" s="108" t="n"/>
      <c r="V290" s="108" t="n"/>
      <c r="W290" s="108" t="n"/>
      <c r="X290" s="145" t="n"/>
      <c r="Y290" s="108" t="n"/>
      <c r="Z290" s="145" t="n"/>
      <c r="AA290" s="108" t="n"/>
      <c r="AB290" s="145" t="n"/>
      <c r="AC290" s="108" t="n"/>
      <c r="AD290" s="145" t="n"/>
      <c r="AE290" s="108" t="n"/>
      <c r="AF290" s="145" t="n"/>
    </row>
    <row r="291">
      <c r="D291" s="145" t="n"/>
      <c r="E291" s="145" t="n"/>
      <c r="F291" s="145" t="n"/>
      <c r="G291" s="145" t="n"/>
      <c r="H291" s="108" t="n"/>
      <c r="I291" s="145" t="n"/>
      <c r="J291" s="108" t="n"/>
      <c r="K291" s="108" t="n"/>
      <c r="M291" s="145" t="n"/>
      <c r="N291" s="108" t="n"/>
      <c r="O291" s="145" t="n"/>
      <c r="P291" s="108" t="n"/>
      <c r="Q291" s="145" t="n"/>
      <c r="R291" s="108" t="n"/>
      <c r="S291" s="145" t="n"/>
      <c r="T291" s="108" t="n"/>
      <c r="U291" s="108" t="n"/>
      <c r="V291" s="108" t="n"/>
      <c r="W291" s="108" t="n"/>
      <c r="X291" s="145" t="n"/>
      <c r="Y291" s="108" t="n"/>
      <c r="Z291" s="145" t="n"/>
      <c r="AA291" s="108" t="n"/>
      <c r="AB291" s="145" t="n"/>
      <c r="AC291" s="108" t="n"/>
      <c r="AD291" s="145" t="n"/>
      <c r="AE291" s="108" t="n"/>
      <c r="AF291" s="145" t="n"/>
    </row>
    <row r="292">
      <c r="D292" s="145" t="n"/>
      <c r="E292" s="145" t="n"/>
      <c r="F292" s="145" t="n"/>
      <c r="G292" s="145" t="n"/>
      <c r="H292" s="108" t="n"/>
      <c r="I292" s="145" t="n"/>
      <c r="J292" s="108" t="n"/>
      <c r="K292" s="108" t="n"/>
      <c r="M292" s="145" t="n"/>
      <c r="N292" s="108" t="n"/>
      <c r="O292" s="145" t="n"/>
      <c r="P292" s="108" t="n"/>
      <c r="Q292" s="145" t="n"/>
      <c r="R292" s="108" t="n"/>
      <c r="S292" s="145" t="n"/>
      <c r="T292" s="108" t="n"/>
      <c r="U292" s="108" t="n"/>
      <c r="V292" s="108" t="n"/>
      <c r="W292" s="108" t="n"/>
      <c r="X292" s="145" t="n"/>
      <c r="Y292" s="108" t="n"/>
      <c r="Z292" s="145" t="n"/>
      <c r="AA292" s="108" t="n"/>
      <c r="AB292" s="145" t="n"/>
      <c r="AC292" s="108" t="n"/>
      <c r="AD292" s="145" t="n"/>
      <c r="AE292" s="108" t="n"/>
      <c r="AF292" s="145" t="n"/>
    </row>
    <row r="293">
      <c r="D293" s="145" t="n"/>
      <c r="E293" s="145" t="n"/>
      <c r="F293" s="145" t="n"/>
      <c r="G293" s="145" t="n"/>
      <c r="H293" s="108" t="n"/>
      <c r="I293" s="145" t="n"/>
      <c r="J293" s="108" t="n"/>
      <c r="K293" s="108" t="n"/>
      <c r="M293" s="145" t="n"/>
      <c r="N293" s="108" t="n"/>
      <c r="O293" s="145" t="n"/>
      <c r="P293" s="108" t="n"/>
      <c r="Q293" s="145" t="n"/>
      <c r="R293" s="108" t="n"/>
      <c r="S293" s="145" t="n"/>
      <c r="T293" s="108" t="n"/>
      <c r="U293" s="108" t="n"/>
      <c r="V293" s="108" t="n"/>
      <c r="W293" s="108" t="n"/>
      <c r="X293" s="145" t="n"/>
      <c r="Y293" s="108" t="n"/>
      <c r="Z293" s="145" t="n"/>
      <c r="AA293" s="108" t="n"/>
      <c r="AB293" s="145" t="n"/>
      <c r="AC293" s="108" t="n"/>
      <c r="AD293" s="145" t="n"/>
      <c r="AE293" s="108" t="n"/>
      <c r="AF293" s="145" t="n"/>
    </row>
    <row r="294">
      <c r="D294" s="145" t="n"/>
      <c r="E294" s="145" t="n"/>
      <c r="F294" s="145" t="n"/>
      <c r="G294" s="145" t="n"/>
      <c r="H294" s="108" t="n"/>
      <c r="I294" s="145" t="n"/>
      <c r="J294" s="108" t="n"/>
      <c r="K294" s="108" t="n"/>
      <c r="M294" s="145" t="n"/>
      <c r="N294" s="108" t="n"/>
      <c r="O294" s="145" t="n"/>
      <c r="P294" s="108" t="n"/>
      <c r="Q294" s="145" t="n"/>
      <c r="R294" s="108" t="n"/>
      <c r="S294" s="145" t="n"/>
      <c r="T294" s="108" t="n"/>
      <c r="U294" s="108" t="n"/>
      <c r="V294" s="108" t="n"/>
      <c r="W294" s="108" t="n"/>
      <c r="X294" s="145" t="n"/>
      <c r="Y294" s="108" t="n"/>
      <c r="Z294" s="145" t="n"/>
      <c r="AA294" s="108" t="n"/>
      <c r="AB294" s="145" t="n"/>
      <c r="AC294" s="108" t="n"/>
      <c r="AD294" s="145" t="n"/>
      <c r="AE294" s="108" t="n"/>
      <c r="AF294" s="145" t="n"/>
    </row>
    <row r="295">
      <c r="D295" s="145" t="n"/>
      <c r="E295" s="145" t="n"/>
      <c r="F295" s="145" t="n"/>
      <c r="G295" s="145" t="n"/>
      <c r="H295" s="108" t="n"/>
      <c r="I295" s="145" t="n"/>
      <c r="J295" s="108" t="n"/>
      <c r="K295" s="108" t="n"/>
      <c r="M295" s="145" t="n"/>
      <c r="N295" s="108" t="n"/>
      <c r="O295" s="145" t="n"/>
      <c r="P295" s="108" t="n"/>
      <c r="Q295" s="145" t="n"/>
      <c r="R295" s="108" t="n"/>
      <c r="S295" s="145" t="n"/>
      <c r="T295" s="108" t="n"/>
      <c r="U295" s="108" t="n"/>
      <c r="V295" s="108" t="n"/>
      <c r="W295" s="108" t="n"/>
      <c r="X295" s="145" t="n"/>
      <c r="Y295" s="108" t="n"/>
      <c r="Z295" s="145" t="n"/>
      <c r="AA295" s="108" t="n"/>
      <c r="AB295" s="145" t="n"/>
      <c r="AC295" s="108" t="n"/>
      <c r="AD295" s="145" t="n"/>
      <c r="AE295" s="108" t="n"/>
      <c r="AF295" s="145" t="n"/>
    </row>
    <row r="296">
      <c r="D296" s="145" t="n"/>
      <c r="E296" s="145" t="n"/>
      <c r="F296" s="145" t="n"/>
      <c r="G296" s="145" t="n"/>
      <c r="H296" s="108" t="n"/>
      <c r="I296" s="145" t="n"/>
      <c r="J296" s="108" t="n"/>
      <c r="K296" s="108" t="n"/>
      <c r="M296" s="145" t="n"/>
      <c r="N296" s="108" t="n"/>
      <c r="O296" s="145" t="n"/>
      <c r="P296" s="108" t="n"/>
      <c r="Q296" s="145" t="n"/>
      <c r="R296" s="108" t="n"/>
      <c r="S296" s="145" t="n"/>
      <c r="T296" s="108" t="n"/>
      <c r="U296" s="108" t="n"/>
      <c r="V296" s="108" t="n"/>
      <c r="W296" s="108" t="n"/>
      <c r="X296" s="145" t="n"/>
      <c r="Y296" s="108" t="n"/>
      <c r="Z296" s="145" t="n"/>
      <c r="AA296" s="108" t="n"/>
      <c r="AB296" s="145" t="n"/>
      <c r="AC296" s="108" t="n"/>
      <c r="AD296" s="145" t="n"/>
      <c r="AE296" s="108" t="n"/>
      <c r="AF296" s="145" t="n"/>
    </row>
    <row r="297">
      <c r="D297" s="145" t="n"/>
      <c r="E297" s="145" t="n"/>
      <c r="F297" s="145" t="n"/>
      <c r="G297" s="145" t="n"/>
      <c r="H297" s="108" t="n"/>
      <c r="I297" s="145" t="n"/>
      <c r="J297" s="108" t="n"/>
      <c r="K297" s="108" t="n"/>
      <c r="M297" s="145" t="n"/>
      <c r="N297" s="108" t="n"/>
      <c r="O297" s="145" t="n"/>
      <c r="P297" s="108" t="n"/>
      <c r="Q297" s="145" t="n"/>
      <c r="R297" s="108" t="n"/>
      <c r="S297" s="145" t="n"/>
      <c r="T297" s="108" t="n"/>
      <c r="U297" s="108" t="n"/>
      <c r="V297" s="108" t="n"/>
      <c r="W297" s="108" t="n"/>
      <c r="X297" s="145" t="n"/>
      <c r="Y297" s="108" t="n"/>
      <c r="Z297" s="145" t="n"/>
      <c r="AA297" s="108" t="n"/>
      <c r="AB297" s="145" t="n"/>
      <c r="AC297" s="108" t="n"/>
      <c r="AD297" s="145" t="n"/>
      <c r="AE297" s="108" t="n"/>
      <c r="AF297" s="145" t="n"/>
    </row>
    <row r="298">
      <c r="D298" s="145" t="n"/>
      <c r="E298" s="145" t="n"/>
      <c r="F298" s="145" t="n"/>
      <c r="G298" s="145" t="n"/>
      <c r="H298" s="108" t="n"/>
      <c r="I298" s="145" t="n"/>
      <c r="J298" s="108" t="n"/>
      <c r="K298" s="108" t="n"/>
      <c r="M298" s="145" t="n"/>
      <c r="N298" s="108" t="n"/>
      <c r="O298" s="145" t="n"/>
      <c r="P298" s="108" t="n"/>
      <c r="Q298" s="145" t="n"/>
      <c r="R298" s="108" t="n"/>
      <c r="S298" s="145" t="n"/>
      <c r="T298" s="108" t="n"/>
      <c r="U298" s="108" t="n"/>
      <c r="V298" s="108" t="n"/>
      <c r="W298" s="108" t="n"/>
      <c r="X298" s="145" t="n"/>
      <c r="Y298" s="108" t="n"/>
      <c r="Z298" s="145" t="n"/>
      <c r="AA298" s="108" t="n"/>
      <c r="AB298" s="145" t="n"/>
      <c r="AC298" s="108" t="n"/>
      <c r="AD298" s="145" t="n"/>
      <c r="AE298" s="108" t="n"/>
      <c r="AF298" s="145" t="n"/>
    </row>
    <row r="299">
      <c r="D299" s="145" t="n"/>
      <c r="E299" s="145" t="n"/>
      <c r="F299" s="145" t="n"/>
      <c r="G299" s="145" t="n"/>
      <c r="H299" s="108" t="n"/>
      <c r="I299" s="145" t="n"/>
      <c r="J299" s="108" t="n"/>
      <c r="K299" s="108" t="n"/>
      <c r="M299" s="145" t="n"/>
      <c r="N299" s="108" t="n"/>
      <c r="O299" s="145" t="n"/>
      <c r="P299" s="108" t="n"/>
      <c r="Q299" s="145" t="n"/>
      <c r="R299" s="108" t="n"/>
      <c r="S299" s="145" t="n"/>
      <c r="T299" s="108" t="n"/>
      <c r="U299" s="108" t="n"/>
      <c r="V299" s="108" t="n"/>
      <c r="W299" s="108" t="n"/>
      <c r="X299" s="145" t="n"/>
      <c r="Y299" s="108" t="n"/>
      <c r="Z299" s="145" t="n"/>
      <c r="AA299" s="108" t="n"/>
      <c r="AB299" s="145" t="n"/>
      <c r="AC299" s="108" t="n"/>
      <c r="AD299" s="145" t="n"/>
      <c r="AE299" s="108" t="n"/>
      <c r="AF299" s="145" t="n"/>
    </row>
    <row r="300">
      <c r="D300" s="145" t="n"/>
      <c r="E300" s="145" t="n"/>
      <c r="F300" s="145" t="n"/>
      <c r="G300" s="145" t="n"/>
      <c r="H300" s="108" t="n"/>
      <c r="I300" s="145" t="n"/>
      <c r="J300" s="108" t="n"/>
      <c r="K300" s="108" t="n"/>
      <c r="M300" s="145" t="n"/>
      <c r="N300" s="108" t="n"/>
      <c r="O300" s="145" t="n"/>
      <c r="P300" s="108" t="n"/>
      <c r="Q300" s="145" t="n"/>
      <c r="R300" s="108" t="n"/>
      <c r="S300" s="145" t="n"/>
      <c r="T300" s="108" t="n"/>
      <c r="U300" s="108" t="n"/>
      <c r="V300" s="108" t="n"/>
      <c r="W300" s="108" t="n"/>
      <c r="X300" s="145" t="n"/>
      <c r="Y300" s="108" t="n"/>
      <c r="Z300" s="145" t="n"/>
      <c r="AA300" s="108" t="n"/>
      <c r="AB300" s="145" t="n"/>
      <c r="AC300" s="108" t="n"/>
      <c r="AD300" s="145" t="n"/>
      <c r="AE300" s="108" t="n"/>
      <c r="AF300" s="145" t="n"/>
    </row>
    <row r="301">
      <c r="D301" s="145" t="n"/>
      <c r="E301" s="145" t="n"/>
      <c r="F301" s="145" t="n"/>
      <c r="G301" s="145" t="n"/>
      <c r="H301" s="108" t="n"/>
      <c r="I301" s="145" t="n"/>
      <c r="J301" s="108" t="n"/>
      <c r="K301" s="108" t="n"/>
      <c r="M301" s="145" t="n"/>
      <c r="N301" s="108" t="n"/>
      <c r="O301" s="145" t="n"/>
      <c r="P301" s="108" t="n"/>
      <c r="Q301" s="145" t="n"/>
      <c r="R301" s="108" t="n"/>
      <c r="S301" s="145" t="n"/>
      <c r="T301" s="108" t="n"/>
      <c r="U301" s="108" t="n"/>
      <c r="V301" s="108" t="n"/>
      <c r="W301" s="108" t="n"/>
      <c r="X301" s="145" t="n"/>
      <c r="Y301" s="108" t="n"/>
      <c r="Z301" s="145" t="n"/>
      <c r="AA301" s="108" t="n"/>
      <c r="AB301" s="145" t="n"/>
      <c r="AC301" s="108" t="n"/>
      <c r="AD301" s="145" t="n"/>
      <c r="AE301" s="108" t="n"/>
      <c r="AF301" s="145" t="n"/>
    </row>
    <row r="302">
      <c r="D302" s="145" t="n"/>
      <c r="E302" s="145" t="n"/>
      <c r="F302" s="145" t="n"/>
      <c r="G302" s="145" t="n"/>
      <c r="H302" s="108" t="n"/>
      <c r="I302" s="145" t="n"/>
      <c r="J302" s="108" t="n"/>
      <c r="K302" s="108" t="n"/>
      <c r="M302" s="145" t="n"/>
      <c r="N302" s="108" t="n"/>
      <c r="O302" s="145" t="n"/>
      <c r="P302" s="108" t="n"/>
      <c r="Q302" s="145" t="n"/>
      <c r="R302" s="108" t="n"/>
      <c r="S302" s="145" t="n"/>
      <c r="T302" s="108" t="n"/>
      <c r="U302" s="108" t="n"/>
      <c r="V302" s="108" t="n"/>
      <c r="W302" s="108" t="n"/>
      <c r="X302" s="145" t="n"/>
      <c r="Y302" s="108" t="n"/>
      <c r="Z302" s="145" t="n"/>
      <c r="AA302" s="108" t="n"/>
      <c r="AB302" s="145" t="n"/>
      <c r="AC302" s="108" t="n"/>
      <c r="AD302" s="145" t="n"/>
      <c r="AE302" s="108" t="n"/>
      <c r="AF302" s="145" t="n"/>
    </row>
    <row r="303">
      <c r="D303" s="145" t="n"/>
      <c r="E303" s="145" t="n"/>
      <c r="F303" s="145" t="n"/>
      <c r="G303" s="145" t="n"/>
      <c r="H303" s="108" t="n"/>
      <c r="I303" s="145" t="n"/>
      <c r="J303" s="108" t="n"/>
      <c r="K303" s="108" t="n"/>
      <c r="M303" s="145" t="n"/>
      <c r="N303" s="108" t="n"/>
      <c r="O303" s="145" t="n"/>
      <c r="P303" s="108" t="n"/>
      <c r="Q303" s="145" t="n"/>
      <c r="R303" s="108" t="n"/>
      <c r="S303" s="145" t="n"/>
      <c r="T303" s="108" t="n"/>
      <c r="U303" s="108" t="n"/>
      <c r="V303" s="108" t="n"/>
      <c r="W303" s="108" t="n"/>
      <c r="X303" s="145" t="n"/>
      <c r="Y303" s="108" t="n"/>
      <c r="Z303" s="145" t="n"/>
      <c r="AA303" s="108" t="n"/>
      <c r="AB303" s="145" t="n"/>
      <c r="AC303" s="108" t="n"/>
      <c r="AD303" s="145" t="n"/>
      <c r="AE303" s="108" t="n"/>
      <c r="AF303" s="145" t="n"/>
    </row>
    <row r="304">
      <c r="D304" s="145" t="n"/>
      <c r="E304" s="145" t="n"/>
      <c r="F304" s="145" t="n"/>
      <c r="G304" s="145" t="n"/>
      <c r="H304" s="108" t="n"/>
      <c r="I304" s="145" t="n"/>
      <c r="J304" s="108" t="n"/>
      <c r="K304" s="108" t="n"/>
      <c r="M304" s="145" t="n"/>
      <c r="N304" s="108" t="n"/>
      <c r="O304" s="145" t="n"/>
      <c r="P304" s="108" t="n"/>
      <c r="Q304" s="145" t="n"/>
      <c r="R304" s="108" t="n"/>
      <c r="S304" s="145" t="n"/>
      <c r="T304" s="108" t="n"/>
      <c r="U304" s="108" t="n"/>
      <c r="V304" s="108" t="n"/>
      <c r="W304" s="108" t="n"/>
      <c r="X304" s="145" t="n"/>
      <c r="Y304" s="108" t="n"/>
      <c r="Z304" s="145" t="n"/>
      <c r="AA304" s="108" t="n"/>
      <c r="AB304" s="145" t="n"/>
      <c r="AC304" s="108" t="n"/>
      <c r="AD304" s="145" t="n"/>
      <c r="AE304" s="108" t="n"/>
      <c r="AF304" s="145" t="n"/>
    </row>
    <row r="305">
      <c r="D305" s="145" t="n"/>
      <c r="E305" s="145" t="n"/>
      <c r="F305" s="145" t="n"/>
      <c r="G305" s="145" t="n"/>
      <c r="H305" s="108" t="n"/>
      <c r="I305" s="145" t="n"/>
      <c r="J305" s="108" t="n"/>
      <c r="K305" s="108" t="n"/>
      <c r="M305" s="145" t="n"/>
      <c r="N305" s="108" t="n"/>
      <c r="O305" s="145" t="n"/>
      <c r="P305" s="108" t="n"/>
      <c r="Q305" s="145" t="n"/>
      <c r="R305" s="108" t="n"/>
      <c r="S305" s="145" t="n"/>
      <c r="T305" s="108" t="n"/>
      <c r="U305" s="108" t="n"/>
      <c r="V305" s="108" t="n"/>
      <c r="W305" s="108" t="n"/>
      <c r="X305" s="145" t="n"/>
      <c r="Y305" s="108" t="n"/>
      <c r="Z305" s="145" t="n"/>
      <c r="AA305" s="108" t="n"/>
      <c r="AB305" s="145" t="n"/>
      <c r="AC305" s="108" t="n"/>
      <c r="AD305" s="145" t="n"/>
      <c r="AE305" s="108" t="n"/>
      <c r="AF305" s="145" t="n"/>
    </row>
    <row r="306">
      <c r="D306" s="145" t="n"/>
      <c r="E306" s="145" t="n"/>
      <c r="F306" s="145" t="n"/>
      <c r="G306" s="145" t="n"/>
      <c r="H306" s="108" t="n"/>
      <c r="I306" s="145" t="n"/>
      <c r="J306" s="108" t="n"/>
      <c r="K306" s="108" t="n"/>
      <c r="M306" s="145" t="n"/>
      <c r="N306" s="108" t="n"/>
      <c r="O306" s="145" t="n"/>
      <c r="P306" s="108" t="n"/>
      <c r="Q306" s="145" t="n"/>
      <c r="R306" s="108" t="n"/>
      <c r="S306" s="145" t="n"/>
      <c r="T306" s="108" t="n"/>
      <c r="U306" s="108" t="n"/>
      <c r="V306" s="108" t="n"/>
      <c r="W306" s="108" t="n"/>
      <c r="X306" s="145" t="n"/>
      <c r="Y306" s="108" t="n"/>
      <c r="Z306" s="145" t="n"/>
      <c r="AA306" s="108" t="n"/>
      <c r="AB306" s="145" t="n"/>
      <c r="AC306" s="108" t="n"/>
      <c r="AD306" s="145" t="n"/>
      <c r="AE306" s="108" t="n"/>
      <c r="AF306" s="145" t="n"/>
    </row>
    <row r="307" customFormat="1" s="22">
      <c r="D307" s="131" t="n"/>
      <c r="E307" s="123" t="n"/>
      <c r="F307" s="131" t="n"/>
      <c r="G307" s="123" t="n"/>
      <c r="H307" s="133" t="n"/>
      <c r="I307" s="123" t="n"/>
      <c r="J307" s="133" t="n"/>
      <c r="K307" s="133" t="n"/>
      <c r="M307" s="123" t="n"/>
      <c r="N307" s="133" t="n"/>
      <c r="O307" s="123" t="n"/>
      <c r="P307" s="133" t="n"/>
      <c r="Q307" s="123" t="n"/>
      <c r="R307" s="133" t="n"/>
      <c r="S307" s="123" t="n"/>
      <c r="T307" s="133" t="n"/>
      <c r="U307" s="133" t="n"/>
      <c r="V307" s="133" t="n"/>
      <c r="W307" s="133" t="n"/>
      <c r="X307" s="123" t="n"/>
      <c r="Y307" s="133" t="n"/>
      <c r="Z307" s="123" t="n"/>
      <c r="AA307" s="133" t="n"/>
      <c r="AB307" s="123" t="n"/>
      <c r="AC307" s="133" t="n"/>
      <c r="AD307" s="123" t="n"/>
      <c r="AE307" s="133" t="n"/>
      <c r="AF307" s="123" t="n"/>
    </row>
    <row r="308">
      <c r="D308" s="142" t="n"/>
      <c r="E308" s="142" t="n"/>
      <c r="F308" s="142" t="n"/>
      <c r="G308" s="142" t="n"/>
      <c r="H308" s="142" t="n"/>
      <c r="I308" s="142" t="n"/>
      <c r="J308" s="142" t="n"/>
      <c r="K308" s="142" t="n"/>
      <c r="M308" s="142" t="n"/>
      <c r="N308" s="142" t="n"/>
      <c r="O308" s="142" t="n"/>
      <c r="P308" s="142" t="n"/>
      <c r="Q308" s="142" t="n"/>
      <c r="R308" s="142" t="n"/>
      <c r="S308" s="142" t="n"/>
      <c r="T308" s="142" t="n"/>
      <c r="U308" s="142" t="n"/>
      <c r="V308" s="142" t="n"/>
      <c r="W308" s="142" t="n"/>
      <c r="X308" s="142" t="n"/>
      <c r="Y308" s="142" t="n"/>
      <c r="Z308" s="142" t="n"/>
      <c r="AA308" s="142" t="n"/>
      <c r="AB308" s="142" t="n"/>
      <c r="AC308" s="142" t="n"/>
      <c r="AD308" s="142" t="n"/>
      <c r="AE308" s="142" t="n"/>
      <c r="AF308" s="142" t="n"/>
    </row>
    <row r="309">
      <c r="A309" s="22" t="n"/>
      <c r="B309" s="22" t="n"/>
      <c r="C309" s="22" t="n"/>
      <c r="D309" s="142" t="n"/>
      <c r="E309" s="142" t="n"/>
      <c r="F309" s="142" t="n"/>
      <c r="G309" s="142" t="n"/>
      <c r="H309" s="142" t="n"/>
      <c r="I309" s="142" t="n"/>
      <c r="J309" s="142" t="n"/>
      <c r="K309" s="142" t="n"/>
      <c r="M309" s="142" t="n"/>
      <c r="N309" s="142" t="n"/>
      <c r="O309" s="142" t="n"/>
      <c r="P309" s="142" t="n"/>
      <c r="Q309" s="142" t="n"/>
      <c r="R309" s="142" t="n"/>
      <c r="S309" s="142" t="n"/>
      <c r="T309" s="142" t="n"/>
      <c r="U309" s="142" t="n"/>
      <c r="V309" s="142" t="n"/>
      <c r="W309" s="142" t="n"/>
      <c r="X309" s="142" t="n"/>
      <c r="Y309" s="142" t="n"/>
      <c r="Z309" s="142" t="n"/>
      <c r="AA309" s="142" t="n"/>
      <c r="AB309" s="142" t="n"/>
      <c r="AC309" s="142" t="n"/>
      <c r="AD309" s="142" t="n"/>
      <c r="AE309" s="142" t="n"/>
      <c r="AF309" s="142" t="n"/>
    </row>
    <row r="310">
      <c r="D310" s="145" t="n"/>
      <c r="E310" s="145" t="n"/>
      <c r="F310" s="145" t="n"/>
      <c r="G310" s="145" t="n"/>
      <c r="H310" s="108" t="n"/>
      <c r="I310" s="145" t="n"/>
      <c r="J310" s="108" t="n"/>
      <c r="K310" s="145" t="n"/>
      <c r="M310" s="145" t="n"/>
      <c r="N310" s="108" t="n"/>
      <c r="O310" s="145" t="n"/>
      <c r="P310" s="108" t="n"/>
      <c r="Q310" s="145" t="n"/>
      <c r="R310" s="108" t="n"/>
      <c r="S310" s="145" t="n"/>
      <c r="T310" s="108" t="n"/>
      <c r="U310" s="108" t="n"/>
      <c r="V310" s="108" t="n"/>
      <c r="W310" s="108" t="n"/>
      <c r="X310" s="145" t="n"/>
      <c r="Y310" s="108" t="n"/>
      <c r="Z310" s="145" t="n"/>
      <c r="AA310" s="108" t="n"/>
      <c r="AB310" s="145" t="n"/>
      <c r="AC310" s="108" t="n"/>
      <c r="AD310" s="145" t="n"/>
      <c r="AE310" s="108" t="n"/>
      <c r="AF310" s="145" t="n"/>
    </row>
    <row r="311">
      <c r="D311" s="145" t="n"/>
      <c r="E311" s="145" t="n"/>
      <c r="F311" s="145" t="n"/>
      <c r="G311" s="145" t="n"/>
      <c r="H311" s="108" t="n"/>
      <c r="I311" s="145" t="n"/>
      <c r="J311" s="108" t="n"/>
      <c r="K311" s="145" t="n"/>
      <c r="M311" s="145" t="n"/>
      <c r="N311" s="108" t="n"/>
      <c r="O311" s="145" t="n"/>
      <c r="P311" s="108" t="n"/>
      <c r="Q311" s="145" t="n"/>
      <c r="R311" s="108" t="n"/>
      <c r="S311" s="145" t="n"/>
      <c r="T311" s="108" t="n"/>
      <c r="U311" s="108" t="n"/>
      <c r="V311" s="108" t="n"/>
      <c r="W311" s="108" t="n"/>
      <c r="X311" s="145" t="n"/>
      <c r="Y311" s="108" t="n"/>
      <c r="Z311" s="145" t="n"/>
      <c r="AA311" s="108" t="n"/>
      <c r="AB311" s="145" t="n"/>
      <c r="AC311" s="108" t="n"/>
      <c r="AD311" s="145" t="n"/>
      <c r="AE311" s="108" t="n"/>
      <c r="AF311" s="145" t="n"/>
    </row>
    <row r="312">
      <c r="D312" s="145" t="n"/>
      <c r="E312" s="145" t="n"/>
      <c r="F312" s="145" t="n"/>
      <c r="G312" s="145" t="n"/>
      <c r="H312" s="108" t="n"/>
      <c r="I312" s="145" t="n"/>
      <c r="J312" s="108" t="n"/>
      <c r="K312" s="145" t="n"/>
      <c r="M312" s="145" t="n"/>
      <c r="N312" s="108" t="n"/>
      <c r="O312" s="145" t="n"/>
      <c r="P312" s="108" t="n"/>
      <c r="Q312" s="145" t="n"/>
      <c r="R312" s="108" t="n"/>
      <c r="S312" s="145" t="n"/>
      <c r="T312" s="108" t="n"/>
      <c r="U312" s="108" t="n"/>
      <c r="V312" s="108" t="n"/>
      <c r="W312" s="108" t="n"/>
      <c r="X312" s="145" t="n"/>
      <c r="Y312" s="108" t="n"/>
      <c r="Z312" s="145" t="n"/>
      <c r="AA312" s="108" t="n"/>
      <c r="AB312" s="145" t="n"/>
      <c r="AC312" s="108" t="n"/>
      <c r="AD312" s="145" t="n"/>
      <c r="AE312" s="108" t="n"/>
      <c r="AF312" s="145" t="n"/>
    </row>
    <row r="313">
      <c r="D313" s="145" t="n"/>
      <c r="E313" s="145" t="n"/>
      <c r="F313" s="145" t="n"/>
      <c r="G313" s="145" t="n"/>
      <c r="H313" s="108" t="n"/>
      <c r="I313" s="145" t="n"/>
      <c r="J313" s="108" t="n"/>
      <c r="K313" s="145" t="n"/>
      <c r="M313" s="145" t="n"/>
      <c r="N313" s="108" t="n"/>
      <c r="O313" s="145" t="n"/>
      <c r="P313" s="108" t="n"/>
      <c r="Q313" s="145" t="n"/>
      <c r="R313" s="108" t="n"/>
      <c r="S313" s="145" t="n"/>
      <c r="T313" s="108" t="n"/>
      <c r="U313" s="108" t="n"/>
      <c r="V313" s="108" t="n"/>
      <c r="W313" s="108" t="n"/>
      <c r="X313" s="145" t="n"/>
      <c r="Y313" s="108" t="n"/>
      <c r="Z313" s="145" t="n"/>
      <c r="AA313" s="108" t="n"/>
      <c r="AB313" s="145" t="n"/>
      <c r="AC313" s="108" t="n"/>
      <c r="AD313" s="145" t="n"/>
      <c r="AE313" s="108" t="n"/>
      <c r="AF313" s="145" t="n"/>
    </row>
    <row r="314">
      <c r="D314" s="145" t="n"/>
      <c r="E314" s="145" t="n"/>
      <c r="F314" s="145" t="n"/>
      <c r="G314" s="145" t="n"/>
      <c r="H314" s="108" t="n"/>
      <c r="I314" s="145" t="n"/>
      <c r="J314" s="108" t="n"/>
      <c r="K314" s="145" t="n"/>
      <c r="M314" s="145" t="n"/>
      <c r="N314" s="108" t="n"/>
      <c r="O314" s="145" t="n"/>
      <c r="P314" s="108" t="n"/>
      <c r="Q314" s="145" t="n"/>
      <c r="R314" s="108" t="n"/>
      <c r="S314" s="145" t="n"/>
      <c r="T314" s="108" t="n"/>
      <c r="U314" s="108" t="n"/>
      <c r="V314" s="108" t="n"/>
      <c r="W314" s="108" t="n"/>
      <c r="X314" s="145" t="n"/>
      <c r="Y314" s="108" t="n"/>
      <c r="Z314" s="145" t="n"/>
      <c r="AA314" s="108" t="n"/>
      <c r="AB314" s="145" t="n"/>
      <c r="AC314" s="108" t="n"/>
      <c r="AD314" s="145" t="n"/>
      <c r="AE314" s="108" t="n"/>
      <c r="AF314" s="145" t="n"/>
    </row>
    <row r="315">
      <c r="D315" s="145" t="n"/>
      <c r="E315" s="145" t="n"/>
      <c r="F315" s="145" t="n"/>
      <c r="G315" s="145" t="n"/>
      <c r="H315" s="108" t="n"/>
      <c r="I315" s="145" t="n"/>
      <c r="J315" s="108" t="n"/>
      <c r="K315" s="145" t="n"/>
      <c r="M315" s="145" t="n"/>
      <c r="N315" s="108" t="n"/>
      <c r="O315" s="145" t="n"/>
      <c r="P315" s="108" t="n"/>
      <c r="Q315" s="145" t="n"/>
      <c r="R315" s="108" t="n"/>
      <c r="S315" s="145" t="n"/>
      <c r="T315" s="108" t="n"/>
      <c r="U315" s="108" t="n"/>
      <c r="V315" s="108" t="n"/>
      <c r="W315" s="108" t="n"/>
      <c r="X315" s="145" t="n"/>
      <c r="Y315" s="108" t="n"/>
      <c r="Z315" s="145" t="n"/>
      <c r="AA315" s="108" t="n"/>
      <c r="AB315" s="145" t="n"/>
      <c r="AC315" s="108" t="n"/>
      <c r="AD315" s="145" t="n"/>
      <c r="AE315" s="108" t="n"/>
      <c r="AF315" s="145" t="n"/>
    </row>
    <row r="316">
      <c r="D316" s="145" t="n"/>
      <c r="E316" s="145" t="n"/>
      <c r="F316" s="145" t="n"/>
      <c r="G316" s="145" t="n"/>
      <c r="H316" s="108" t="n"/>
      <c r="I316" s="145" t="n"/>
      <c r="J316" s="108" t="n"/>
      <c r="K316" s="145" t="n"/>
      <c r="M316" s="145" t="n"/>
      <c r="N316" s="108" t="n"/>
      <c r="O316" s="145" t="n"/>
      <c r="P316" s="108" t="n"/>
      <c r="Q316" s="145" t="n"/>
      <c r="R316" s="108" t="n"/>
      <c r="S316" s="145" t="n"/>
      <c r="T316" s="108" t="n"/>
      <c r="U316" s="108" t="n"/>
      <c r="V316" s="108" t="n"/>
      <c r="W316" s="108" t="n"/>
      <c r="X316" s="145" t="n"/>
      <c r="Y316" s="108" t="n"/>
      <c r="Z316" s="145" t="n"/>
      <c r="AA316" s="108" t="n"/>
      <c r="AB316" s="145" t="n"/>
      <c r="AC316" s="108" t="n"/>
      <c r="AD316" s="145" t="n"/>
      <c r="AE316" s="108" t="n"/>
      <c r="AF316" s="145" t="n"/>
    </row>
    <row r="317">
      <c r="D317" s="145" t="n"/>
      <c r="E317" s="145" t="n"/>
      <c r="F317" s="145" t="n"/>
      <c r="G317" s="145" t="n"/>
      <c r="H317" s="108" t="n"/>
      <c r="I317" s="145" t="n"/>
      <c r="J317" s="108" t="n"/>
      <c r="K317" s="145" t="n"/>
      <c r="M317" s="145" t="n"/>
      <c r="N317" s="108" t="n"/>
      <c r="O317" s="145" t="n"/>
      <c r="P317" s="108" t="n"/>
      <c r="Q317" s="145" t="n"/>
      <c r="R317" s="108" t="n"/>
      <c r="S317" s="145" t="n"/>
      <c r="T317" s="108" t="n"/>
      <c r="U317" s="108" t="n"/>
      <c r="V317" s="108" t="n"/>
      <c r="W317" s="108" t="n"/>
      <c r="X317" s="145" t="n"/>
      <c r="Y317" s="108" t="n"/>
      <c r="Z317" s="145" t="n"/>
      <c r="AA317" s="108" t="n"/>
      <c r="AB317" s="145" t="n"/>
      <c r="AC317" s="108" t="n"/>
      <c r="AD317" s="145" t="n"/>
      <c r="AE317" s="108" t="n"/>
      <c r="AF317" s="145" t="n"/>
    </row>
    <row r="318">
      <c r="D318" s="145" t="n"/>
      <c r="E318" s="145" t="n"/>
      <c r="F318" s="145" t="n"/>
      <c r="G318" s="145" t="n"/>
      <c r="H318" s="108" t="n"/>
      <c r="I318" s="145" t="n"/>
      <c r="J318" s="108" t="n"/>
      <c r="K318" s="145" t="n"/>
      <c r="M318" s="145" t="n"/>
      <c r="N318" s="108" t="n"/>
      <c r="O318" s="145" t="n"/>
      <c r="P318" s="108" t="n"/>
      <c r="Q318" s="145" t="n"/>
      <c r="R318" s="108" t="n"/>
      <c r="S318" s="145" t="n"/>
      <c r="T318" s="108" t="n"/>
      <c r="U318" s="108" t="n"/>
      <c r="V318" s="108" t="n"/>
      <c r="W318" s="108" t="n"/>
      <c r="X318" s="145" t="n"/>
      <c r="Y318" s="108" t="n"/>
      <c r="Z318" s="145" t="n"/>
      <c r="AA318" s="108" t="n"/>
      <c r="AB318" s="145" t="n"/>
      <c r="AC318" s="108" t="n"/>
      <c r="AD318" s="145" t="n"/>
      <c r="AE318" s="108" t="n"/>
      <c r="AF318" s="145" t="n"/>
    </row>
    <row r="319">
      <c r="D319" s="145" t="n"/>
      <c r="E319" s="145" t="n"/>
      <c r="F319" s="145" t="n"/>
      <c r="G319" s="145" t="n"/>
      <c r="H319" s="108" t="n"/>
      <c r="I319" s="145" t="n"/>
      <c r="J319" s="108" t="n"/>
      <c r="K319" s="145" t="n"/>
      <c r="M319" s="145" t="n"/>
      <c r="N319" s="108" t="n"/>
      <c r="O319" s="145" t="n"/>
      <c r="P319" s="108" t="n"/>
      <c r="Q319" s="145" t="n"/>
      <c r="R319" s="108" t="n"/>
      <c r="S319" s="145" t="n"/>
      <c r="T319" s="108" t="n"/>
      <c r="U319" s="108" t="n"/>
      <c r="V319" s="108" t="n"/>
      <c r="W319" s="108" t="n"/>
      <c r="X319" s="145" t="n"/>
      <c r="Y319" s="108" t="n"/>
      <c r="Z319" s="145" t="n"/>
      <c r="AA319" s="108" t="n"/>
      <c r="AB319" s="145" t="n"/>
      <c r="AC319" s="108" t="n"/>
      <c r="AD319" s="145" t="n"/>
      <c r="AE319" s="108" t="n"/>
      <c r="AF319" s="145" t="n"/>
    </row>
    <row r="320">
      <c r="D320" s="145" t="n"/>
      <c r="E320" s="145" t="n"/>
      <c r="F320" s="145" t="n"/>
      <c r="G320" s="145" t="n"/>
      <c r="H320" s="108" t="n"/>
      <c r="I320" s="145" t="n"/>
      <c r="J320" s="108" t="n"/>
      <c r="K320" s="145" t="n"/>
      <c r="M320" s="145" t="n"/>
      <c r="N320" s="108" t="n"/>
      <c r="O320" s="145" t="n"/>
      <c r="P320" s="108" t="n"/>
      <c r="Q320" s="145" t="n"/>
      <c r="R320" s="108" t="n"/>
      <c r="S320" s="145" t="n"/>
      <c r="T320" s="108" t="n"/>
      <c r="U320" s="108" t="n"/>
      <c r="V320" s="108" t="n"/>
      <c r="W320" s="108" t="n"/>
      <c r="X320" s="145" t="n"/>
      <c r="Y320" s="108" t="n"/>
      <c r="Z320" s="145" t="n"/>
      <c r="AA320" s="108" t="n"/>
      <c r="AB320" s="145" t="n"/>
      <c r="AC320" s="108" t="n"/>
      <c r="AD320" s="145" t="n"/>
      <c r="AE320" s="108" t="n"/>
      <c r="AF320" s="145" t="n"/>
    </row>
    <row r="321">
      <c r="D321" s="145" t="n"/>
      <c r="E321" s="145" t="n"/>
      <c r="F321" s="145" t="n"/>
      <c r="G321" s="145" t="n"/>
      <c r="H321" s="108" t="n"/>
      <c r="I321" s="145" t="n"/>
      <c r="J321" s="108" t="n"/>
      <c r="K321" s="145" t="n"/>
      <c r="M321" s="145" t="n"/>
      <c r="N321" s="108" t="n"/>
      <c r="O321" s="145" t="n"/>
      <c r="P321" s="108" t="n"/>
      <c r="Q321" s="145" t="n"/>
      <c r="R321" s="108" t="n"/>
      <c r="S321" s="145" t="n"/>
      <c r="T321" s="108" t="n"/>
      <c r="U321" s="108" t="n"/>
      <c r="V321" s="108" t="n"/>
      <c r="W321" s="108" t="n"/>
      <c r="X321" s="145" t="n"/>
      <c r="Y321" s="108" t="n"/>
      <c r="Z321" s="145" t="n"/>
      <c r="AA321" s="108" t="n"/>
      <c r="AB321" s="145" t="n"/>
      <c r="AC321" s="108" t="n"/>
      <c r="AD321" s="145" t="n"/>
      <c r="AE321" s="108" t="n"/>
      <c r="AF321" s="145" t="n"/>
    </row>
    <row r="322">
      <c r="D322" s="145" t="n"/>
      <c r="E322" s="145" t="n"/>
      <c r="F322" s="145" t="n"/>
      <c r="G322" s="145" t="n"/>
      <c r="H322" s="108" t="n"/>
      <c r="I322" s="145" t="n"/>
      <c r="J322" s="108" t="n"/>
      <c r="K322" s="145" t="n"/>
      <c r="M322" s="145" t="n"/>
      <c r="N322" s="108" t="n"/>
      <c r="O322" s="145" t="n"/>
      <c r="P322" s="108" t="n"/>
      <c r="Q322" s="145" t="n"/>
      <c r="R322" s="108" t="n"/>
      <c r="S322" s="145" t="n"/>
      <c r="T322" s="108" t="n"/>
      <c r="U322" s="108" t="n"/>
      <c r="V322" s="108" t="n"/>
      <c r="W322" s="108" t="n"/>
      <c r="X322" s="145" t="n"/>
      <c r="Y322" s="108" t="n"/>
      <c r="Z322" s="145" t="n"/>
      <c r="AA322" s="108" t="n"/>
      <c r="AB322" s="145" t="n"/>
      <c r="AC322" s="108" t="n"/>
      <c r="AD322" s="145" t="n"/>
      <c r="AE322" s="108" t="n"/>
      <c r="AF322" s="145" t="n"/>
    </row>
    <row r="323">
      <c r="D323" s="145" t="n"/>
      <c r="E323" s="145" t="n"/>
      <c r="F323" s="145" t="n"/>
      <c r="G323" s="145" t="n"/>
      <c r="H323" s="108" t="n"/>
      <c r="I323" s="145" t="n"/>
      <c r="J323" s="108" t="n"/>
      <c r="K323" s="145" t="n"/>
      <c r="M323" s="145" t="n"/>
      <c r="N323" s="108" t="n"/>
      <c r="O323" s="145" t="n"/>
      <c r="P323" s="108" t="n"/>
      <c r="Q323" s="145" t="n"/>
      <c r="R323" s="108" t="n"/>
      <c r="S323" s="145" t="n"/>
      <c r="T323" s="108" t="n"/>
      <c r="U323" s="108" t="n"/>
      <c r="V323" s="108" t="n"/>
      <c r="W323" s="108" t="n"/>
      <c r="X323" s="145" t="n"/>
      <c r="Y323" s="108" t="n"/>
      <c r="Z323" s="145" t="n"/>
      <c r="AA323" s="108" t="n"/>
      <c r="AB323" s="145" t="n"/>
      <c r="AC323" s="108" t="n"/>
      <c r="AD323" s="145" t="n"/>
      <c r="AE323" s="108" t="n"/>
      <c r="AF323" s="145" t="n"/>
    </row>
    <row r="324" customFormat="1" s="21">
      <c r="A324" s="22" t="n"/>
      <c r="B324" s="22" t="n"/>
      <c r="C324" s="22" t="n"/>
      <c r="D324" s="131" t="n"/>
      <c r="E324" s="128" t="n"/>
      <c r="F324" s="131" t="n"/>
      <c r="G324" s="128" t="n"/>
      <c r="H324" s="133" t="n"/>
      <c r="I324" s="128" t="n"/>
      <c r="J324" s="133" t="n"/>
      <c r="K324" s="133" t="n"/>
      <c r="M324" s="128" t="n"/>
      <c r="N324" s="133" t="n"/>
      <c r="O324" s="128" t="n"/>
      <c r="P324" s="133" t="n"/>
      <c r="Q324" s="128" t="n"/>
      <c r="R324" s="133" t="n"/>
      <c r="S324" s="128" t="n"/>
      <c r="T324" s="133" t="n"/>
      <c r="U324" s="133" t="n"/>
      <c r="V324" s="133" t="n"/>
      <c r="W324" s="133" t="n"/>
      <c r="X324" s="128" t="n"/>
      <c r="Y324" s="133" t="n"/>
      <c r="Z324" s="128" t="n"/>
      <c r="AA324" s="133" t="n"/>
      <c r="AB324" s="128" t="n"/>
      <c r="AC324" s="133" t="n"/>
      <c r="AD324" s="128" t="n"/>
      <c r="AE324" s="133" t="n"/>
      <c r="AF324" s="128" t="n"/>
    </row>
    <row r="325">
      <c r="D325" s="142" t="n"/>
      <c r="E325" s="142" t="n"/>
      <c r="F325" s="142" t="n"/>
      <c r="G325" s="142" t="n"/>
      <c r="H325" s="142" t="n"/>
      <c r="I325" s="142" t="n"/>
      <c r="J325" s="142" t="n"/>
      <c r="K325" s="142" t="n"/>
      <c r="M325" s="142" t="n"/>
      <c r="N325" s="142" t="n"/>
      <c r="O325" s="142" t="n"/>
      <c r="P325" s="142" t="n"/>
      <c r="Q325" s="142" t="n"/>
      <c r="R325" s="142" t="n"/>
      <c r="S325" s="142" t="n"/>
      <c r="T325" s="142" t="n"/>
      <c r="U325" s="142" t="n"/>
      <c r="V325" s="142" t="n"/>
      <c r="W325" s="142" t="n"/>
      <c r="X325" s="142" t="n"/>
      <c r="Y325" s="142" t="n"/>
      <c r="Z325" s="142" t="n"/>
      <c r="AA325" s="142" t="n"/>
      <c r="AB325" s="142" t="n"/>
      <c r="AC325" s="142" t="n"/>
      <c r="AD325" s="142" t="n"/>
      <c r="AE325" s="142" t="n"/>
      <c r="AF325" s="142" t="n"/>
    </row>
    <row r="326">
      <c r="D326" s="142" t="n"/>
      <c r="E326" s="142" t="n"/>
      <c r="F326" s="142" t="n"/>
      <c r="G326" s="142" t="n"/>
      <c r="H326" s="142" t="n"/>
      <c r="I326" s="142" t="n"/>
      <c r="J326" s="142" t="n"/>
      <c r="K326" s="142" t="n"/>
      <c r="M326" s="142" t="n"/>
      <c r="N326" s="142" t="n"/>
      <c r="O326" s="142" t="n"/>
      <c r="P326" s="142" t="n"/>
      <c r="Q326" s="142" t="n"/>
      <c r="R326" s="142" t="n"/>
      <c r="S326" s="142" t="n"/>
      <c r="T326" s="142" t="n"/>
      <c r="U326" s="142" t="n"/>
      <c r="V326" s="142" t="n"/>
      <c r="W326" s="142" t="n"/>
      <c r="X326" s="142" t="n"/>
      <c r="Y326" s="142" t="n"/>
      <c r="Z326" s="142" t="n"/>
      <c r="AA326" s="142" t="n"/>
      <c r="AB326" s="142" t="n"/>
      <c r="AC326" s="142" t="n"/>
      <c r="AD326" s="142" t="n"/>
      <c r="AE326" s="142" t="n"/>
      <c r="AF326" s="142" t="n"/>
    </row>
    <row r="327">
      <c r="D327" s="145" t="n"/>
      <c r="E327" s="145" t="n"/>
      <c r="F327" s="145" t="n"/>
      <c r="G327" s="145" t="n"/>
      <c r="H327" s="145" t="n"/>
      <c r="I327" s="145" t="n"/>
      <c r="J327" s="145" t="n"/>
      <c r="K327" s="145" t="n"/>
      <c r="M327" s="145" t="n"/>
      <c r="N327" s="145" t="n"/>
      <c r="O327" s="145" t="n"/>
      <c r="P327" s="145" t="n"/>
      <c r="Q327" s="145" t="n"/>
      <c r="R327" s="145" t="n"/>
      <c r="S327" s="145" t="n"/>
      <c r="T327" s="145" t="n"/>
      <c r="U327" s="145" t="n"/>
      <c r="V327" s="145" t="n"/>
      <c r="W327" s="145" t="n"/>
      <c r="X327" s="145" t="n"/>
      <c r="Y327" s="145" t="n"/>
      <c r="Z327" s="145" t="n"/>
      <c r="AA327" s="145" t="n"/>
      <c r="AB327" s="145" t="n"/>
      <c r="AC327" s="145" t="n"/>
      <c r="AD327" s="145" t="n"/>
      <c r="AE327" s="145" t="n"/>
      <c r="AF327" s="145" t="n"/>
    </row>
    <row r="328">
      <c r="D328" s="145" t="n"/>
      <c r="E328" s="145" t="n"/>
      <c r="F328" s="145" t="n"/>
      <c r="G328" s="145" t="n"/>
      <c r="H328" s="145" t="n"/>
      <c r="I328" s="145" t="n"/>
      <c r="J328" s="145" t="n"/>
      <c r="K328" s="145" t="n"/>
      <c r="M328" s="145" t="n"/>
      <c r="N328" s="145" t="n"/>
      <c r="O328" s="145" t="n"/>
      <c r="P328" s="145" t="n"/>
      <c r="Q328" s="145" t="n"/>
      <c r="R328" s="145" t="n"/>
      <c r="S328" s="145" t="n"/>
      <c r="T328" s="145" t="n"/>
      <c r="U328" s="145" t="n"/>
      <c r="V328" s="145" t="n"/>
      <c r="W328" s="145" t="n"/>
      <c r="X328" s="145" t="n"/>
      <c r="Y328" s="145" t="n"/>
      <c r="Z328" s="145" t="n"/>
      <c r="AA328" s="145" t="n"/>
      <c r="AB328" s="145" t="n"/>
      <c r="AC328" s="145" t="n"/>
      <c r="AD328" s="145" t="n"/>
      <c r="AE328" s="145" t="n"/>
      <c r="AF328" s="145" t="n"/>
    </row>
    <row r="329">
      <c r="D329" s="108" t="n"/>
      <c r="E329" s="108" t="n"/>
      <c r="F329" s="108" t="n"/>
      <c r="G329" s="108" t="n"/>
      <c r="H329" s="108" t="n"/>
      <c r="I329" s="108" t="n"/>
      <c r="J329" s="108" t="n"/>
      <c r="K329" s="108" t="n"/>
      <c r="M329" s="108" t="n"/>
      <c r="N329" s="108" t="n"/>
      <c r="O329" s="108" t="n"/>
      <c r="P329" s="108" t="n"/>
      <c r="Q329" s="108" t="n"/>
      <c r="R329" s="108" t="n"/>
      <c r="S329" s="108" t="n"/>
      <c r="T329" s="108" t="n"/>
      <c r="U329" s="108" t="n"/>
      <c r="V329" s="108" t="n"/>
      <c r="W329" s="108" t="n"/>
      <c r="X329" s="108" t="n"/>
      <c r="Y329" s="108" t="n"/>
      <c r="Z329" s="108" t="n"/>
      <c r="AA329" s="108" t="n"/>
      <c r="AB329" s="108" t="n"/>
      <c r="AC329" s="108" t="n"/>
      <c r="AD329" s="108" t="n"/>
      <c r="AE329" s="108" t="n"/>
      <c r="AF329" s="108" t="n"/>
    </row>
    <row r="330">
      <c r="A330" s="136" t="n"/>
      <c r="B330" s="136" t="n"/>
      <c r="C330" s="136" t="n"/>
      <c r="D330" s="137" t="n"/>
      <c r="E330" s="137" t="n"/>
      <c r="F330" s="137" t="n"/>
      <c r="G330" s="137" t="n"/>
      <c r="H330" s="137" t="n"/>
      <c r="I330" s="137" t="n"/>
      <c r="J330" s="137" t="n"/>
      <c r="K330" s="137" t="n"/>
      <c r="M330" s="137" t="n"/>
      <c r="N330" s="137" t="n"/>
      <c r="O330" s="137" t="n"/>
      <c r="P330" s="137" t="n"/>
      <c r="Q330" s="137" t="n"/>
      <c r="R330" s="137" t="n"/>
      <c r="S330" s="137" t="n"/>
      <c r="T330" s="137" t="n"/>
      <c r="U330" s="137" t="n"/>
      <c r="V330" s="137" t="n"/>
      <c r="W330" s="137" t="n"/>
      <c r="X330" s="137" t="n"/>
      <c r="Y330" s="137" t="n"/>
      <c r="Z330" s="137" t="n"/>
      <c r="AA330" s="137" t="n"/>
      <c r="AB330" s="137" t="n"/>
      <c r="AC330" s="137" t="n"/>
      <c r="AD330" s="137" t="n"/>
      <c r="AE330" s="137" t="n"/>
      <c r="AF330" s="137" t="n"/>
    </row>
    <row r="331">
      <c r="D331" s="108" t="n"/>
      <c r="E331" s="108" t="n"/>
      <c r="F331" s="108" t="n"/>
      <c r="G331" s="108" t="n"/>
      <c r="H331" s="108" t="n"/>
      <c r="I331" s="108" t="n"/>
      <c r="J331" s="108" t="n"/>
      <c r="K331" s="108" t="n"/>
      <c r="M331" s="108" t="n"/>
      <c r="N331" s="108" t="n"/>
      <c r="O331" s="108" t="n"/>
      <c r="P331" s="108" t="n"/>
      <c r="Q331" s="108" t="n"/>
      <c r="R331" s="108" t="n"/>
      <c r="S331" s="108" t="n"/>
      <c r="T331" s="108" t="n"/>
      <c r="U331" s="108" t="n"/>
      <c r="V331" s="108" t="n"/>
      <c r="W331" s="108" t="n"/>
      <c r="X331" s="108" t="n"/>
      <c r="Y331" s="108" t="n"/>
      <c r="Z331" s="108" t="n"/>
      <c r="AA331" s="108" t="n"/>
      <c r="AB331" s="108" t="n"/>
      <c r="AC331" s="108" t="n"/>
      <c r="AD331" s="108" t="n"/>
      <c r="AE331" s="108" t="n"/>
      <c r="AF331" s="108" t="n"/>
    </row>
    <row r="333">
      <c r="A333" s="81" t="n"/>
      <c r="B333" s="81" t="n"/>
      <c r="C333" s="81" t="n"/>
    </row>
    <row r="334">
      <c r="A334" t="n"/>
      <c r="E334" s="145" t="n"/>
      <c r="F334" s="145" t="n"/>
      <c r="G334" s="145" t="n"/>
      <c r="H334" s="145" t="n"/>
      <c r="I334" s="145" t="n"/>
      <c r="J334" s="145" t="n"/>
      <c r="K334" s="145" t="n"/>
      <c r="M334" s="145" t="n"/>
      <c r="N334" s="145" t="n"/>
      <c r="O334" s="145" t="n"/>
      <c r="P334" s="145" t="n"/>
      <c r="R334" s="145" t="n"/>
      <c r="S334" s="145" t="n"/>
      <c r="T334" s="145" t="n"/>
      <c r="U334" s="145" t="n"/>
    </row>
    <row r="335"/>
    <row r="336"/>
  </sheetData>
  <mergeCells count="3">
    <mergeCell ref="Q84:Q85"/>
    <mergeCell ref="U84:U85"/>
    <mergeCell ref="V17:V19"/>
  </mergeCells>
  <pageMargins left="0.7" right="0.7" top="0.75" bottom="0.75" header="0.3" footer="0.3"/>
  <pageSetup orientation="landscape" paperSize="9" scale="12" horizontalDpi="300" verticalDpi="300"/>
  <legacyDrawing xmlns:r="http://schemas.openxmlformats.org/officeDocument/2006/relationships" r:id="anysvml"/>
</worksheet>
</file>

<file path=xl/worksheets/sheet15.xml><?xml version="1.0" encoding="utf-8"?>
<worksheet xmlns="http://schemas.openxmlformats.org/spreadsheetml/2006/main">
  <sheetPr codeName="Sheet15">
    <tabColor theme="3"/>
    <outlinePr summaryBelow="1" summaryRight="1"/>
    <pageSetUpPr fitToPage="1"/>
  </sheetPr>
  <dimension ref="A1:CP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row>
    <row r="35" hidden="1" ht="13.25" customHeight="1">
      <c r="B35" s="204" t="n"/>
      <c r="C35" s="204" t="n"/>
      <c r="D35" s="204" t="n"/>
      <c r="E35" s="203" t="n"/>
      <c r="F35" s="203" t="n"/>
      <c r="H35" s="360" t="n"/>
    </row>
    <row r="36" hidden="1" ht="13.25" customHeight="1">
      <c r="B36" s="204">
        <f>+C36-1</f>
        <v/>
      </c>
      <c r="C36" s="204">
        <f>IF(bands_A!$D$9+1&gt;MONTH(G36),YEAR(G36),YEAR(G36)+1)</f>
        <v/>
      </c>
      <c r="D36" s="204">
        <f>+C36+1</f>
        <v/>
      </c>
      <c r="E36" s="203">
        <f>IF(C36&gt;C35,1,E35+1)</f>
        <v/>
      </c>
      <c r="F36" s="203">
        <f>COUNTIF(C:C,C36)</f>
        <v/>
      </c>
      <c r="G36" s="198">
        <f>+G37-7</f>
        <v/>
      </c>
      <c r="H36" s="361" t="n"/>
      <c r="I36" s="968">
        <f>H36/M36</f>
        <v/>
      </c>
      <c r="J36" s="968">
        <f>H36/N36</f>
        <v/>
      </c>
      <c r="K36" s="968">
        <f>(H36+Q36)/O36</f>
        <v/>
      </c>
      <c r="L36" s="968">
        <f>(H36+Q36)/P36</f>
        <v/>
      </c>
      <c r="M36" s="199">
        <f>HLOOKUP(C:C,$4:$10,3,FALSE)+((HLOOKUP(D:D,$4:$10,3,FALSE)-HLOOKUP(C:C,$4:$10,3,FALSE))*E36/F36)</f>
        <v/>
      </c>
      <c r="N36" s="199">
        <f>HLOOKUP(C:C,$4:$10,2,FALSE)+((HLOOKUP(D:D,$4:$10,2,FALSE)-HLOOKUP(C:C,$4:$10,2,FALSE))*E36/F36)</f>
        <v/>
      </c>
      <c r="O36" s="199">
        <f>HLOOKUP(C:C,$4:$10,5,FALSE)+((HLOOKUP(D:D,$4:$10,5,FALSE)-HLOOKUP(C:C,$4:$10,5,FALSE))*E36/F36)</f>
        <v/>
      </c>
      <c r="P36" s="199">
        <f>HLOOKUP(C:C,$4:$10,4,FALSE)+((HLOOKUP(D:D,$4:$10,4,FALSE)-HLOOKUP(C:C,$4:$10,4,FALSE))*E36/F36)</f>
        <v/>
      </c>
      <c r="Q36" s="199">
        <f>HLOOKUP(B:B,$4:$10,6,FALSE)+((HLOOKUP(C:C,$4:$10,6,FALSE)-HLOOKUP(B:B,$4:$10,6,FALSE))*E36/F36)</f>
        <v/>
      </c>
      <c r="T36" s="198">
        <f>$G36</f>
        <v/>
      </c>
      <c r="U36" s="199">
        <f>H36/(HLOOKUP(B:B,$4:$10,3,FALSE)+((HLOOKUP(C:C,$4:$10,3,FALSE)-HLOOKUP(B:B,$4:$10,3,FALSE))*E36/F36))</f>
        <v/>
      </c>
      <c r="V36" s="969">
        <f>HLOOKUP(B:B,$4:$10,7,FALSE)+((HLOOKUP(C:C,$4:$10,7,FALSE)-HLOOKUP(B:B,$4:$10,7,FALSE))*E36/F36)</f>
        <v/>
      </c>
      <c r="AB36" s="198">
        <f>$G36</f>
        <v/>
      </c>
      <c r="AC36" s="199">
        <f>$H36</f>
        <v/>
      </c>
      <c r="AD36" s="199">
        <f>$M36*AD$34</f>
        <v/>
      </c>
      <c r="AE36" s="199">
        <f>$M36*AE$34</f>
        <v/>
      </c>
      <c r="AF36" s="199">
        <f>$M36*AF$34</f>
        <v/>
      </c>
      <c r="AG36" s="199">
        <f>$M36*AG$34</f>
        <v/>
      </c>
      <c r="AH36" s="199">
        <f>$M36*AH$34</f>
        <v/>
      </c>
      <c r="AJ36" s="198">
        <f>$G36</f>
        <v/>
      </c>
      <c r="AK36" s="199">
        <f>$H36</f>
        <v/>
      </c>
      <c r="AL36" s="199">
        <f>$N36*AL$34</f>
        <v/>
      </c>
      <c r="AM36" s="199">
        <f>$N36*AM$34</f>
        <v/>
      </c>
      <c r="AN36" s="199">
        <f>$N36*AN$34</f>
        <v/>
      </c>
      <c r="AO36" s="199">
        <f>$N36*AO$34</f>
        <v/>
      </c>
      <c r="AP36" s="199">
        <f>$N36*AP$34</f>
        <v/>
      </c>
      <c r="AR36" s="198">
        <f>$G36</f>
        <v/>
      </c>
      <c r="AS36" s="199">
        <f>$H36</f>
        <v/>
      </c>
      <c r="AT36" s="199">
        <f>$O36*AT$34-$Q36</f>
        <v/>
      </c>
      <c r="AU36" s="199">
        <f>$O36*AU$34-$Q36</f>
        <v/>
      </c>
      <c r="AV36" s="199">
        <f>$O36*AV$34-$Q36</f>
        <v/>
      </c>
      <c r="AW36" s="199">
        <f>$O36*AW$34-$Q36</f>
        <v/>
      </c>
      <c r="AX36" s="199">
        <f>$O36*AX$34-$Q36</f>
        <v/>
      </c>
      <c r="AZ36" s="198">
        <f>$G36</f>
        <v/>
      </c>
      <c r="BA36" s="199">
        <f>$H36</f>
        <v/>
      </c>
      <c r="BB36" s="199">
        <f>$P36*BB$34-$Q36</f>
        <v/>
      </c>
      <c r="BC36" s="199">
        <f>$P36*BC$34-$Q36</f>
        <v/>
      </c>
      <c r="BD36" s="199">
        <f>$P36*BD$34-$Q36</f>
        <v/>
      </c>
      <c r="BE36" s="199">
        <f>$P36*BE$34-$Q36</f>
        <v/>
      </c>
      <c r="BF36" s="199">
        <f>$P36*BF$34-$Q36</f>
        <v/>
      </c>
      <c r="BH36" s="198">
        <f>$G36</f>
        <v/>
      </c>
      <c r="BI36" s="197">
        <f>$I36</f>
        <v/>
      </c>
      <c r="BJ36" s="197">
        <f>+BJ37</f>
        <v/>
      </c>
      <c r="BK36" s="197">
        <f>+BK37</f>
        <v/>
      </c>
      <c r="BL36" s="197">
        <f>+BL37</f>
        <v/>
      </c>
      <c r="BM36" s="197">
        <f>+BM37</f>
        <v/>
      </c>
      <c r="BN36" s="197">
        <f>+BN37</f>
        <v/>
      </c>
      <c r="BP36" s="198">
        <f>$G36</f>
        <v/>
      </c>
      <c r="BQ36" s="197">
        <f>$J36</f>
        <v/>
      </c>
      <c r="BR36" s="197">
        <f>+BR37</f>
        <v/>
      </c>
      <c r="BS36" s="197">
        <f>+BS37</f>
        <v/>
      </c>
      <c r="BT36" s="197">
        <f>+BT37</f>
        <v/>
      </c>
      <c r="BU36" s="197">
        <f>+BU37</f>
        <v/>
      </c>
      <c r="BV36" s="197">
        <f>+BV37</f>
        <v/>
      </c>
      <c r="BX36" s="198">
        <f>$G36</f>
        <v/>
      </c>
      <c r="BY36" s="197">
        <f>$K36</f>
        <v/>
      </c>
      <c r="BZ36" s="197">
        <f>+BZ37</f>
        <v/>
      </c>
      <c r="CA36" s="197">
        <f>+CA37</f>
        <v/>
      </c>
      <c r="CB36" s="197">
        <f>+CB37</f>
        <v/>
      </c>
      <c r="CC36" s="197">
        <f>+CC37</f>
        <v/>
      </c>
      <c r="CD36" s="197">
        <f>+CD37</f>
        <v/>
      </c>
      <c r="CF36" s="198">
        <f>$G36</f>
        <v/>
      </c>
      <c r="CG36" s="197">
        <f>$L36</f>
        <v/>
      </c>
      <c r="CH36" s="197">
        <f>+CH37</f>
        <v/>
      </c>
      <c r="CI36" s="197">
        <f>+CI37</f>
        <v/>
      </c>
      <c r="CJ36" s="197">
        <f>+CJ37</f>
        <v/>
      </c>
      <c r="CK36" s="197">
        <f>+CK37</f>
        <v/>
      </c>
      <c r="CL36" s="197">
        <f>+CL37</f>
        <v/>
      </c>
      <c r="CO36" s="199" t="n">
        <v>6.8</v>
      </c>
      <c r="CP36" s="970" t="n">
        <v>0.8835499999999999</v>
      </c>
    </row>
    <row r="37" hidden="1" ht="13.25" customHeight="1">
      <c r="B37" s="204">
        <f>+C37-1</f>
        <v/>
      </c>
      <c r="C37" s="204">
        <f>IF(bands_A!$D$9+1&gt;MONTH(G37),YEAR(G37),YEAR(G37)+1)</f>
        <v/>
      </c>
      <c r="D37" s="204">
        <f>+C37+1</f>
        <v/>
      </c>
      <c r="E37" s="203">
        <f>IF(C37&gt;C36,1,E36+1)</f>
        <v/>
      </c>
      <c r="F37" s="203">
        <f>COUNTIF(C:C,C37)</f>
        <v/>
      </c>
      <c r="G37" s="198">
        <f>+G38-7</f>
        <v/>
      </c>
      <c r="H37" s="361" t="n"/>
      <c r="I37" s="968">
        <f>H37/M37</f>
        <v/>
      </c>
      <c r="J37" s="968">
        <f>H37/N37</f>
        <v/>
      </c>
      <c r="K37" s="968">
        <f>(H37+Q37)/O37</f>
        <v/>
      </c>
      <c r="L37" s="968">
        <f>(H37+Q37)/P37</f>
        <v/>
      </c>
      <c r="M37" s="199">
        <f>HLOOKUP(C:C,$4:$10,3,FALSE)+((HLOOKUP(D:D,$4:$10,3,FALSE)-HLOOKUP(C:C,$4:$10,3,FALSE))*E37/F37)</f>
        <v/>
      </c>
      <c r="N37" s="199">
        <f>HLOOKUP(C:C,$4:$10,2,FALSE)+((HLOOKUP(D:D,$4:$10,2,FALSE)-HLOOKUP(C:C,$4:$10,2,FALSE))*E37/F37)</f>
        <v/>
      </c>
      <c r="O37" s="199">
        <f>HLOOKUP(C:C,$4:$10,5,FALSE)+((HLOOKUP(D:D,$4:$10,5,FALSE)-HLOOKUP(C:C,$4:$10,5,FALSE))*E37/F37)</f>
        <v/>
      </c>
      <c r="P37" s="199">
        <f>HLOOKUP(C:C,$4:$10,4,FALSE)+((HLOOKUP(D:D,$4:$10,4,FALSE)-HLOOKUP(C:C,$4:$10,4,FALSE))*E37/F37)</f>
        <v/>
      </c>
      <c r="Q37" s="199">
        <f>HLOOKUP(B:B,$4:$10,6,FALSE)+((HLOOKUP(C:C,$4:$10,6,FALSE)-HLOOKUP(B:B,$4:$10,6,FALSE))*E37/F37)</f>
        <v/>
      </c>
      <c r="T37" s="198">
        <f>$G37</f>
        <v/>
      </c>
      <c r="U37" s="199">
        <f>H37/(HLOOKUP(B:B,$4:$10,3,FALSE)+((HLOOKUP(C:C,$4:$10,3,FALSE)-HLOOKUP(B:B,$4:$10,3,FALSE))*E37/F37))</f>
        <v/>
      </c>
      <c r="V37" s="969">
        <f>HLOOKUP(B:B,$4:$10,7,FALSE)+((HLOOKUP(C:C,$4:$10,7,FALSE)-HLOOKUP(B:B,$4:$10,7,FALSE))*E37/F37)</f>
        <v/>
      </c>
      <c r="AB37" s="198">
        <f>$G37</f>
        <v/>
      </c>
      <c r="AC37" s="199">
        <f>$H37</f>
        <v/>
      </c>
      <c r="AD37" s="199">
        <f>$M37*AD$34</f>
        <v/>
      </c>
      <c r="AE37" s="199">
        <f>$M37*AE$34</f>
        <v/>
      </c>
      <c r="AF37" s="199">
        <f>$M37*AF$34</f>
        <v/>
      </c>
      <c r="AG37" s="199">
        <f>$M37*AG$34</f>
        <v/>
      </c>
      <c r="AH37" s="199">
        <f>$M37*AH$34</f>
        <v/>
      </c>
      <c r="AJ37" s="198">
        <f>$G37</f>
        <v/>
      </c>
      <c r="AK37" s="199">
        <f>$H37</f>
        <v/>
      </c>
      <c r="AL37" s="199">
        <f>$N37*AL$34</f>
        <v/>
      </c>
      <c r="AM37" s="199">
        <f>$N37*AM$34</f>
        <v/>
      </c>
      <c r="AN37" s="199">
        <f>$N37*AN$34</f>
        <v/>
      </c>
      <c r="AO37" s="199">
        <f>$N37*AO$34</f>
        <v/>
      </c>
      <c r="AP37" s="199">
        <f>$N37*AP$34</f>
        <v/>
      </c>
      <c r="AR37" s="198">
        <f>$G37</f>
        <v/>
      </c>
      <c r="AS37" s="199">
        <f>$H37</f>
        <v/>
      </c>
      <c r="AT37" s="199">
        <f>$O37*AT$34-$Q37</f>
        <v/>
      </c>
      <c r="AU37" s="199">
        <f>$O37*AU$34-$Q37</f>
        <v/>
      </c>
      <c r="AV37" s="199">
        <f>$O37*AV$34-$Q37</f>
        <v/>
      </c>
      <c r="AW37" s="199">
        <f>$O37*AW$34-$Q37</f>
        <v/>
      </c>
      <c r="AX37" s="199">
        <f>$O37*AX$34-$Q37</f>
        <v/>
      </c>
      <c r="AZ37" s="198">
        <f>$G37</f>
        <v/>
      </c>
      <c r="BA37" s="199">
        <f>$H37</f>
        <v/>
      </c>
      <c r="BB37" s="199">
        <f>$P37*BB$34-$Q37</f>
        <v/>
      </c>
      <c r="BC37" s="199">
        <f>$P37*BC$34-$Q37</f>
        <v/>
      </c>
      <c r="BD37" s="199">
        <f>$P37*BD$34-$Q37</f>
        <v/>
      </c>
      <c r="BE37" s="199">
        <f>$P37*BE$34-$Q37</f>
        <v/>
      </c>
      <c r="BF37" s="199">
        <f>$P37*BF$34-$Q37</f>
        <v/>
      </c>
      <c r="BH37" s="198">
        <f>$G37</f>
        <v/>
      </c>
      <c r="BI37" s="197">
        <f>$I37</f>
        <v/>
      </c>
      <c r="BJ37" s="197">
        <f>+BJ38</f>
        <v/>
      </c>
      <c r="BK37" s="197">
        <f>+BK38</f>
        <v/>
      </c>
      <c r="BL37" s="197">
        <f>+BL38</f>
        <v/>
      </c>
      <c r="BM37" s="197">
        <f>+BM38</f>
        <v/>
      </c>
      <c r="BN37" s="197">
        <f>+BN38</f>
        <v/>
      </c>
      <c r="BP37" s="198">
        <f>$G37</f>
        <v/>
      </c>
      <c r="BQ37" s="197">
        <f>$J37</f>
        <v/>
      </c>
      <c r="BR37" s="197">
        <f>+BR38</f>
        <v/>
      </c>
      <c r="BS37" s="197">
        <f>+BS38</f>
        <v/>
      </c>
      <c r="BT37" s="197">
        <f>+BT38</f>
        <v/>
      </c>
      <c r="BU37" s="197">
        <f>+BU38</f>
        <v/>
      </c>
      <c r="BV37" s="197">
        <f>+BV38</f>
        <v/>
      </c>
      <c r="BX37" s="198">
        <f>$G37</f>
        <v/>
      </c>
      <c r="BY37" s="197">
        <f>$K37</f>
        <v/>
      </c>
      <c r="BZ37" s="197">
        <f>+BZ38</f>
        <v/>
      </c>
      <c r="CA37" s="197">
        <f>+CA38</f>
        <v/>
      </c>
      <c r="CB37" s="197">
        <f>+CB38</f>
        <v/>
      </c>
      <c r="CC37" s="197">
        <f>+CC38</f>
        <v/>
      </c>
      <c r="CD37" s="197">
        <f>+CD38</f>
        <v/>
      </c>
      <c r="CF37" s="198">
        <f>$G37</f>
        <v/>
      </c>
      <c r="CG37" s="197">
        <f>$L37</f>
        <v/>
      </c>
      <c r="CH37" s="197">
        <f>+CH38</f>
        <v/>
      </c>
      <c r="CI37" s="197">
        <f>+CI38</f>
        <v/>
      </c>
      <c r="CJ37" s="197">
        <f>+CJ38</f>
        <v/>
      </c>
      <c r="CK37" s="197">
        <f>+CK38</f>
        <v/>
      </c>
      <c r="CL37" s="197">
        <f>+CL38</f>
        <v/>
      </c>
      <c r="CO37" s="199" t="n">
        <v>6.8</v>
      </c>
      <c r="CP37" s="970" t="n">
        <v>0.8835499999999999</v>
      </c>
    </row>
    <row r="38" hidden="1" ht="13.25" customHeight="1">
      <c r="B38" s="204">
        <f>+C38-1</f>
        <v/>
      </c>
      <c r="C38" s="204">
        <f>IF(bands_A!$D$9+1&gt;MONTH(G38),YEAR(G38),YEAR(G38)+1)</f>
        <v/>
      </c>
      <c r="D38" s="204">
        <f>+C38+1</f>
        <v/>
      </c>
      <c r="E38" s="203">
        <f>IF(C38&gt;C37,1,E37+1)</f>
        <v/>
      </c>
      <c r="F38" s="203">
        <f>COUNTIF(C:C,C38)</f>
        <v/>
      </c>
      <c r="G38" s="198">
        <f>+G39-7</f>
        <v/>
      </c>
      <c r="H38" s="361" t="n"/>
      <c r="I38" s="968">
        <f>H38/M38</f>
        <v/>
      </c>
      <c r="J38" s="968">
        <f>H38/N38</f>
        <v/>
      </c>
      <c r="K38" s="968">
        <f>(H38+Q38)/O38</f>
        <v/>
      </c>
      <c r="L38" s="968">
        <f>(H38+Q38)/P38</f>
        <v/>
      </c>
      <c r="M38" s="199">
        <f>HLOOKUP(C:C,$4:$10,3,FALSE)+((HLOOKUP(D:D,$4:$10,3,FALSE)-HLOOKUP(C:C,$4:$10,3,FALSE))*E38/F38)</f>
        <v/>
      </c>
      <c r="N38" s="199">
        <f>HLOOKUP(C:C,$4:$10,2,FALSE)+((HLOOKUP(D:D,$4:$10,2,FALSE)-HLOOKUP(C:C,$4:$10,2,FALSE))*E38/F38)</f>
        <v/>
      </c>
      <c r="O38" s="199">
        <f>HLOOKUP(C:C,$4:$10,5,FALSE)+((HLOOKUP(D:D,$4:$10,5,FALSE)-HLOOKUP(C:C,$4:$10,5,FALSE))*E38/F38)</f>
        <v/>
      </c>
      <c r="P38" s="199">
        <f>HLOOKUP(C:C,$4:$10,4,FALSE)+((HLOOKUP(D:D,$4:$10,4,FALSE)-HLOOKUP(C:C,$4:$10,4,FALSE))*E38/F38)</f>
        <v/>
      </c>
      <c r="Q38" s="199">
        <f>HLOOKUP(B:B,$4:$10,6,FALSE)+((HLOOKUP(C:C,$4:$10,6,FALSE)-HLOOKUP(B:B,$4:$10,6,FALSE))*E38/F38)</f>
        <v/>
      </c>
      <c r="T38" s="198">
        <f>$G38</f>
        <v/>
      </c>
      <c r="U38" s="199">
        <f>H38/(HLOOKUP(B:B,$4:$10,3,FALSE)+((HLOOKUP(C:C,$4:$10,3,FALSE)-HLOOKUP(B:B,$4:$10,3,FALSE))*E38/F38))</f>
        <v/>
      </c>
      <c r="V38" s="969">
        <f>HLOOKUP(B:B,$4:$10,7,FALSE)+((HLOOKUP(C:C,$4:$10,7,FALSE)-HLOOKUP(B:B,$4:$10,7,FALSE))*E38/F38)</f>
        <v/>
      </c>
      <c r="AB38" s="198">
        <f>$G38</f>
        <v/>
      </c>
      <c r="AC38" s="199">
        <f>$H38</f>
        <v/>
      </c>
      <c r="AD38" s="199">
        <f>$M38*AD$34</f>
        <v/>
      </c>
      <c r="AE38" s="199">
        <f>$M38*AE$34</f>
        <v/>
      </c>
      <c r="AF38" s="199">
        <f>$M38*AF$34</f>
        <v/>
      </c>
      <c r="AG38" s="199">
        <f>$M38*AG$34</f>
        <v/>
      </c>
      <c r="AH38" s="199">
        <f>$M38*AH$34</f>
        <v/>
      </c>
      <c r="AJ38" s="198">
        <f>$G38</f>
        <v/>
      </c>
      <c r="AK38" s="199">
        <f>$H38</f>
        <v/>
      </c>
      <c r="AL38" s="199">
        <f>$N38*AL$34</f>
        <v/>
      </c>
      <c r="AM38" s="199">
        <f>$N38*AM$34</f>
        <v/>
      </c>
      <c r="AN38" s="199">
        <f>$N38*AN$34</f>
        <v/>
      </c>
      <c r="AO38" s="199">
        <f>$N38*AO$34</f>
        <v/>
      </c>
      <c r="AP38" s="199">
        <f>$N38*AP$34</f>
        <v/>
      </c>
      <c r="AR38" s="198">
        <f>$G38</f>
        <v/>
      </c>
      <c r="AS38" s="199">
        <f>$H38</f>
        <v/>
      </c>
      <c r="AT38" s="199">
        <f>$O38*AT$34-$Q38</f>
        <v/>
      </c>
      <c r="AU38" s="199">
        <f>$O38*AU$34-$Q38</f>
        <v/>
      </c>
      <c r="AV38" s="199">
        <f>$O38*AV$34-$Q38</f>
        <v/>
      </c>
      <c r="AW38" s="199">
        <f>$O38*AW$34-$Q38</f>
        <v/>
      </c>
      <c r="AX38" s="199">
        <f>$O38*AX$34-$Q38</f>
        <v/>
      </c>
      <c r="AZ38" s="198">
        <f>$G38</f>
        <v/>
      </c>
      <c r="BA38" s="199">
        <f>$H38</f>
        <v/>
      </c>
      <c r="BB38" s="199">
        <f>$P38*BB$34-$Q38</f>
        <v/>
      </c>
      <c r="BC38" s="199">
        <f>$P38*BC$34-$Q38</f>
        <v/>
      </c>
      <c r="BD38" s="199">
        <f>$P38*BD$34-$Q38</f>
        <v/>
      </c>
      <c r="BE38" s="199">
        <f>$P38*BE$34-$Q38</f>
        <v/>
      </c>
      <c r="BF38" s="199">
        <f>$P38*BF$34-$Q38</f>
        <v/>
      </c>
      <c r="BH38" s="198">
        <f>$G38</f>
        <v/>
      </c>
      <c r="BI38" s="197">
        <f>$I38</f>
        <v/>
      </c>
      <c r="BJ38" s="197">
        <f>+BJ39</f>
        <v/>
      </c>
      <c r="BK38" s="197">
        <f>+BK39</f>
        <v/>
      </c>
      <c r="BL38" s="197">
        <f>+BL39</f>
        <v/>
      </c>
      <c r="BM38" s="197">
        <f>+BM39</f>
        <v/>
      </c>
      <c r="BN38" s="197">
        <f>+BN39</f>
        <v/>
      </c>
      <c r="BP38" s="198">
        <f>$G38</f>
        <v/>
      </c>
      <c r="BQ38" s="197">
        <f>$J38</f>
        <v/>
      </c>
      <c r="BR38" s="197">
        <f>+BR39</f>
        <v/>
      </c>
      <c r="BS38" s="197">
        <f>+BS39</f>
        <v/>
      </c>
      <c r="BT38" s="197">
        <f>+BT39</f>
        <v/>
      </c>
      <c r="BU38" s="197">
        <f>+BU39</f>
        <v/>
      </c>
      <c r="BV38" s="197">
        <f>+BV39</f>
        <v/>
      </c>
      <c r="BX38" s="198">
        <f>$G38</f>
        <v/>
      </c>
      <c r="BY38" s="197">
        <f>$K38</f>
        <v/>
      </c>
      <c r="BZ38" s="197">
        <f>+BZ39</f>
        <v/>
      </c>
      <c r="CA38" s="197">
        <f>+CA39</f>
        <v/>
      </c>
      <c r="CB38" s="197">
        <f>+CB39</f>
        <v/>
      </c>
      <c r="CC38" s="197">
        <f>+CC39</f>
        <v/>
      </c>
      <c r="CD38" s="197">
        <f>+CD39</f>
        <v/>
      </c>
      <c r="CF38" s="198">
        <f>$G38</f>
        <v/>
      </c>
      <c r="CG38" s="197">
        <f>$L38</f>
        <v/>
      </c>
      <c r="CH38" s="197">
        <f>+CH39</f>
        <v/>
      </c>
      <c r="CI38" s="197">
        <f>+CI39</f>
        <v/>
      </c>
      <c r="CJ38" s="197">
        <f>+CJ39</f>
        <v/>
      </c>
      <c r="CK38" s="197">
        <f>+CK39</f>
        <v/>
      </c>
      <c r="CL38" s="197">
        <f>+CL39</f>
        <v/>
      </c>
      <c r="CO38" s="199" t="n">
        <v>6.8</v>
      </c>
      <c r="CP38" s="970" t="n">
        <v>0.8835499999999999</v>
      </c>
    </row>
    <row r="39" hidden="1" ht="13.25" customHeight="1">
      <c r="B39" s="204">
        <f>+C39-1</f>
        <v/>
      </c>
      <c r="C39" s="204">
        <f>IF(bands_A!$D$9+1&gt;MONTH(G39),YEAR(G39),YEAR(G39)+1)</f>
        <v/>
      </c>
      <c r="D39" s="204">
        <f>+C39+1</f>
        <v/>
      </c>
      <c r="E39" s="203">
        <f>IF(C39&gt;C38,1,E38+1)</f>
        <v/>
      </c>
      <c r="F39" s="203">
        <f>COUNTIF(C:C,C39)</f>
        <v/>
      </c>
      <c r="G39" s="198">
        <f>+G40-7</f>
        <v/>
      </c>
      <c r="H39" s="361" t="n"/>
      <c r="I39" s="968">
        <f>H39/M39</f>
        <v/>
      </c>
      <c r="J39" s="968">
        <f>H39/N39</f>
        <v/>
      </c>
      <c r="K39" s="968">
        <f>(H39+Q39)/O39</f>
        <v/>
      </c>
      <c r="L39" s="968">
        <f>(H39+Q39)/P39</f>
        <v/>
      </c>
      <c r="M39" s="199">
        <f>HLOOKUP(C:C,$4:$10,3,FALSE)+((HLOOKUP(D:D,$4:$10,3,FALSE)-HLOOKUP(C:C,$4:$10,3,FALSE))*E39/F39)</f>
        <v/>
      </c>
      <c r="N39" s="199">
        <f>HLOOKUP(C:C,$4:$10,2,FALSE)+((HLOOKUP(D:D,$4:$10,2,FALSE)-HLOOKUP(C:C,$4:$10,2,FALSE))*E39/F39)</f>
        <v/>
      </c>
      <c r="O39" s="199">
        <f>HLOOKUP(C:C,$4:$10,5,FALSE)+((HLOOKUP(D:D,$4:$10,5,FALSE)-HLOOKUP(C:C,$4:$10,5,FALSE))*E39/F39)</f>
        <v/>
      </c>
      <c r="P39" s="199">
        <f>HLOOKUP(C:C,$4:$10,4,FALSE)+((HLOOKUP(D:D,$4:$10,4,FALSE)-HLOOKUP(C:C,$4:$10,4,FALSE))*E39/F39)</f>
        <v/>
      </c>
      <c r="Q39" s="199">
        <f>HLOOKUP(B:B,$4:$10,6,FALSE)+((HLOOKUP(C:C,$4:$10,6,FALSE)-HLOOKUP(B:B,$4:$10,6,FALSE))*E39/F39)</f>
        <v/>
      </c>
      <c r="T39" s="198">
        <f>$G39</f>
        <v/>
      </c>
      <c r="U39" s="199">
        <f>H39/(HLOOKUP(B:B,$4:$10,3,FALSE)+((HLOOKUP(C:C,$4:$10,3,FALSE)-HLOOKUP(B:B,$4:$10,3,FALSE))*E39/F39))</f>
        <v/>
      </c>
      <c r="V39" s="969">
        <f>HLOOKUP(B:B,$4:$10,7,FALSE)+((HLOOKUP(C:C,$4:$10,7,FALSE)-HLOOKUP(B:B,$4:$10,7,FALSE))*E39/F39)</f>
        <v/>
      </c>
      <c r="AB39" s="198">
        <f>$G39</f>
        <v/>
      </c>
      <c r="AC39" s="199">
        <f>$H39</f>
        <v/>
      </c>
      <c r="AD39" s="199">
        <f>$M39*AD$34</f>
        <v/>
      </c>
      <c r="AE39" s="199">
        <f>$M39*AE$34</f>
        <v/>
      </c>
      <c r="AF39" s="199">
        <f>$M39*AF$34</f>
        <v/>
      </c>
      <c r="AG39" s="199">
        <f>$M39*AG$34</f>
        <v/>
      </c>
      <c r="AH39" s="199">
        <f>$M39*AH$34</f>
        <v/>
      </c>
      <c r="AJ39" s="198">
        <f>$G39</f>
        <v/>
      </c>
      <c r="AK39" s="199">
        <f>$H39</f>
        <v/>
      </c>
      <c r="AL39" s="199">
        <f>$N39*AL$34</f>
        <v/>
      </c>
      <c r="AM39" s="199">
        <f>$N39*AM$34</f>
        <v/>
      </c>
      <c r="AN39" s="199">
        <f>$N39*AN$34</f>
        <v/>
      </c>
      <c r="AO39" s="199">
        <f>$N39*AO$34</f>
        <v/>
      </c>
      <c r="AP39" s="199">
        <f>$N39*AP$34</f>
        <v/>
      </c>
      <c r="AR39" s="198">
        <f>$G39</f>
        <v/>
      </c>
      <c r="AS39" s="199">
        <f>$H39</f>
        <v/>
      </c>
      <c r="AT39" s="199">
        <f>$O39*AT$34-$Q39</f>
        <v/>
      </c>
      <c r="AU39" s="199">
        <f>$O39*AU$34-$Q39</f>
        <v/>
      </c>
      <c r="AV39" s="199">
        <f>$O39*AV$34-$Q39</f>
        <v/>
      </c>
      <c r="AW39" s="199">
        <f>$O39*AW$34-$Q39</f>
        <v/>
      </c>
      <c r="AX39" s="199">
        <f>$O39*AX$34-$Q39</f>
        <v/>
      </c>
      <c r="AZ39" s="198">
        <f>$G39</f>
        <v/>
      </c>
      <c r="BA39" s="199">
        <f>$H39</f>
        <v/>
      </c>
      <c r="BB39" s="199">
        <f>$P39*BB$34-$Q39</f>
        <v/>
      </c>
      <c r="BC39" s="199">
        <f>$P39*BC$34-$Q39</f>
        <v/>
      </c>
      <c r="BD39" s="199">
        <f>$P39*BD$34-$Q39</f>
        <v/>
      </c>
      <c r="BE39" s="199">
        <f>$P39*BE$34-$Q39</f>
        <v/>
      </c>
      <c r="BF39" s="199">
        <f>$P39*BF$34-$Q39</f>
        <v/>
      </c>
      <c r="BH39" s="198">
        <f>$G39</f>
        <v/>
      </c>
      <c r="BI39" s="197">
        <f>$I39</f>
        <v/>
      </c>
      <c r="BJ39" s="197">
        <f>+BJ40</f>
        <v/>
      </c>
      <c r="BK39" s="197">
        <f>+BK40</f>
        <v/>
      </c>
      <c r="BL39" s="197">
        <f>+BL40</f>
        <v/>
      </c>
      <c r="BM39" s="197">
        <f>+BM40</f>
        <v/>
      </c>
      <c r="BN39" s="197">
        <f>+BN40</f>
        <v/>
      </c>
      <c r="BP39" s="198">
        <f>$G39</f>
        <v/>
      </c>
      <c r="BQ39" s="197">
        <f>$J39</f>
        <v/>
      </c>
      <c r="BR39" s="197">
        <f>+BR40</f>
        <v/>
      </c>
      <c r="BS39" s="197">
        <f>+BS40</f>
        <v/>
      </c>
      <c r="BT39" s="197">
        <f>+BT40</f>
        <v/>
      </c>
      <c r="BU39" s="197">
        <f>+BU40</f>
        <v/>
      </c>
      <c r="BV39" s="197">
        <f>+BV40</f>
        <v/>
      </c>
      <c r="BX39" s="198">
        <f>$G39</f>
        <v/>
      </c>
      <c r="BY39" s="197">
        <f>$K39</f>
        <v/>
      </c>
      <c r="BZ39" s="197">
        <f>+BZ40</f>
        <v/>
      </c>
      <c r="CA39" s="197">
        <f>+CA40</f>
        <v/>
      </c>
      <c r="CB39" s="197">
        <f>+CB40</f>
        <v/>
      </c>
      <c r="CC39" s="197">
        <f>+CC40</f>
        <v/>
      </c>
      <c r="CD39" s="197">
        <f>+CD40</f>
        <v/>
      </c>
      <c r="CF39" s="198">
        <f>$G39</f>
        <v/>
      </c>
      <c r="CG39" s="197">
        <f>$L39</f>
        <v/>
      </c>
      <c r="CH39" s="197">
        <f>+CH40</f>
        <v/>
      </c>
      <c r="CI39" s="197">
        <f>+CI40</f>
        <v/>
      </c>
      <c r="CJ39" s="197">
        <f>+CJ40</f>
        <v/>
      </c>
      <c r="CK39" s="197">
        <f>+CK40</f>
        <v/>
      </c>
      <c r="CL39" s="197">
        <f>+CL40</f>
        <v/>
      </c>
      <c r="CO39" s="199" t="n">
        <v>6.8</v>
      </c>
      <c r="CP39" s="970" t="n">
        <v>0.8835499999999999</v>
      </c>
    </row>
    <row r="40" hidden="1" ht="13.25" customHeight="1">
      <c r="B40" s="204">
        <f>+C40-1</f>
        <v/>
      </c>
      <c r="C40" s="204">
        <f>IF(bands_A!$D$9+1&gt;MONTH(G40),YEAR(G40),YEAR(G40)+1)</f>
        <v/>
      </c>
      <c r="D40" s="204">
        <f>+C40+1</f>
        <v/>
      </c>
      <c r="E40" s="203">
        <f>IF(C40&gt;C39,1,E39+1)</f>
        <v/>
      </c>
      <c r="F40" s="203">
        <f>COUNTIF(C:C,C40)</f>
        <v/>
      </c>
      <c r="G40" s="198">
        <f>+G41-7</f>
        <v/>
      </c>
      <c r="H40" s="361" t="n"/>
      <c r="I40" s="968">
        <f>H40/M40</f>
        <v/>
      </c>
      <c r="J40" s="968">
        <f>H40/N40</f>
        <v/>
      </c>
      <c r="K40" s="968">
        <f>(H40+Q40)/O40</f>
        <v/>
      </c>
      <c r="L40" s="968">
        <f>(H40+Q40)/P40</f>
        <v/>
      </c>
      <c r="M40" s="199">
        <f>HLOOKUP(C:C,$4:$10,3,FALSE)+((HLOOKUP(D:D,$4:$10,3,FALSE)-HLOOKUP(C:C,$4:$10,3,FALSE))*E40/F40)</f>
        <v/>
      </c>
      <c r="N40" s="199">
        <f>HLOOKUP(C:C,$4:$10,2,FALSE)+((HLOOKUP(D:D,$4:$10,2,FALSE)-HLOOKUP(C:C,$4:$10,2,FALSE))*E40/F40)</f>
        <v/>
      </c>
      <c r="O40" s="199">
        <f>HLOOKUP(C:C,$4:$10,5,FALSE)+((HLOOKUP(D:D,$4:$10,5,FALSE)-HLOOKUP(C:C,$4:$10,5,FALSE))*E40/F40)</f>
        <v/>
      </c>
      <c r="P40" s="199">
        <f>HLOOKUP(C:C,$4:$10,4,FALSE)+((HLOOKUP(D:D,$4:$10,4,FALSE)-HLOOKUP(C:C,$4:$10,4,FALSE))*E40/F40)</f>
        <v/>
      </c>
      <c r="Q40" s="199">
        <f>HLOOKUP(B:B,$4:$10,6,FALSE)+((HLOOKUP(C:C,$4:$10,6,FALSE)-HLOOKUP(B:B,$4:$10,6,FALSE))*E40/F40)</f>
        <v/>
      </c>
      <c r="T40" s="198">
        <f>$G40</f>
        <v/>
      </c>
      <c r="U40" s="199">
        <f>H40/(HLOOKUP(B:B,$4:$10,3,FALSE)+((HLOOKUP(C:C,$4:$10,3,FALSE)-HLOOKUP(B:B,$4:$10,3,FALSE))*E40/F40))</f>
        <v/>
      </c>
      <c r="V40" s="969">
        <f>HLOOKUP(B:B,$4:$10,7,FALSE)+((HLOOKUP(C:C,$4:$10,7,FALSE)-HLOOKUP(B:B,$4:$10,7,FALSE))*E40/F40)</f>
        <v/>
      </c>
      <c r="AB40" s="198">
        <f>$G40</f>
        <v/>
      </c>
      <c r="AC40" s="199">
        <f>$H40</f>
        <v/>
      </c>
      <c r="AD40" s="199">
        <f>$M40*AD$34</f>
        <v/>
      </c>
      <c r="AE40" s="199">
        <f>$M40*AE$34</f>
        <v/>
      </c>
      <c r="AF40" s="199">
        <f>$M40*AF$34</f>
        <v/>
      </c>
      <c r="AG40" s="199">
        <f>$M40*AG$34</f>
        <v/>
      </c>
      <c r="AH40" s="199">
        <f>$M40*AH$34</f>
        <v/>
      </c>
      <c r="AJ40" s="198">
        <f>$G40</f>
        <v/>
      </c>
      <c r="AK40" s="199">
        <f>$H40</f>
        <v/>
      </c>
      <c r="AL40" s="199">
        <f>$N40*AL$34</f>
        <v/>
      </c>
      <c r="AM40" s="199">
        <f>$N40*AM$34</f>
        <v/>
      </c>
      <c r="AN40" s="199">
        <f>$N40*AN$34</f>
        <v/>
      </c>
      <c r="AO40" s="199">
        <f>$N40*AO$34</f>
        <v/>
      </c>
      <c r="AP40" s="199">
        <f>$N40*AP$34</f>
        <v/>
      </c>
      <c r="AR40" s="198">
        <f>$G40</f>
        <v/>
      </c>
      <c r="AS40" s="199">
        <f>$H40</f>
        <v/>
      </c>
      <c r="AT40" s="199">
        <f>$O40*AT$34-$Q40</f>
        <v/>
      </c>
      <c r="AU40" s="199">
        <f>$O40*AU$34-$Q40</f>
        <v/>
      </c>
      <c r="AV40" s="199">
        <f>$O40*AV$34-$Q40</f>
        <v/>
      </c>
      <c r="AW40" s="199">
        <f>$O40*AW$34-$Q40</f>
        <v/>
      </c>
      <c r="AX40" s="199">
        <f>$O40*AX$34-$Q40</f>
        <v/>
      </c>
      <c r="AZ40" s="198">
        <f>$G40</f>
        <v/>
      </c>
      <c r="BA40" s="199">
        <f>$H40</f>
        <v/>
      </c>
      <c r="BB40" s="199">
        <f>$P40*BB$34-$Q40</f>
        <v/>
      </c>
      <c r="BC40" s="199">
        <f>$P40*BC$34-$Q40</f>
        <v/>
      </c>
      <c r="BD40" s="199">
        <f>$P40*BD$34-$Q40</f>
        <v/>
      </c>
      <c r="BE40" s="199">
        <f>$P40*BE$34-$Q40</f>
        <v/>
      </c>
      <c r="BF40" s="199">
        <f>$P40*BF$34-$Q40</f>
        <v/>
      </c>
      <c r="BH40" s="198">
        <f>$G40</f>
        <v/>
      </c>
      <c r="BI40" s="197">
        <f>$I40</f>
        <v/>
      </c>
      <c r="BJ40" s="197">
        <f>+BJ41</f>
        <v/>
      </c>
      <c r="BK40" s="197">
        <f>+BK41</f>
        <v/>
      </c>
      <c r="BL40" s="197">
        <f>+BL41</f>
        <v/>
      </c>
      <c r="BM40" s="197">
        <f>+BM41</f>
        <v/>
      </c>
      <c r="BN40" s="197">
        <f>+BN41</f>
        <v/>
      </c>
      <c r="BP40" s="198">
        <f>$G40</f>
        <v/>
      </c>
      <c r="BQ40" s="197">
        <f>$J40</f>
        <v/>
      </c>
      <c r="BR40" s="197">
        <f>+BR41</f>
        <v/>
      </c>
      <c r="BS40" s="197">
        <f>+BS41</f>
        <v/>
      </c>
      <c r="BT40" s="197">
        <f>+BT41</f>
        <v/>
      </c>
      <c r="BU40" s="197">
        <f>+BU41</f>
        <v/>
      </c>
      <c r="BV40" s="197">
        <f>+BV41</f>
        <v/>
      </c>
      <c r="BX40" s="198">
        <f>$G40</f>
        <v/>
      </c>
      <c r="BY40" s="197">
        <f>$K40</f>
        <v/>
      </c>
      <c r="BZ40" s="197">
        <f>+BZ41</f>
        <v/>
      </c>
      <c r="CA40" s="197">
        <f>+CA41</f>
        <v/>
      </c>
      <c r="CB40" s="197">
        <f>+CB41</f>
        <v/>
      </c>
      <c r="CC40" s="197">
        <f>+CC41</f>
        <v/>
      </c>
      <c r="CD40" s="197">
        <f>+CD41</f>
        <v/>
      </c>
      <c r="CF40" s="198">
        <f>$G40</f>
        <v/>
      </c>
      <c r="CG40" s="197">
        <f>$L40</f>
        <v/>
      </c>
      <c r="CH40" s="197">
        <f>+CH41</f>
        <v/>
      </c>
      <c r="CI40" s="197">
        <f>+CI41</f>
        <v/>
      </c>
      <c r="CJ40" s="197">
        <f>+CJ41</f>
        <v/>
      </c>
      <c r="CK40" s="197">
        <f>+CK41</f>
        <v/>
      </c>
      <c r="CL40" s="197">
        <f>+CL41</f>
        <v/>
      </c>
      <c r="CO40" s="199" t="n">
        <v>6.8</v>
      </c>
      <c r="CP40" s="970" t="n">
        <v>0.8835499999999999</v>
      </c>
    </row>
    <row r="41" hidden="1" ht="13.25" customHeight="1">
      <c r="B41" s="204">
        <f>+C41-1</f>
        <v/>
      </c>
      <c r="C41" s="204">
        <f>IF(bands_A!$D$9+1&gt;MONTH(G41),YEAR(G41),YEAR(G41)+1)</f>
        <v/>
      </c>
      <c r="D41" s="204">
        <f>+C41+1</f>
        <v/>
      </c>
      <c r="E41" s="203">
        <f>IF(C41&gt;C40,1,E40+1)</f>
        <v/>
      </c>
      <c r="F41" s="203">
        <f>COUNTIF(C:C,C41)</f>
        <v/>
      </c>
      <c r="G41" s="198">
        <f>+G42-7</f>
        <v/>
      </c>
      <c r="H41" s="361" t="n"/>
      <c r="I41" s="968">
        <f>H41/M41</f>
        <v/>
      </c>
      <c r="J41" s="968">
        <f>H41/N41</f>
        <v/>
      </c>
      <c r="K41" s="968">
        <f>(H41+Q41)/O41</f>
        <v/>
      </c>
      <c r="L41" s="968">
        <f>(H41+Q41)/P41</f>
        <v/>
      </c>
      <c r="M41" s="199">
        <f>HLOOKUP(C:C,$4:$10,3,FALSE)+((HLOOKUP(D:D,$4:$10,3,FALSE)-HLOOKUP(C:C,$4:$10,3,FALSE))*E41/F41)</f>
        <v/>
      </c>
      <c r="N41" s="199">
        <f>HLOOKUP(C:C,$4:$10,2,FALSE)+((HLOOKUP(D:D,$4:$10,2,FALSE)-HLOOKUP(C:C,$4:$10,2,FALSE))*E41/F41)</f>
        <v/>
      </c>
      <c r="O41" s="199">
        <f>HLOOKUP(C:C,$4:$10,5,FALSE)+((HLOOKUP(D:D,$4:$10,5,FALSE)-HLOOKUP(C:C,$4:$10,5,FALSE))*E41/F41)</f>
        <v/>
      </c>
      <c r="P41" s="199">
        <f>HLOOKUP(C:C,$4:$10,4,FALSE)+((HLOOKUP(D:D,$4:$10,4,FALSE)-HLOOKUP(C:C,$4:$10,4,FALSE))*E41/F41)</f>
        <v/>
      </c>
      <c r="Q41" s="199">
        <f>HLOOKUP(B:B,$4:$10,6,FALSE)+((HLOOKUP(C:C,$4:$10,6,FALSE)-HLOOKUP(B:B,$4:$10,6,FALSE))*E41/F41)</f>
        <v/>
      </c>
      <c r="T41" s="198">
        <f>$G41</f>
        <v/>
      </c>
      <c r="U41" s="199">
        <f>H41/(HLOOKUP(B:B,$4:$10,3,FALSE)+((HLOOKUP(C:C,$4:$10,3,FALSE)-HLOOKUP(B:B,$4:$10,3,FALSE))*E41/F41))</f>
        <v/>
      </c>
      <c r="V41" s="969">
        <f>HLOOKUP(B:B,$4:$10,7,FALSE)+((HLOOKUP(C:C,$4:$10,7,FALSE)-HLOOKUP(B:B,$4:$10,7,FALSE))*E41/F41)</f>
        <v/>
      </c>
      <c r="AB41" s="198">
        <f>$G41</f>
        <v/>
      </c>
      <c r="AC41" s="199">
        <f>$H41</f>
        <v/>
      </c>
      <c r="AD41" s="199">
        <f>$M41*AD$34</f>
        <v/>
      </c>
      <c r="AE41" s="199">
        <f>$M41*AE$34</f>
        <v/>
      </c>
      <c r="AF41" s="199">
        <f>$M41*AF$34</f>
        <v/>
      </c>
      <c r="AG41" s="199">
        <f>$M41*AG$34</f>
        <v/>
      </c>
      <c r="AH41" s="199">
        <f>$M41*AH$34</f>
        <v/>
      </c>
      <c r="AJ41" s="198">
        <f>$G41</f>
        <v/>
      </c>
      <c r="AK41" s="199">
        <f>$H41</f>
        <v/>
      </c>
      <c r="AL41" s="199">
        <f>$N41*AL$34</f>
        <v/>
      </c>
      <c r="AM41" s="199">
        <f>$N41*AM$34</f>
        <v/>
      </c>
      <c r="AN41" s="199">
        <f>$N41*AN$34</f>
        <v/>
      </c>
      <c r="AO41" s="199">
        <f>$N41*AO$34</f>
        <v/>
      </c>
      <c r="AP41" s="199">
        <f>$N41*AP$34</f>
        <v/>
      </c>
      <c r="AR41" s="198">
        <f>$G41</f>
        <v/>
      </c>
      <c r="AS41" s="199">
        <f>$H41</f>
        <v/>
      </c>
      <c r="AT41" s="199">
        <f>$O41*AT$34-$Q41</f>
        <v/>
      </c>
      <c r="AU41" s="199">
        <f>$O41*AU$34-$Q41</f>
        <v/>
      </c>
      <c r="AV41" s="199">
        <f>$O41*AV$34-$Q41</f>
        <v/>
      </c>
      <c r="AW41" s="199">
        <f>$O41*AW$34-$Q41</f>
        <v/>
      </c>
      <c r="AX41" s="199">
        <f>$O41*AX$34-$Q41</f>
        <v/>
      </c>
      <c r="AZ41" s="198">
        <f>$G41</f>
        <v/>
      </c>
      <c r="BA41" s="199">
        <f>$H41</f>
        <v/>
      </c>
      <c r="BB41" s="199">
        <f>$P41*BB$34-$Q41</f>
        <v/>
      </c>
      <c r="BC41" s="199">
        <f>$P41*BC$34-$Q41</f>
        <v/>
      </c>
      <c r="BD41" s="199">
        <f>$P41*BD$34-$Q41</f>
        <v/>
      </c>
      <c r="BE41" s="199">
        <f>$P41*BE$34-$Q41</f>
        <v/>
      </c>
      <c r="BF41" s="199">
        <f>$P41*BF$34-$Q41</f>
        <v/>
      </c>
      <c r="BH41" s="198">
        <f>$G41</f>
        <v/>
      </c>
      <c r="BI41" s="197">
        <f>$I41</f>
        <v/>
      </c>
      <c r="BJ41" s="197">
        <f>+BJ42</f>
        <v/>
      </c>
      <c r="BK41" s="197">
        <f>+BK42</f>
        <v/>
      </c>
      <c r="BL41" s="197">
        <f>+BL42</f>
        <v/>
      </c>
      <c r="BM41" s="197">
        <f>+BM42</f>
        <v/>
      </c>
      <c r="BN41" s="197">
        <f>+BN42</f>
        <v/>
      </c>
      <c r="BP41" s="198">
        <f>$G41</f>
        <v/>
      </c>
      <c r="BQ41" s="197">
        <f>$J41</f>
        <v/>
      </c>
      <c r="BR41" s="197">
        <f>+BR42</f>
        <v/>
      </c>
      <c r="BS41" s="197">
        <f>+BS42</f>
        <v/>
      </c>
      <c r="BT41" s="197">
        <f>+BT42</f>
        <v/>
      </c>
      <c r="BU41" s="197">
        <f>+BU42</f>
        <v/>
      </c>
      <c r="BV41" s="197">
        <f>+BV42</f>
        <v/>
      </c>
      <c r="BX41" s="198">
        <f>$G41</f>
        <v/>
      </c>
      <c r="BY41" s="197">
        <f>$K41</f>
        <v/>
      </c>
      <c r="BZ41" s="197">
        <f>+BZ42</f>
        <v/>
      </c>
      <c r="CA41" s="197">
        <f>+CA42</f>
        <v/>
      </c>
      <c r="CB41" s="197">
        <f>+CB42</f>
        <v/>
      </c>
      <c r="CC41" s="197">
        <f>+CC42</f>
        <v/>
      </c>
      <c r="CD41" s="197">
        <f>+CD42</f>
        <v/>
      </c>
      <c r="CF41" s="198">
        <f>$G41</f>
        <v/>
      </c>
      <c r="CG41" s="197">
        <f>$L41</f>
        <v/>
      </c>
      <c r="CH41" s="197">
        <f>+CH42</f>
        <v/>
      </c>
      <c r="CI41" s="197">
        <f>+CI42</f>
        <v/>
      </c>
      <c r="CJ41" s="197">
        <f>+CJ42</f>
        <v/>
      </c>
      <c r="CK41" s="197">
        <f>+CK42</f>
        <v/>
      </c>
      <c r="CL41" s="197">
        <f>+CL42</f>
        <v/>
      </c>
      <c r="CO41" s="199" t="n">
        <v>6.8</v>
      </c>
      <c r="CP41" s="970" t="n">
        <v>0.8835499999999999</v>
      </c>
    </row>
    <row r="42" hidden="1" ht="13.25" customHeight="1">
      <c r="B42" s="204">
        <f>+C42-1</f>
        <v/>
      </c>
      <c r="C42" s="204">
        <f>IF(bands_A!$D$9+1&gt;MONTH(G42),YEAR(G42),YEAR(G42)+1)</f>
        <v/>
      </c>
      <c r="D42" s="204">
        <f>+C42+1</f>
        <v/>
      </c>
      <c r="E42" s="203">
        <f>IF(C42&gt;C41,1,E41+1)</f>
        <v/>
      </c>
      <c r="F42" s="203">
        <f>COUNTIF(C:C,C42)</f>
        <v/>
      </c>
      <c r="G42" s="198">
        <f>+G43-7</f>
        <v/>
      </c>
      <c r="H42" s="361" t="n"/>
      <c r="I42" s="968">
        <f>H42/M42</f>
        <v/>
      </c>
      <c r="J42" s="968">
        <f>H42/N42</f>
        <v/>
      </c>
      <c r="K42" s="968">
        <f>(H42+Q42)/O42</f>
        <v/>
      </c>
      <c r="L42" s="968">
        <f>(H42+Q42)/P42</f>
        <v/>
      </c>
      <c r="M42" s="199">
        <f>HLOOKUP(C:C,$4:$10,3,FALSE)+((HLOOKUP(D:D,$4:$10,3,FALSE)-HLOOKUP(C:C,$4:$10,3,FALSE))*E42/F42)</f>
        <v/>
      </c>
      <c r="N42" s="199">
        <f>HLOOKUP(C:C,$4:$10,2,FALSE)+((HLOOKUP(D:D,$4:$10,2,FALSE)-HLOOKUP(C:C,$4:$10,2,FALSE))*E42/F42)</f>
        <v/>
      </c>
      <c r="O42" s="199">
        <f>HLOOKUP(C:C,$4:$10,5,FALSE)+((HLOOKUP(D:D,$4:$10,5,FALSE)-HLOOKUP(C:C,$4:$10,5,FALSE))*E42/F42)</f>
        <v/>
      </c>
      <c r="P42" s="199">
        <f>HLOOKUP(C:C,$4:$10,4,FALSE)+((HLOOKUP(D:D,$4:$10,4,FALSE)-HLOOKUP(C:C,$4:$10,4,FALSE))*E42/F42)</f>
        <v/>
      </c>
      <c r="Q42" s="199">
        <f>HLOOKUP(B:B,$4:$10,6,FALSE)+((HLOOKUP(C:C,$4:$10,6,FALSE)-HLOOKUP(B:B,$4:$10,6,FALSE))*E42/F42)</f>
        <v/>
      </c>
      <c r="T42" s="198">
        <f>$G42</f>
        <v/>
      </c>
      <c r="U42" s="199">
        <f>H42/(HLOOKUP(B:B,$4:$10,3,FALSE)+((HLOOKUP(C:C,$4:$10,3,FALSE)-HLOOKUP(B:B,$4:$10,3,FALSE))*E42/F42))</f>
        <v/>
      </c>
      <c r="V42" s="969">
        <f>HLOOKUP(B:B,$4:$10,7,FALSE)+((HLOOKUP(C:C,$4:$10,7,FALSE)-HLOOKUP(B:B,$4:$10,7,FALSE))*E42/F42)</f>
        <v/>
      </c>
      <c r="AB42" s="198">
        <f>$G42</f>
        <v/>
      </c>
      <c r="AC42" s="199">
        <f>$H42</f>
        <v/>
      </c>
      <c r="AD42" s="199">
        <f>$M42*AD$34</f>
        <v/>
      </c>
      <c r="AE42" s="199">
        <f>$M42*AE$34</f>
        <v/>
      </c>
      <c r="AF42" s="199">
        <f>$M42*AF$34</f>
        <v/>
      </c>
      <c r="AG42" s="199">
        <f>$M42*AG$34</f>
        <v/>
      </c>
      <c r="AH42" s="199">
        <f>$M42*AH$34</f>
        <v/>
      </c>
      <c r="AJ42" s="198">
        <f>$G42</f>
        <v/>
      </c>
      <c r="AK42" s="199">
        <f>$H42</f>
        <v/>
      </c>
      <c r="AL42" s="199">
        <f>$N42*AL$34</f>
        <v/>
      </c>
      <c r="AM42" s="199">
        <f>$N42*AM$34</f>
        <v/>
      </c>
      <c r="AN42" s="199">
        <f>$N42*AN$34</f>
        <v/>
      </c>
      <c r="AO42" s="199">
        <f>$N42*AO$34</f>
        <v/>
      </c>
      <c r="AP42" s="199">
        <f>$N42*AP$34</f>
        <v/>
      </c>
      <c r="AR42" s="198">
        <f>$G42</f>
        <v/>
      </c>
      <c r="AS42" s="199">
        <f>$H42</f>
        <v/>
      </c>
      <c r="AT42" s="199">
        <f>$O42*AT$34-$Q42</f>
        <v/>
      </c>
      <c r="AU42" s="199">
        <f>$O42*AU$34-$Q42</f>
        <v/>
      </c>
      <c r="AV42" s="199">
        <f>$O42*AV$34-$Q42</f>
        <v/>
      </c>
      <c r="AW42" s="199">
        <f>$O42*AW$34-$Q42</f>
        <v/>
      </c>
      <c r="AX42" s="199">
        <f>$O42*AX$34-$Q42</f>
        <v/>
      </c>
      <c r="AZ42" s="198">
        <f>$G42</f>
        <v/>
      </c>
      <c r="BA42" s="199">
        <f>$H42</f>
        <v/>
      </c>
      <c r="BB42" s="199">
        <f>$P42*BB$34-$Q42</f>
        <v/>
      </c>
      <c r="BC42" s="199">
        <f>$P42*BC$34-$Q42</f>
        <v/>
      </c>
      <c r="BD42" s="199">
        <f>$P42*BD$34-$Q42</f>
        <v/>
      </c>
      <c r="BE42" s="199">
        <f>$P42*BE$34-$Q42</f>
        <v/>
      </c>
      <c r="BF42" s="199">
        <f>$P42*BF$34-$Q42</f>
        <v/>
      </c>
      <c r="BH42" s="198">
        <f>$G42</f>
        <v/>
      </c>
      <c r="BI42" s="197">
        <f>$I42</f>
        <v/>
      </c>
      <c r="BJ42" s="197">
        <f>+BJ43</f>
        <v/>
      </c>
      <c r="BK42" s="197">
        <f>+BK43</f>
        <v/>
      </c>
      <c r="BL42" s="197">
        <f>+BL43</f>
        <v/>
      </c>
      <c r="BM42" s="197">
        <f>+BM43</f>
        <v/>
      </c>
      <c r="BN42" s="197">
        <f>+BN43</f>
        <v/>
      </c>
      <c r="BP42" s="198">
        <f>$G42</f>
        <v/>
      </c>
      <c r="BQ42" s="197">
        <f>$J42</f>
        <v/>
      </c>
      <c r="BR42" s="197">
        <f>+BR43</f>
        <v/>
      </c>
      <c r="BS42" s="197">
        <f>+BS43</f>
        <v/>
      </c>
      <c r="BT42" s="197">
        <f>+BT43</f>
        <v/>
      </c>
      <c r="BU42" s="197">
        <f>+BU43</f>
        <v/>
      </c>
      <c r="BV42" s="197">
        <f>+BV43</f>
        <v/>
      </c>
      <c r="BX42" s="198">
        <f>$G42</f>
        <v/>
      </c>
      <c r="BY42" s="197">
        <f>$K42</f>
        <v/>
      </c>
      <c r="BZ42" s="197">
        <f>+BZ43</f>
        <v/>
      </c>
      <c r="CA42" s="197">
        <f>+CA43</f>
        <v/>
      </c>
      <c r="CB42" s="197">
        <f>+CB43</f>
        <v/>
      </c>
      <c r="CC42" s="197">
        <f>+CC43</f>
        <v/>
      </c>
      <c r="CD42" s="197">
        <f>+CD43</f>
        <v/>
      </c>
      <c r="CF42" s="198">
        <f>$G42</f>
        <v/>
      </c>
      <c r="CG42" s="197">
        <f>$L42</f>
        <v/>
      </c>
      <c r="CH42" s="197">
        <f>+CH43</f>
        <v/>
      </c>
      <c r="CI42" s="197">
        <f>+CI43</f>
        <v/>
      </c>
      <c r="CJ42" s="197">
        <f>+CJ43</f>
        <v/>
      </c>
      <c r="CK42" s="197">
        <f>+CK43</f>
        <v/>
      </c>
      <c r="CL42" s="197">
        <f>+CL43</f>
        <v/>
      </c>
      <c r="CO42" s="199" t="n">
        <v>6.8</v>
      </c>
      <c r="CP42" s="970" t="n">
        <v>0.8835499999999999</v>
      </c>
    </row>
    <row r="43" hidden="1" ht="13.25" customHeight="1">
      <c r="B43" s="204">
        <f>+C43-1</f>
        <v/>
      </c>
      <c r="C43" s="204">
        <f>IF(bands_A!$D$9+1&gt;MONTH(G43),YEAR(G43),YEAR(G43)+1)</f>
        <v/>
      </c>
      <c r="D43" s="204">
        <f>+C43+1</f>
        <v/>
      </c>
      <c r="E43" s="203">
        <f>IF(C43&gt;C42,1,E42+1)</f>
        <v/>
      </c>
      <c r="F43" s="203">
        <f>COUNTIF(C:C,C43)</f>
        <v/>
      </c>
      <c r="G43" s="198">
        <f>+G44-7</f>
        <v/>
      </c>
      <c r="H43" s="361" t="n"/>
      <c r="I43" s="968">
        <f>H43/M43</f>
        <v/>
      </c>
      <c r="J43" s="968">
        <f>H43/N43</f>
        <v/>
      </c>
      <c r="K43" s="968">
        <f>(H43+Q43)/O43</f>
        <v/>
      </c>
      <c r="L43" s="968">
        <f>(H43+Q43)/P43</f>
        <v/>
      </c>
      <c r="M43" s="199">
        <f>HLOOKUP(C:C,$4:$10,3,FALSE)+((HLOOKUP(D:D,$4:$10,3,FALSE)-HLOOKUP(C:C,$4:$10,3,FALSE))*E43/F43)</f>
        <v/>
      </c>
      <c r="N43" s="199">
        <f>HLOOKUP(C:C,$4:$10,2,FALSE)+((HLOOKUP(D:D,$4:$10,2,FALSE)-HLOOKUP(C:C,$4:$10,2,FALSE))*E43/F43)</f>
        <v/>
      </c>
      <c r="O43" s="199">
        <f>HLOOKUP(C:C,$4:$10,5,FALSE)+((HLOOKUP(D:D,$4:$10,5,FALSE)-HLOOKUP(C:C,$4:$10,5,FALSE))*E43/F43)</f>
        <v/>
      </c>
      <c r="P43" s="199">
        <f>HLOOKUP(C:C,$4:$10,4,FALSE)+((HLOOKUP(D:D,$4:$10,4,FALSE)-HLOOKUP(C:C,$4:$10,4,FALSE))*E43/F43)</f>
        <v/>
      </c>
      <c r="Q43" s="199">
        <f>HLOOKUP(B:B,$4:$10,6,FALSE)+((HLOOKUP(C:C,$4:$10,6,FALSE)-HLOOKUP(B:B,$4:$10,6,FALSE))*E43/F43)</f>
        <v/>
      </c>
      <c r="T43" s="198">
        <f>$G43</f>
        <v/>
      </c>
      <c r="U43" s="199">
        <f>H43/(HLOOKUP(B:B,$4:$10,3,FALSE)+((HLOOKUP(C:C,$4:$10,3,FALSE)-HLOOKUP(B:B,$4:$10,3,FALSE))*E43/F43))</f>
        <v/>
      </c>
      <c r="V43" s="969">
        <f>HLOOKUP(B:B,$4:$10,7,FALSE)+((HLOOKUP(C:C,$4:$10,7,FALSE)-HLOOKUP(B:B,$4:$10,7,FALSE))*E43/F43)</f>
        <v/>
      </c>
      <c r="AB43" s="198">
        <f>$G43</f>
        <v/>
      </c>
      <c r="AC43" s="199">
        <f>$H43</f>
        <v/>
      </c>
      <c r="AD43" s="199">
        <f>$M43*AD$34</f>
        <v/>
      </c>
      <c r="AE43" s="199">
        <f>$M43*AE$34</f>
        <v/>
      </c>
      <c r="AF43" s="199">
        <f>$M43*AF$34</f>
        <v/>
      </c>
      <c r="AG43" s="199">
        <f>$M43*AG$34</f>
        <v/>
      </c>
      <c r="AH43" s="199">
        <f>$M43*AH$34</f>
        <v/>
      </c>
      <c r="AJ43" s="198">
        <f>$G43</f>
        <v/>
      </c>
      <c r="AK43" s="199">
        <f>$H43</f>
        <v/>
      </c>
      <c r="AL43" s="199">
        <f>$N43*AL$34</f>
        <v/>
      </c>
      <c r="AM43" s="199">
        <f>$N43*AM$34</f>
        <v/>
      </c>
      <c r="AN43" s="199">
        <f>$N43*AN$34</f>
        <v/>
      </c>
      <c r="AO43" s="199">
        <f>$N43*AO$34</f>
        <v/>
      </c>
      <c r="AP43" s="199">
        <f>$N43*AP$34</f>
        <v/>
      </c>
      <c r="AR43" s="198">
        <f>$G43</f>
        <v/>
      </c>
      <c r="AS43" s="199">
        <f>$H43</f>
        <v/>
      </c>
      <c r="AT43" s="199">
        <f>$O43*AT$34-$Q43</f>
        <v/>
      </c>
      <c r="AU43" s="199">
        <f>$O43*AU$34-$Q43</f>
        <v/>
      </c>
      <c r="AV43" s="199">
        <f>$O43*AV$34-$Q43</f>
        <v/>
      </c>
      <c r="AW43" s="199">
        <f>$O43*AW$34-$Q43</f>
        <v/>
      </c>
      <c r="AX43" s="199">
        <f>$O43*AX$34-$Q43</f>
        <v/>
      </c>
      <c r="AZ43" s="198">
        <f>$G43</f>
        <v/>
      </c>
      <c r="BA43" s="199">
        <f>$H43</f>
        <v/>
      </c>
      <c r="BB43" s="199">
        <f>$P43*BB$34-$Q43</f>
        <v/>
      </c>
      <c r="BC43" s="199">
        <f>$P43*BC$34-$Q43</f>
        <v/>
      </c>
      <c r="BD43" s="199">
        <f>$P43*BD$34-$Q43</f>
        <v/>
      </c>
      <c r="BE43" s="199">
        <f>$P43*BE$34-$Q43</f>
        <v/>
      </c>
      <c r="BF43" s="199">
        <f>$P43*BF$34-$Q43</f>
        <v/>
      </c>
      <c r="BH43" s="198">
        <f>$G43</f>
        <v/>
      </c>
      <c r="BI43" s="197">
        <f>$I43</f>
        <v/>
      </c>
      <c r="BJ43" s="197">
        <f>+BJ44</f>
        <v/>
      </c>
      <c r="BK43" s="197">
        <f>+BK44</f>
        <v/>
      </c>
      <c r="BL43" s="197">
        <f>+BL44</f>
        <v/>
      </c>
      <c r="BM43" s="197">
        <f>+BM44</f>
        <v/>
      </c>
      <c r="BN43" s="197">
        <f>+BN44</f>
        <v/>
      </c>
      <c r="BP43" s="198">
        <f>$G43</f>
        <v/>
      </c>
      <c r="BQ43" s="197">
        <f>$J43</f>
        <v/>
      </c>
      <c r="BR43" s="197">
        <f>+BR44</f>
        <v/>
      </c>
      <c r="BS43" s="197">
        <f>+BS44</f>
        <v/>
      </c>
      <c r="BT43" s="197">
        <f>+BT44</f>
        <v/>
      </c>
      <c r="BU43" s="197">
        <f>+BU44</f>
        <v/>
      </c>
      <c r="BV43" s="197">
        <f>+BV44</f>
        <v/>
      </c>
      <c r="BX43" s="198">
        <f>$G43</f>
        <v/>
      </c>
      <c r="BY43" s="197">
        <f>$K43</f>
        <v/>
      </c>
      <c r="BZ43" s="197">
        <f>+BZ44</f>
        <v/>
      </c>
      <c r="CA43" s="197">
        <f>+CA44</f>
        <v/>
      </c>
      <c r="CB43" s="197">
        <f>+CB44</f>
        <v/>
      </c>
      <c r="CC43" s="197">
        <f>+CC44</f>
        <v/>
      </c>
      <c r="CD43" s="197">
        <f>+CD44</f>
        <v/>
      </c>
      <c r="CF43" s="198">
        <f>$G43</f>
        <v/>
      </c>
      <c r="CG43" s="197">
        <f>$L43</f>
        <v/>
      </c>
      <c r="CH43" s="197">
        <f>+CH44</f>
        <v/>
      </c>
      <c r="CI43" s="197">
        <f>+CI44</f>
        <v/>
      </c>
      <c r="CJ43" s="197">
        <f>+CJ44</f>
        <v/>
      </c>
      <c r="CK43" s="197">
        <f>+CK44</f>
        <v/>
      </c>
      <c r="CL43" s="197">
        <f>+CL44</f>
        <v/>
      </c>
      <c r="CO43" s="199" t="n">
        <v>6.8</v>
      </c>
      <c r="CP43" s="970" t="n">
        <v>0.8835499999999999</v>
      </c>
    </row>
    <row r="44" hidden="1" ht="13.25" customHeight="1">
      <c r="B44" s="204">
        <f>+C44-1</f>
        <v/>
      </c>
      <c r="C44" s="204">
        <f>IF(bands_A!$D$9+1&gt;MONTH(G44),YEAR(G44),YEAR(G44)+1)</f>
        <v/>
      </c>
      <c r="D44" s="204">
        <f>+C44+1</f>
        <v/>
      </c>
      <c r="E44" s="203">
        <f>IF(C44&gt;C43,1,E43+1)</f>
        <v/>
      </c>
      <c r="F44" s="203">
        <f>COUNTIF(C:C,C44)</f>
        <v/>
      </c>
      <c r="G44" s="198">
        <f>+G45-7</f>
        <v/>
      </c>
      <c r="H44" s="361" t="n"/>
      <c r="I44" s="968">
        <f>H44/M44</f>
        <v/>
      </c>
      <c r="J44" s="968">
        <f>H44/N44</f>
        <v/>
      </c>
      <c r="K44" s="968">
        <f>(H44+Q44)/O44</f>
        <v/>
      </c>
      <c r="L44" s="968">
        <f>(H44+Q44)/P44</f>
        <v/>
      </c>
      <c r="M44" s="199">
        <f>HLOOKUP(C:C,$4:$10,3,FALSE)+((HLOOKUP(D:D,$4:$10,3,FALSE)-HLOOKUP(C:C,$4:$10,3,FALSE))*E44/F44)</f>
        <v/>
      </c>
      <c r="N44" s="199">
        <f>HLOOKUP(C:C,$4:$10,2,FALSE)+((HLOOKUP(D:D,$4:$10,2,FALSE)-HLOOKUP(C:C,$4:$10,2,FALSE))*E44/F44)</f>
        <v/>
      </c>
      <c r="O44" s="199">
        <f>HLOOKUP(C:C,$4:$10,5,FALSE)+((HLOOKUP(D:D,$4:$10,5,FALSE)-HLOOKUP(C:C,$4:$10,5,FALSE))*E44/F44)</f>
        <v/>
      </c>
      <c r="P44" s="199">
        <f>HLOOKUP(C:C,$4:$10,4,FALSE)+((HLOOKUP(D:D,$4:$10,4,FALSE)-HLOOKUP(C:C,$4:$10,4,FALSE))*E44/F44)</f>
        <v/>
      </c>
      <c r="Q44" s="199">
        <f>HLOOKUP(B:B,$4:$10,6,FALSE)+((HLOOKUP(C:C,$4:$10,6,FALSE)-HLOOKUP(B:B,$4:$10,6,FALSE))*E44/F44)</f>
        <v/>
      </c>
      <c r="T44" s="198">
        <f>$G44</f>
        <v/>
      </c>
      <c r="U44" s="199">
        <f>H44/(HLOOKUP(B:B,$4:$10,3,FALSE)+((HLOOKUP(C:C,$4:$10,3,FALSE)-HLOOKUP(B:B,$4:$10,3,FALSE))*E44/F44))</f>
        <v/>
      </c>
      <c r="V44" s="969">
        <f>HLOOKUP(B:B,$4:$10,7,FALSE)+((HLOOKUP(C:C,$4:$10,7,FALSE)-HLOOKUP(B:B,$4:$10,7,FALSE))*E44/F44)</f>
        <v/>
      </c>
      <c r="AB44" s="198">
        <f>$G44</f>
        <v/>
      </c>
      <c r="AC44" s="199">
        <f>$H44</f>
        <v/>
      </c>
      <c r="AD44" s="199">
        <f>$M44*AD$34</f>
        <v/>
      </c>
      <c r="AE44" s="199">
        <f>$M44*AE$34</f>
        <v/>
      </c>
      <c r="AF44" s="199">
        <f>$M44*AF$34</f>
        <v/>
      </c>
      <c r="AG44" s="199">
        <f>$M44*AG$34</f>
        <v/>
      </c>
      <c r="AH44" s="199">
        <f>$M44*AH$34</f>
        <v/>
      </c>
      <c r="AJ44" s="198">
        <f>$G44</f>
        <v/>
      </c>
      <c r="AK44" s="199">
        <f>$H44</f>
        <v/>
      </c>
      <c r="AL44" s="199">
        <f>$N44*AL$34</f>
        <v/>
      </c>
      <c r="AM44" s="199">
        <f>$N44*AM$34</f>
        <v/>
      </c>
      <c r="AN44" s="199">
        <f>$N44*AN$34</f>
        <v/>
      </c>
      <c r="AO44" s="199">
        <f>$N44*AO$34</f>
        <v/>
      </c>
      <c r="AP44" s="199">
        <f>$N44*AP$34</f>
        <v/>
      </c>
      <c r="AR44" s="198">
        <f>$G44</f>
        <v/>
      </c>
      <c r="AS44" s="199">
        <f>$H44</f>
        <v/>
      </c>
      <c r="AT44" s="199">
        <f>$O44*AT$34-$Q44</f>
        <v/>
      </c>
      <c r="AU44" s="199">
        <f>$O44*AU$34-$Q44</f>
        <v/>
      </c>
      <c r="AV44" s="199">
        <f>$O44*AV$34-$Q44</f>
        <v/>
      </c>
      <c r="AW44" s="199">
        <f>$O44*AW$34-$Q44</f>
        <v/>
      </c>
      <c r="AX44" s="199">
        <f>$O44*AX$34-$Q44</f>
        <v/>
      </c>
      <c r="AZ44" s="198">
        <f>$G44</f>
        <v/>
      </c>
      <c r="BA44" s="199">
        <f>$H44</f>
        <v/>
      </c>
      <c r="BB44" s="199">
        <f>$P44*BB$34-$Q44</f>
        <v/>
      </c>
      <c r="BC44" s="199">
        <f>$P44*BC$34-$Q44</f>
        <v/>
      </c>
      <c r="BD44" s="199">
        <f>$P44*BD$34-$Q44</f>
        <v/>
      </c>
      <c r="BE44" s="199">
        <f>$P44*BE$34-$Q44</f>
        <v/>
      </c>
      <c r="BF44" s="199">
        <f>$P44*BF$34-$Q44</f>
        <v/>
      </c>
      <c r="BH44" s="198">
        <f>$G44</f>
        <v/>
      </c>
      <c r="BI44" s="197">
        <f>$I44</f>
        <v/>
      </c>
      <c r="BJ44" s="197">
        <f>+BJ45</f>
        <v/>
      </c>
      <c r="BK44" s="197">
        <f>+BK45</f>
        <v/>
      </c>
      <c r="BL44" s="197">
        <f>+BL45</f>
        <v/>
      </c>
      <c r="BM44" s="197">
        <f>+BM45</f>
        <v/>
      </c>
      <c r="BN44" s="197">
        <f>+BN45</f>
        <v/>
      </c>
      <c r="BP44" s="198">
        <f>$G44</f>
        <v/>
      </c>
      <c r="BQ44" s="197">
        <f>$J44</f>
        <v/>
      </c>
      <c r="BR44" s="197">
        <f>+BR45</f>
        <v/>
      </c>
      <c r="BS44" s="197">
        <f>+BS45</f>
        <v/>
      </c>
      <c r="BT44" s="197">
        <f>+BT45</f>
        <v/>
      </c>
      <c r="BU44" s="197">
        <f>+BU45</f>
        <v/>
      </c>
      <c r="BV44" s="197">
        <f>+BV45</f>
        <v/>
      </c>
      <c r="BX44" s="198">
        <f>$G44</f>
        <v/>
      </c>
      <c r="BY44" s="197">
        <f>$K44</f>
        <v/>
      </c>
      <c r="BZ44" s="197">
        <f>+BZ45</f>
        <v/>
      </c>
      <c r="CA44" s="197">
        <f>+CA45</f>
        <v/>
      </c>
      <c r="CB44" s="197">
        <f>+CB45</f>
        <v/>
      </c>
      <c r="CC44" s="197">
        <f>+CC45</f>
        <v/>
      </c>
      <c r="CD44" s="197">
        <f>+CD45</f>
        <v/>
      </c>
      <c r="CF44" s="198">
        <f>$G44</f>
        <v/>
      </c>
      <c r="CG44" s="197">
        <f>$L44</f>
        <v/>
      </c>
      <c r="CH44" s="197">
        <f>+CH45</f>
        <v/>
      </c>
      <c r="CI44" s="197">
        <f>+CI45</f>
        <v/>
      </c>
      <c r="CJ44" s="197">
        <f>+CJ45</f>
        <v/>
      </c>
      <c r="CK44" s="197">
        <f>+CK45</f>
        <v/>
      </c>
      <c r="CL44" s="197">
        <f>+CL45</f>
        <v/>
      </c>
      <c r="CO44" s="199" t="n">
        <v>6.8</v>
      </c>
      <c r="CP44" s="970" t="n">
        <v>0.8835499999999999</v>
      </c>
    </row>
    <row r="45" hidden="1" ht="13.25" customHeight="1">
      <c r="B45" s="204">
        <f>+C45-1</f>
        <v/>
      </c>
      <c r="C45" s="204">
        <f>IF(bands_A!$D$9+1&gt;MONTH(G45),YEAR(G45),YEAR(G45)+1)</f>
        <v/>
      </c>
      <c r="D45" s="204">
        <f>+C45+1</f>
        <v/>
      </c>
      <c r="E45" s="203">
        <f>IF(C45&gt;C44,1,E44+1)</f>
        <v/>
      </c>
      <c r="F45" s="203">
        <f>COUNTIF(C:C,C45)</f>
        <v/>
      </c>
      <c r="G45" s="198">
        <f>+G46-7</f>
        <v/>
      </c>
      <c r="H45" s="361" t="n"/>
      <c r="I45" s="968">
        <f>H45/M45</f>
        <v/>
      </c>
      <c r="J45" s="968">
        <f>H45/N45</f>
        <v/>
      </c>
      <c r="K45" s="968">
        <f>(H45+Q45)/O45</f>
        <v/>
      </c>
      <c r="L45" s="968">
        <f>(H45+Q45)/P45</f>
        <v/>
      </c>
      <c r="M45" s="199">
        <f>HLOOKUP(C:C,$4:$10,3,FALSE)+((HLOOKUP(D:D,$4:$10,3,FALSE)-HLOOKUP(C:C,$4:$10,3,FALSE))*E45/F45)</f>
        <v/>
      </c>
      <c r="N45" s="199">
        <f>HLOOKUP(C:C,$4:$10,2,FALSE)+((HLOOKUP(D:D,$4:$10,2,FALSE)-HLOOKUP(C:C,$4:$10,2,FALSE))*E45/F45)</f>
        <v/>
      </c>
      <c r="O45" s="199">
        <f>HLOOKUP(C:C,$4:$10,5,FALSE)+((HLOOKUP(D:D,$4:$10,5,FALSE)-HLOOKUP(C:C,$4:$10,5,FALSE))*E45/F45)</f>
        <v/>
      </c>
      <c r="P45" s="199">
        <f>HLOOKUP(C:C,$4:$10,4,FALSE)+((HLOOKUP(D:D,$4:$10,4,FALSE)-HLOOKUP(C:C,$4:$10,4,FALSE))*E45/F45)</f>
        <v/>
      </c>
      <c r="Q45" s="199">
        <f>HLOOKUP(B:B,$4:$10,6,FALSE)+((HLOOKUP(C:C,$4:$10,6,FALSE)-HLOOKUP(B:B,$4:$10,6,FALSE))*E45/F45)</f>
        <v/>
      </c>
      <c r="T45" s="198">
        <f>$G45</f>
        <v/>
      </c>
      <c r="U45" s="199">
        <f>H45/(HLOOKUP(B:B,$4:$10,3,FALSE)+((HLOOKUP(C:C,$4:$10,3,FALSE)-HLOOKUP(B:B,$4:$10,3,FALSE))*E45/F45))</f>
        <v/>
      </c>
      <c r="V45" s="969">
        <f>HLOOKUP(B:B,$4:$10,7,FALSE)+((HLOOKUP(C:C,$4:$10,7,FALSE)-HLOOKUP(B:B,$4:$10,7,FALSE))*E45/F45)</f>
        <v/>
      </c>
      <c r="AB45" s="198">
        <f>$G45</f>
        <v/>
      </c>
      <c r="AC45" s="199">
        <f>$H45</f>
        <v/>
      </c>
      <c r="AD45" s="199">
        <f>$M45*AD$34</f>
        <v/>
      </c>
      <c r="AE45" s="199">
        <f>$M45*AE$34</f>
        <v/>
      </c>
      <c r="AF45" s="199">
        <f>$M45*AF$34</f>
        <v/>
      </c>
      <c r="AG45" s="199">
        <f>$M45*AG$34</f>
        <v/>
      </c>
      <c r="AH45" s="199">
        <f>$M45*AH$34</f>
        <v/>
      </c>
      <c r="AJ45" s="198">
        <f>$G45</f>
        <v/>
      </c>
      <c r="AK45" s="199">
        <f>$H45</f>
        <v/>
      </c>
      <c r="AL45" s="199">
        <f>$N45*AL$34</f>
        <v/>
      </c>
      <c r="AM45" s="199">
        <f>$N45*AM$34</f>
        <v/>
      </c>
      <c r="AN45" s="199">
        <f>$N45*AN$34</f>
        <v/>
      </c>
      <c r="AO45" s="199">
        <f>$N45*AO$34</f>
        <v/>
      </c>
      <c r="AP45" s="199">
        <f>$N45*AP$34</f>
        <v/>
      </c>
      <c r="AR45" s="198">
        <f>$G45</f>
        <v/>
      </c>
      <c r="AS45" s="199">
        <f>$H45</f>
        <v/>
      </c>
      <c r="AT45" s="199">
        <f>$O45*AT$34-$Q45</f>
        <v/>
      </c>
      <c r="AU45" s="199">
        <f>$O45*AU$34-$Q45</f>
        <v/>
      </c>
      <c r="AV45" s="199">
        <f>$O45*AV$34-$Q45</f>
        <v/>
      </c>
      <c r="AW45" s="199">
        <f>$O45*AW$34-$Q45</f>
        <v/>
      </c>
      <c r="AX45" s="199">
        <f>$O45*AX$34-$Q45</f>
        <v/>
      </c>
      <c r="AZ45" s="198">
        <f>$G45</f>
        <v/>
      </c>
      <c r="BA45" s="199">
        <f>$H45</f>
        <v/>
      </c>
      <c r="BB45" s="199">
        <f>$P45*BB$34-$Q45</f>
        <v/>
      </c>
      <c r="BC45" s="199">
        <f>$P45*BC$34-$Q45</f>
        <v/>
      </c>
      <c r="BD45" s="199">
        <f>$P45*BD$34-$Q45</f>
        <v/>
      </c>
      <c r="BE45" s="199">
        <f>$P45*BE$34-$Q45</f>
        <v/>
      </c>
      <c r="BF45" s="199">
        <f>$P45*BF$34-$Q45</f>
        <v/>
      </c>
      <c r="BH45" s="198">
        <f>$G45</f>
        <v/>
      </c>
      <c r="BI45" s="197">
        <f>$I45</f>
        <v/>
      </c>
      <c r="BJ45" s="197">
        <f>+BJ46</f>
        <v/>
      </c>
      <c r="BK45" s="197">
        <f>+BK46</f>
        <v/>
      </c>
      <c r="BL45" s="197">
        <f>+BL46</f>
        <v/>
      </c>
      <c r="BM45" s="197">
        <f>+BM46</f>
        <v/>
      </c>
      <c r="BN45" s="197">
        <f>+BN46</f>
        <v/>
      </c>
      <c r="BP45" s="198">
        <f>$G45</f>
        <v/>
      </c>
      <c r="BQ45" s="197">
        <f>$J45</f>
        <v/>
      </c>
      <c r="BR45" s="197">
        <f>+BR46</f>
        <v/>
      </c>
      <c r="BS45" s="197">
        <f>+BS46</f>
        <v/>
      </c>
      <c r="BT45" s="197">
        <f>+BT46</f>
        <v/>
      </c>
      <c r="BU45" s="197">
        <f>+BU46</f>
        <v/>
      </c>
      <c r="BV45" s="197">
        <f>+BV46</f>
        <v/>
      </c>
      <c r="BX45" s="198">
        <f>$G45</f>
        <v/>
      </c>
      <c r="BY45" s="197">
        <f>$K45</f>
        <v/>
      </c>
      <c r="BZ45" s="197">
        <f>+BZ46</f>
        <v/>
      </c>
      <c r="CA45" s="197">
        <f>+CA46</f>
        <v/>
      </c>
      <c r="CB45" s="197">
        <f>+CB46</f>
        <v/>
      </c>
      <c r="CC45" s="197">
        <f>+CC46</f>
        <v/>
      </c>
      <c r="CD45" s="197">
        <f>+CD46</f>
        <v/>
      </c>
      <c r="CF45" s="198">
        <f>$G45</f>
        <v/>
      </c>
      <c r="CG45" s="197">
        <f>$L45</f>
        <v/>
      </c>
      <c r="CH45" s="197">
        <f>+CH46</f>
        <v/>
      </c>
      <c r="CI45" s="197">
        <f>+CI46</f>
        <v/>
      </c>
      <c r="CJ45" s="197">
        <f>+CJ46</f>
        <v/>
      </c>
      <c r="CK45" s="197">
        <f>+CK46</f>
        <v/>
      </c>
      <c r="CL45" s="197">
        <f>+CL46</f>
        <v/>
      </c>
      <c r="CO45" s="199" t="n">
        <v>6.8</v>
      </c>
      <c r="CP45" s="970" t="n">
        <v>0.8835499999999999</v>
      </c>
    </row>
    <row r="46" hidden="1" ht="13.25" customHeight="1">
      <c r="B46" s="204">
        <f>+C46-1</f>
        <v/>
      </c>
      <c r="C46" s="204">
        <f>IF(bands_A!$D$9+1&gt;MONTH(G46),YEAR(G46),YEAR(G46)+1)</f>
        <v/>
      </c>
      <c r="D46" s="204">
        <f>+C46+1</f>
        <v/>
      </c>
      <c r="E46" s="203">
        <f>IF(C46&gt;C45,1,E45+1)</f>
        <v/>
      </c>
      <c r="F46" s="203">
        <f>COUNTIF(C:C,C46)</f>
        <v/>
      </c>
      <c r="G46" s="198">
        <f>+G47-7</f>
        <v/>
      </c>
      <c r="H46" s="361" t="n"/>
      <c r="I46" s="968">
        <f>H46/M46</f>
        <v/>
      </c>
      <c r="J46" s="968">
        <f>H46/N46</f>
        <v/>
      </c>
      <c r="K46" s="968">
        <f>(H46+Q46)/O46</f>
        <v/>
      </c>
      <c r="L46" s="968">
        <f>(H46+Q46)/P46</f>
        <v/>
      </c>
      <c r="M46" s="199">
        <f>HLOOKUP(C:C,$4:$10,3,FALSE)+((HLOOKUP(D:D,$4:$10,3,FALSE)-HLOOKUP(C:C,$4:$10,3,FALSE))*E46/F46)</f>
        <v/>
      </c>
      <c r="N46" s="199">
        <f>HLOOKUP(C:C,$4:$10,2,FALSE)+((HLOOKUP(D:D,$4:$10,2,FALSE)-HLOOKUP(C:C,$4:$10,2,FALSE))*E46/F46)</f>
        <v/>
      </c>
      <c r="O46" s="199">
        <f>HLOOKUP(C:C,$4:$10,5,FALSE)+((HLOOKUP(D:D,$4:$10,5,FALSE)-HLOOKUP(C:C,$4:$10,5,FALSE))*E46/F46)</f>
        <v/>
      </c>
      <c r="P46" s="199">
        <f>HLOOKUP(C:C,$4:$10,4,FALSE)+((HLOOKUP(D:D,$4:$10,4,FALSE)-HLOOKUP(C:C,$4:$10,4,FALSE))*E46/F46)</f>
        <v/>
      </c>
      <c r="Q46" s="199">
        <f>HLOOKUP(B:B,$4:$10,6,FALSE)+((HLOOKUP(C:C,$4:$10,6,FALSE)-HLOOKUP(B:B,$4:$10,6,FALSE))*E46/F46)</f>
        <v/>
      </c>
      <c r="T46" s="198">
        <f>$G46</f>
        <v/>
      </c>
      <c r="U46" s="199">
        <f>H46/(HLOOKUP(B:B,$4:$10,3,FALSE)+((HLOOKUP(C:C,$4:$10,3,FALSE)-HLOOKUP(B:B,$4:$10,3,FALSE))*E46/F46))</f>
        <v/>
      </c>
      <c r="V46" s="969">
        <f>HLOOKUP(B:B,$4:$10,7,FALSE)+((HLOOKUP(C:C,$4:$10,7,FALSE)-HLOOKUP(B:B,$4:$10,7,FALSE))*E46/F46)</f>
        <v/>
      </c>
      <c r="AB46" s="198">
        <f>$G46</f>
        <v/>
      </c>
      <c r="AC46" s="199">
        <f>$H46</f>
        <v/>
      </c>
      <c r="AD46" s="199">
        <f>$M46*AD$34</f>
        <v/>
      </c>
      <c r="AE46" s="199">
        <f>$M46*AE$34</f>
        <v/>
      </c>
      <c r="AF46" s="199">
        <f>$M46*AF$34</f>
        <v/>
      </c>
      <c r="AG46" s="199">
        <f>$M46*AG$34</f>
        <v/>
      </c>
      <c r="AH46" s="199">
        <f>$M46*AH$34</f>
        <v/>
      </c>
      <c r="AJ46" s="198">
        <f>$G46</f>
        <v/>
      </c>
      <c r="AK46" s="199">
        <f>$H46</f>
        <v/>
      </c>
      <c r="AL46" s="199">
        <f>$N46*AL$34</f>
        <v/>
      </c>
      <c r="AM46" s="199">
        <f>$N46*AM$34</f>
        <v/>
      </c>
      <c r="AN46" s="199">
        <f>$N46*AN$34</f>
        <v/>
      </c>
      <c r="AO46" s="199">
        <f>$N46*AO$34</f>
        <v/>
      </c>
      <c r="AP46" s="199">
        <f>$N46*AP$34</f>
        <v/>
      </c>
      <c r="AR46" s="198">
        <f>$G46</f>
        <v/>
      </c>
      <c r="AS46" s="199">
        <f>$H46</f>
        <v/>
      </c>
      <c r="AT46" s="199">
        <f>$O46*AT$34-$Q46</f>
        <v/>
      </c>
      <c r="AU46" s="199">
        <f>$O46*AU$34-$Q46</f>
        <v/>
      </c>
      <c r="AV46" s="199">
        <f>$O46*AV$34-$Q46</f>
        <v/>
      </c>
      <c r="AW46" s="199">
        <f>$O46*AW$34-$Q46</f>
        <v/>
      </c>
      <c r="AX46" s="199">
        <f>$O46*AX$34-$Q46</f>
        <v/>
      </c>
      <c r="AZ46" s="198">
        <f>$G46</f>
        <v/>
      </c>
      <c r="BA46" s="199">
        <f>$H46</f>
        <v/>
      </c>
      <c r="BB46" s="199">
        <f>$P46*BB$34-$Q46</f>
        <v/>
      </c>
      <c r="BC46" s="199">
        <f>$P46*BC$34-$Q46</f>
        <v/>
      </c>
      <c r="BD46" s="199">
        <f>$P46*BD$34-$Q46</f>
        <v/>
      </c>
      <c r="BE46" s="199">
        <f>$P46*BE$34-$Q46</f>
        <v/>
      </c>
      <c r="BF46" s="199">
        <f>$P46*BF$34-$Q46</f>
        <v/>
      </c>
      <c r="BH46" s="198">
        <f>$G46</f>
        <v/>
      </c>
      <c r="BI46" s="197">
        <f>$I46</f>
        <v/>
      </c>
      <c r="BJ46" s="197">
        <f>+BJ47</f>
        <v/>
      </c>
      <c r="BK46" s="197">
        <f>+BK47</f>
        <v/>
      </c>
      <c r="BL46" s="197">
        <f>+BL47</f>
        <v/>
      </c>
      <c r="BM46" s="197">
        <f>+BM47</f>
        <v/>
      </c>
      <c r="BN46" s="197">
        <f>+BN47</f>
        <v/>
      </c>
      <c r="BP46" s="198">
        <f>$G46</f>
        <v/>
      </c>
      <c r="BQ46" s="197">
        <f>$J46</f>
        <v/>
      </c>
      <c r="BR46" s="197">
        <f>+BR47</f>
        <v/>
      </c>
      <c r="BS46" s="197">
        <f>+BS47</f>
        <v/>
      </c>
      <c r="BT46" s="197">
        <f>+BT47</f>
        <v/>
      </c>
      <c r="BU46" s="197">
        <f>+BU47</f>
        <v/>
      </c>
      <c r="BV46" s="197">
        <f>+BV47</f>
        <v/>
      </c>
      <c r="BX46" s="198">
        <f>$G46</f>
        <v/>
      </c>
      <c r="BY46" s="197">
        <f>$K46</f>
        <v/>
      </c>
      <c r="BZ46" s="197">
        <f>+BZ47</f>
        <v/>
      </c>
      <c r="CA46" s="197">
        <f>+CA47</f>
        <v/>
      </c>
      <c r="CB46" s="197">
        <f>+CB47</f>
        <v/>
      </c>
      <c r="CC46" s="197">
        <f>+CC47</f>
        <v/>
      </c>
      <c r="CD46" s="197">
        <f>+CD47</f>
        <v/>
      </c>
      <c r="CF46" s="198">
        <f>$G46</f>
        <v/>
      </c>
      <c r="CG46" s="197">
        <f>$L46</f>
        <v/>
      </c>
      <c r="CH46" s="197">
        <f>+CH47</f>
        <v/>
      </c>
      <c r="CI46" s="197">
        <f>+CI47</f>
        <v/>
      </c>
      <c r="CJ46" s="197">
        <f>+CJ47</f>
        <v/>
      </c>
      <c r="CK46" s="197">
        <f>+CK47</f>
        <v/>
      </c>
      <c r="CL46" s="197">
        <f>+CL47</f>
        <v/>
      </c>
      <c r="CO46" s="199" t="n">
        <v>6.8</v>
      </c>
      <c r="CP46" s="970" t="n">
        <v>0.8835499999999999</v>
      </c>
    </row>
    <row r="47" hidden="1" ht="13.25" customHeight="1">
      <c r="B47" s="204">
        <f>+C47-1</f>
        <v/>
      </c>
      <c r="C47" s="204">
        <f>IF(bands_A!$D$9+1&gt;MONTH(G47),YEAR(G47),YEAR(G47)+1)</f>
        <v/>
      </c>
      <c r="D47" s="204">
        <f>+C47+1</f>
        <v/>
      </c>
      <c r="E47" s="203">
        <f>IF(C47&gt;C46,1,E46+1)</f>
        <v/>
      </c>
      <c r="F47" s="203">
        <f>COUNTIF(C:C,C47)</f>
        <v/>
      </c>
      <c r="G47" s="198">
        <f>+G48-7</f>
        <v/>
      </c>
      <c r="H47" s="361" t="n"/>
      <c r="I47" s="968">
        <f>H47/M47</f>
        <v/>
      </c>
      <c r="J47" s="968">
        <f>H47/N47</f>
        <v/>
      </c>
      <c r="K47" s="968">
        <f>(H47+Q47)/O47</f>
        <v/>
      </c>
      <c r="L47" s="968">
        <f>(H47+Q47)/P47</f>
        <v/>
      </c>
      <c r="M47" s="199">
        <f>HLOOKUP(C:C,$4:$10,3,FALSE)+((HLOOKUP(D:D,$4:$10,3,FALSE)-HLOOKUP(C:C,$4:$10,3,FALSE))*E47/F47)</f>
        <v/>
      </c>
      <c r="N47" s="199">
        <f>HLOOKUP(C:C,$4:$10,2,FALSE)+((HLOOKUP(D:D,$4:$10,2,FALSE)-HLOOKUP(C:C,$4:$10,2,FALSE))*E47/F47)</f>
        <v/>
      </c>
      <c r="O47" s="199">
        <f>HLOOKUP(C:C,$4:$10,5,FALSE)+((HLOOKUP(D:D,$4:$10,5,FALSE)-HLOOKUP(C:C,$4:$10,5,FALSE))*E47/F47)</f>
        <v/>
      </c>
      <c r="P47" s="199">
        <f>HLOOKUP(C:C,$4:$10,4,FALSE)+((HLOOKUP(D:D,$4:$10,4,FALSE)-HLOOKUP(C:C,$4:$10,4,FALSE))*E47/F47)</f>
        <v/>
      </c>
      <c r="Q47" s="199">
        <f>HLOOKUP(B:B,$4:$10,6,FALSE)+((HLOOKUP(C:C,$4:$10,6,FALSE)-HLOOKUP(B:B,$4:$10,6,FALSE))*E47/F47)</f>
        <v/>
      </c>
      <c r="T47" s="198">
        <f>$G47</f>
        <v/>
      </c>
      <c r="U47" s="199">
        <f>H47/(HLOOKUP(B:B,$4:$10,3,FALSE)+((HLOOKUP(C:C,$4:$10,3,FALSE)-HLOOKUP(B:B,$4:$10,3,FALSE))*E47/F47))</f>
        <v/>
      </c>
      <c r="V47" s="969">
        <f>HLOOKUP(B:B,$4:$10,7,FALSE)+((HLOOKUP(C:C,$4:$10,7,FALSE)-HLOOKUP(B:B,$4:$10,7,FALSE))*E47/F47)</f>
        <v/>
      </c>
      <c r="AB47" s="198">
        <f>$G47</f>
        <v/>
      </c>
      <c r="AC47" s="199">
        <f>$H47</f>
        <v/>
      </c>
      <c r="AD47" s="199">
        <f>$M47*AD$34</f>
        <v/>
      </c>
      <c r="AE47" s="199">
        <f>$M47*AE$34</f>
        <v/>
      </c>
      <c r="AF47" s="199">
        <f>$M47*AF$34</f>
        <v/>
      </c>
      <c r="AG47" s="199">
        <f>$M47*AG$34</f>
        <v/>
      </c>
      <c r="AH47" s="199">
        <f>$M47*AH$34</f>
        <v/>
      </c>
      <c r="AJ47" s="198">
        <f>$G47</f>
        <v/>
      </c>
      <c r="AK47" s="199">
        <f>$H47</f>
        <v/>
      </c>
      <c r="AL47" s="199">
        <f>$N47*AL$34</f>
        <v/>
      </c>
      <c r="AM47" s="199">
        <f>$N47*AM$34</f>
        <v/>
      </c>
      <c r="AN47" s="199">
        <f>$N47*AN$34</f>
        <v/>
      </c>
      <c r="AO47" s="199">
        <f>$N47*AO$34</f>
        <v/>
      </c>
      <c r="AP47" s="199">
        <f>$N47*AP$34</f>
        <v/>
      </c>
      <c r="AR47" s="198">
        <f>$G47</f>
        <v/>
      </c>
      <c r="AS47" s="199">
        <f>$H47</f>
        <v/>
      </c>
      <c r="AT47" s="199">
        <f>$O47*AT$34-$Q47</f>
        <v/>
      </c>
      <c r="AU47" s="199">
        <f>$O47*AU$34-$Q47</f>
        <v/>
      </c>
      <c r="AV47" s="199">
        <f>$O47*AV$34-$Q47</f>
        <v/>
      </c>
      <c r="AW47" s="199">
        <f>$O47*AW$34-$Q47</f>
        <v/>
      </c>
      <c r="AX47" s="199">
        <f>$O47*AX$34-$Q47</f>
        <v/>
      </c>
      <c r="AZ47" s="198">
        <f>$G47</f>
        <v/>
      </c>
      <c r="BA47" s="199">
        <f>$H47</f>
        <v/>
      </c>
      <c r="BB47" s="199">
        <f>$P47*BB$34-$Q47</f>
        <v/>
      </c>
      <c r="BC47" s="199">
        <f>$P47*BC$34-$Q47</f>
        <v/>
      </c>
      <c r="BD47" s="199">
        <f>$P47*BD$34-$Q47</f>
        <v/>
      </c>
      <c r="BE47" s="199">
        <f>$P47*BE$34-$Q47</f>
        <v/>
      </c>
      <c r="BF47" s="199">
        <f>$P47*BF$34-$Q47</f>
        <v/>
      </c>
      <c r="BH47" s="198">
        <f>$G47</f>
        <v/>
      </c>
      <c r="BI47" s="197">
        <f>$I47</f>
        <v/>
      </c>
      <c r="BJ47" s="197">
        <f>+BJ48</f>
        <v/>
      </c>
      <c r="BK47" s="197">
        <f>+BK48</f>
        <v/>
      </c>
      <c r="BL47" s="197">
        <f>+BL48</f>
        <v/>
      </c>
      <c r="BM47" s="197">
        <f>+BM48</f>
        <v/>
      </c>
      <c r="BN47" s="197">
        <f>+BN48</f>
        <v/>
      </c>
      <c r="BP47" s="198">
        <f>$G47</f>
        <v/>
      </c>
      <c r="BQ47" s="197">
        <f>$J47</f>
        <v/>
      </c>
      <c r="BR47" s="197">
        <f>+BR48</f>
        <v/>
      </c>
      <c r="BS47" s="197">
        <f>+BS48</f>
        <v/>
      </c>
      <c r="BT47" s="197">
        <f>+BT48</f>
        <v/>
      </c>
      <c r="BU47" s="197">
        <f>+BU48</f>
        <v/>
      </c>
      <c r="BV47" s="197">
        <f>+BV48</f>
        <v/>
      </c>
      <c r="BX47" s="198">
        <f>$G47</f>
        <v/>
      </c>
      <c r="BY47" s="197">
        <f>$K47</f>
        <v/>
      </c>
      <c r="BZ47" s="197">
        <f>+BZ48</f>
        <v/>
      </c>
      <c r="CA47" s="197">
        <f>+CA48</f>
        <v/>
      </c>
      <c r="CB47" s="197">
        <f>+CB48</f>
        <v/>
      </c>
      <c r="CC47" s="197">
        <f>+CC48</f>
        <v/>
      </c>
      <c r="CD47" s="197">
        <f>+CD48</f>
        <v/>
      </c>
      <c r="CF47" s="198">
        <f>$G47</f>
        <v/>
      </c>
      <c r="CG47" s="197">
        <f>$L47</f>
        <v/>
      </c>
      <c r="CH47" s="197">
        <f>+CH48</f>
        <v/>
      </c>
      <c r="CI47" s="197">
        <f>+CI48</f>
        <v/>
      </c>
      <c r="CJ47" s="197">
        <f>+CJ48</f>
        <v/>
      </c>
      <c r="CK47" s="197">
        <f>+CK48</f>
        <v/>
      </c>
      <c r="CL47" s="197">
        <f>+CL48</f>
        <v/>
      </c>
      <c r="CO47" s="199" t="n">
        <v>6.8</v>
      </c>
      <c r="CP47" s="970" t="n">
        <v>0.8835499999999999</v>
      </c>
    </row>
    <row r="48" hidden="1" ht="13.25" customHeight="1">
      <c r="B48" s="204">
        <f>+C48-1</f>
        <v/>
      </c>
      <c r="C48" s="204">
        <f>IF(bands_A!$D$9+1&gt;MONTH(G48),YEAR(G48),YEAR(G48)+1)</f>
        <v/>
      </c>
      <c r="D48" s="204">
        <f>+C48+1</f>
        <v/>
      </c>
      <c r="E48" s="203">
        <f>IF(C48&gt;C47,1,E47+1)</f>
        <v/>
      </c>
      <c r="F48" s="203">
        <f>COUNTIF(C:C,C48)</f>
        <v/>
      </c>
      <c r="G48" s="198">
        <f>+G49-7</f>
        <v/>
      </c>
      <c r="H48" s="361" t="n"/>
      <c r="I48" s="968">
        <f>H48/M48</f>
        <v/>
      </c>
      <c r="J48" s="968">
        <f>H48/N48</f>
        <v/>
      </c>
      <c r="K48" s="968">
        <f>(H48+Q48)/O48</f>
        <v/>
      </c>
      <c r="L48" s="968">
        <f>(H48+Q48)/P48</f>
        <v/>
      </c>
      <c r="M48" s="199">
        <f>HLOOKUP(C:C,$4:$10,3,FALSE)+((HLOOKUP(D:D,$4:$10,3,FALSE)-HLOOKUP(C:C,$4:$10,3,FALSE))*E48/F48)</f>
        <v/>
      </c>
      <c r="N48" s="199">
        <f>HLOOKUP(C:C,$4:$10,2,FALSE)+((HLOOKUP(D:D,$4:$10,2,FALSE)-HLOOKUP(C:C,$4:$10,2,FALSE))*E48/F48)</f>
        <v/>
      </c>
      <c r="O48" s="199">
        <f>HLOOKUP(C:C,$4:$10,5,FALSE)+((HLOOKUP(D:D,$4:$10,5,FALSE)-HLOOKUP(C:C,$4:$10,5,FALSE))*E48/F48)</f>
        <v/>
      </c>
      <c r="P48" s="199">
        <f>HLOOKUP(C:C,$4:$10,4,FALSE)+((HLOOKUP(D:D,$4:$10,4,FALSE)-HLOOKUP(C:C,$4:$10,4,FALSE))*E48/F48)</f>
        <v/>
      </c>
      <c r="Q48" s="199">
        <f>HLOOKUP(B:B,$4:$10,6,FALSE)+((HLOOKUP(C:C,$4:$10,6,FALSE)-HLOOKUP(B:B,$4:$10,6,FALSE))*E48/F48)</f>
        <v/>
      </c>
      <c r="T48" s="198">
        <f>$G48</f>
        <v/>
      </c>
      <c r="U48" s="199">
        <f>H48/(HLOOKUP(B:B,$4:$10,3,FALSE)+((HLOOKUP(C:C,$4:$10,3,FALSE)-HLOOKUP(B:B,$4:$10,3,FALSE))*E48/F48))</f>
        <v/>
      </c>
      <c r="V48" s="969">
        <f>HLOOKUP(B:B,$4:$10,7,FALSE)+((HLOOKUP(C:C,$4:$10,7,FALSE)-HLOOKUP(B:B,$4:$10,7,FALSE))*E48/F48)</f>
        <v/>
      </c>
      <c r="AB48" s="198">
        <f>$G48</f>
        <v/>
      </c>
      <c r="AC48" s="199">
        <f>$H48</f>
        <v/>
      </c>
      <c r="AD48" s="199">
        <f>$M48*AD$34</f>
        <v/>
      </c>
      <c r="AE48" s="199">
        <f>$M48*AE$34</f>
        <v/>
      </c>
      <c r="AF48" s="199">
        <f>$M48*AF$34</f>
        <v/>
      </c>
      <c r="AG48" s="199">
        <f>$M48*AG$34</f>
        <v/>
      </c>
      <c r="AH48" s="199">
        <f>$M48*AH$34</f>
        <v/>
      </c>
      <c r="AJ48" s="198">
        <f>$G48</f>
        <v/>
      </c>
      <c r="AK48" s="199">
        <f>$H48</f>
        <v/>
      </c>
      <c r="AL48" s="199">
        <f>$N48*AL$34</f>
        <v/>
      </c>
      <c r="AM48" s="199">
        <f>$N48*AM$34</f>
        <v/>
      </c>
      <c r="AN48" s="199">
        <f>$N48*AN$34</f>
        <v/>
      </c>
      <c r="AO48" s="199">
        <f>$N48*AO$34</f>
        <v/>
      </c>
      <c r="AP48" s="199">
        <f>$N48*AP$34</f>
        <v/>
      </c>
      <c r="AR48" s="198">
        <f>$G48</f>
        <v/>
      </c>
      <c r="AS48" s="199">
        <f>$H48</f>
        <v/>
      </c>
      <c r="AT48" s="199">
        <f>$O48*AT$34-$Q48</f>
        <v/>
      </c>
      <c r="AU48" s="199">
        <f>$O48*AU$34-$Q48</f>
        <v/>
      </c>
      <c r="AV48" s="199">
        <f>$O48*AV$34-$Q48</f>
        <v/>
      </c>
      <c r="AW48" s="199">
        <f>$O48*AW$34-$Q48</f>
        <v/>
      </c>
      <c r="AX48" s="199">
        <f>$O48*AX$34-$Q48</f>
        <v/>
      </c>
      <c r="AZ48" s="198">
        <f>$G48</f>
        <v/>
      </c>
      <c r="BA48" s="199">
        <f>$H48</f>
        <v/>
      </c>
      <c r="BB48" s="199">
        <f>$P48*BB$34-$Q48</f>
        <v/>
      </c>
      <c r="BC48" s="199">
        <f>$P48*BC$34-$Q48</f>
        <v/>
      </c>
      <c r="BD48" s="199">
        <f>$P48*BD$34-$Q48</f>
        <v/>
      </c>
      <c r="BE48" s="199">
        <f>$P48*BE$34-$Q48</f>
        <v/>
      </c>
      <c r="BF48" s="199">
        <f>$P48*BF$34-$Q48</f>
        <v/>
      </c>
      <c r="BH48" s="198">
        <f>$G48</f>
        <v/>
      </c>
      <c r="BI48" s="197">
        <f>$I48</f>
        <v/>
      </c>
      <c r="BJ48" s="197">
        <f>+BJ49</f>
        <v/>
      </c>
      <c r="BK48" s="197">
        <f>+BK49</f>
        <v/>
      </c>
      <c r="BL48" s="197">
        <f>+BL49</f>
        <v/>
      </c>
      <c r="BM48" s="197">
        <f>+BM49</f>
        <v/>
      </c>
      <c r="BN48" s="197">
        <f>+BN49</f>
        <v/>
      </c>
      <c r="BP48" s="198">
        <f>$G48</f>
        <v/>
      </c>
      <c r="BQ48" s="197">
        <f>$J48</f>
        <v/>
      </c>
      <c r="BR48" s="197">
        <f>+BR49</f>
        <v/>
      </c>
      <c r="BS48" s="197">
        <f>+BS49</f>
        <v/>
      </c>
      <c r="BT48" s="197">
        <f>+BT49</f>
        <v/>
      </c>
      <c r="BU48" s="197">
        <f>+BU49</f>
        <v/>
      </c>
      <c r="BV48" s="197">
        <f>+BV49</f>
        <v/>
      </c>
      <c r="BX48" s="198">
        <f>$G48</f>
        <v/>
      </c>
      <c r="BY48" s="197">
        <f>$K48</f>
        <v/>
      </c>
      <c r="BZ48" s="197">
        <f>+BZ49</f>
        <v/>
      </c>
      <c r="CA48" s="197">
        <f>+CA49</f>
        <v/>
      </c>
      <c r="CB48" s="197">
        <f>+CB49</f>
        <v/>
      </c>
      <c r="CC48" s="197">
        <f>+CC49</f>
        <v/>
      </c>
      <c r="CD48" s="197">
        <f>+CD49</f>
        <v/>
      </c>
      <c r="CF48" s="198">
        <f>$G48</f>
        <v/>
      </c>
      <c r="CG48" s="197">
        <f>$L48</f>
        <v/>
      </c>
      <c r="CH48" s="197">
        <f>+CH49</f>
        <v/>
      </c>
      <c r="CI48" s="197">
        <f>+CI49</f>
        <v/>
      </c>
      <c r="CJ48" s="197">
        <f>+CJ49</f>
        <v/>
      </c>
      <c r="CK48" s="197">
        <f>+CK49</f>
        <v/>
      </c>
      <c r="CL48" s="197">
        <f>+CL49</f>
        <v/>
      </c>
      <c r="CO48" s="199" t="n">
        <v>6.8</v>
      </c>
      <c r="CP48" s="970" t="n">
        <v>0.8835499999999999</v>
      </c>
    </row>
    <row r="49" hidden="1" ht="13.25" customHeight="1">
      <c r="B49" s="204">
        <f>+C49-1</f>
        <v/>
      </c>
      <c r="C49" s="204">
        <f>IF(bands_A!$D$9+1&gt;MONTH(G49),YEAR(G49),YEAR(G49)+1)</f>
        <v/>
      </c>
      <c r="D49" s="204">
        <f>+C49+1</f>
        <v/>
      </c>
      <c r="E49" s="203">
        <f>IF(C49&gt;C48,1,E48+1)</f>
        <v/>
      </c>
      <c r="F49" s="203">
        <f>COUNTIF(C:C,C49)</f>
        <v/>
      </c>
      <c r="G49" s="198">
        <f>+G50-7</f>
        <v/>
      </c>
      <c r="H49" s="361" t="n"/>
      <c r="I49" s="968">
        <f>H49/M49</f>
        <v/>
      </c>
      <c r="J49" s="968">
        <f>H49/N49</f>
        <v/>
      </c>
      <c r="K49" s="968">
        <f>(H49+Q49)/O49</f>
        <v/>
      </c>
      <c r="L49" s="968">
        <f>(H49+Q49)/P49</f>
        <v/>
      </c>
      <c r="M49" s="199">
        <f>HLOOKUP(C:C,$4:$10,3,FALSE)+((HLOOKUP(D:D,$4:$10,3,FALSE)-HLOOKUP(C:C,$4:$10,3,FALSE))*E49/F49)</f>
        <v/>
      </c>
      <c r="N49" s="199">
        <f>HLOOKUP(C:C,$4:$10,2,FALSE)+((HLOOKUP(D:D,$4:$10,2,FALSE)-HLOOKUP(C:C,$4:$10,2,FALSE))*E49/F49)</f>
        <v/>
      </c>
      <c r="O49" s="199">
        <f>HLOOKUP(C:C,$4:$10,5,FALSE)+((HLOOKUP(D:D,$4:$10,5,FALSE)-HLOOKUP(C:C,$4:$10,5,FALSE))*E49/F49)</f>
        <v/>
      </c>
      <c r="P49" s="199">
        <f>HLOOKUP(C:C,$4:$10,4,FALSE)+((HLOOKUP(D:D,$4:$10,4,FALSE)-HLOOKUP(C:C,$4:$10,4,FALSE))*E49/F49)</f>
        <v/>
      </c>
      <c r="Q49" s="199">
        <f>HLOOKUP(B:B,$4:$10,6,FALSE)+((HLOOKUP(C:C,$4:$10,6,FALSE)-HLOOKUP(B:B,$4:$10,6,FALSE))*E49/F49)</f>
        <v/>
      </c>
      <c r="T49" s="198">
        <f>$G49</f>
        <v/>
      </c>
      <c r="U49" s="199">
        <f>H49/(HLOOKUP(B:B,$4:$10,3,FALSE)+((HLOOKUP(C:C,$4:$10,3,FALSE)-HLOOKUP(B:B,$4:$10,3,FALSE))*E49/F49))</f>
        <v/>
      </c>
      <c r="V49" s="969">
        <f>HLOOKUP(B:B,$4:$10,7,FALSE)+((HLOOKUP(C:C,$4:$10,7,FALSE)-HLOOKUP(B:B,$4:$10,7,FALSE))*E49/F49)</f>
        <v/>
      </c>
      <c r="AB49" s="198">
        <f>$G49</f>
        <v/>
      </c>
      <c r="AC49" s="199">
        <f>$H49</f>
        <v/>
      </c>
      <c r="AD49" s="199">
        <f>$M49*AD$34</f>
        <v/>
      </c>
      <c r="AE49" s="199">
        <f>$M49*AE$34</f>
        <v/>
      </c>
      <c r="AF49" s="199">
        <f>$M49*AF$34</f>
        <v/>
      </c>
      <c r="AG49" s="199">
        <f>$M49*AG$34</f>
        <v/>
      </c>
      <c r="AH49" s="199">
        <f>$M49*AH$34</f>
        <v/>
      </c>
      <c r="AJ49" s="198">
        <f>$G49</f>
        <v/>
      </c>
      <c r="AK49" s="199">
        <f>$H49</f>
        <v/>
      </c>
      <c r="AL49" s="199">
        <f>$N49*AL$34</f>
        <v/>
      </c>
      <c r="AM49" s="199">
        <f>$N49*AM$34</f>
        <v/>
      </c>
      <c r="AN49" s="199">
        <f>$N49*AN$34</f>
        <v/>
      </c>
      <c r="AO49" s="199">
        <f>$N49*AO$34</f>
        <v/>
      </c>
      <c r="AP49" s="199">
        <f>$N49*AP$34</f>
        <v/>
      </c>
      <c r="AR49" s="198">
        <f>$G49</f>
        <v/>
      </c>
      <c r="AS49" s="199">
        <f>$H49</f>
        <v/>
      </c>
      <c r="AT49" s="199">
        <f>$O49*AT$34-$Q49</f>
        <v/>
      </c>
      <c r="AU49" s="199">
        <f>$O49*AU$34-$Q49</f>
        <v/>
      </c>
      <c r="AV49" s="199">
        <f>$O49*AV$34-$Q49</f>
        <v/>
      </c>
      <c r="AW49" s="199">
        <f>$O49*AW$34-$Q49</f>
        <v/>
      </c>
      <c r="AX49" s="199">
        <f>$O49*AX$34-$Q49</f>
        <v/>
      </c>
      <c r="AZ49" s="198">
        <f>$G49</f>
        <v/>
      </c>
      <c r="BA49" s="199">
        <f>$H49</f>
        <v/>
      </c>
      <c r="BB49" s="199">
        <f>$P49*BB$34-$Q49</f>
        <v/>
      </c>
      <c r="BC49" s="199">
        <f>$P49*BC$34-$Q49</f>
        <v/>
      </c>
      <c r="BD49" s="199">
        <f>$P49*BD$34-$Q49</f>
        <v/>
      </c>
      <c r="BE49" s="199">
        <f>$P49*BE$34-$Q49</f>
        <v/>
      </c>
      <c r="BF49" s="199">
        <f>$P49*BF$34-$Q49</f>
        <v/>
      </c>
      <c r="BH49" s="198">
        <f>$G49</f>
        <v/>
      </c>
      <c r="BI49" s="197">
        <f>$I49</f>
        <v/>
      </c>
      <c r="BJ49" s="197">
        <f>+BJ50</f>
        <v/>
      </c>
      <c r="BK49" s="197">
        <f>+BK50</f>
        <v/>
      </c>
      <c r="BL49" s="197">
        <f>+BL50</f>
        <v/>
      </c>
      <c r="BM49" s="197">
        <f>+BM50</f>
        <v/>
      </c>
      <c r="BN49" s="197">
        <f>+BN50</f>
        <v/>
      </c>
      <c r="BP49" s="198">
        <f>$G49</f>
        <v/>
      </c>
      <c r="BQ49" s="197">
        <f>$J49</f>
        <v/>
      </c>
      <c r="BR49" s="197">
        <f>+BR50</f>
        <v/>
      </c>
      <c r="BS49" s="197">
        <f>+BS50</f>
        <v/>
      </c>
      <c r="BT49" s="197">
        <f>+BT50</f>
        <v/>
      </c>
      <c r="BU49" s="197">
        <f>+BU50</f>
        <v/>
      </c>
      <c r="BV49" s="197">
        <f>+BV50</f>
        <v/>
      </c>
      <c r="BX49" s="198">
        <f>$G49</f>
        <v/>
      </c>
      <c r="BY49" s="197">
        <f>$K49</f>
        <v/>
      </c>
      <c r="BZ49" s="197">
        <f>+BZ50</f>
        <v/>
      </c>
      <c r="CA49" s="197">
        <f>+CA50</f>
        <v/>
      </c>
      <c r="CB49" s="197">
        <f>+CB50</f>
        <v/>
      </c>
      <c r="CC49" s="197">
        <f>+CC50</f>
        <v/>
      </c>
      <c r="CD49" s="197">
        <f>+CD50</f>
        <v/>
      </c>
      <c r="CF49" s="198">
        <f>$G49</f>
        <v/>
      </c>
      <c r="CG49" s="197">
        <f>$L49</f>
        <v/>
      </c>
      <c r="CH49" s="197">
        <f>+CH50</f>
        <v/>
      </c>
      <c r="CI49" s="197">
        <f>+CI50</f>
        <v/>
      </c>
      <c r="CJ49" s="197">
        <f>+CJ50</f>
        <v/>
      </c>
      <c r="CK49" s="197">
        <f>+CK50</f>
        <v/>
      </c>
      <c r="CL49" s="197">
        <f>+CL50</f>
        <v/>
      </c>
      <c r="CO49" s="199" t="n">
        <v>6.8</v>
      </c>
      <c r="CP49" s="970" t="n">
        <v>0.8835499999999999</v>
      </c>
    </row>
    <row r="50" hidden="1" ht="13.25" customHeight="1">
      <c r="B50" s="204">
        <f>+C50-1</f>
        <v/>
      </c>
      <c r="C50" s="204">
        <f>IF(bands_A!$D$9+1&gt;MONTH(G50),YEAR(G50),YEAR(G50)+1)</f>
        <v/>
      </c>
      <c r="D50" s="204">
        <f>+C50+1</f>
        <v/>
      </c>
      <c r="E50" s="203">
        <f>IF(C50&gt;C49,1,E49+1)</f>
        <v/>
      </c>
      <c r="F50" s="203">
        <f>COUNTIF(C:C,C50)</f>
        <v/>
      </c>
      <c r="G50" s="198">
        <f>+G51-7</f>
        <v/>
      </c>
      <c r="H50" s="361" t="n"/>
      <c r="I50" s="968">
        <f>H50/M50</f>
        <v/>
      </c>
      <c r="J50" s="968">
        <f>H50/N50</f>
        <v/>
      </c>
      <c r="K50" s="968">
        <f>(H50+Q50)/O50</f>
        <v/>
      </c>
      <c r="L50" s="968">
        <f>(H50+Q50)/P50</f>
        <v/>
      </c>
      <c r="M50" s="199">
        <f>HLOOKUP(C:C,$4:$10,3,FALSE)+((HLOOKUP(D:D,$4:$10,3,FALSE)-HLOOKUP(C:C,$4:$10,3,FALSE))*E50/F50)</f>
        <v/>
      </c>
      <c r="N50" s="199">
        <f>HLOOKUP(C:C,$4:$10,2,FALSE)+((HLOOKUP(D:D,$4:$10,2,FALSE)-HLOOKUP(C:C,$4:$10,2,FALSE))*E50/F50)</f>
        <v/>
      </c>
      <c r="O50" s="199">
        <f>HLOOKUP(C:C,$4:$10,5,FALSE)+((HLOOKUP(D:D,$4:$10,5,FALSE)-HLOOKUP(C:C,$4:$10,5,FALSE))*E50/F50)</f>
        <v/>
      </c>
      <c r="P50" s="199">
        <f>HLOOKUP(C:C,$4:$10,4,FALSE)+((HLOOKUP(D:D,$4:$10,4,FALSE)-HLOOKUP(C:C,$4:$10,4,FALSE))*E50/F50)</f>
        <v/>
      </c>
      <c r="Q50" s="199">
        <f>HLOOKUP(B:B,$4:$10,6,FALSE)+((HLOOKUP(C:C,$4:$10,6,FALSE)-HLOOKUP(B:B,$4:$10,6,FALSE))*E50/F50)</f>
        <v/>
      </c>
      <c r="T50" s="198">
        <f>$G50</f>
        <v/>
      </c>
      <c r="U50" s="199">
        <f>H50/(HLOOKUP(B:B,$4:$10,3,FALSE)+((HLOOKUP(C:C,$4:$10,3,FALSE)-HLOOKUP(B:B,$4:$10,3,FALSE))*E50/F50))</f>
        <v/>
      </c>
      <c r="V50" s="969">
        <f>HLOOKUP(B:B,$4:$10,7,FALSE)+((HLOOKUP(C:C,$4:$10,7,FALSE)-HLOOKUP(B:B,$4:$10,7,FALSE))*E50/F50)</f>
        <v/>
      </c>
      <c r="AB50" s="198">
        <f>$G50</f>
        <v/>
      </c>
      <c r="AC50" s="199">
        <f>$H50</f>
        <v/>
      </c>
      <c r="AD50" s="199">
        <f>$M50*AD$34</f>
        <v/>
      </c>
      <c r="AE50" s="199">
        <f>$M50*AE$34</f>
        <v/>
      </c>
      <c r="AF50" s="199">
        <f>$M50*AF$34</f>
        <v/>
      </c>
      <c r="AG50" s="199">
        <f>$M50*AG$34</f>
        <v/>
      </c>
      <c r="AH50" s="199">
        <f>$M50*AH$34</f>
        <v/>
      </c>
      <c r="AJ50" s="198">
        <f>$G50</f>
        <v/>
      </c>
      <c r="AK50" s="199">
        <f>$H50</f>
        <v/>
      </c>
      <c r="AL50" s="199">
        <f>$N50*AL$34</f>
        <v/>
      </c>
      <c r="AM50" s="199">
        <f>$N50*AM$34</f>
        <v/>
      </c>
      <c r="AN50" s="199">
        <f>$N50*AN$34</f>
        <v/>
      </c>
      <c r="AO50" s="199">
        <f>$N50*AO$34</f>
        <v/>
      </c>
      <c r="AP50" s="199">
        <f>$N50*AP$34</f>
        <v/>
      </c>
      <c r="AR50" s="198">
        <f>$G50</f>
        <v/>
      </c>
      <c r="AS50" s="199">
        <f>$H50</f>
        <v/>
      </c>
      <c r="AT50" s="199">
        <f>$O50*AT$34-$Q50</f>
        <v/>
      </c>
      <c r="AU50" s="199">
        <f>$O50*AU$34-$Q50</f>
        <v/>
      </c>
      <c r="AV50" s="199">
        <f>$O50*AV$34-$Q50</f>
        <v/>
      </c>
      <c r="AW50" s="199">
        <f>$O50*AW$34-$Q50</f>
        <v/>
      </c>
      <c r="AX50" s="199">
        <f>$O50*AX$34-$Q50</f>
        <v/>
      </c>
      <c r="AZ50" s="198">
        <f>$G50</f>
        <v/>
      </c>
      <c r="BA50" s="199">
        <f>$H50</f>
        <v/>
      </c>
      <c r="BB50" s="199">
        <f>$P50*BB$34-$Q50</f>
        <v/>
      </c>
      <c r="BC50" s="199">
        <f>$P50*BC$34-$Q50</f>
        <v/>
      </c>
      <c r="BD50" s="199">
        <f>$P50*BD$34-$Q50</f>
        <v/>
      </c>
      <c r="BE50" s="199">
        <f>$P50*BE$34-$Q50</f>
        <v/>
      </c>
      <c r="BF50" s="199">
        <f>$P50*BF$34-$Q50</f>
        <v/>
      </c>
      <c r="BH50" s="198">
        <f>$G50</f>
        <v/>
      </c>
      <c r="BI50" s="197">
        <f>$I50</f>
        <v/>
      </c>
      <c r="BJ50" s="197">
        <f>+BJ51</f>
        <v/>
      </c>
      <c r="BK50" s="197">
        <f>+BK51</f>
        <v/>
      </c>
      <c r="BL50" s="197">
        <f>+BL51</f>
        <v/>
      </c>
      <c r="BM50" s="197">
        <f>+BM51</f>
        <v/>
      </c>
      <c r="BN50" s="197">
        <f>+BN51</f>
        <v/>
      </c>
      <c r="BP50" s="198">
        <f>$G50</f>
        <v/>
      </c>
      <c r="BQ50" s="197">
        <f>$J50</f>
        <v/>
      </c>
      <c r="BR50" s="197">
        <f>+BR51</f>
        <v/>
      </c>
      <c r="BS50" s="197">
        <f>+BS51</f>
        <v/>
      </c>
      <c r="BT50" s="197">
        <f>+BT51</f>
        <v/>
      </c>
      <c r="BU50" s="197">
        <f>+BU51</f>
        <v/>
      </c>
      <c r="BV50" s="197">
        <f>+BV51</f>
        <v/>
      </c>
      <c r="BX50" s="198">
        <f>$G50</f>
        <v/>
      </c>
      <c r="BY50" s="197">
        <f>$K50</f>
        <v/>
      </c>
      <c r="BZ50" s="197">
        <f>+BZ51</f>
        <v/>
      </c>
      <c r="CA50" s="197">
        <f>+CA51</f>
        <v/>
      </c>
      <c r="CB50" s="197">
        <f>+CB51</f>
        <v/>
      </c>
      <c r="CC50" s="197">
        <f>+CC51</f>
        <v/>
      </c>
      <c r="CD50" s="197">
        <f>+CD51</f>
        <v/>
      </c>
      <c r="CF50" s="198">
        <f>$G50</f>
        <v/>
      </c>
      <c r="CG50" s="197">
        <f>$L50</f>
        <v/>
      </c>
      <c r="CH50" s="197">
        <f>+CH51</f>
        <v/>
      </c>
      <c r="CI50" s="197">
        <f>+CI51</f>
        <v/>
      </c>
      <c r="CJ50" s="197">
        <f>+CJ51</f>
        <v/>
      </c>
      <c r="CK50" s="197">
        <f>+CK51</f>
        <v/>
      </c>
      <c r="CL50" s="197">
        <f>+CL51</f>
        <v/>
      </c>
      <c r="CO50" s="199" t="n">
        <v>6.8</v>
      </c>
      <c r="CP50" s="970" t="n">
        <v>0.8835499999999999</v>
      </c>
    </row>
    <row r="51" hidden="1" ht="13.25" customHeight="1">
      <c r="B51" s="204">
        <f>+C51-1</f>
        <v/>
      </c>
      <c r="C51" s="204">
        <f>IF(bands_A!$D$9+1&gt;MONTH(G51),YEAR(G51),YEAR(G51)+1)</f>
        <v/>
      </c>
      <c r="D51" s="204">
        <f>+C51+1</f>
        <v/>
      </c>
      <c r="E51" s="203">
        <f>IF(C51&gt;C50,1,E50+1)</f>
        <v/>
      </c>
      <c r="F51" s="203">
        <f>COUNTIF(C:C,C51)</f>
        <v/>
      </c>
      <c r="G51" s="198">
        <f>+G52-7</f>
        <v/>
      </c>
      <c r="H51" s="361" t="n"/>
      <c r="I51" s="968">
        <f>H51/M51</f>
        <v/>
      </c>
      <c r="J51" s="968">
        <f>H51/N51</f>
        <v/>
      </c>
      <c r="K51" s="968">
        <f>(H51+Q51)/O51</f>
        <v/>
      </c>
      <c r="L51" s="968">
        <f>(H51+Q51)/P51</f>
        <v/>
      </c>
      <c r="M51" s="199">
        <f>HLOOKUP(C:C,$4:$10,3,FALSE)+((HLOOKUP(D:D,$4:$10,3,FALSE)-HLOOKUP(C:C,$4:$10,3,FALSE))*E51/F51)</f>
        <v/>
      </c>
      <c r="N51" s="199">
        <f>HLOOKUP(C:C,$4:$10,2,FALSE)+((HLOOKUP(D:D,$4:$10,2,FALSE)-HLOOKUP(C:C,$4:$10,2,FALSE))*E51/F51)</f>
        <v/>
      </c>
      <c r="O51" s="199">
        <f>HLOOKUP(C:C,$4:$10,5,FALSE)+((HLOOKUP(D:D,$4:$10,5,FALSE)-HLOOKUP(C:C,$4:$10,5,FALSE))*E51/F51)</f>
        <v/>
      </c>
      <c r="P51" s="199">
        <f>HLOOKUP(C:C,$4:$10,4,FALSE)+((HLOOKUP(D:D,$4:$10,4,FALSE)-HLOOKUP(C:C,$4:$10,4,FALSE))*E51/F51)</f>
        <v/>
      </c>
      <c r="Q51" s="199">
        <f>HLOOKUP(B:B,$4:$10,6,FALSE)+((HLOOKUP(C:C,$4:$10,6,FALSE)-HLOOKUP(B:B,$4:$10,6,FALSE))*E51/F51)</f>
        <v/>
      </c>
      <c r="T51" s="198">
        <f>$G51</f>
        <v/>
      </c>
      <c r="U51" s="199">
        <f>H51/(HLOOKUP(B:B,$4:$10,3,FALSE)+((HLOOKUP(C:C,$4:$10,3,FALSE)-HLOOKUP(B:B,$4:$10,3,FALSE))*E51/F51))</f>
        <v/>
      </c>
      <c r="V51" s="969">
        <f>HLOOKUP(B:B,$4:$10,7,FALSE)+((HLOOKUP(C:C,$4:$10,7,FALSE)-HLOOKUP(B:B,$4:$10,7,FALSE))*E51/F51)</f>
        <v/>
      </c>
      <c r="AB51" s="198">
        <f>$G51</f>
        <v/>
      </c>
      <c r="AC51" s="199">
        <f>$H51</f>
        <v/>
      </c>
      <c r="AD51" s="199">
        <f>$M51*AD$34</f>
        <v/>
      </c>
      <c r="AE51" s="199">
        <f>$M51*AE$34</f>
        <v/>
      </c>
      <c r="AF51" s="199">
        <f>$M51*AF$34</f>
        <v/>
      </c>
      <c r="AG51" s="199">
        <f>$M51*AG$34</f>
        <v/>
      </c>
      <c r="AH51" s="199">
        <f>$M51*AH$34</f>
        <v/>
      </c>
      <c r="AJ51" s="198">
        <f>$G51</f>
        <v/>
      </c>
      <c r="AK51" s="199">
        <f>$H51</f>
        <v/>
      </c>
      <c r="AL51" s="199">
        <f>$N51*AL$34</f>
        <v/>
      </c>
      <c r="AM51" s="199">
        <f>$N51*AM$34</f>
        <v/>
      </c>
      <c r="AN51" s="199">
        <f>$N51*AN$34</f>
        <v/>
      </c>
      <c r="AO51" s="199">
        <f>$N51*AO$34</f>
        <v/>
      </c>
      <c r="AP51" s="199">
        <f>$N51*AP$34</f>
        <v/>
      </c>
      <c r="AR51" s="198">
        <f>$G51</f>
        <v/>
      </c>
      <c r="AS51" s="199">
        <f>$H51</f>
        <v/>
      </c>
      <c r="AT51" s="199">
        <f>$O51*AT$34-$Q51</f>
        <v/>
      </c>
      <c r="AU51" s="199">
        <f>$O51*AU$34-$Q51</f>
        <v/>
      </c>
      <c r="AV51" s="199">
        <f>$O51*AV$34-$Q51</f>
        <v/>
      </c>
      <c r="AW51" s="199">
        <f>$O51*AW$34-$Q51</f>
        <v/>
      </c>
      <c r="AX51" s="199">
        <f>$O51*AX$34-$Q51</f>
        <v/>
      </c>
      <c r="AZ51" s="198">
        <f>$G51</f>
        <v/>
      </c>
      <c r="BA51" s="199">
        <f>$H51</f>
        <v/>
      </c>
      <c r="BB51" s="199">
        <f>$P51*BB$34-$Q51</f>
        <v/>
      </c>
      <c r="BC51" s="199">
        <f>$P51*BC$34-$Q51</f>
        <v/>
      </c>
      <c r="BD51" s="199">
        <f>$P51*BD$34-$Q51</f>
        <v/>
      </c>
      <c r="BE51" s="199">
        <f>$P51*BE$34-$Q51</f>
        <v/>
      </c>
      <c r="BF51" s="199">
        <f>$P51*BF$34-$Q51</f>
        <v/>
      </c>
      <c r="BH51" s="198">
        <f>$G51</f>
        <v/>
      </c>
      <c r="BI51" s="197">
        <f>$I51</f>
        <v/>
      </c>
      <c r="BJ51" s="197">
        <f>+BJ52</f>
        <v/>
      </c>
      <c r="BK51" s="197">
        <f>+BK52</f>
        <v/>
      </c>
      <c r="BL51" s="197">
        <f>+BL52</f>
        <v/>
      </c>
      <c r="BM51" s="197">
        <f>+BM52</f>
        <v/>
      </c>
      <c r="BN51" s="197">
        <f>+BN52</f>
        <v/>
      </c>
      <c r="BP51" s="198">
        <f>$G51</f>
        <v/>
      </c>
      <c r="BQ51" s="197">
        <f>$J51</f>
        <v/>
      </c>
      <c r="BR51" s="197">
        <f>+BR52</f>
        <v/>
      </c>
      <c r="BS51" s="197">
        <f>+BS52</f>
        <v/>
      </c>
      <c r="BT51" s="197">
        <f>+BT52</f>
        <v/>
      </c>
      <c r="BU51" s="197">
        <f>+BU52</f>
        <v/>
      </c>
      <c r="BV51" s="197">
        <f>+BV52</f>
        <v/>
      </c>
      <c r="BX51" s="198">
        <f>$G51</f>
        <v/>
      </c>
      <c r="BY51" s="197">
        <f>$K51</f>
        <v/>
      </c>
      <c r="BZ51" s="197">
        <f>+BZ52</f>
        <v/>
      </c>
      <c r="CA51" s="197">
        <f>+CA52</f>
        <v/>
      </c>
      <c r="CB51" s="197">
        <f>+CB52</f>
        <v/>
      </c>
      <c r="CC51" s="197">
        <f>+CC52</f>
        <v/>
      </c>
      <c r="CD51" s="197">
        <f>+CD52</f>
        <v/>
      </c>
      <c r="CF51" s="198">
        <f>$G51</f>
        <v/>
      </c>
      <c r="CG51" s="197">
        <f>$L51</f>
        <v/>
      </c>
      <c r="CH51" s="197">
        <f>+CH52</f>
        <v/>
      </c>
      <c r="CI51" s="197">
        <f>+CI52</f>
        <v/>
      </c>
      <c r="CJ51" s="197">
        <f>+CJ52</f>
        <v/>
      </c>
      <c r="CK51" s="197">
        <f>+CK52</f>
        <v/>
      </c>
      <c r="CL51" s="197">
        <f>+CL52</f>
        <v/>
      </c>
      <c r="CO51" s="199" t="n">
        <v>6.8</v>
      </c>
      <c r="CP51" s="970" t="n">
        <v>0.8835499999999999</v>
      </c>
    </row>
    <row r="52" hidden="1" ht="13.25" customHeight="1">
      <c r="B52" s="204">
        <f>+C52-1</f>
        <v/>
      </c>
      <c r="C52" s="204">
        <f>IF(bands_A!$D$9+1&gt;MONTH(G52),YEAR(G52),YEAR(G52)+1)</f>
        <v/>
      </c>
      <c r="D52" s="204">
        <f>+C52+1</f>
        <v/>
      </c>
      <c r="E52" s="203">
        <f>IF(C52&gt;C51,1,E51+1)</f>
        <v/>
      </c>
      <c r="F52" s="203">
        <f>COUNTIF(C:C,C52)</f>
        <v/>
      </c>
      <c r="G52" s="198">
        <f>+G53-7</f>
        <v/>
      </c>
      <c r="H52" s="361" t="n"/>
      <c r="I52" s="968">
        <f>H52/M52</f>
        <v/>
      </c>
      <c r="J52" s="968">
        <f>H52/N52</f>
        <v/>
      </c>
      <c r="K52" s="968">
        <f>(H52+Q52)/O52</f>
        <v/>
      </c>
      <c r="L52" s="968">
        <f>(H52+Q52)/P52</f>
        <v/>
      </c>
      <c r="M52" s="199">
        <f>HLOOKUP(C:C,$4:$10,3,FALSE)+((HLOOKUP(D:D,$4:$10,3,FALSE)-HLOOKUP(C:C,$4:$10,3,FALSE))*E52/F52)</f>
        <v/>
      </c>
      <c r="N52" s="199">
        <f>HLOOKUP(C:C,$4:$10,2,FALSE)+((HLOOKUP(D:D,$4:$10,2,FALSE)-HLOOKUP(C:C,$4:$10,2,FALSE))*E52/F52)</f>
        <v/>
      </c>
      <c r="O52" s="199">
        <f>HLOOKUP(C:C,$4:$10,5,FALSE)+((HLOOKUP(D:D,$4:$10,5,FALSE)-HLOOKUP(C:C,$4:$10,5,FALSE))*E52/F52)</f>
        <v/>
      </c>
      <c r="P52" s="199">
        <f>HLOOKUP(C:C,$4:$10,4,FALSE)+((HLOOKUP(D:D,$4:$10,4,FALSE)-HLOOKUP(C:C,$4:$10,4,FALSE))*E52/F52)</f>
        <v/>
      </c>
      <c r="Q52" s="199">
        <f>HLOOKUP(B:B,$4:$10,6,FALSE)+((HLOOKUP(C:C,$4:$10,6,FALSE)-HLOOKUP(B:B,$4:$10,6,FALSE))*E52/F52)</f>
        <v/>
      </c>
      <c r="T52" s="198">
        <f>$G52</f>
        <v/>
      </c>
      <c r="U52" s="199">
        <f>H52/(HLOOKUP(B:B,$4:$10,3,FALSE)+((HLOOKUP(C:C,$4:$10,3,FALSE)-HLOOKUP(B:B,$4:$10,3,FALSE))*E52/F52))</f>
        <v/>
      </c>
      <c r="V52" s="969">
        <f>HLOOKUP(B:B,$4:$10,7,FALSE)+((HLOOKUP(C:C,$4:$10,7,FALSE)-HLOOKUP(B:B,$4:$10,7,FALSE))*E52/F52)</f>
        <v/>
      </c>
      <c r="AB52" s="198">
        <f>$G52</f>
        <v/>
      </c>
      <c r="AC52" s="199">
        <f>$H52</f>
        <v/>
      </c>
      <c r="AD52" s="199">
        <f>$M52*AD$34</f>
        <v/>
      </c>
      <c r="AE52" s="199">
        <f>$M52*AE$34</f>
        <v/>
      </c>
      <c r="AF52" s="199">
        <f>$M52*AF$34</f>
        <v/>
      </c>
      <c r="AG52" s="199">
        <f>$M52*AG$34</f>
        <v/>
      </c>
      <c r="AH52" s="199">
        <f>$M52*AH$34</f>
        <v/>
      </c>
      <c r="AJ52" s="198">
        <f>$G52</f>
        <v/>
      </c>
      <c r="AK52" s="199">
        <f>$H52</f>
        <v/>
      </c>
      <c r="AL52" s="199">
        <f>$N52*AL$34</f>
        <v/>
      </c>
      <c r="AM52" s="199">
        <f>$N52*AM$34</f>
        <v/>
      </c>
      <c r="AN52" s="199">
        <f>$N52*AN$34</f>
        <v/>
      </c>
      <c r="AO52" s="199">
        <f>$N52*AO$34</f>
        <v/>
      </c>
      <c r="AP52" s="199">
        <f>$N52*AP$34</f>
        <v/>
      </c>
      <c r="AR52" s="198">
        <f>$G52</f>
        <v/>
      </c>
      <c r="AS52" s="199">
        <f>$H52</f>
        <v/>
      </c>
      <c r="AT52" s="199">
        <f>$O52*AT$34-$Q52</f>
        <v/>
      </c>
      <c r="AU52" s="199">
        <f>$O52*AU$34-$Q52</f>
        <v/>
      </c>
      <c r="AV52" s="199">
        <f>$O52*AV$34-$Q52</f>
        <v/>
      </c>
      <c r="AW52" s="199">
        <f>$O52*AW$34-$Q52</f>
        <v/>
      </c>
      <c r="AX52" s="199">
        <f>$O52*AX$34-$Q52</f>
        <v/>
      </c>
      <c r="AZ52" s="198">
        <f>$G52</f>
        <v/>
      </c>
      <c r="BA52" s="199">
        <f>$H52</f>
        <v/>
      </c>
      <c r="BB52" s="199">
        <f>$P52*BB$34-$Q52</f>
        <v/>
      </c>
      <c r="BC52" s="199">
        <f>$P52*BC$34-$Q52</f>
        <v/>
      </c>
      <c r="BD52" s="199">
        <f>$P52*BD$34-$Q52</f>
        <v/>
      </c>
      <c r="BE52" s="199">
        <f>$P52*BE$34-$Q52</f>
        <v/>
      </c>
      <c r="BF52" s="199">
        <f>$P52*BF$34-$Q52</f>
        <v/>
      </c>
      <c r="BH52" s="198">
        <f>$G52</f>
        <v/>
      </c>
      <c r="BI52" s="197">
        <f>$I52</f>
        <v/>
      </c>
      <c r="BJ52" s="197">
        <f>+BJ53</f>
        <v/>
      </c>
      <c r="BK52" s="197">
        <f>+BK53</f>
        <v/>
      </c>
      <c r="BL52" s="197">
        <f>+BL53</f>
        <v/>
      </c>
      <c r="BM52" s="197">
        <f>+BM53</f>
        <v/>
      </c>
      <c r="BN52" s="197">
        <f>+BN53</f>
        <v/>
      </c>
      <c r="BP52" s="198">
        <f>$G52</f>
        <v/>
      </c>
      <c r="BQ52" s="197">
        <f>$J52</f>
        <v/>
      </c>
      <c r="BR52" s="197">
        <f>+BR53</f>
        <v/>
      </c>
      <c r="BS52" s="197">
        <f>+BS53</f>
        <v/>
      </c>
      <c r="BT52" s="197">
        <f>+BT53</f>
        <v/>
      </c>
      <c r="BU52" s="197">
        <f>+BU53</f>
        <v/>
      </c>
      <c r="BV52" s="197">
        <f>+BV53</f>
        <v/>
      </c>
      <c r="BX52" s="198">
        <f>$G52</f>
        <v/>
      </c>
      <c r="BY52" s="197">
        <f>$K52</f>
        <v/>
      </c>
      <c r="BZ52" s="197">
        <f>+BZ53</f>
        <v/>
      </c>
      <c r="CA52" s="197">
        <f>+CA53</f>
        <v/>
      </c>
      <c r="CB52" s="197">
        <f>+CB53</f>
        <v/>
      </c>
      <c r="CC52" s="197">
        <f>+CC53</f>
        <v/>
      </c>
      <c r="CD52" s="197">
        <f>+CD53</f>
        <v/>
      </c>
      <c r="CF52" s="198">
        <f>$G52</f>
        <v/>
      </c>
      <c r="CG52" s="197">
        <f>$L52</f>
        <v/>
      </c>
      <c r="CH52" s="197">
        <f>+CH53</f>
        <v/>
      </c>
      <c r="CI52" s="197">
        <f>+CI53</f>
        <v/>
      </c>
      <c r="CJ52" s="197">
        <f>+CJ53</f>
        <v/>
      </c>
      <c r="CK52" s="197">
        <f>+CK53</f>
        <v/>
      </c>
      <c r="CL52" s="197">
        <f>+CL53</f>
        <v/>
      </c>
      <c r="CO52" s="199" t="n">
        <v>6.8</v>
      </c>
      <c r="CP52" s="970" t="n">
        <v>0.8835499999999999</v>
      </c>
    </row>
    <row r="53" ht="13.25" customHeight="1">
      <c r="B53" s="204">
        <f>+C53-1</f>
        <v/>
      </c>
      <c r="C53" s="204">
        <f>IF(bands_A!$D$9+1&gt;MONTH(G53),YEAR(G53),YEAR(G53)+1)</f>
        <v/>
      </c>
      <c r="D53" s="204">
        <f>+C53+1</f>
        <v/>
      </c>
      <c r="E53" s="203">
        <f>IF(C53&gt;C52,1,E52+1)</f>
        <v/>
      </c>
      <c r="F53" s="203">
        <f>COUNTIF(C:C,C53)</f>
        <v/>
      </c>
      <c r="G53" s="198">
        <f>+G54-7</f>
        <v/>
      </c>
      <c r="H53" s="205">
        <f>'bands_A-H_Avg'!$H53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v>6.8</v>
      </c>
      <c r="CP53" s="970" t="n">
        <v>0.8835499999999999</v>
      </c>
    </row>
    <row r="54" ht="13.25" customHeight="1">
      <c r="B54" s="204">
        <f>+C54-1</f>
        <v/>
      </c>
      <c r="C54" s="204">
        <f>IF(bands_A!$D$9+1&gt;MONTH(G54),YEAR(G54),YEAR(G54)+1)</f>
        <v/>
      </c>
      <c r="D54" s="204">
        <f>+C54+1</f>
        <v/>
      </c>
      <c r="E54" s="203">
        <f>IF(C54&gt;C53,1,E53+1)</f>
        <v/>
      </c>
      <c r="F54" s="203">
        <f>COUNTIF(C:C,C54)</f>
        <v/>
      </c>
      <c r="G54" s="198">
        <f>+G55-7</f>
        <v/>
      </c>
      <c r="H54" s="205">
        <f>'bands_A-H_Avg'!$H54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v>6.8</v>
      </c>
      <c r="CP54" s="970" t="n">
        <v>0.8835499999999999</v>
      </c>
    </row>
    <row r="55" ht="13.25" customHeight="1">
      <c r="B55" s="204">
        <f>+C55-1</f>
        <v/>
      </c>
      <c r="C55" s="204">
        <f>IF(bands_A!$D$9+1&gt;MONTH(G55),YEAR(G55),YEAR(G55)+1)</f>
        <v/>
      </c>
      <c r="D55" s="204">
        <f>+C55+1</f>
        <v/>
      </c>
      <c r="E55" s="203">
        <f>IF(C55&gt;C54,1,E54+1)</f>
        <v/>
      </c>
      <c r="F55" s="203">
        <f>COUNTIF(C:C,C55)</f>
        <v/>
      </c>
      <c r="G55" s="198">
        <f>+G56-7</f>
        <v/>
      </c>
      <c r="H55" s="205">
        <f>'bands_A-H_Avg'!$H55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v>6.8</v>
      </c>
      <c r="CP55" s="970" t="n">
        <v>0.8835499999999999</v>
      </c>
    </row>
    <row r="56" ht="13.25" customHeight="1">
      <c r="B56" s="204">
        <f>+C56-1</f>
        <v/>
      </c>
      <c r="C56" s="204">
        <f>IF(bands_A!$D$9+1&gt;MONTH(G56),YEAR(G56),YEAR(G56)+1)</f>
        <v/>
      </c>
      <c r="D56" s="204">
        <f>+C56+1</f>
        <v/>
      </c>
      <c r="E56" s="203">
        <f>IF(C56&gt;C55,1,E55+1)</f>
        <v/>
      </c>
      <c r="F56" s="203">
        <f>COUNTIF(C:C,C56)</f>
        <v/>
      </c>
      <c r="G56" s="198">
        <f>+G57-7</f>
        <v/>
      </c>
      <c r="H56" s="205">
        <f>'bands_A-H_Avg'!$H56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v>6.8</v>
      </c>
      <c r="CP56" s="970" t="n">
        <v>0.8835499999999999</v>
      </c>
    </row>
    <row r="57" ht="13.25" customHeight="1">
      <c r="B57" s="204">
        <f>+C57-1</f>
        <v/>
      </c>
      <c r="C57" s="204">
        <f>IF(bands_A!$D$9+1&gt;MONTH(G57),YEAR(G57),YEAR(G57)+1)</f>
        <v/>
      </c>
      <c r="D57" s="204">
        <f>+C57+1</f>
        <v/>
      </c>
      <c r="E57" s="203">
        <f>IF(C57&gt;C56,1,E56+1)</f>
        <v/>
      </c>
      <c r="F57" s="203">
        <f>COUNTIF(C:C,C57)</f>
        <v/>
      </c>
      <c r="G57" s="198">
        <f>+G58-7</f>
        <v/>
      </c>
      <c r="H57" s="205">
        <f>'bands_A-H_Avg'!$H57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v>6.8</v>
      </c>
      <c r="CP57" s="970" t="n">
        <v>0.8835499999999999</v>
      </c>
    </row>
    <row r="58" ht="13.25" customHeight="1">
      <c r="B58" s="204">
        <f>+C58-1</f>
        <v/>
      </c>
      <c r="C58" s="204">
        <f>IF(bands_A!$D$9+1&gt;MONTH(G58),YEAR(G58),YEAR(G58)+1)</f>
        <v/>
      </c>
      <c r="D58" s="204">
        <f>+C58+1</f>
        <v/>
      </c>
      <c r="E58" s="203">
        <f>IF(C58&gt;C57,1,E57+1)</f>
        <v/>
      </c>
      <c r="F58" s="203">
        <f>COUNTIF(C:C,C58)</f>
        <v/>
      </c>
      <c r="G58" s="198">
        <f>+G59-7</f>
        <v/>
      </c>
      <c r="H58" s="205">
        <f>'bands_A-H_Avg'!$H58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v>6.8</v>
      </c>
      <c r="CP58" s="970" t="n">
        <v>0.8835499999999999</v>
      </c>
    </row>
    <row r="59" ht="13.25" customHeight="1">
      <c r="B59" s="204">
        <f>+C59-1</f>
        <v/>
      </c>
      <c r="C59" s="204">
        <f>IF(bands_A!$D$9+1&gt;MONTH(G59),YEAR(G59),YEAR(G59)+1)</f>
        <v/>
      </c>
      <c r="D59" s="204">
        <f>+C59+1</f>
        <v/>
      </c>
      <c r="E59" s="203">
        <f>IF(C59&gt;C58,1,E58+1)</f>
        <v/>
      </c>
      <c r="F59" s="203">
        <f>COUNTIF(C:C,C59)</f>
        <v/>
      </c>
      <c r="G59" s="198">
        <f>+G60-7</f>
        <v/>
      </c>
      <c r="H59" s="205">
        <f>'bands_A-H_Avg'!$H59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v>6.8</v>
      </c>
      <c r="CP59" s="970" t="n">
        <v>0.8835499999999999</v>
      </c>
    </row>
    <row r="60" ht="13.25" customHeight="1">
      <c r="B60" s="204">
        <f>+C60-1</f>
        <v/>
      </c>
      <c r="C60" s="204">
        <f>IF(bands_A!$D$9+1&gt;MONTH(G60),YEAR(G60),YEAR(G60)+1)</f>
        <v/>
      </c>
      <c r="D60" s="204">
        <f>+C60+1</f>
        <v/>
      </c>
      <c r="E60" s="203">
        <f>IF(C60&gt;C59,1,E59+1)</f>
        <v/>
      </c>
      <c r="F60" s="203">
        <f>COUNTIF(C:C,C60)</f>
        <v/>
      </c>
      <c r="G60" s="198">
        <f>+G61-7</f>
        <v/>
      </c>
      <c r="H60" s="205">
        <f>'bands_A-H_Avg'!$H60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v>6.8</v>
      </c>
      <c r="CP60" s="970" t="n">
        <v>0.8835499999999999</v>
      </c>
    </row>
    <row r="61" ht="13.25" customHeight="1">
      <c r="B61" s="204">
        <f>+C61-1</f>
        <v/>
      </c>
      <c r="C61" s="204">
        <f>IF(bands_A!$D$9+1&gt;MONTH(G61),YEAR(G61),YEAR(G61)+1)</f>
        <v/>
      </c>
      <c r="D61" s="204">
        <f>+C61+1</f>
        <v/>
      </c>
      <c r="E61" s="203">
        <f>IF(C61&gt;C60,1,E60+1)</f>
        <v/>
      </c>
      <c r="F61" s="203">
        <f>COUNTIF(C:C,C61)</f>
        <v/>
      </c>
      <c r="G61" s="198">
        <f>+G62-7</f>
        <v/>
      </c>
      <c r="H61" s="205">
        <f>'bands_A-H_Avg'!$H61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v>6.8</v>
      </c>
      <c r="CP61" s="970" t="n">
        <v>0.8835499999999999</v>
      </c>
    </row>
    <row r="62" ht="13.25" customHeight="1">
      <c r="B62" s="204">
        <f>+C62-1</f>
        <v/>
      </c>
      <c r="C62" s="204">
        <f>IF(bands_A!$D$9+1&gt;MONTH(G62),YEAR(G62),YEAR(G62)+1)</f>
        <v/>
      </c>
      <c r="D62" s="204">
        <f>+C62+1</f>
        <v/>
      </c>
      <c r="E62" s="203">
        <f>IF(C62&gt;C61,1,E61+1)</f>
        <v/>
      </c>
      <c r="F62" s="203">
        <f>COUNTIF(C:C,C62)</f>
        <v/>
      </c>
      <c r="G62" s="198">
        <f>+G63-7</f>
        <v/>
      </c>
      <c r="H62" s="205">
        <f>'bands_A-H_Avg'!$H62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v>6.8</v>
      </c>
      <c r="CP62" s="970" t="n">
        <v>0.8835499999999999</v>
      </c>
    </row>
    <row r="63" ht="13.25" customHeight="1">
      <c r="B63" s="204">
        <f>+C63-1</f>
        <v/>
      </c>
      <c r="C63" s="204">
        <f>IF(bands_A!$D$9+1&gt;MONTH(G63),YEAR(G63),YEAR(G63)+1)</f>
        <v/>
      </c>
      <c r="D63" s="204">
        <f>+C63+1</f>
        <v/>
      </c>
      <c r="E63" s="203">
        <f>IF(C63&gt;C62,1,E62+1)</f>
        <v/>
      </c>
      <c r="F63" s="203">
        <f>COUNTIF(C:C,C63)</f>
        <v/>
      </c>
      <c r="G63" s="198">
        <f>+G64-7</f>
        <v/>
      </c>
      <c r="H63" s="205">
        <f>'bands_A-H_Avg'!$H63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v>6.8</v>
      </c>
      <c r="CP63" s="970" t="n">
        <v>0.8835499999999999</v>
      </c>
    </row>
    <row r="64" ht="13.25" customHeight="1">
      <c r="B64" s="204">
        <f>+C64-1</f>
        <v/>
      </c>
      <c r="C64" s="204">
        <f>IF(bands_A!$D$9+1&gt;MONTH(G64),YEAR(G64),YEAR(G64)+1)</f>
        <v/>
      </c>
      <c r="D64" s="204">
        <f>+C64+1</f>
        <v/>
      </c>
      <c r="E64" s="203">
        <f>IF(C64&gt;C63,1,E63+1)</f>
        <v/>
      </c>
      <c r="F64" s="203">
        <f>COUNTIF(C:C,C64)</f>
        <v/>
      </c>
      <c r="G64" s="198">
        <f>+G65-7</f>
        <v/>
      </c>
      <c r="H64" s="205">
        <f>'bands_A-H_Avg'!$H64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v>6.8</v>
      </c>
      <c r="CP64" s="970" t="n">
        <v>0.8835499999999999</v>
      </c>
    </row>
    <row r="65" ht="13.25" customHeight="1">
      <c r="B65" s="204">
        <f>+C65-1</f>
        <v/>
      </c>
      <c r="C65" s="204">
        <f>IF(bands_A!$D$9+1&gt;MONTH(G65),YEAR(G65),YEAR(G65)+1)</f>
        <v/>
      </c>
      <c r="D65" s="204">
        <f>+C65+1</f>
        <v/>
      </c>
      <c r="E65" s="203">
        <f>IF(C65&gt;C64,1,E64+1)</f>
        <v/>
      </c>
      <c r="F65" s="203">
        <f>COUNTIF(C:C,C65)</f>
        <v/>
      </c>
      <c r="G65" s="198">
        <f>+G66-7</f>
        <v/>
      </c>
      <c r="H65" s="205">
        <f>'bands_A-H_Avg'!$H65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v>6.8</v>
      </c>
      <c r="CP65" s="970" t="n">
        <v>0.8835499999999999</v>
      </c>
    </row>
    <row r="66" ht="13.25" customHeight="1">
      <c r="B66" s="204">
        <f>+C66-1</f>
        <v/>
      </c>
      <c r="C66" s="204">
        <f>IF(bands_A!$D$9+1&gt;MONTH(G66),YEAR(G66),YEAR(G66)+1)</f>
        <v/>
      </c>
      <c r="D66" s="204">
        <f>+C66+1</f>
        <v/>
      </c>
      <c r="E66" s="203">
        <f>IF(C66&gt;C65,1,E65+1)</f>
        <v/>
      </c>
      <c r="F66" s="203">
        <f>COUNTIF(C:C,C66)</f>
        <v/>
      </c>
      <c r="G66" s="198">
        <f>+G67-7</f>
        <v/>
      </c>
      <c r="H66" s="205">
        <f>'bands_A-H_Avg'!$H66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v>6.8</v>
      </c>
      <c r="CP66" s="970" t="n">
        <v>0.8835499999999999</v>
      </c>
    </row>
    <row r="67" ht="13.25" customHeight="1">
      <c r="B67" s="204">
        <f>+C67-1</f>
        <v/>
      </c>
      <c r="C67" s="204">
        <f>IF(bands_A!$D$9+1&gt;MONTH(G67),YEAR(G67),YEAR(G67)+1)</f>
        <v/>
      </c>
      <c r="D67" s="204">
        <f>+C67+1</f>
        <v/>
      </c>
      <c r="E67" s="203">
        <f>IF(C67&gt;C66,1,E66+1)</f>
        <v/>
      </c>
      <c r="F67" s="203">
        <f>COUNTIF(C:C,C67)</f>
        <v/>
      </c>
      <c r="G67" s="198">
        <f>+G68-7</f>
        <v/>
      </c>
      <c r="H67" s="205">
        <f>'bands_A-H_Avg'!$H67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v>6.8</v>
      </c>
      <c r="CP67" s="970" t="n">
        <v>0.8835499999999999</v>
      </c>
    </row>
    <row r="68" ht="13.25" customHeight="1">
      <c r="B68" s="204">
        <f>+C68-1</f>
        <v/>
      </c>
      <c r="C68" s="204">
        <f>IF(bands_A!$D$9+1&gt;MONTH(G68),YEAR(G68),YEAR(G68)+1)</f>
        <v/>
      </c>
      <c r="D68" s="204">
        <f>+C68+1</f>
        <v/>
      </c>
      <c r="E68" s="203">
        <f>IF(C68&gt;C67,1,E67+1)</f>
        <v/>
      </c>
      <c r="F68" s="203">
        <f>COUNTIF(C:C,C68)</f>
        <v/>
      </c>
      <c r="G68" s="198">
        <f>+G69-7</f>
        <v/>
      </c>
      <c r="H68" s="205">
        <f>'bands_A-H_Avg'!$H68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v>6.8</v>
      </c>
      <c r="CP68" s="970" t="n">
        <v>0.8835499999999999</v>
      </c>
    </row>
    <row r="69" ht="13.25" customHeight="1">
      <c r="B69" s="204">
        <f>+C69-1</f>
        <v/>
      </c>
      <c r="C69" s="204">
        <f>IF(bands_A!$D$9+1&gt;MONTH(G69),YEAR(G69),YEAR(G69)+1)</f>
        <v/>
      </c>
      <c r="D69" s="204">
        <f>+C69+1</f>
        <v/>
      </c>
      <c r="E69" s="203">
        <f>IF(C69&gt;C68,1,E68+1)</f>
        <v/>
      </c>
      <c r="F69" s="203">
        <f>COUNTIF(C:C,C69)</f>
        <v/>
      </c>
      <c r="G69" s="198">
        <f>+G70-7</f>
        <v/>
      </c>
      <c r="H69" s="205">
        <f>'bands_A-H_Avg'!$H69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v>6.8</v>
      </c>
      <c r="CP69" s="970" t="n">
        <v>0.8835499999999999</v>
      </c>
    </row>
    <row r="70" ht="13.25" customHeight="1">
      <c r="B70" s="204">
        <f>+C70-1</f>
        <v/>
      </c>
      <c r="C70" s="204">
        <f>IF(bands_A!$D$9+1&gt;MONTH(G70),YEAR(G70),YEAR(G70)+1)</f>
        <v/>
      </c>
      <c r="D70" s="204">
        <f>+C70+1</f>
        <v/>
      </c>
      <c r="E70" s="203">
        <f>IF(C70&gt;C69,1,E69+1)</f>
        <v/>
      </c>
      <c r="F70" s="203">
        <f>COUNTIF(C:C,C70)</f>
        <v/>
      </c>
      <c r="G70" s="198">
        <f>+G71-7</f>
        <v/>
      </c>
      <c r="H70" s="205">
        <f>'bands_A-H_Avg'!$H70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v>6.8</v>
      </c>
      <c r="CP70" s="970" t="n">
        <v>0.8835499999999999</v>
      </c>
    </row>
    <row r="71" ht="13.25" customHeight="1">
      <c r="B71" s="204">
        <f>+C71-1</f>
        <v/>
      </c>
      <c r="C71" s="204">
        <f>IF(bands_A!$D$9+1&gt;MONTH(G71),YEAR(G71),YEAR(G71)+1)</f>
        <v/>
      </c>
      <c r="D71" s="204">
        <f>+C71+1</f>
        <v/>
      </c>
      <c r="E71" s="203">
        <f>IF(C71&gt;C70,1,E70+1)</f>
        <v/>
      </c>
      <c r="F71" s="203">
        <f>COUNTIF(C:C,C71)</f>
        <v/>
      </c>
      <c r="G71" s="198">
        <f>+G72-7</f>
        <v/>
      </c>
      <c r="H71" s="205">
        <f>'bands_A-H_Avg'!$H71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v>6.8</v>
      </c>
      <c r="CP71" s="970" t="n">
        <v>0.8835499999999999</v>
      </c>
    </row>
    <row r="72" ht="13.25" customHeight="1">
      <c r="B72" s="204">
        <f>+C72-1</f>
        <v/>
      </c>
      <c r="C72" s="204">
        <f>IF(bands_A!$D$9+1&gt;MONTH(G72),YEAR(G72),YEAR(G72)+1)</f>
        <v/>
      </c>
      <c r="D72" s="204">
        <f>+C72+1</f>
        <v/>
      </c>
      <c r="E72" s="203">
        <f>IF(C72&gt;C71,1,E71+1)</f>
        <v/>
      </c>
      <c r="F72" s="203">
        <f>COUNTIF(C:C,C72)</f>
        <v/>
      </c>
      <c r="G72" s="198">
        <f>+G73-7</f>
        <v/>
      </c>
      <c r="H72" s="205">
        <f>'bands_A-H_Avg'!$H72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v>6.8</v>
      </c>
      <c r="CP72" s="970" t="n">
        <v>0.8835499999999999</v>
      </c>
    </row>
    <row r="73" ht="13.25" customHeight="1">
      <c r="B73" s="204">
        <f>+C73-1</f>
        <v/>
      </c>
      <c r="C73" s="204">
        <f>IF(bands_A!$D$9+1&gt;MONTH(G73),YEAR(G73),YEAR(G73)+1)</f>
        <v/>
      </c>
      <c r="D73" s="204">
        <f>+C73+1</f>
        <v/>
      </c>
      <c r="E73" s="203">
        <f>IF(C73&gt;C72,1,E72+1)</f>
        <v/>
      </c>
      <c r="F73" s="203">
        <f>COUNTIF(C:C,C73)</f>
        <v/>
      </c>
      <c r="G73" s="198">
        <f>+G74-7</f>
        <v/>
      </c>
      <c r="H73" s="205">
        <f>'bands_A-H_Avg'!$H73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v>6.8</v>
      </c>
      <c r="CP73" s="970" t="n">
        <v>0.8835499999999999</v>
      </c>
    </row>
    <row r="74" ht="13.25" customHeight="1">
      <c r="B74" s="204">
        <f>+C74-1</f>
        <v/>
      </c>
      <c r="C74" s="204">
        <f>IF(bands_A!$D$9+1&gt;MONTH(G74),YEAR(G74),YEAR(G74)+1)</f>
        <v/>
      </c>
      <c r="D74" s="204">
        <f>+C74+1</f>
        <v/>
      </c>
      <c r="E74" s="203">
        <f>IF(C74&gt;C73,1,E73+1)</f>
        <v/>
      </c>
      <c r="F74" s="203">
        <f>COUNTIF(C:C,C74)</f>
        <v/>
      </c>
      <c r="G74" s="198">
        <f>+G75-7</f>
        <v/>
      </c>
      <c r="H74" s="205">
        <f>'bands_A-H_Avg'!$H74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v>6.8</v>
      </c>
      <c r="CP74" s="970" t="n">
        <v>0.8835499999999999</v>
      </c>
    </row>
    <row r="75" ht="13.25" customHeight="1">
      <c r="B75" s="204">
        <f>+C75-1</f>
        <v/>
      </c>
      <c r="C75" s="204">
        <f>IF(bands_A!$D$9+1&gt;MONTH(G75),YEAR(G75),YEAR(G75)+1)</f>
        <v/>
      </c>
      <c r="D75" s="204">
        <f>+C75+1</f>
        <v/>
      </c>
      <c r="E75" s="203">
        <f>IF(C75&gt;C74,1,E74+1)</f>
        <v/>
      </c>
      <c r="F75" s="203">
        <f>COUNTIF(C:C,C75)</f>
        <v/>
      </c>
      <c r="G75" s="198">
        <f>+G76-7</f>
        <v/>
      </c>
      <c r="H75" s="205">
        <f>'bands_A-H_Avg'!$H75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v>6.8</v>
      </c>
      <c r="CP75" s="970" t="n">
        <v>0.8835499999999999</v>
      </c>
    </row>
    <row r="76" ht="13.25" customHeight="1">
      <c r="B76" s="204">
        <f>+C76-1</f>
        <v/>
      </c>
      <c r="C76" s="204">
        <f>IF(bands_A!$D$9+1&gt;MONTH(G76),YEAR(G76),YEAR(G76)+1)</f>
        <v/>
      </c>
      <c r="D76" s="204">
        <f>+C76+1</f>
        <v/>
      </c>
      <c r="E76" s="203">
        <f>IF(C76&gt;C75,1,E75+1)</f>
        <v/>
      </c>
      <c r="F76" s="203">
        <f>COUNTIF(C:C,C76)</f>
        <v/>
      </c>
      <c r="G76" s="198">
        <f>+G77-7</f>
        <v/>
      </c>
      <c r="H76" s="205">
        <f>'bands_A-H_Avg'!$H76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v>6.8</v>
      </c>
      <c r="CP76" s="970" t="n">
        <v>0.8835499999999999</v>
      </c>
    </row>
    <row r="77" ht="13.25" customHeight="1">
      <c r="B77" s="204">
        <f>+C77-1</f>
        <v/>
      </c>
      <c r="C77" s="204">
        <f>IF(bands_A!$D$9+1&gt;MONTH(G77),YEAR(G77),YEAR(G77)+1)</f>
        <v/>
      </c>
      <c r="D77" s="204">
        <f>+C77+1</f>
        <v/>
      </c>
      <c r="E77" s="203">
        <f>IF(C77&gt;C76,1,E76+1)</f>
        <v/>
      </c>
      <c r="F77" s="203">
        <f>COUNTIF(C:C,C77)</f>
        <v/>
      </c>
      <c r="G77" s="198">
        <f>+G78-7</f>
        <v/>
      </c>
      <c r="H77" s="205">
        <f>'bands_A-H_Avg'!$H77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v>6.8</v>
      </c>
      <c r="CP77" s="970" t="n">
        <v>0.8835499999999999</v>
      </c>
    </row>
    <row r="78" ht="13.25" customHeight="1">
      <c r="B78" s="204">
        <f>+C78-1</f>
        <v/>
      </c>
      <c r="C78" s="204">
        <f>IF(bands_A!$D$9+1&gt;MONTH(G78),YEAR(G78),YEAR(G78)+1)</f>
        <v/>
      </c>
      <c r="D78" s="204">
        <f>+C78+1</f>
        <v/>
      </c>
      <c r="E78" s="203">
        <f>IF(C78&gt;C77,1,E77+1)</f>
        <v/>
      </c>
      <c r="F78" s="203">
        <f>COUNTIF(C:C,C78)</f>
        <v/>
      </c>
      <c r="G78" s="198">
        <f>+G79-7</f>
        <v/>
      </c>
      <c r="H78" s="205">
        <f>'bands_A-H_Avg'!$H78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v>6.8</v>
      </c>
      <c r="CP78" s="970" t="n">
        <v>0.8835499999999999</v>
      </c>
    </row>
    <row r="79" ht="13.25" customHeight="1">
      <c r="B79" s="204">
        <f>+C79-1</f>
        <v/>
      </c>
      <c r="C79" s="204">
        <f>IF(bands_A!$D$9+1&gt;MONTH(G79),YEAR(G79),YEAR(G79)+1)</f>
        <v/>
      </c>
      <c r="D79" s="204">
        <f>+C79+1</f>
        <v/>
      </c>
      <c r="E79" s="203">
        <f>IF(C79&gt;C78,1,E78+1)</f>
        <v/>
      </c>
      <c r="F79" s="203">
        <f>COUNTIF(C:C,C79)</f>
        <v/>
      </c>
      <c r="G79" s="198">
        <f>+G80-7</f>
        <v/>
      </c>
      <c r="H79" s="205">
        <f>'bands_A-H_Avg'!$H79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v>6.8</v>
      </c>
      <c r="CP79" s="970" t="n">
        <v>0.8835499999999999</v>
      </c>
    </row>
    <row r="80" ht="13.25" customHeight="1">
      <c r="B80" s="204">
        <f>+C80-1</f>
        <v/>
      </c>
      <c r="C80" s="204">
        <f>IF(bands_A!$D$9+1&gt;MONTH(G80),YEAR(G80),YEAR(G80)+1)</f>
        <v/>
      </c>
      <c r="D80" s="204">
        <f>+C80+1</f>
        <v/>
      </c>
      <c r="E80" s="203">
        <f>IF(C80&gt;C79,1,E79+1)</f>
        <v/>
      </c>
      <c r="F80" s="203">
        <f>COUNTIF(C:C,C80)</f>
        <v/>
      </c>
      <c r="G80" s="198">
        <f>+G81-7</f>
        <v/>
      </c>
      <c r="H80" s="205">
        <f>'bands_A-H_Avg'!$H80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v>6.8</v>
      </c>
      <c r="CP80" s="970" t="n">
        <v>0.8835499999999999</v>
      </c>
    </row>
    <row r="81" ht="13.25" customHeight="1">
      <c r="B81" s="204">
        <f>+C81-1</f>
        <v/>
      </c>
      <c r="C81" s="204">
        <f>IF(bands_A!$D$9+1&gt;MONTH(G81),YEAR(G81),YEAR(G81)+1)</f>
        <v/>
      </c>
      <c r="D81" s="204">
        <f>+C81+1</f>
        <v/>
      </c>
      <c r="E81" s="203">
        <f>IF(C81&gt;C80,1,E80+1)</f>
        <v/>
      </c>
      <c r="F81" s="203">
        <f>COUNTIF(C:C,C81)</f>
        <v/>
      </c>
      <c r="G81" s="198">
        <f>+G82-7</f>
        <v/>
      </c>
      <c r="H81" s="205">
        <f>'bands_A-H_Avg'!$H81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v>6.8</v>
      </c>
      <c r="CP81" s="970" t="n">
        <v>0.8835499999999999</v>
      </c>
    </row>
    <row r="82">
      <c r="B82" s="204">
        <f>+C82-1</f>
        <v/>
      </c>
      <c r="C82" s="204">
        <f>IF(bands_A!$D$9+1&gt;MONTH(G82),YEAR(G82),YEAR(G82)+1)</f>
        <v/>
      </c>
      <c r="D82" s="204">
        <f>+C82+1</f>
        <v/>
      </c>
      <c r="E82" s="203">
        <f>IF(C82&gt;C81,1,E81+1)</f>
        <v/>
      </c>
      <c r="F82" s="203">
        <f>COUNTIF(C:C,C82)</f>
        <v/>
      </c>
      <c r="G82" s="198">
        <f>+G83-7</f>
        <v/>
      </c>
      <c r="H82" s="205">
        <f>'bands_A-H_Avg'!$H82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v>6.8</v>
      </c>
      <c r="CP82" s="970" t="n">
        <v>0.8835499999999999</v>
      </c>
    </row>
    <row r="83">
      <c r="B83" s="204">
        <f>+C83-1</f>
        <v/>
      </c>
      <c r="C83" s="204">
        <f>IF(bands_A!$D$9+1&gt;MONTH(G83),YEAR(G83),YEAR(G83)+1)</f>
        <v/>
      </c>
      <c r="D83" s="204">
        <f>+C83+1</f>
        <v/>
      </c>
      <c r="E83" s="203">
        <f>IF(C83&gt;C82,1,E82+1)</f>
        <v/>
      </c>
      <c r="F83" s="203">
        <f>COUNTIF(C:C,C83)</f>
        <v/>
      </c>
      <c r="G83" s="198">
        <f>+G84-7</f>
        <v/>
      </c>
      <c r="H83" s="205">
        <f>'bands_A-H_Avg'!$H83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v>6.8</v>
      </c>
      <c r="CP83" s="970" t="n">
        <v>0.8835499999999999</v>
      </c>
    </row>
    <row r="84">
      <c r="B84" s="204">
        <f>+C84-1</f>
        <v/>
      </c>
      <c r="C84" s="204">
        <f>IF(bands_A!$D$9+1&gt;MONTH(G84),YEAR(G84),YEAR(G84)+1)</f>
        <v/>
      </c>
      <c r="D84" s="204">
        <f>+C84+1</f>
        <v/>
      </c>
      <c r="E84" s="203">
        <f>IF(C84&gt;C83,1,E83+1)</f>
        <v/>
      </c>
      <c r="F84" s="203">
        <f>COUNTIF(C:C,C84)</f>
        <v/>
      </c>
      <c r="G84" s="198">
        <f>+G85-7</f>
        <v/>
      </c>
      <c r="H84" s="205">
        <f>'bands_A-H_Avg'!$H84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v>6.8</v>
      </c>
      <c r="CP84" s="970" t="n">
        <v>0.8835499999999999</v>
      </c>
    </row>
    <row r="85">
      <c r="B85" s="204">
        <f>+C85-1</f>
        <v/>
      </c>
      <c r="C85" s="204">
        <f>IF(bands_A!$D$9+1&gt;MONTH(G85),YEAR(G85),YEAR(G85)+1)</f>
        <v/>
      </c>
      <c r="D85" s="204">
        <f>+C85+1</f>
        <v/>
      </c>
      <c r="E85" s="203">
        <f>IF(C85&gt;C84,1,E84+1)</f>
        <v/>
      </c>
      <c r="F85" s="203">
        <f>COUNTIF(C:C,C85)</f>
        <v/>
      </c>
      <c r="G85" s="198">
        <f>+G86-7</f>
        <v/>
      </c>
      <c r="H85" s="205">
        <f>'bands_A-H_Avg'!$H85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v>6.8</v>
      </c>
      <c r="CP85" s="970" t="n">
        <v>0.8835499999999999</v>
      </c>
    </row>
    <row r="86">
      <c r="B86" s="204">
        <f>+C86-1</f>
        <v/>
      </c>
      <c r="C86" s="204">
        <f>IF(bands_A!$D$9+1&gt;MONTH(G86),YEAR(G86),YEAR(G86)+1)</f>
        <v/>
      </c>
      <c r="D86" s="204">
        <f>+C86+1</f>
        <v/>
      </c>
      <c r="E86" s="203">
        <f>IF(C86&gt;C85,1,E85+1)</f>
        <v/>
      </c>
      <c r="F86" s="203">
        <f>COUNTIF(C:C,C86)</f>
        <v/>
      </c>
      <c r="G86" s="198">
        <f>+G87-7</f>
        <v/>
      </c>
      <c r="H86" s="205">
        <f>'bands_A-H_Avg'!$H86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v>6.8</v>
      </c>
      <c r="CP86" s="970" t="n">
        <v>0.8835499999999999</v>
      </c>
    </row>
    <row r="87">
      <c r="B87" s="204">
        <f>+C87-1</f>
        <v/>
      </c>
      <c r="C87" s="204">
        <f>IF(bands_A!$D$9+1&gt;MONTH(G87),YEAR(G87),YEAR(G87)+1)</f>
        <v/>
      </c>
      <c r="D87" s="204">
        <f>+C87+1</f>
        <v/>
      </c>
      <c r="E87" s="203">
        <f>IF(C87&gt;C86,1,E86+1)</f>
        <v/>
      </c>
      <c r="F87" s="203">
        <f>COUNTIF(C:C,C87)</f>
        <v/>
      </c>
      <c r="G87" s="198">
        <f>+G88-7</f>
        <v/>
      </c>
      <c r="H87" s="205">
        <f>'bands_A-H_Avg'!$H87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v>6.8</v>
      </c>
      <c r="CP87" s="970" t="n">
        <v>0.8835499999999999</v>
      </c>
    </row>
    <row r="88">
      <c r="B88" s="204">
        <f>+C88-1</f>
        <v/>
      </c>
      <c r="C88" s="204">
        <f>IF(bands_A!$D$9+1&gt;MONTH(G88),YEAR(G88),YEAR(G88)+1)</f>
        <v/>
      </c>
      <c r="D88" s="204">
        <f>+C88+1</f>
        <v/>
      </c>
      <c r="E88" s="203">
        <f>IF(C88&gt;C87,1,E87+1)</f>
        <v/>
      </c>
      <c r="F88" s="203">
        <f>COUNTIF(C:C,C88)</f>
        <v/>
      </c>
      <c r="G88" s="198">
        <f>+G89-7</f>
        <v/>
      </c>
      <c r="H88" s="205">
        <f>'bands_A-H_Avg'!$H88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v>6.8</v>
      </c>
      <c r="CP88" s="970" t="n">
        <v>0.8835499999999999</v>
      </c>
    </row>
    <row r="89">
      <c r="B89" s="204">
        <f>+C89-1</f>
        <v/>
      </c>
      <c r="C89" s="204">
        <f>IF(bands_A!$D$9+1&gt;MONTH(G89),YEAR(G89),YEAR(G89)+1)</f>
        <v/>
      </c>
      <c r="D89" s="204">
        <f>+C89+1</f>
        <v/>
      </c>
      <c r="E89" s="203">
        <f>IF(C89&gt;C88,1,E88+1)</f>
        <v/>
      </c>
      <c r="F89" s="203">
        <f>COUNTIF(C:C,C89)</f>
        <v/>
      </c>
      <c r="G89" s="198" t="n">
        <v>38725</v>
      </c>
      <c r="H89" s="205">
        <f>'bands_A-H_Avg'!$H89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v>6.8</v>
      </c>
      <c r="CP89" s="970" t="n">
        <v>0.8835499999999999</v>
      </c>
    </row>
    <row r="90">
      <c r="B90" s="204">
        <f>+C90-1</f>
        <v/>
      </c>
      <c r="C90" s="204">
        <f>IF(bands_A!$D$9+1&gt;MONTH(G90),YEAR(G90),YEAR(G90)+1)</f>
        <v/>
      </c>
      <c r="D90" s="204">
        <f>+C90+1</f>
        <v/>
      </c>
      <c r="E90" s="203">
        <f>IF(C90&gt;C89,1,E89+1)</f>
        <v/>
      </c>
      <c r="F90" s="203">
        <f>COUNTIF(C:C,C90)</f>
        <v/>
      </c>
      <c r="G90" s="198">
        <f>+G89+7</f>
        <v/>
      </c>
      <c r="H90" s="205">
        <f>'bands_A-H_Avg'!$H90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v>6.8</v>
      </c>
      <c r="CP90" s="970" t="n">
        <v>0.8835499999999999</v>
      </c>
    </row>
    <row r="91">
      <c r="B91" s="204">
        <f>+C91-1</f>
        <v/>
      </c>
      <c r="C91" s="204">
        <f>IF(bands_A!$D$9+1&gt;MONTH(G91),YEAR(G91),YEAR(G91)+1)</f>
        <v/>
      </c>
      <c r="D91" s="204">
        <f>+C91+1</f>
        <v/>
      </c>
      <c r="E91" s="203">
        <f>IF(C91&gt;C90,1,E90+1)</f>
        <v/>
      </c>
      <c r="F91" s="203">
        <f>COUNTIF(C:C,C91)</f>
        <v/>
      </c>
      <c r="G91" s="198">
        <f>+G90+7</f>
        <v/>
      </c>
      <c r="H91" s="205">
        <f>'bands_A-H_Avg'!$H91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v>6.8</v>
      </c>
      <c r="CP91" s="970" t="n">
        <v>0.8835499999999999</v>
      </c>
    </row>
    <row r="92">
      <c r="B92" s="204">
        <f>+C92-1</f>
        <v/>
      </c>
      <c r="C92" s="204">
        <f>IF(bands_A!$D$9+1&gt;MONTH(G92),YEAR(G92),YEAR(G92)+1)</f>
        <v/>
      </c>
      <c r="D92" s="204">
        <f>+C92+1</f>
        <v/>
      </c>
      <c r="E92" s="203">
        <f>IF(C92&gt;C91,1,E91+1)</f>
        <v/>
      </c>
      <c r="F92" s="203">
        <f>COUNTIF(C:C,C92)</f>
        <v/>
      </c>
      <c r="G92" s="198">
        <f>+G91+7</f>
        <v/>
      </c>
      <c r="H92" s="205">
        <f>'bands_A-H_Avg'!$H92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v>6.8</v>
      </c>
      <c r="CP92" s="970" t="n">
        <v>0.8835499999999999</v>
      </c>
    </row>
    <row r="93">
      <c r="B93" s="204">
        <f>+C93-1</f>
        <v/>
      </c>
      <c r="C93" s="204">
        <f>IF(bands_A!$D$9+1&gt;MONTH(G93),YEAR(G93),YEAR(G93)+1)</f>
        <v/>
      </c>
      <c r="D93" s="204">
        <f>+C93+1</f>
        <v/>
      </c>
      <c r="E93" s="203">
        <f>IF(C93&gt;C92,1,E92+1)</f>
        <v/>
      </c>
      <c r="F93" s="203">
        <f>COUNTIF(C:C,C93)</f>
        <v/>
      </c>
      <c r="G93" s="198">
        <f>+G92+7</f>
        <v/>
      </c>
      <c r="H93" s="205">
        <f>'bands_A-H_Avg'!$H93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v>6.8</v>
      </c>
      <c r="CP93" s="970" t="n">
        <v>0.8835499999999999</v>
      </c>
    </row>
    <row r="94">
      <c r="B94" s="204">
        <f>+C94-1</f>
        <v/>
      </c>
      <c r="C94" s="204">
        <f>IF(bands_A!$D$9+1&gt;MONTH(G94),YEAR(G94),YEAR(G94)+1)</f>
        <v/>
      </c>
      <c r="D94" s="204">
        <f>+C94+1</f>
        <v/>
      </c>
      <c r="E94" s="203">
        <f>IF(C94&gt;C93,1,E93+1)</f>
        <v/>
      </c>
      <c r="F94" s="203">
        <f>COUNTIF(C:C,C94)</f>
        <v/>
      </c>
      <c r="G94" s="198">
        <f>+G93+7</f>
        <v/>
      </c>
      <c r="H94" s="205">
        <f>'bands_A-H_Avg'!$H94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v>6.8</v>
      </c>
      <c r="CP94" s="970" t="n">
        <v>0.8835499999999999</v>
      </c>
    </row>
    <row r="95">
      <c r="B95" s="204">
        <f>+C95-1</f>
        <v/>
      </c>
      <c r="C95" s="204">
        <f>IF(bands_A!$D$9+1&gt;MONTH(G95),YEAR(G95),YEAR(G95)+1)</f>
        <v/>
      </c>
      <c r="D95" s="204">
        <f>+C95+1</f>
        <v/>
      </c>
      <c r="E95" s="203">
        <f>IF(C95&gt;C94,1,E94+1)</f>
        <v/>
      </c>
      <c r="F95" s="203">
        <f>COUNTIF(C:C,C95)</f>
        <v/>
      </c>
      <c r="G95" s="198">
        <f>+G94+7</f>
        <v/>
      </c>
      <c r="H95" s="205">
        <f>'bands_A-H_Avg'!$H95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v>6.8</v>
      </c>
      <c r="CP95" s="970" t="n">
        <v>0.8835499999999999</v>
      </c>
    </row>
    <row r="96">
      <c r="B96" s="204">
        <f>+C96-1</f>
        <v/>
      </c>
      <c r="C96" s="204">
        <f>IF(bands_A!$D$9+1&gt;MONTH(G96),YEAR(G96),YEAR(G96)+1)</f>
        <v/>
      </c>
      <c r="D96" s="204">
        <f>+C96+1</f>
        <v/>
      </c>
      <c r="E96" s="203">
        <f>IF(C96&gt;C95,1,E95+1)</f>
        <v/>
      </c>
      <c r="F96" s="203">
        <f>COUNTIF(C:C,C96)</f>
        <v/>
      </c>
      <c r="G96" s="198">
        <f>+G95+7</f>
        <v/>
      </c>
      <c r="H96" s="205">
        <f>'bands_A-H_Avg'!$H96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v>6.8</v>
      </c>
      <c r="CP96" s="970" t="n">
        <v>0.8835499999999999</v>
      </c>
    </row>
    <row r="97">
      <c r="B97" s="204">
        <f>+C97-1</f>
        <v/>
      </c>
      <c r="C97" s="204">
        <f>IF(bands_A!$D$9+1&gt;MONTH(G97),YEAR(G97),YEAR(G97)+1)</f>
        <v/>
      </c>
      <c r="D97" s="204">
        <f>+C97+1</f>
        <v/>
      </c>
      <c r="E97" s="203">
        <f>IF(C97&gt;C96,1,E96+1)</f>
        <v/>
      </c>
      <c r="F97" s="203">
        <f>COUNTIF(C:C,C97)</f>
        <v/>
      </c>
      <c r="G97" s="198">
        <f>+G96+7</f>
        <v/>
      </c>
      <c r="H97" s="205">
        <f>'bands_A-H_Avg'!$H97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v>6.8</v>
      </c>
      <c r="CP97" s="970" t="n">
        <v>0.8835499999999999</v>
      </c>
    </row>
    <row r="98">
      <c r="B98" s="204">
        <f>+C98-1</f>
        <v/>
      </c>
      <c r="C98" s="204">
        <f>IF(bands_A!$D$9+1&gt;MONTH(G98),YEAR(G98),YEAR(G98)+1)</f>
        <v/>
      </c>
      <c r="D98" s="204">
        <f>+C98+1</f>
        <v/>
      </c>
      <c r="E98" s="203">
        <f>IF(C98&gt;C97,1,E97+1)</f>
        <v/>
      </c>
      <c r="F98" s="203">
        <f>COUNTIF(C:C,C98)</f>
        <v/>
      </c>
      <c r="G98" s="198">
        <f>+G97+7</f>
        <v/>
      </c>
      <c r="H98" s="205">
        <f>'bands_A-H_Avg'!$H98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v>6.8</v>
      </c>
      <c r="CP98" s="970" t="n">
        <v>0.8835499999999999</v>
      </c>
    </row>
    <row r="99">
      <c r="B99" s="204">
        <f>+C99-1</f>
        <v/>
      </c>
      <c r="C99" s="204">
        <f>IF(bands_A!$D$9+1&gt;MONTH(G99),YEAR(G99),YEAR(G99)+1)</f>
        <v/>
      </c>
      <c r="D99" s="204">
        <f>+C99+1</f>
        <v/>
      </c>
      <c r="E99" s="203">
        <f>IF(C99&gt;C98,1,E98+1)</f>
        <v/>
      </c>
      <c r="F99" s="203">
        <f>COUNTIF(C:C,C99)</f>
        <v/>
      </c>
      <c r="G99" s="198">
        <f>+G98+7</f>
        <v/>
      </c>
      <c r="H99" s="205">
        <f>'bands_A-H_Avg'!$H99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v>6.8</v>
      </c>
      <c r="CP99" s="970" t="n">
        <v>0.8835499999999999</v>
      </c>
    </row>
    <row r="100">
      <c r="B100" s="204">
        <f>+C100-1</f>
        <v/>
      </c>
      <c r="C100" s="204">
        <f>IF(bands_A!$D$9+1&gt;MONTH(G100),YEAR(G100),YEAR(G100)+1)</f>
        <v/>
      </c>
      <c r="D100" s="204">
        <f>+C100+1</f>
        <v/>
      </c>
      <c r="E100" s="203">
        <f>IF(C100&gt;C99,1,E99+1)</f>
        <v/>
      </c>
      <c r="F100" s="203">
        <f>COUNTIF(C:C,C100)</f>
        <v/>
      </c>
      <c r="G100" s="198">
        <f>+G99+7</f>
        <v/>
      </c>
      <c r="H100" s="205">
        <f>'bands_A-H_Avg'!$H100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v>6.8</v>
      </c>
      <c r="CP100" s="970" t="n">
        <v>0.8835499999999999</v>
      </c>
    </row>
    <row r="101">
      <c r="B101" s="204">
        <f>+C101-1</f>
        <v/>
      </c>
      <c r="C101" s="204">
        <f>IF(bands_A!$D$9+1&gt;MONTH(G101),YEAR(G101),YEAR(G101)+1)</f>
        <v/>
      </c>
      <c r="D101" s="204">
        <f>+C101+1</f>
        <v/>
      </c>
      <c r="E101" s="203">
        <f>IF(C101&gt;C100,1,E100+1)</f>
        <v/>
      </c>
      <c r="F101" s="203">
        <f>COUNTIF(C:C,C101)</f>
        <v/>
      </c>
      <c r="G101" s="198">
        <f>+G100+7</f>
        <v/>
      </c>
      <c r="H101" s="205">
        <f>'bands_A-H_Avg'!$H101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v>6.8</v>
      </c>
      <c r="CP101" s="970" t="n">
        <v>0.8835499999999999</v>
      </c>
    </row>
    <row r="102">
      <c r="B102" s="204">
        <f>+C102-1</f>
        <v/>
      </c>
      <c r="C102" s="204">
        <f>IF(bands_A!$D$9+1&gt;MONTH(G102),YEAR(G102),YEAR(G102)+1)</f>
        <v/>
      </c>
      <c r="D102" s="204">
        <f>+C102+1</f>
        <v/>
      </c>
      <c r="E102" s="203">
        <f>IF(C102&gt;C101,1,E101+1)</f>
        <v/>
      </c>
      <c r="F102" s="203">
        <f>COUNTIF(C:C,C102)</f>
        <v/>
      </c>
      <c r="G102" s="198">
        <f>+G101+7</f>
        <v/>
      </c>
      <c r="H102" s="205">
        <f>'bands_A-H_Avg'!$H102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v>6.8</v>
      </c>
      <c r="CP102" s="970" t="n">
        <v>0.8835499999999999</v>
      </c>
    </row>
    <row r="103">
      <c r="B103" s="204">
        <f>+C103-1</f>
        <v/>
      </c>
      <c r="C103" s="204">
        <f>IF(bands_A!$D$9+1&gt;MONTH(G103),YEAR(G103),YEAR(G103)+1)</f>
        <v/>
      </c>
      <c r="D103" s="204">
        <f>+C103+1</f>
        <v/>
      </c>
      <c r="E103" s="203">
        <f>IF(C103&gt;C102,1,E102+1)</f>
        <v/>
      </c>
      <c r="F103" s="203">
        <f>COUNTIF(C:C,C103)</f>
        <v/>
      </c>
      <c r="G103" s="198">
        <f>+G102+7</f>
        <v/>
      </c>
      <c r="H103" s="205">
        <f>'bands_A-H_Avg'!$H103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v>6.8</v>
      </c>
      <c r="CP103" s="970" t="n">
        <v>0.8835499999999999</v>
      </c>
    </row>
    <row r="104">
      <c r="B104" s="204">
        <f>+C104-1</f>
        <v/>
      </c>
      <c r="C104" s="204">
        <f>IF(bands_A!$D$9+1&gt;MONTH(G104),YEAR(G104),YEAR(G104)+1)</f>
        <v/>
      </c>
      <c r="D104" s="204">
        <f>+C104+1</f>
        <v/>
      </c>
      <c r="E104" s="203">
        <f>IF(C104&gt;C103,1,E103+1)</f>
        <v/>
      </c>
      <c r="F104" s="203">
        <f>COUNTIF(C:C,C104)</f>
        <v/>
      </c>
      <c r="G104" s="198">
        <f>+G103+7</f>
        <v/>
      </c>
      <c r="H104" s="205">
        <f>'bands_A-H_Avg'!$H104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v>6.8</v>
      </c>
      <c r="CP104" s="970" t="n">
        <v>0.8835499999999999</v>
      </c>
    </row>
    <row r="105">
      <c r="B105" s="204">
        <f>+C105-1</f>
        <v/>
      </c>
      <c r="C105" s="204">
        <f>IF(bands_A!$D$9+1&gt;MONTH(G105),YEAR(G105),YEAR(G105)+1)</f>
        <v/>
      </c>
      <c r="D105" s="204">
        <f>+C105+1</f>
        <v/>
      </c>
      <c r="E105" s="203">
        <f>IF(C105&gt;C104,1,E104+1)</f>
        <v/>
      </c>
      <c r="F105" s="203">
        <f>COUNTIF(C:C,C105)</f>
        <v/>
      </c>
      <c r="G105" s="198">
        <f>+G104+7</f>
        <v/>
      </c>
      <c r="H105" s="205">
        <f>'bands_A-H_Avg'!$H105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v>6.8</v>
      </c>
      <c r="CP105" s="970" t="n">
        <v>0.8835499999999999</v>
      </c>
    </row>
    <row r="106">
      <c r="B106" s="204">
        <f>+C106-1</f>
        <v/>
      </c>
      <c r="C106" s="204">
        <f>IF(bands_A!$D$9+1&gt;MONTH(G106),YEAR(G106),YEAR(G106)+1)</f>
        <v/>
      </c>
      <c r="D106" s="204">
        <f>+C106+1</f>
        <v/>
      </c>
      <c r="E106" s="203">
        <f>IF(C106&gt;C105,1,E105+1)</f>
        <v/>
      </c>
      <c r="F106" s="203">
        <f>COUNTIF(C:C,C106)</f>
        <v/>
      </c>
      <c r="G106" s="198">
        <f>+G105+7</f>
        <v/>
      </c>
      <c r="H106" s="205">
        <f>'bands_A-H_Avg'!$H106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v>6.8</v>
      </c>
      <c r="CP106" s="970" t="n">
        <v>0.8835499999999999</v>
      </c>
    </row>
    <row r="107">
      <c r="B107" s="204">
        <f>+C107-1</f>
        <v/>
      </c>
      <c r="C107" s="204">
        <f>IF(bands_A!$D$9+1&gt;MONTH(G107),YEAR(G107),YEAR(G107)+1)</f>
        <v/>
      </c>
      <c r="D107" s="204">
        <f>+C107+1</f>
        <v/>
      </c>
      <c r="E107" s="203">
        <f>IF(C107&gt;C106,1,E106+1)</f>
        <v/>
      </c>
      <c r="F107" s="203">
        <f>COUNTIF(C:C,C107)</f>
        <v/>
      </c>
      <c r="G107" s="198">
        <f>+G106+7</f>
        <v/>
      </c>
      <c r="H107" s="205">
        <f>'bands_A-H_Avg'!$H107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v>6.8</v>
      </c>
      <c r="CP107" s="970" t="n">
        <v>0.8835499999999999</v>
      </c>
    </row>
    <row r="108">
      <c r="B108" s="204">
        <f>+C108-1</f>
        <v/>
      </c>
      <c r="C108" s="204">
        <f>IF(bands_A!$D$9+1&gt;MONTH(G108),YEAR(G108),YEAR(G108)+1)</f>
        <v/>
      </c>
      <c r="D108" s="204">
        <f>+C108+1</f>
        <v/>
      </c>
      <c r="E108" s="203">
        <f>IF(C108&gt;C107,1,E107+1)</f>
        <v/>
      </c>
      <c r="F108" s="203">
        <f>COUNTIF(C:C,C108)</f>
        <v/>
      </c>
      <c r="G108" s="198">
        <f>+G107+7</f>
        <v/>
      </c>
      <c r="H108" s="205">
        <f>'bands_A-H_Avg'!$H108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v>6.8</v>
      </c>
      <c r="CP108" s="970" t="n">
        <v>0.8835499999999999</v>
      </c>
    </row>
    <row r="109">
      <c r="B109" s="204">
        <f>+C109-1</f>
        <v/>
      </c>
      <c r="C109" s="204">
        <f>IF(bands_A!$D$9+1&gt;MONTH(G109),YEAR(G109),YEAR(G109)+1)</f>
        <v/>
      </c>
      <c r="D109" s="204">
        <f>+C109+1</f>
        <v/>
      </c>
      <c r="E109" s="203">
        <f>IF(C109&gt;C108,1,E108+1)</f>
        <v/>
      </c>
      <c r="F109" s="203">
        <f>COUNTIF(C:C,C109)</f>
        <v/>
      </c>
      <c r="G109" s="198">
        <f>+G108+7</f>
        <v/>
      </c>
      <c r="H109" s="205">
        <f>'bands_A-H_Avg'!$H109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v>6.8</v>
      </c>
      <c r="CP109" s="970" t="n">
        <v>0.8835499999999999</v>
      </c>
    </row>
    <row r="110">
      <c r="B110" s="204">
        <f>+C110-1</f>
        <v/>
      </c>
      <c r="C110" s="204">
        <f>IF(bands_A!$D$9+1&gt;MONTH(G110),YEAR(G110),YEAR(G110)+1)</f>
        <v/>
      </c>
      <c r="D110" s="204">
        <f>+C110+1</f>
        <v/>
      </c>
      <c r="E110" s="203">
        <f>IF(C110&gt;C109,1,E109+1)</f>
        <v/>
      </c>
      <c r="F110" s="203">
        <f>COUNTIF(C:C,C110)</f>
        <v/>
      </c>
      <c r="G110" s="198">
        <f>+G109+7</f>
        <v/>
      </c>
      <c r="H110" s="205">
        <f>'bands_A-H_Avg'!$H110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v>6.8</v>
      </c>
      <c r="CP110" s="970" t="n">
        <v>0.8835499999999999</v>
      </c>
    </row>
    <row r="111">
      <c r="B111" s="204">
        <f>+C111-1</f>
        <v/>
      </c>
      <c r="C111" s="204">
        <f>IF(bands_A!$D$9+1&gt;MONTH(G111),YEAR(G111),YEAR(G111)+1)</f>
        <v/>
      </c>
      <c r="D111" s="204">
        <f>+C111+1</f>
        <v/>
      </c>
      <c r="E111" s="203">
        <f>IF(C111&gt;C110,1,E110+1)</f>
        <v/>
      </c>
      <c r="F111" s="203">
        <f>COUNTIF(C:C,C111)</f>
        <v/>
      </c>
      <c r="G111" s="198">
        <f>+G110+7</f>
        <v/>
      </c>
      <c r="H111" s="205">
        <f>'bands_A-H_Avg'!$H111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v>6.8</v>
      </c>
      <c r="CP111" s="970" t="n">
        <v>0.8835499999999999</v>
      </c>
    </row>
    <row r="112">
      <c r="B112" s="204">
        <f>+C112-1</f>
        <v/>
      </c>
      <c r="C112" s="204">
        <f>IF(bands_A!$D$9+1&gt;MONTH(G112),YEAR(G112),YEAR(G112)+1)</f>
        <v/>
      </c>
      <c r="D112" s="204">
        <f>+C112+1</f>
        <v/>
      </c>
      <c r="E112" s="203">
        <f>IF(C112&gt;C111,1,E111+1)</f>
        <v/>
      </c>
      <c r="F112" s="203">
        <f>COUNTIF(C:C,C112)</f>
        <v/>
      </c>
      <c r="G112" s="198">
        <f>+G111+7</f>
        <v/>
      </c>
      <c r="H112" s="205">
        <f>'bands_A-H_Avg'!$H112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v>6.8</v>
      </c>
      <c r="CP112" s="970" t="n">
        <v>0.8835499999999999</v>
      </c>
    </row>
    <row r="113">
      <c r="B113" s="204">
        <f>+C113-1</f>
        <v/>
      </c>
      <c r="C113" s="204">
        <f>IF(bands_A!$D$9+1&gt;MONTH(G113),YEAR(G113),YEAR(G113)+1)</f>
        <v/>
      </c>
      <c r="D113" s="204">
        <f>+C113+1</f>
        <v/>
      </c>
      <c r="E113" s="203">
        <f>IF(C113&gt;C112,1,E112+1)</f>
        <v/>
      </c>
      <c r="F113" s="203">
        <f>COUNTIF(C:C,C113)</f>
        <v/>
      </c>
      <c r="G113" s="198">
        <f>+G112+7</f>
        <v/>
      </c>
      <c r="H113" s="205">
        <f>'bands_A-H_Avg'!$H113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v>6.8</v>
      </c>
      <c r="CP113" s="970" t="n">
        <v>0.8835499999999999</v>
      </c>
    </row>
    <row r="114">
      <c r="B114" s="204">
        <f>+C114-1</f>
        <v/>
      </c>
      <c r="C114" s="204">
        <f>IF(bands_A!$D$9+1&gt;MONTH(G114),YEAR(G114),YEAR(G114)+1)</f>
        <v/>
      </c>
      <c r="D114" s="204">
        <f>+C114+1</f>
        <v/>
      </c>
      <c r="E114" s="203">
        <f>IF(C114&gt;C113,1,E113+1)</f>
        <v/>
      </c>
      <c r="F114" s="203">
        <f>COUNTIF(C:C,C114)</f>
        <v/>
      </c>
      <c r="G114" s="198">
        <f>+G113+7</f>
        <v/>
      </c>
      <c r="H114" s="205">
        <f>'bands_A-H_Avg'!$H114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v>6.8</v>
      </c>
      <c r="CP114" s="970" t="n">
        <v>0.8835499999999999</v>
      </c>
    </row>
    <row r="115">
      <c r="B115" s="204">
        <f>+C115-1</f>
        <v/>
      </c>
      <c r="C115" s="204">
        <f>IF(bands_A!$D$9+1&gt;MONTH(G115),YEAR(G115),YEAR(G115)+1)</f>
        <v/>
      </c>
      <c r="D115" s="204">
        <f>+C115+1</f>
        <v/>
      </c>
      <c r="E115" s="203">
        <f>IF(C115&gt;C114,1,E114+1)</f>
        <v/>
      </c>
      <c r="F115" s="203">
        <f>COUNTIF(C:C,C115)</f>
        <v/>
      </c>
      <c r="G115" s="198">
        <f>+G114+7</f>
        <v/>
      </c>
      <c r="H115" s="205">
        <f>'bands_A-H_Avg'!$H115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v>6.8</v>
      </c>
      <c r="CP115" s="970" t="n">
        <v>0.8835499999999999</v>
      </c>
    </row>
    <row r="116">
      <c r="B116" s="204">
        <f>+C116-1</f>
        <v/>
      </c>
      <c r="C116" s="204">
        <f>IF(bands_A!$D$9+1&gt;MONTH(G116),YEAR(G116),YEAR(G116)+1)</f>
        <v/>
      </c>
      <c r="D116" s="204">
        <f>+C116+1</f>
        <v/>
      </c>
      <c r="E116" s="203">
        <f>IF(C116&gt;C115,1,E115+1)</f>
        <v/>
      </c>
      <c r="F116" s="203">
        <f>COUNTIF(C:C,C116)</f>
        <v/>
      </c>
      <c r="G116" s="198">
        <f>+G115+7</f>
        <v/>
      </c>
      <c r="H116" s="205">
        <f>'bands_A-H_Avg'!$H116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v>6.8</v>
      </c>
      <c r="CP116" s="970" t="n">
        <v>0.8835499999999999</v>
      </c>
    </row>
    <row r="117">
      <c r="B117" s="204">
        <f>+C117-1</f>
        <v/>
      </c>
      <c r="C117" s="204">
        <f>IF(bands_A!$D$9+1&gt;MONTH(G117),YEAR(G117),YEAR(G117)+1)</f>
        <v/>
      </c>
      <c r="D117" s="204">
        <f>+C117+1</f>
        <v/>
      </c>
      <c r="E117" s="203">
        <f>IF(C117&gt;C116,1,E116+1)</f>
        <v/>
      </c>
      <c r="F117" s="203">
        <f>COUNTIF(C:C,C117)</f>
        <v/>
      </c>
      <c r="G117" s="198">
        <f>+G116+7</f>
        <v/>
      </c>
      <c r="H117" s="205">
        <f>'bands_A-H_Avg'!$H117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v>6.8</v>
      </c>
      <c r="CP117" s="970" t="n">
        <v>0.8835499999999999</v>
      </c>
    </row>
    <row r="118">
      <c r="B118" s="204">
        <f>+C118-1</f>
        <v/>
      </c>
      <c r="C118" s="204">
        <f>IF(bands_A!$D$9+1&gt;MONTH(G118),YEAR(G118),YEAR(G118)+1)</f>
        <v/>
      </c>
      <c r="D118" s="204">
        <f>+C118+1</f>
        <v/>
      </c>
      <c r="E118" s="203">
        <f>IF(C118&gt;C117,1,E117+1)</f>
        <v/>
      </c>
      <c r="F118" s="203">
        <f>COUNTIF(C:C,C118)</f>
        <v/>
      </c>
      <c r="G118" s="198">
        <f>+G117+7</f>
        <v/>
      </c>
      <c r="H118" s="205">
        <f>'bands_A-H_Avg'!$H118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v>6.8</v>
      </c>
      <c r="CP118" s="970" t="n">
        <v>0.8835499999999999</v>
      </c>
    </row>
    <row r="119">
      <c r="B119" s="204">
        <f>+C119-1</f>
        <v/>
      </c>
      <c r="C119" s="204">
        <f>IF(bands_A!$D$9+1&gt;MONTH(G119),YEAR(G119),YEAR(G119)+1)</f>
        <v/>
      </c>
      <c r="D119" s="204">
        <f>+C119+1</f>
        <v/>
      </c>
      <c r="E119" s="203">
        <f>IF(C119&gt;C118,1,E118+1)</f>
        <v/>
      </c>
      <c r="F119" s="203">
        <f>COUNTIF(C:C,C119)</f>
        <v/>
      </c>
      <c r="G119" s="198">
        <f>+G118+7</f>
        <v/>
      </c>
      <c r="H119" s="205">
        <f>'bands_A-H_Avg'!$H119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v>6.8</v>
      </c>
      <c r="CP119" s="970" t="n">
        <v>0.8835499999999999</v>
      </c>
    </row>
    <row r="120">
      <c r="B120" s="204">
        <f>+C120-1</f>
        <v/>
      </c>
      <c r="C120" s="204">
        <f>IF(bands_A!$D$9+1&gt;MONTH(G120),YEAR(G120),YEAR(G120)+1)</f>
        <v/>
      </c>
      <c r="D120" s="204">
        <f>+C120+1</f>
        <v/>
      </c>
      <c r="E120" s="203">
        <f>IF(C120&gt;C119,1,E119+1)</f>
        <v/>
      </c>
      <c r="F120" s="203">
        <f>COUNTIF(C:C,C120)</f>
        <v/>
      </c>
      <c r="G120" s="198">
        <f>+G119+7</f>
        <v/>
      </c>
      <c r="H120" s="205">
        <f>'bands_A-H_Avg'!$H120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v>6.8</v>
      </c>
      <c r="CP120" s="970" t="n">
        <v>0.8835499999999999</v>
      </c>
    </row>
    <row r="121">
      <c r="B121" s="204">
        <f>+C121-1</f>
        <v/>
      </c>
      <c r="C121" s="204">
        <f>IF(bands_A!$D$9+1&gt;MONTH(G121),YEAR(G121),YEAR(G121)+1)</f>
        <v/>
      </c>
      <c r="D121" s="204">
        <f>+C121+1</f>
        <v/>
      </c>
      <c r="E121" s="203">
        <f>IF(C121&gt;C120,1,E120+1)</f>
        <v/>
      </c>
      <c r="F121" s="203">
        <f>COUNTIF(C:C,C121)</f>
        <v/>
      </c>
      <c r="G121" s="198">
        <f>+G120+7</f>
        <v/>
      </c>
      <c r="H121" s="205">
        <f>'bands_A-H_Avg'!$H121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v>6.8</v>
      </c>
      <c r="CP121" s="970" t="n">
        <v>0.8835499999999999</v>
      </c>
    </row>
    <row r="122">
      <c r="B122" s="204">
        <f>+C122-1</f>
        <v/>
      </c>
      <c r="C122" s="204">
        <f>IF(bands_A!$D$9+1&gt;MONTH(G122),YEAR(G122),YEAR(G122)+1)</f>
        <v/>
      </c>
      <c r="D122" s="204">
        <f>+C122+1</f>
        <v/>
      </c>
      <c r="E122" s="203">
        <f>IF(C122&gt;C121,1,E121+1)</f>
        <v/>
      </c>
      <c r="F122" s="203">
        <f>COUNTIF(C:C,C122)</f>
        <v/>
      </c>
      <c r="G122" s="198">
        <f>+G121+7</f>
        <v/>
      </c>
      <c r="H122" s="205">
        <f>'bands_A-H_Avg'!$H122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v>6.8</v>
      </c>
      <c r="CP122" s="970" t="n">
        <v>0.8835499999999999</v>
      </c>
    </row>
    <row r="123">
      <c r="B123" s="204">
        <f>+C123-1</f>
        <v/>
      </c>
      <c r="C123" s="204">
        <f>IF(bands_A!$D$9+1&gt;MONTH(G123),YEAR(G123),YEAR(G123)+1)</f>
        <v/>
      </c>
      <c r="D123" s="204">
        <f>+C123+1</f>
        <v/>
      </c>
      <c r="E123" s="203">
        <f>IF(C123&gt;C122,1,E122+1)</f>
        <v/>
      </c>
      <c r="F123" s="203">
        <f>COUNTIF(C:C,C123)</f>
        <v/>
      </c>
      <c r="G123" s="198">
        <f>+G122+7</f>
        <v/>
      </c>
      <c r="H123" s="205">
        <f>'bands_A-H_Avg'!$H123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v>6.8</v>
      </c>
      <c r="CP123" s="970" t="n">
        <v>0.8835499999999999</v>
      </c>
    </row>
    <row r="124">
      <c r="B124" s="204">
        <f>+C124-1</f>
        <v/>
      </c>
      <c r="C124" s="204">
        <f>IF(bands_A!$D$9+1&gt;MONTH(G124),YEAR(G124),YEAR(G124)+1)</f>
        <v/>
      </c>
      <c r="D124" s="204">
        <f>+C124+1</f>
        <v/>
      </c>
      <c r="E124" s="203">
        <f>IF(C124&gt;C123,1,E123+1)</f>
        <v/>
      </c>
      <c r="F124" s="203">
        <f>COUNTIF(C:C,C124)</f>
        <v/>
      </c>
      <c r="G124" s="198">
        <f>+G123+7</f>
        <v/>
      </c>
      <c r="H124" s="205">
        <f>'bands_A-H_Avg'!$H124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v>6.8</v>
      </c>
      <c r="CP124" s="970" t="n">
        <v>0.8835499999999999</v>
      </c>
    </row>
    <row r="125">
      <c r="B125" s="204">
        <f>+C125-1</f>
        <v/>
      </c>
      <c r="C125" s="204">
        <f>IF(bands_A!$D$9+1&gt;MONTH(G125),YEAR(G125),YEAR(G125)+1)</f>
        <v/>
      </c>
      <c r="D125" s="204">
        <f>+C125+1</f>
        <v/>
      </c>
      <c r="E125" s="203">
        <f>IF(C125&gt;C124,1,E124+1)</f>
        <v/>
      </c>
      <c r="F125" s="203">
        <f>COUNTIF(C:C,C125)</f>
        <v/>
      </c>
      <c r="G125" s="198">
        <f>+G124+7</f>
        <v/>
      </c>
      <c r="H125" s="205">
        <f>'bands_A-H_Avg'!$H125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v>6.8</v>
      </c>
      <c r="CP125" s="970" t="n">
        <v>0.8835499999999999</v>
      </c>
    </row>
    <row r="126">
      <c r="B126" s="204">
        <f>+C126-1</f>
        <v/>
      </c>
      <c r="C126" s="204">
        <f>IF(bands_A!$D$9+1&gt;MONTH(G126),YEAR(G126),YEAR(G126)+1)</f>
        <v/>
      </c>
      <c r="D126" s="204">
        <f>+C126+1</f>
        <v/>
      </c>
      <c r="E126" s="203">
        <f>IF(C126&gt;C125,1,E125+1)</f>
        <v/>
      </c>
      <c r="F126" s="203">
        <f>COUNTIF(C:C,C126)</f>
        <v/>
      </c>
      <c r="G126" s="198">
        <f>+G125+7</f>
        <v/>
      </c>
      <c r="H126" s="205">
        <f>'bands_A-H_Avg'!$H126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v>6.8</v>
      </c>
      <c r="CP126" s="970" t="n">
        <v>0.8835499999999999</v>
      </c>
    </row>
    <row r="127">
      <c r="B127" s="204">
        <f>+C127-1</f>
        <v/>
      </c>
      <c r="C127" s="204">
        <f>IF(bands_A!$D$9+1&gt;MONTH(G127),YEAR(G127),YEAR(G127)+1)</f>
        <v/>
      </c>
      <c r="D127" s="204">
        <f>+C127+1</f>
        <v/>
      </c>
      <c r="E127" s="203">
        <f>IF(C127&gt;C126,1,E126+1)</f>
        <v/>
      </c>
      <c r="F127" s="203">
        <f>COUNTIF(C:C,C127)</f>
        <v/>
      </c>
      <c r="G127" s="198">
        <f>+G126+7</f>
        <v/>
      </c>
      <c r="H127" s="205">
        <f>'bands_A-H_Avg'!$H127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v>6.8</v>
      </c>
      <c r="CP127" s="970" t="n">
        <v>0.8835499999999999</v>
      </c>
    </row>
    <row r="128">
      <c r="B128" s="204">
        <f>+C128-1</f>
        <v/>
      </c>
      <c r="C128" s="204">
        <f>IF(bands_A!$D$9+1&gt;MONTH(G128),YEAR(G128),YEAR(G128)+1)</f>
        <v/>
      </c>
      <c r="D128" s="204">
        <f>+C128+1</f>
        <v/>
      </c>
      <c r="E128" s="203">
        <f>IF(C128&gt;C127,1,E127+1)</f>
        <v/>
      </c>
      <c r="F128" s="203">
        <f>COUNTIF(C:C,C128)</f>
        <v/>
      </c>
      <c r="G128" s="198">
        <f>+G127+7</f>
        <v/>
      </c>
      <c r="H128" s="205">
        <f>'bands_A-H_Avg'!$H128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v>6.8</v>
      </c>
      <c r="CP128" s="970" t="n">
        <v>0.8835499999999999</v>
      </c>
    </row>
    <row r="129">
      <c r="B129" s="204">
        <f>+C129-1</f>
        <v/>
      </c>
      <c r="C129" s="204">
        <f>IF(bands_A!$D$9+1&gt;MONTH(G129),YEAR(G129),YEAR(G129)+1)</f>
        <v/>
      </c>
      <c r="D129" s="204">
        <f>+C129+1</f>
        <v/>
      </c>
      <c r="E129" s="203">
        <f>IF(C129&gt;C128,1,E128+1)</f>
        <v/>
      </c>
      <c r="F129" s="203">
        <f>COUNTIF(C:C,C129)</f>
        <v/>
      </c>
      <c r="G129" s="198">
        <f>+G128+7</f>
        <v/>
      </c>
      <c r="H129" s="205">
        <f>'bands_A-H_Avg'!$H129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v>6.8</v>
      </c>
      <c r="CP129" s="970" t="n">
        <v>0.8835499999999999</v>
      </c>
    </row>
    <row r="130">
      <c r="B130" s="204">
        <f>+C130-1</f>
        <v/>
      </c>
      <c r="C130" s="204">
        <f>IF(bands_A!$D$9+1&gt;MONTH(G130),YEAR(G130),YEAR(G130)+1)</f>
        <v/>
      </c>
      <c r="D130" s="204">
        <f>+C130+1</f>
        <v/>
      </c>
      <c r="E130" s="203">
        <f>IF(C130&gt;C129,1,E129+1)</f>
        <v/>
      </c>
      <c r="F130" s="203">
        <f>COUNTIF(C:C,C130)</f>
        <v/>
      </c>
      <c r="G130" s="198">
        <f>+G129+7</f>
        <v/>
      </c>
      <c r="H130" s="205">
        <f>'bands_A-H_Avg'!$H130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v>6.8</v>
      </c>
      <c r="CP130" s="970" t="n">
        <v>0.8835499999999999</v>
      </c>
    </row>
    <row r="131">
      <c r="B131" s="204">
        <f>+C131-1</f>
        <v/>
      </c>
      <c r="C131" s="204">
        <f>IF(bands_A!$D$9+1&gt;MONTH(G131),YEAR(G131),YEAR(G131)+1)</f>
        <v/>
      </c>
      <c r="D131" s="204">
        <f>+C131+1</f>
        <v/>
      </c>
      <c r="E131" s="203">
        <f>IF(C131&gt;C130,1,E130+1)</f>
        <v/>
      </c>
      <c r="F131" s="203">
        <f>COUNTIF(C:C,C131)</f>
        <v/>
      </c>
      <c r="G131" s="198">
        <f>+G130+7</f>
        <v/>
      </c>
      <c r="H131" s="205">
        <f>'bands_A-H_Avg'!$H131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v>6.8</v>
      </c>
      <c r="CP131" s="970" t="n">
        <v>0.8835499999999999</v>
      </c>
    </row>
    <row r="132">
      <c r="B132" s="204">
        <f>+C132-1</f>
        <v/>
      </c>
      <c r="C132" s="204">
        <f>IF(bands_A!$D$9+1&gt;MONTH(G132),YEAR(G132),YEAR(G132)+1)</f>
        <v/>
      </c>
      <c r="D132" s="204">
        <f>+C132+1</f>
        <v/>
      </c>
      <c r="E132" s="203">
        <f>IF(C132&gt;C131,1,E131+1)</f>
        <v/>
      </c>
      <c r="F132" s="203">
        <f>COUNTIF(C:C,C132)</f>
        <v/>
      </c>
      <c r="G132" s="198">
        <f>+G131+7</f>
        <v/>
      </c>
      <c r="H132" s="205">
        <f>'bands_A-H_Avg'!$H132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v>6.8</v>
      </c>
      <c r="CP132" s="970" t="n">
        <v>0.8835499999999999</v>
      </c>
    </row>
    <row r="133">
      <c r="B133" s="204">
        <f>+C133-1</f>
        <v/>
      </c>
      <c r="C133" s="204">
        <f>IF(bands_A!$D$9+1&gt;MONTH(G133),YEAR(G133),YEAR(G133)+1)</f>
        <v/>
      </c>
      <c r="D133" s="204">
        <f>+C133+1</f>
        <v/>
      </c>
      <c r="E133" s="203">
        <f>IF(C133&gt;C132,1,E132+1)</f>
        <v/>
      </c>
      <c r="F133" s="203">
        <f>COUNTIF(C:C,C133)</f>
        <v/>
      </c>
      <c r="G133" s="198">
        <f>+G132+7</f>
        <v/>
      </c>
      <c r="H133" s="205">
        <f>'bands_A-H_Avg'!$H133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v>6.8</v>
      </c>
      <c r="CP133" s="970" t="n">
        <v>0.8835499999999999</v>
      </c>
    </row>
    <row r="134">
      <c r="B134" s="204">
        <f>+C134-1</f>
        <v/>
      </c>
      <c r="C134" s="204">
        <f>IF(bands_A!$D$9+1&gt;MONTH(G134),YEAR(G134),YEAR(G134)+1)</f>
        <v/>
      </c>
      <c r="D134" s="204">
        <f>+C134+1</f>
        <v/>
      </c>
      <c r="E134" s="203">
        <f>IF(C134&gt;C133,1,E133+1)</f>
        <v/>
      </c>
      <c r="F134" s="203">
        <f>COUNTIF(C:C,C134)</f>
        <v/>
      </c>
      <c r="G134" s="198">
        <f>+G133+7</f>
        <v/>
      </c>
      <c r="H134" s="205">
        <f>'bands_A-H_Avg'!$H134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v>6.8</v>
      </c>
      <c r="CP134" s="970" t="n">
        <v>0.8835499999999999</v>
      </c>
    </row>
    <row r="135">
      <c r="B135" s="204">
        <f>+C135-1</f>
        <v/>
      </c>
      <c r="C135" s="204">
        <f>IF(bands_A!$D$9+1&gt;MONTH(G135),YEAR(G135),YEAR(G135)+1)</f>
        <v/>
      </c>
      <c r="D135" s="204">
        <f>+C135+1</f>
        <v/>
      </c>
      <c r="E135" s="203">
        <f>IF(C135&gt;C134,1,E134+1)</f>
        <v/>
      </c>
      <c r="F135" s="203">
        <f>COUNTIF(C:C,C135)</f>
        <v/>
      </c>
      <c r="G135" s="198">
        <f>+G134+7</f>
        <v/>
      </c>
      <c r="H135" s="205">
        <f>'bands_A-H_Avg'!$H135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v>6.8</v>
      </c>
      <c r="CP135" s="970" t="n">
        <v>0.8835499999999999</v>
      </c>
    </row>
    <row r="136">
      <c r="B136" s="204">
        <f>+C136-1</f>
        <v/>
      </c>
      <c r="C136" s="204">
        <f>IF(bands_A!$D$9+1&gt;MONTH(G136),YEAR(G136),YEAR(G136)+1)</f>
        <v/>
      </c>
      <c r="D136" s="204">
        <f>+C136+1</f>
        <v/>
      </c>
      <c r="E136" s="203">
        <f>IF(C136&gt;C135,1,E135+1)</f>
        <v/>
      </c>
      <c r="F136" s="203">
        <f>COUNTIF(C:C,C136)</f>
        <v/>
      </c>
      <c r="G136" s="198">
        <f>+G135+7</f>
        <v/>
      </c>
      <c r="H136" s="205">
        <f>'bands_A-H_Avg'!$H136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v>6.8</v>
      </c>
      <c r="CP136" s="970" t="n">
        <v>0.8835499999999999</v>
      </c>
    </row>
    <row r="137">
      <c r="B137" s="204">
        <f>+C137-1</f>
        <v/>
      </c>
      <c r="C137" s="204">
        <f>IF(bands_A!$D$9+1&gt;MONTH(G137),YEAR(G137),YEAR(G137)+1)</f>
        <v/>
      </c>
      <c r="D137" s="204">
        <f>+C137+1</f>
        <v/>
      </c>
      <c r="E137" s="203">
        <f>IF(C137&gt;C136,1,E136+1)</f>
        <v/>
      </c>
      <c r="F137" s="203">
        <f>COUNTIF(C:C,C137)</f>
        <v/>
      </c>
      <c r="G137" s="198">
        <f>+G136+7</f>
        <v/>
      </c>
      <c r="H137" s="205">
        <f>'bands_A-H_Avg'!$H137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v>6.8</v>
      </c>
      <c r="CP137" s="970" t="n">
        <v>0.8835499999999999</v>
      </c>
    </row>
    <row r="138">
      <c r="B138" s="204">
        <f>+C138-1</f>
        <v/>
      </c>
      <c r="C138" s="204">
        <f>IF(bands_A!$D$9+1&gt;MONTH(G138),YEAR(G138),YEAR(G138)+1)</f>
        <v/>
      </c>
      <c r="D138" s="204">
        <f>+C138+1</f>
        <v/>
      </c>
      <c r="E138" s="203">
        <f>IF(C138&gt;C137,1,E137+1)</f>
        <v/>
      </c>
      <c r="F138" s="203">
        <f>COUNTIF(C:C,C138)</f>
        <v/>
      </c>
      <c r="G138" s="198">
        <f>+G137+7</f>
        <v/>
      </c>
      <c r="H138" s="205">
        <f>'bands_A-H_Avg'!$H138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v>6.8</v>
      </c>
      <c r="CP138" s="970" t="n">
        <v>0.8835499999999999</v>
      </c>
    </row>
    <row r="139">
      <c r="B139" s="204">
        <f>+C139-1</f>
        <v/>
      </c>
      <c r="C139" s="204">
        <f>IF(bands_A!$D$9+1&gt;MONTH(G139),YEAR(G139),YEAR(G139)+1)</f>
        <v/>
      </c>
      <c r="D139" s="204">
        <f>+C139+1</f>
        <v/>
      </c>
      <c r="E139" s="203">
        <f>IF(C139&gt;C138,1,E138+1)</f>
        <v/>
      </c>
      <c r="F139" s="203">
        <f>COUNTIF(C:C,C139)</f>
        <v/>
      </c>
      <c r="G139" s="198">
        <f>+G138+7</f>
        <v/>
      </c>
      <c r="H139" s="205">
        <f>'bands_A-H_Avg'!$H139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v>6.8</v>
      </c>
      <c r="CP139" s="970" t="n">
        <v>0.8835499999999999</v>
      </c>
    </row>
    <row r="140">
      <c r="B140" s="204">
        <f>+C140-1</f>
        <v/>
      </c>
      <c r="C140" s="204">
        <f>IF(bands_A!$D$9+1&gt;MONTH(G140),YEAR(G140),YEAR(G140)+1)</f>
        <v/>
      </c>
      <c r="D140" s="204">
        <f>+C140+1</f>
        <v/>
      </c>
      <c r="E140" s="203">
        <f>IF(C140&gt;C139,1,E139+1)</f>
        <v/>
      </c>
      <c r="F140" s="203">
        <f>COUNTIF(C:C,C140)</f>
        <v/>
      </c>
      <c r="G140" s="198">
        <f>+G139+7</f>
        <v/>
      </c>
      <c r="H140" s="205">
        <f>'bands_A-H_Avg'!$H140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v>6.8</v>
      </c>
      <c r="CP140" s="970" t="n">
        <v>0.8835499999999999</v>
      </c>
    </row>
    <row r="141">
      <c r="B141" s="204">
        <f>+C141-1</f>
        <v/>
      </c>
      <c r="C141" s="204">
        <f>IF(bands_A!$D$9+1&gt;MONTH(G141),YEAR(G141),YEAR(G141)+1)</f>
        <v/>
      </c>
      <c r="D141" s="204">
        <f>+C141+1</f>
        <v/>
      </c>
      <c r="E141" s="203">
        <f>IF(C141&gt;C140,1,E140+1)</f>
        <v/>
      </c>
      <c r="F141" s="203">
        <f>COUNTIF(C:C,C141)</f>
        <v/>
      </c>
      <c r="G141" s="198">
        <f>+G140+7</f>
        <v/>
      </c>
      <c r="H141" s="205">
        <f>'bands_A-H_Avg'!$H141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v>6.8</v>
      </c>
      <c r="CP141" s="970" t="n">
        <v>0.8835499999999999</v>
      </c>
    </row>
    <row r="142">
      <c r="B142" s="204">
        <f>+C142-1</f>
        <v/>
      </c>
      <c r="C142" s="204">
        <f>IF(bands_A!$D$9+1&gt;MONTH(G142),YEAR(G142),YEAR(G142)+1)</f>
        <v/>
      </c>
      <c r="D142" s="204">
        <f>+C142+1</f>
        <v/>
      </c>
      <c r="E142" s="203">
        <f>IF(C142&gt;C141,1,E141+1)</f>
        <v/>
      </c>
      <c r="F142" s="203">
        <f>COUNTIF(C:C,C142)</f>
        <v/>
      </c>
      <c r="G142" s="198">
        <f>+G141+7</f>
        <v/>
      </c>
      <c r="H142" s="205">
        <f>'bands_A-H_Avg'!$H142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v>6.8</v>
      </c>
      <c r="CP142" s="970" t="n">
        <v>0.8835499999999999</v>
      </c>
    </row>
    <row r="143">
      <c r="B143" s="204">
        <f>+C143-1</f>
        <v/>
      </c>
      <c r="C143" s="204">
        <f>IF(bands_A!$D$9+1&gt;MONTH(G143),YEAR(G143),YEAR(G143)+1)</f>
        <v/>
      </c>
      <c r="D143" s="204">
        <f>+C143+1</f>
        <v/>
      </c>
      <c r="E143" s="203">
        <f>IF(C143&gt;C142,1,E142+1)</f>
        <v/>
      </c>
      <c r="F143" s="203">
        <f>COUNTIF(C:C,C143)</f>
        <v/>
      </c>
      <c r="G143" s="198">
        <f>+G142+7</f>
        <v/>
      </c>
      <c r="H143" s="205">
        <f>'bands_A-H_Avg'!$H143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v>6.8</v>
      </c>
      <c r="CP143" s="970" t="n">
        <v>0.8835499999999999</v>
      </c>
    </row>
    <row r="144">
      <c r="B144" s="204">
        <f>+C144-1</f>
        <v/>
      </c>
      <c r="C144" s="204">
        <f>IF(bands_A!$D$9+1&gt;MONTH(G144),YEAR(G144),YEAR(G144)+1)</f>
        <v/>
      </c>
      <c r="D144" s="204">
        <f>+C144+1</f>
        <v/>
      </c>
      <c r="E144" s="203">
        <f>IF(C144&gt;C143,1,E143+1)</f>
        <v/>
      </c>
      <c r="F144" s="203">
        <f>COUNTIF(C:C,C144)</f>
        <v/>
      </c>
      <c r="G144" s="198">
        <f>+G143+7</f>
        <v/>
      </c>
      <c r="H144" s="205">
        <f>'bands_A-H_Avg'!$H144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v>6.8</v>
      </c>
      <c r="CP144" s="970" t="n">
        <v>0.8835499999999999</v>
      </c>
    </row>
    <row r="145">
      <c r="B145" s="204">
        <f>+C145-1</f>
        <v/>
      </c>
      <c r="C145" s="204">
        <f>IF(bands_A!$D$9+1&gt;MONTH(G145),YEAR(G145),YEAR(G145)+1)</f>
        <v/>
      </c>
      <c r="D145" s="204">
        <f>+C145+1</f>
        <v/>
      </c>
      <c r="E145" s="203">
        <f>IF(C145&gt;C144,1,E144+1)</f>
        <v/>
      </c>
      <c r="F145" s="203">
        <f>COUNTIF(C:C,C145)</f>
        <v/>
      </c>
      <c r="G145" s="198">
        <f>+G144+7</f>
        <v/>
      </c>
      <c r="H145" s="205">
        <f>'bands_A-H_Avg'!$H145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v>6.8</v>
      </c>
      <c r="CP145" s="970" t="n">
        <v>0.8835499999999999</v>
      </c>
    </row>
    <row r="146">
      <c r="B146" s="204">
        <f>+C146-1</f>
        <v/>
      </c>
      <c r="C146" s="204">
        <f>IF(bands_A!$D$9+1&gt;MONTH(G146),YEAR(G146),YEAR(G146)+1)</f>
        <v/>
      </c>
      <c r="D146" s="204">
        <f>+C146+1</f>
        <v/>
      </c>
      <c r="E146" s="203">
        <f>IF(C146&gt;C145,1,E145+1)</f>
        <v/>
      </c>
      <c r="F146" s="203">
        <f>COUNTIF(C:C,C146)</f>
        <v/>
      </c>
      <c r="G146" s="198">
        <f>+G145+7</f>
        <v/>
      </c>
      <c r="H146" s="205">
        <f>'bands_A-H_Avg'!$H146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v>6.8</v>
      </c>
      <c r="CP146" s="970" t="n">
        <v>0.8835499999999999</v>
      </c>
    </row>
    <row r="147">
      <c r="B147" s="204">
        <f>+C147-1</f>
        <v/>
      </c>
      <c r="C147" s="204">
        <f>IF(bands_A!$D$9+1&gt;MONTH(G147),YEAR(G147),YEAR(G147)+1)</f>
        <v/>
      </c>
      <c r="D147" s="204">
        <f>+C147+1</f>
        <v/>
      </c>
      <c r="E147" s="203">
        <f>IF(C147&gt;C146,1,E146+1)</f>
        <v/>
      </c>
      <c r="F147" s="203">
        <f>COUNTIF(C:C,C147)</f>
        <v/>
      </c>
      <c r="G147" s="198">
        <f>+G146+7</f>
        <v/>
      </c>
      <c r="H147" s="205">
        <f>'bands_A-H_Avg'!$H147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v>6.8</v>
      </c>
      <c r="CP147" s="970" t="n">
        <v>0.8835499999999999</v>
      </c>
    </row>
    <row r="148">
      <c r="B148" s="204">
        <f>+C148-1</f>
        <v/>
      </c>
      <c r="C148" s="204">
        <f>IF(bands_A!$D$9+1&gt;MONTH(G148),YEAR(G148),YEAR(G148)+1)</f>
        <v/>
      </c>
      <c r="D148" s="204">
        <f>+C148+1</f>
        <v/>
      </c>
      <c r="E148" s="203">
        <f>IF(C148&gt;C147,1,E147+1)</f>
        <v/>
      </c>
      <c r="F148" s="203">
        <f>COUNTIF(C:C,C148)</f>
        <v/>
      </c>
      <c r="G148" s="198">
        <f>+G147+7</f>
        <v/>
      </c>
      <c r="H148" s="205">
        <f>'bands_A-H_Avg'!$H148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v>6.8</v>
      </c>
      <c r="CP148" s="970" t="n">
        <v>0.8835499999999999</v>
      </c>
    </row>
    <row r="149">
      <c r="B149" s="204">
        <f>+C149-1</f>
        <v/>
      </c>
      <c r="C149" s="204">
        <f>IF(bands_A!$D$9+1&gt;MONTH(G149),YEAR(G149),YEAR(G149)+1)</f>
        <v/>
      </c>
      <c r="D149" s="204">
        <f>+C149+1</f>
        <v/>
      </c>
      <c r="E149" s="203">
        <f>IF(C149&gt;C148,1,E148+1)</f>
        <v/>
      </c>
      <c r="F149" s="203">
        <f>COUNTIF(C:C,C149)</f>
        <v/>
      </c>
      <c r="G149" s="198">
        <f>+G148+7</f>
        <v/>
      </c>
      <c r="H149" s="205">
        <f>'bands_A-H_Avg'!$H149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v>6.8</v>
      </c>
      <c r="CP149" s="970" t="n">
        <v>0.8835499999999999</v>
      </c>
    </row>
    <row r="150">
      <c r="B150" s="204">
        <f>+C150-1</f>
        <v/>
      </c>
      <c r="C150" s="204">
        <f>IF(bands_A!$D$9+1&gt;MONTH(G150),YEAR(G150),YEAR(G150)+1)</f>
        <v/>
      </c>
      <c r="D150" s="204">
        <f>+C150+1</f>
        <v/>
      </c>
      <c r="E150" s="203">
        <f>IF(C150&gt;C149,1,E149+1)</f>
        <v/>
      </c>
      <c r="F150" s="203">
        <f>COUNTIF(C:C,C150)</f>
        <v/>
      </c>
      <c r="G150" s="198">
        <f>+G149+7</f>
        <v/>
      </c>
      <c r="H150" s="205">
        <f>'bands_A-H_Avg'!$H150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v>6.8</v>
      </c>
      <c r="CP150" s="970" t="n">
        <v>0.8835499999999999</v>
      </c>
    </row>
    <row r="151">
      <c r="B151" s="204">
        <f>+C151-1</f>
        <v/>
      </c>
      <c r="C151" s="204">
        <f>IF(bands_A!$D$9+1&gt;MONTH(G151),YEAR(G151),YEAR(G151)+1)</f>
        <v/>
      </c>
      <c r="D151" s="204">
        <f>+C151+1</f>
        <v/>
      </c>
      <c r="E151" s="203">
        <f>IF(C151&gt;C150,1,E150+1)</f>
        <v/>
      </c>
      <c r="F151" s="203">
        <f>COUNTIF(C:C,C151)</f>
        <v/>
      </c>
      <c r="G151" s="198">
        <f>+G150+7</f>
        <v/>
      </c>
      <c r="H151" s="205">
        <f>'bands_A-H_Avg'!$H151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v>6.8</v>
      </c>
      <c r="CP151" s="970" t="n">
        <v>0.8835499999999999</v>
      </c>
    </row>
    <row r="152">
      <c r="B152" s="204">
        <f>+C152-1</f>
        <v/>
      </c>
      <c r="C152" s="204">
        <f>IF(bands_A!$D$9+1&gt;MONTH(G152),YEAR(G152),YEAR(G152)+1)</f>
        <v/>
      </c>
      <c r="D152" s="204">
        <f>+C152+1</f>
        <v/>
      </c>
      <c r="E152" s="203">
        <f>IF(C152&gt;C151,1,E151+1)</f>
        <v/>
      </c>
      <c r="F152" s="203">
        <f>COUNTIF(C:C,C152)</f>
        <v/>
      </c>
      <c r="G152" s="198">
        <f>+G151+7</f>
        <v/>
      </c>
      <c r="H152" s="205">
        <f>'bands_A-H_Avg'!$H152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v>6.8</v>
      </c>
      <c r="CP152" s="970" t="n">
        <v>0.8835499999999999</v>
      </c>
    </row>
    <row r="153">
      <c r="B153" s="204">
        <f>+C153-1</f>
        <v/>
      </c>
      <c r="C153" s="204">
        <f>IF(bands_A!$D$9+1&gt;MONTH(G153),YEAR(G153),YEAR(G153)+1)</f>
        <v/>
      </c>
      <c r="D153" s="204">
        <f>+C153+1</f>
        <v/>
      </c>
      <c r="E153" s="203">
        <f>IF(C153&gt;C152,1,E152+1)</f>
        <v/>
      </c>
      <c r="F153" s="203">
        <f>COUNTIF(C:C,C153)</f>
        <v/>
      </c>
      <c r="G153" s="198">
        <f>+G152+7</f>
        <v/>
      </c>
      <c r="H153" s="205">
        <f>'bands_A-H_Avg'!$H153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v>6.8</v>
      </c>
      <c r="CP153" s="970" t="n">
        <v>0.8835499999999999</v>
      </c>
    </row>
    <row r="154">
      <c r="B154" s="204">
        <f>+C154-1</f>
        <v/>
      </c>
      <c r="C154" s="204">
        <f>IF(bands_A!$D$9+1&gt;MONTH(G154),YEAR(G154),YEAR(G154)+1)</f>
        <v/>
      </c>
      <c r="D154" s="204">
        <f>+C154+1</f>
        <v/>
      </c>
      <c r="E154" s="203">
        <f>IF(C154&gt;C153,1,E153+1)</f>
        <v/>
      </c>
      <c r="F154" s="203">
        <f>COUNTIF(C:C,C154)</f>
        <v/>
      </c>
      <c r="G154" s="198">
        <f>+G153+7</f>
        <v/>
      </c>
      <c r="H154" s="205">
        <f>'bands_A-H_Avg'!$H154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v>6.8</v>
      </c>
      <c r="CP154" s="970" t="n">
        <v>0.8835499999999999</v>
      </c>
    </row>
    <row r="155">
      <c r="B155" s="204">
        <f>+C155-1</f>
        <v/>
      </c>
      <c r="C155" s="204">
        <f>IF(bands_A!$D$9+1&gt;MONTH(G155),YEAR(G155),YEAR(G155)+1)</f>
        <v/>
      </c>
      <c r="D155" s="204">
        <f>+C155+1</f>
        <v/>
      </c>
      <c r="E155" s="203">
        <f>IF(C155&gt;C154,1,E154+1)</f>
        <v/>
      </c>
      <c r="F155" s="203">
        <f>COUNTIF(C:C,C155)</f>
        <v/>
      </c>
      <c r="G155" s="198">
        <f>+G154+7</f>
        <v/>
      </c>
      <c r="H155" s="205">
        <f>'bands_A-H_Avg'!$H155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v>6.8</v>
      </c>
      <c r="CP155" s="970" t="n">
        <v>0.8835499999999999</v>
      </c>
    </row>
    <row r="156">
      <c r="B156" s="204">
        <f>+C156-1</f>
        <v/>
      </c>
      <c r="C156" s="204">
        <f>IF(bands_A!$D$9+1&gt;MONTH(G156),YEAR(G156),YEAR(G156)+1)</f>
        <v/>
      </c>
      <c r="D156" s="204">
        <f>+C156+1</f>
        <v/>
      </c>
      <c r="E156" s="203">
        <f>IF(C156&gt;C155,1,E155+1)</f>
        <v/>
      </c>
      <c r="F156" s="203">
        <f>COUNTIF(C:C,C156)</f>
        <v/>
      </c>
      <c r="G156" s="198">
        <f>+G155+7</f>
        <v/>
      </c>
      <c r="H156" s="205">
        <f>'bands_A-H_Avg'!$H156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v>6.8</v>
      </c>
      <c r="CP156" s="970" t="n">
        <v>0.8835499999999999</v>
      </c>
    </row>
    <row r="157">
      <c r="B157" s="204">
        <f>+C157-1</f>
        <v/>
      </c>
      <c r="C157" s="204">
        <f>IF(bands_A!$D$9+1&gt;MONTH(G157),YEAR(G157),YEAR(G157)+1)</f>
        <v/>
      </c>
      <c r="D157" s="204">
        <f>+C157+1</f>
        <v/>
      </c>
      <c r="E157" s="203">
        <f>IF(C157&gt;C156,1,E156+1)</f>
        <v/>
      </c>
      <c r="F157" s="203">
        <f>COUNTIF(C:C,C157)</f>
        <v/>
      </c>
      <c r="G157" s="198">
        <f>+G156+7</f>
        <v/>
      </c>
      <c r="H157" s="205">
        <f>'bands_A-H_Avg'!$H157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v>6.8</v>
      </c>
      <c r="CP157" s="970" t="n">
        <v>0.8835499999999999</v>
      </c>
    </row>
    <row r="158">
      <c r="B158" s="204">
        <f>+C158-1</f>
        <v/>
      </c>
      <c r="C158" s="204">
        <f>IF(bands_A!$D$9+1&gt;MONTH(G158),YEAR(G158),YEAR(G158)+1)</f>
        <v/>
      </c>
      <c r="D158" s="204">
        <f>+C158+1</f>
        <v/>
      </c>
      <c r="E158" s="203">
        <f>IF(C158&gt;C157,1,E157+1)</f>
        <v/>
      </c>
      <c r="F158" s="203">
        <f>COUNTIF(C:C,C158)</f>
        <v/>
      </c>
      <c r="G158" s="198">
        <f>+G157+7</f>
        <v/>
      </c>
      <c r="H158" s="205">
        <f>'bands_A-H_Avg'!$H158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v>6.8</v>
      </c>
      <c r="CP158" s="970" t="n">
        <v>0.8835499999999999</v>
      </c>
    </row>
    <row r="159">
      <c r="B159" s="204">
        <f>+C159-1</f>
        <v/>
      </c>
      <c r="C159" s="204">
        <f>IF(bands_A!$D$9+1&gt;MONTH(G159),YEAR(G159),YEAR(G159)+1)</f>
        <v/>
      </c>
      <c r="D159" s="204">
        <f>+C159+1</f>
        <v/>
      </c>
      <c r="E159" s="203">
        <f>IF(C159&gt;C158,1,E158+1)</f>
        <v/>
      </c>
      <c r="F159" s="203">
        <f>COUNTIF(C:C,C159)</f>
        <v/>
      </c>
      <c r="G159" s="198">
        <f>+G158+7</f>
        <v/>
      </c>
      <c r="H159" s="205">
        <f>'bands_A-H_Avg'!$H159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v>6.8</v>
      </c>
      <c r="CP159" s="970" t="n">
        <v>0.8835499999999999</v>
      </c>
    </row>
    <row r="160">
      <c r="B160" s="204">
        <f>+C160-1</f>
        <v/>
      </c>
      <c r="C160" s="204">
        <f>IF(bands_A!$D$9+1&gt;MONTH(G160),YEAR(G160),YEAR(G160)+1)</f>
        <v/>
      </c>
      <c r="D160" s="204">
        <f>+C160+1</f>
        <v/>
      </c>
      <c r="E160" s="203">
        <f>IF(C160&gt;C159,1,E159+1)</f>
        <v/>
      </c>
      <c r="F160" s="203">
        <f>COUNTIF(C:C,C160)</f>
        <v/>
      </c>
      <c r="G160" s="198">
        <f>+G159+7</f>
        <v/>
      </c>
      <c r="H160" s="205">
        <f>'bands_A-H_Avg'!$H160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v>6.8</v>
      </c>
      <c r="CP160" s="970" t="n">
        <v>0.8835499999999999</v>
      </c>
    </row>
    <row r="161">
      <c r="B161" s="204">
        <f>+C161-1</f>
        <v/>
      </c>
      <c r="C161" s="204">
        <f>IF(bands_A!$D$9+1&gt;MONTH(G161),YEAR(G161),YEAR(G161)+1)</f>
        <v/>
      </c>
      <c r="D161" s="204">
        <f>+C161+1</f>
        <v/>
      </c>
      <c r="E161" s="203">
        <f>IF(C161&gt;C160,1,E160+1)</f>
        <v/>
      </c>
      <c r="F161" s="203">
        <f>COUNTIF(C:C,C161)</f>
        <v/>
      </c>
      <c r="G161" s="198">
        <f>+G160+7</f>
        <v/>
      </c>
      <c r="H161" s="205">
        <f>'bands_A-H_Avg'!$H161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v>6.8</v>
      </c>
      <c r="CP161" s="970" t="n">
        <v>0.8835499999999999</v>
      </c>
    </row>
    <row r="162">
      <c r="B162" s="204">
        <f>+C162-1</f>
        <v/>
      </c>
      <c r="C162" s="204">
        <f>IF(bands_A!$D$9+1&gt;MONTH(G162),YEAR(G162),YEAR(G162)+1)</f>
        <v/>
      </c>
      <c r="D162" s="204">
        <f>+C162+1</f>
        <v/>
      </c>
      <c r="E162" s="203">
        <f>IF(C162&gt;C161,1,E161+1)</f>
        <v/>
      </c>
      <c r="F162" s="203">
        <f>COUNTIF(C:C,C162)</f>
        <v/>
      </c>
      <c r="G162" s="198">
        <f>+G161+7</f>
        <v/>
      </c>
      <c r="H162" s="205">
        <f>'bands_A-H_Avg'!$H162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v>6.8</v>
      </c>
      <c r="CP162" s="970" t="n">
        <v>0.8835499999999999</v>
      </c>
    </row>
    <row r="163">
      <c r="B163" s="204">
        <f>+C163-1</f>
        <v/>
      </c>
      <c r="C163" s="204">
        <f>IF(bands_A!$D$9+1&gt;MONTH(G163),YEAR(G163),YEAR(G163)+1)</f>
        <v/>
      </c>
      <c r="D163" s="204">
        <f>+C163+1</f>
        <v/>
      </c>
      <c r="E163" s="203">
        <f>IF(C163&gt;C162,1,E162+1)</f>
        <v/>
      </c>
      <c r="F163" s="203">
        <f>COUNTIF(C:C,C163)</f>
        <v/>
      </c>
      <c r="G163" s="198">
        <f>+G162+7</f>
        <v/>
      </c>
      <c r="H163" s="205">
        <f>'bands_A-H_Avg'!$H163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v>6.8</v>
      </c>
      <c r="CP163" s="970" t="n">
        <v>0.8835499999999999</v>
      </c>
    </row>
    <row r="164">
      <c r="B164" s="204">
        <f>+C164-1</f>
        <v/>
      </c>
      <c r="C164" s="204">
        <f>IF(bands_A!$D$9+1&gt;MONTH(G164),YEAR(G164),YEAR(G164)+1)</f>
        <v/>
      </c>
      <c r="D164" s="204">
        <f>+C164+1</f>
        <v/>
      </c>
      <c r="E164" s="203">
        <f>IF(C164&gt;C163,1,E163+1)</f>
        <v/>
      </c>
      <c r="F164" s="203">
        <f>COUNTIF(C:C,C164)</f>
        <v/>
      </c>
      <c r="G164" s="198">
        <f>+G163+7</f>
        <v/>
      </c>
      <c r="H164" s="205">
        <f>'bands_A-H_Avg'!$H164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v>6.8</v>
      </c>
      <c r="CP164" s="970" t="n">
        <v>0.8835499999999999</v>
      </c>
    </row>
    <row r="165">
      <c r="B165" s="204">
        <f>+C165-1</f>
        <v/>
      </c>
      <c r="C165" s="204">
        <f>IF(bands_A!$D$9+1&gt;MONTH(G165),YEAR(G165),YEAR(G165)+1)</f>
        <v/>
      </c>
      <c r="D165" s="204">
        <f>+C165+1</f>
        <v/>
      </c>
      <c r="E165" s="203">
        <f>IF(C165&gt;C164,1,E164+1)</f>
        <v/>
      </c>
      <c r="F165" s="203">
        <f>COUNTIF(C:C,C165)</f>
        <v/>
      </c>
      <c r="G165" s="198">
        <f>+G164+7</f>
        <v/>
      </c>
      <c r="H165" s="205">
        <f>'bands_A-H_Avg'!$H165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v>6.8</v>
      </c>
      <c r="CP165" s="970" t="n">
        <v>0.8835499999999999</v>
      </c>
    </row>
    <row r="166">
      <c r="B166" s="204">
        <f>+C166-1</f>
        <v/>
      </c>
      <c r="C166" s="204">
        <f>IF(bands_A!$D$9+1&gt;MONTH(G166),YEAR(G166),YEAR(G166)+1)</f>
        <v/>
      </c>
      <c r="D166" s="204">
        <f>+C166+1</f>
        <v/>
      </c>
      <c r="E166" s="203">
        <f>IF(C166&gt;C165,1,E165+1)</f>
        <v/>
      </c>
      <c r="F166" s="203">
        <f>COUNTIF(C:C,C166)</f>
        <v/>
      </c>
      <c r="G166" s="198">
        <f>+G165+7</f>
        <v/>
      </c>
      <c r="H166" s="205">
        <f>'bands_A-H_Avg'!$H166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v>6.8</v>
      </c>
      <c r="CP166" s="970" t="n">
        <v>0.8835499999999999</v>
      </c>
    </row>
    <row r="167">
      <c r="B167" s="204">
        <f>+C167-1</f>
        <v/>
      </c>
      <c r="C167" s="204">
        <f>IF(bands_A!$D$9+1&gt;MONTH(G167),YEAR(G167),YEAR(G167)+1)</f>
        <v/>
      </c>
      <c r="D167" s="204">
        <f>+C167+1</f>
        <v/>
      </c>
      <c r="E167" s="203">
        <f>IF(C167&gt;C166,1,E166+1)</f>
        <v/>
      </c>
      <c r="F167" s="203">
        <f>COUNTIF(C:C,C167)</f>
        <v/>
      </c>
      <c r="G167" s="198">
        <f>+G166+7</f>
        <v/>
      </c>
      <c r="H167" s="205">
        <f>'bands_A-H_Avg'!$H167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v>6.8</v>
      </c>
      <c r="CP167" s="970" t="n">
        <v>0.8835499999999999</v>
      </c>
    </row>
    <row r="168">
      <c r="B168" s="204">
        <f>+C168-1</f>
        <v/>
      </c>
      <c r="C168" s="204">
        <f>IF(bands_A!$D$9+1&gt;MONTH(G168),YEAR(G168),YEAR(G168)+1)</f>
        <v/>
      </c>
      <c r="D168" s="204">
        <f>+C168+1</f>
        <v/>
      </c>
      <c r="E168" s="203">
        <f>IF(C168&gt;C167,1,E167+1)</f>
        <v/>
      </c>
      <c r="F168" s="203">
        <f>COUNTIF(C:C,C168)</f>
        <v/>
      </c>
      <c r="G168" s="198">
        <f>+G167+7</f>
        <v/>
      </c>
      <c r="H168" s="205">
        <f>'bands_A-H_Avg'!$H168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v>6.8</v>
      </c>
      <c r="CP168" s="970" t="n">
        <v>0.8835499999999999</v>
      </c>
    </row>
    <row r="169">
      <c r="B169" s="204">
        <f>+C169-1</f>
        <v/>
      </c>
      <c r="C169" s="204">
        <f>IF(bands_A!$D$9+1&gt;MONTH(G169),YEAR(G169),YEAR(G169)+1)</f>
        <v/>
      </c>
      <c r="D169" s="204">
        <f>+C169+1</f>
        <v/>
      </c>
      <c r="E169" s="203">
        <f>IF(C169&gt;C168,1,E168+1)</f>
        <v/>
      </c>
      <c r="F169" s="203">
        <f>COUNTIF(C:C,C169)</f>
        <v/>
      </c>
      <c r="G169" s="198">
        <f>+G168+7</f>
        <v/>
      </c>
      <c r="H169" s="205">
        <f>'bands_A-H_Avg'!$H169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v>6.8</v>
      </c>
      <c r="CP169" s="970" t="n">
        <v>0.8835499999999999</v>
      </c>
    </row>
    <row r="170">
      <c r="B170" s="204">
        <f>+C170-1</f>
        <v/>
      </c>
      <c r="C170" s="204">
        <f>IF(bands_A!$D$9+1&gt;MONTH(G170),YEAR(G170),YEAR(G170)+1)</f>
        <v/>
      </c>
      <c r="D170" s="204">
        <f>+C170+1</f>
        <v/>
      </c>
      <c r="E170" s="203">
        <f>IF(C170&gt;C169,1,E169+1)</f>
        <v/>
      </c>
      <c r="F170" s="203">
        <f>COUNTIF(C:C,C170)</f>
        <v/>
      </c>
      <c r="G170" s="198">
        <f>+G169+7</f>
        <v/>
      </c>
      <c r="H170" s="205">
        <f>'bands_A-H_Avg'!$H170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v>6.8</v>
      </c>
      <c r="CP170" s="970" t="n">
        <v>0.8835499999999999</v>
      </c>
    </row>
    <row r="171">
      <c r="B171" s="204">
        <f>+C171-1</f>
        <v/>
      </c>
      <c r="C171" s="204">
        <f>IF(bands_A!$D$9+1&gt;MONTH(G171),YEAR(G171),YEAR(G171)+1)</f>
        <v/>
      </c>
      <c r="D171" s="204">
        <f>+C171+1</f>
        <v/>
      </c>
      <c r="E171" s="203">
        <f>IF(C171&gt;C170,1,E170+1)</f>
        <v/>
      </c>
      <c r="F171" s="203">
        <f>COUNTIF(C:C,C171)</f>
        <v/>
      </c>
      <c r="G171" s="198">
        <f>+G170+7</f>
        <v/>
      </c>
      <c r="H171" s="205">
        <f>'bands_A-H_Avg'!$H171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v>6.8</v>
      </c>
      <c r="CP171" s="970" t="n">
        <v>0.8835499999999999</v>
      </c>
    </row>
    <row r="172">
      <c r="B172" s="204">
        <f>+C172-1</f>
        <v/>
      </c>
      <c r="C172" s="204">
        <f>IF(bands_A!$D$9+1&gt;MONTH(G172),YEAR(G172),YEAR(G172)+1)</f>
        <v/>
      </c>
      <c r="D172" s="204">
        <f>+C172+1</f>
        <v/>
      </c>
      <c r="E172" s="203">
        <f>IF(C172&gt;C171,1,E171+1)</f>
        <v/>
      </c>
      <c r="F172" s="203">
        <f>COUNTIF(C:C,C172)</f>
        <v/>
      </c>
      <c r="G172" s="198">
        <f>+G171+7</f>
        <v/>
      </c>
      <c r="H172" s="205">
        <f>'bands_A-H_Avg'!$H172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v>6.8</v>
      </c>
      <c r="CP172" s="970" t="n">
        <v>0.8835499999999999</v>
      </c>
    </row>
    <row r="173">
      <c r="B173" s="204">
        <f>+C173-1</f>
        <v/>
      </c>
      <c r="C173" s="204">
        <f>IF(bands_A!$D$9+1&gt;MONTH(G173),YEAR(G173),YEAR(G173)+1)</f>
        <v/>
      </c>
      <c r="D173" s="204">
        <f>+C173+1</f>
        <v/>
      </c>
      <c r="E173" s="203">
        <f>IF(C173&gt;C172,1,E172+1)</f>
        <v/>
      </c>
      <c r="F173" s="203">
        <f>COUNTIF(C:C,C173)</f>
        <v/>
      </c>
      <c r="G173" s="198">
        <f>+G172+7</f>
        <v/>
      </c>
      <c r="H173" s="205">
        <f>'bands_A-H_Avg'!$H173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v>6.8</v>
      </c>
      <c r="CP173" s="970" t="n">
        <v>0.8835499999999999</v>
      </c>
    </row>
    <row r="174">
      <c r="B174" s="204">
        <f>+C174-1</f>
        <v/>
      </c>
      <c r="C174" s="204">
        <f>IF(bands_A!$D$9+1&gt;MONTH(G174),YEAR(G174),YEAR(G174)+1)</f>
        <v/>
      </c>
      <c r="D174" s="204">
        <f>+C174+1</f>
        <v/>
      </c>
      <c r="E174" s="203">
        <f>IF(C174&gt;C173,1,E173+1)</f>
        <v/>
      </c>
      <c r="F174" s="203">
        <f>COUNTIF(C:C,C174)</f>
        <v/>
      </c>
      <c r="G174" s="198">
        <f>+G173+7</f>
        <v/>
      </c>
      <c r="H174" s="205">
        <f>'bands_A-H_Avg'!$H174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v>6.8</v>
      </c>
      <c r="CP174" s="970" t="n">
        <v>0.8835499999999999</v>
      </c>
    </row>
    <row r="175">
      <c r="B175" s="204">
        <f>+C175-1</f>
        <v/>
      </c>
      <c r="C175" s="204">
        <f>IF(bands_A!$D$9+1&gt;MONTH(G175),YEAR(G175),YEAR(G175)+1)</f>
        <v/>
      </c>
      <c r="D175" s="204">
        <f>+C175+1</f>
        <v/>
      </c>
      <c r="E175" s="203">
        <f>IF(C175&gt;C174,1,E174+1)</f>
        <v/>
      </c>
      <c r="F175" s="203">
        <f>COUNTIF(C:C,C175)</f>
        <v/>
      </c>
      <c r="G175" s="198">
        <f>+G174+7</f>
        <v/>
      </c>
      <c r="H175" s="205">
        <f>'bands_A-H_Avg'!$H175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v>6.8</v>
      </c>
      <c r="CP175" s="970" t="n">
        <v>0.8835499999999999</v>
      </c>
    </row>
    <row r="176">
      <c r="B176" s="204">
        <f>+C176-1</f>
        <v/>
      </c>
      <c r="C176" s="204">
        <f>IF(bands_A!$D$9+1&gt;MONTH(G176),YEAR(G176),YEAR(G176)+1)</f>
        <v/>
      </c>
      <c r="D176" s="204">
        <f>+C176+1</f>
        <v/>
      </c>
      <c r="E176" s="203">
        <f>IF(C176&gt;C175,1,E175+1)</f>
        <v/>
      </c>
      <c r="F176" s="203">
        <f>COUNTIF(C:C,C176)</f>
        <v/>
      </c>
      <c r="G176" s="198">
        <f>+G175+7</f>
        <v/>
      </c>
      <c r="H176" s="205">
        <f>'bands_A-H_Avg'!$H176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v>6.8</v>
      </c>
      <c r="CP176" s="970" t="n">
        <v>0.8835499999999999</v>
      </c>
    </row>
    <row r="177">
      <c r="B177" s="204">
        <f>+C177-1</f>
        <v/>
      </c>
      <c r="C177" s="204">
        <f>IF(bands_A!$D$9+1&gt;MONTH(G177),YEAR(G177),YEAR(G177)+1)</f>
        <v/>
      </c>
      <c r="D177" s="204">
        <f>+C177+1</f>
        <v/>
      </c>
      <c r="E177" s="203">
        <f>IF(C177&gt;C176,1,E176+1)</f>
        <v/>
      </c>
      <c r="F177" s="203">
        <f>COUNTIF(C:C,C177)</f>
        <v/>
      </c>
      <c r="G177" s="198">
        <f>+G176+7</f>
        <v/>
      </c>
      <c r="H177" s="205">
        <f>'bands_A-H_Avg'!$H177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v>6.8</v>
      </c>
      <c r="CP177" s="970" t="n">
        <v>0.8835499999999999</v>
      </c>
    </row>
    <row r="178">
      <c r="B178" s="204">
        <f>+C178-1</f>
        <v/>
      </c>
      <c r="C178" s="204">
        <f>IF(bands_A!$D$9+1&gt;MONTH(G178),YEAR(G178),YEAR(G178)+1)</f>
        <v/>
      </c>
      <c r="D178" s="204">
        <f>+C178+1</f>
        <v/>
      </c>
      <c r="E178" s="203">
        <f>IF(C178&gt;C177,1,E177+1)</f>
        <v/>
      </c>
      <c r="F178" s="203">
        <f>COUNTIF(C:C,C178)</f>
        <v/>
      </c>
      <c r="G178" s="198">
        <f>+G177+7</f>
        <v/>
      </c>
      <c r="H178" s="205">
        <f>'bands_A-H_Avg'!$H178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v>6.8</v>
      </c>
      <c r="CP178" s="970" t="n">
        <v>0.8835499999999999</v>
      </c>
    </row>
    <row r="179">
      <c r="B179" s="204">
        <f>+C179-1</f>
        <v/>
      </c>
      <c r="C179" s="204">
        <f>IF(bands_A!$D$9+1&gt;MONTH(G179),YEAR(G179),YEAR(G179)+1)</f>
        <v/>
      </c>
      <c r="D179" s="204">
        <f>+C179+1</f>
        <v/>
      </c>
      <c r="E179" s="203">
        <f>IF(C179&gt;C178,1,E178+1)</f>
        <v/>
      </c>
      <c r="F179" s="203">
        <f>COUNTIF(C:C,C179)</f>
        <v/>
      </c>
      <c r="G179" s="198">
        <f>+G178+7</f>
        <v/>
      </c>
      <c r="H179" s="205">
        <f>'bands_A-H_Avg'!$H179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v>6.8</v>
      </c>
      <c r="CP179" s="970" t="n">
        <v>0.8835499999999999</v>
      </c>
    </row>
    <row r="180">
      <c r="B180" s="204">
        <f>+C180-1</f>
        <v/>
      </c>
      <c r="C180" s="204">
        <f>IF(bands_A!$D$9+1&gt;MONTH(G180),YEAR(G180),YEAR(G180)+1)</f>
        <v/>
      </c>
      <c r="D180" s="204">
        <f>+C180+1</f>
        <v/>
      </c>
      <c r="E180" s="203">
        <f>IF(C180&gt;C179,1,E179+1)</f>
        <v/>
      </c>
      <c r="F180" s="203">
        <f>COUNTIF(C:C,C180)</f>
        <v/>
      </c>
      <c r="G180" s="198">
        <f>+G179+7</f>
        <v/>
      </c>
      <c r="H180" s="205">
        <f>'bands_A-H_Avg'!$H180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v>6.8</v>
      </c>
      <c r="CP180" s="970" t="n">
        <v>0.8835499999999999</v>
      </c>
    </row>
    <row r="181">
      <c r="B181" s="204">
        <f>+C181-1</f>
        <v/>
      </c>
      <c r="C181" s="204">
        <f>IF(bands_A!$D$9+1&gt;MONTH(G181),YEAR(G181),YEAR(G181)+1)</f>
        <v/>
      </c>
      <c r="D181" s="204">
        <f>+C181+1</f>
        <v/>
      </c>
      <c r="E181" s="203">
        <f>IF(C181&gt;C180,1,E180+1)</f>
        <v/>
      </c>
      <c r="F181" s="203">
        <f>COUNTIF(C:C,C181)</f>
        <v/>
      </c>
      <c r="G181" s="198">
        <f>+G180+7</f>
        <v/>
      </c>
      <c r="H181" s="205">
        <f>'bands_A-H_Avg'!$H181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v>6.8</v>
      </c>
      <c r="CP181" s="970" t="n">
        <v>0.8835499999999999</v>
      </c>
    </row>
    <row r="182">
      <c r="B182" s="204">
        <f>+C182-1</f>
        <v/>
      </c>
      <c r="C182" s="204">
        <f>IF(bands_A!$D$9+1&gt;MONTH(G182),YEAR(G182),YEAR(G182)+1)</f>
        <v/>
      </c>
      <c r="D182" s="204">
        <f>+C182+1</f>
        <v/>
      </c>
      <c r="E182" s="203">
        <f>IF(C182&gt;C181,1,E181+1)</f>
        <v/>
      </c>
      <c r="F182" s="203">
        <f>COUNTIF(C:C,C182)</f>
        <v/>
      </c>
      <c r="G182" s="198">
        <f>+G181+7</f>
        <v/>
      </c>
      <c r="H182" s="205">
        <f>'bands_A-H_Avg'!$H182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v>6.8</v>
      </c>
      <c r="CP182" s="970" t="n">
        <v>0.8835499999999999</v>
      </c>
    </row>
    <row r="183">
      <c r="B183" s="204">
        <f>+C183-1</f>
        <v/>
      </c>
      <c r="C183" s="204">
        <f>IF(bands_A!$D$9+1&gt;MONTH(G183),YEAR(G183),YEAR(G183)+1)</f>
        <v/>
      </c>
      <c r="D183" s="204">
        <f>+C183+1</f>
        <v/>
      </c>
      <c r="E183" s="203">
        <f>IF(C183&gt;C182,1,E182+1)</f>
        <v/>
      </c>
      <c r="F183" s="203">
        <f>COUNTIF(C:C,C183)</f>
        <v/>
      </c>
      <c r="G183" s="198">
        <f>+G182+7</f>
        <v/>
      </c>
      <c r="H183" s="205">
        <f>'bands_A-H_Avg'!$H183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v>6.8</v>
      </c>
      <c r="CP183" s="970" t="n">
        <v>0.8835499999999999</v>
      </c>
    </row>
    <row r="184">
      <c r="B184" s="204">
        <f>+C184-1</f>
        <v/>
      </c>
      <c r="C184" s="204">
        <f>IF(bands_A!$D$9+1&gt;MONTH(G184),YEAR(G184),YEAR(G184)+1)</f>
        <v/>
      </c>
      <c r="D184" s="204">
        <f>+C184+1</f>
        <v/>
      </c>
      <c r="E184" s="203">
        <f>IF(C184&gt;C183,1,E183+1)</f>
        <v/>
      </c>
      <c r="F184" s="203">
        <f>COUNTIF(C:C,C184)</f>
        <v/>
      </c>
      <c r="G184" s="198">
        <f>+G183+7</f>
        <v/>
      </c>
      <c r="H184" s="205">
        <f>'bands_A-H_Avg'!$H184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v>6.8</v>
      </c>
      <c r="CP184" s="970" t="n">
        <v>0.8835499999999999</v>
      </c>
    </row>
    <row r="185">
      <c r="B185" s="204">
        <f>+C185-1</f>
        <v/>
      </c>
      <c r="C185" s="204">
        <f>IF(bands_A!$D$9+1&gt;MONTH(G185),YEAR(G185),YEAR(G185)+1)</f>
        <v/>
      </c>
      <c r="D185" s="204">
        <f>+C185+1</f>
        <v/>
      </c>
      <c r="E185" s="203">
        <f>IF(C185&gt;C184,1,E184+1)</f>
        <v/>
      </c>
      <c r="F185" s="203">
        <f>COUNTIF(C:C,C185)</f>
        <v/>
      </c>
      <c r="G185" s="198">
        <f>+G184+7</f>
        <v/>
      </c>
      <c r="H185" s="205">
        <f>'bands_A-H_Avg'!$H185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v>6.8</v>
      </c>
      <c r="CP185" s="970" t="n">
        <v>0.8835499999999999</v>
      </c>
    </row>
    <row r="186">
      <c r="B186" s="204">
        <f>+C186-1</f>
        <v/>
      </c>
      <c r="C186" s="204">
        <f>IF(bands_A!$D$9+1&gt;MONTH(G186),YEAR(G186),YEAR(G186)+1)</f>
        <v/>
      </c>
      <c r="D186" s="204">
        <f>+C186+1</f>
        <v/>
      </c>
      <c r="E186" s="203">
        <f>IF(C186&gt;C185,1,E185+1)</f>
        <v/>
      </c>
      <c r="F186" s="203">
        <f>COUNTIF(C:C,C186)</f>
        <v/>
      </c>
      <c r="G186" s="198">
        <f>+G185+7</f>
        <v/>
      </c>
      <c r="H186" s="205">
        <f>'bands_A-H_Avg'!$H186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v>6.8</v>
      </c>
      <c r="CP186" s="970" t="n">
        <v>0.8835499999999999</v>
      </c>
    </row>
    <row r="187">
      <c r="B187" s="204">
        <f>+C187-1</f>
        <v/>
      </c>
      <c r="C187" s="204">
        <f>IF(bands_A!$D$9+1&gt;MONTH(G187),YEAR(G187),YEAR(G187)+1)</f>
        <v/>
      </c>
      <c r="D187" s="204">
        <f>+C187+1</f>
        <v/>
      </c>
      <c r="E187" s="203">
        <f>IF(C187&gt;C186,1,E186+1)</f>
        <v/>
      </c>
      <c r="F187" s="203">
        <f>COUNTIF(C:C,C187)</f>
        <v/>
      </c>
      <c r="G187" s="198">
        <f>+G186+7</f>
        <v/>
      </c>
      <c r="H187" s="205">
        <f>'bands_A-H_Avg'!$H187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v>6.8</v>
      </c>
      <c r="CP187" s="970" t="n">
        <v>0.8835499999999999</v>
      </c>
    </row>
    <row r="188">
      <c r="B188" s="204">
        <f>+C188-1</f>
        <v/>
      </c>
      <c r="C188" s="204">
        <f>IF(bands_A!$D$9+1&gt;MONTH(G188),YEAR(G188),YEAR(G188)+1)</f>
        <v/>
      </c>
      <c r="D188" s="204">
        <f>+C188+1</f>
        <v/>
      </c>
      <c r="E188" s="203">
        <f>IF(C188&gt;C187,1,E187+1)</f>
        <v/>
      </c>
      <c r="F188" s="203">
        <f>COUNTIF(C:C,C188)</f>
        <v/>
      </c>
      <c r="G188" s="198">
        <f>+G187+7</f>
        <v/>
      </c>
      <c r="H188" s="205">
        <f>'bands_A-H_Avg'!$H188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v>6.8</v>
      </c>
      <c r="CP188" s="970" t="n">
        <v>0.8835499999999999</v>
      </c>
    </row>
    <row r="189">
      <c r="B189" s="204">
        <f>+C189-1</f>
        <v/>
      </c>
      <c r="C189" s="204">
        <f>IF(bands_A!$D$9+1&gt;MONTH(G189),YEAR(G189),YEAR(G189)+1)</f>
        <v/>
      </c>
      <c r="D189" s="204">
        <f>+C189+1</f>
        <v/>
      </c>
      <c r="E189" s="203">
        <f>IF(C189&gt;C188,1,E188+1)</f>
        <v/>
      </c>
      <c r="F189" s="203">
        <f>COUNTIF(C:C,C189)</f>
        <v/>
      </c>
      <c r="G189" s="198">
        <f>+G188+7</f>
        <v/>
      </c>
      <c r="H189" s="205">
        <f>'bands_A-H_Avg'!$H189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v>6.8</v>
      </c>
      <c r="CP189" s="970" t="n">
        <v>0.8835499999999999</v>
      </c>
    </row>
    <row r="190">
      <c r="B190" s="204">
        <f>+C190-1</f>
        <v/>
      </c>
      <c r="C190" s="204">
        <f>IF(bands_A!$D$9+1&gt;MONTH(G190),YEAR(G190),YEAR(G190)+1)</f>
        <v/>
      </c>
      <c r="D190" s="204">
        <f>+C190+1</f>
        <v/>
      </c>
      <c r="E190" s="203">
        <f>IF(C190&gt;C189,1,E189+1)</f>
        <v/>
      </c>
      <c r="F190" s="203">
        <f>COUNTIF(C:C,C190)</f>
        <v/>
      </c>
      <c r="G190" s="198">
        <f>+G189+7</f>
        <v/>
      </c>
      <c r="H190" s="205">
        <f>'bands_A-H_Avg'!$H190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v>6.8</v>
      </c>
      <c r="CP190" s="970" t="n">
        <v>0.8835499999999999</v>
      </c>
    </row>
    <row r="191">
      <c r="B191" s="204">
        <f>+C191-1</f>
        <v/>
      </c>
      <c r="C191" s="204">
        <f>IF(bands_A!$D$9+1&gt;MONTH(G191),YEAR(G191),YEAR(G191)+1)</f>
        <v/>
      </c>
      <c r="D191" s="204">
        <f>+C191+1</f>
        <v/>
      </c>
      <c r="E191" s="203">
        <f>IF(C191&gt;C190,1,E190+1)</f>
        <v/>
      </c>
      <c r="F191" s="203">
        <f>COUNTIF(C:C,C191)</f>
        <v/>
      </c>
      <c r="G191" s="198">
        <f>+G190+7</f>
        <v/>
      </c>
      <c r="H191" s="205">
        <f>'bands_A-H_Avg'!$H191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v>6.8</v>
      </c>
      <c r="CP191" s="970" t="n">
        <v>0.8835499999999999</v>
      </c>
    </row>
    <row r="192">
      <c r="B192" s="204">
        <f>+C192-1</f>
        <v/>
      </c>
      <c r="C192" s="204">
        <f>IF(bands_A!$D$9+1&gt;MONTH(G192),YEAR(G192),YEAR(G192)+1)</f>
        <v/>
      </c>
      <c r="D192" s="204">
        <f>+C192+1</f>
        <v/>
      </c>
      <c r="E192" s="203">
        <f>IF(C192&gt;C191,1,E191+1)</f>
        <v/>
      </c>
      <c r="F192" s="203">
        <f>COUNTIF(C:C,C192)</f>
        <v/>
      </c>
      <c r="G192" s="198">
        <f>+G191+7</f>
        <v/>
      </c>
      <c r="H192" s="205">
        <f>'bands_A-H_Avg'!$H192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v>6.8</v>
      </c>
      <c r="CP192" s="970" t="n">
        <v>0.8835499999999999</v>
      </c>
    </row>
    <row r="193">
      <c r="B193" s="204">
        <f>+C193-1</f>
        <v/>
      </c>
      <c r="C193" s="204">
        <f>IF(bands_A!$D$9+1&gt;MONTH(G193),YEAR(G193),YEAR(G193)+1)</f>
        <v/>
      </c>
      <c r="D193" s="204">
        <f>+C193+1</f>
        <v/>
      </c>
      <c r="E193" s="203">
        <f>IF(C193&gt;C192,1,E192+1)</f>
        <v/>
      </c>
      <c r="F193" s="203">
        <f>COUNTIF(C:C,C193)</f>
        <v/>
      </c>
      <c r="G193" s="198">
        <f>+G192+7</f>
        <v/>
      </c>
      <c r="H193" s="205">
        <f>'bands_A-H_Avg'!$H193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v>6.8</v>
      </c>
      <c r="CP193" s="970" t="n">
        <v>0.8835499999999999</v>
      </c>
    </row>
    <row r="194">
      <c r="B194" s="204">
        <f>+C194-1</f>
        <v/>
      </c>
      <c r="C194" s="204">
        <f>IF(bands_A!$D$9+1&gt;MONTH(G194),YEAR(G194),YEAR(G194)+1)</f>
        <v/>
      </c>
      <c r="D194" s="204">
        <f>+C194+1</f>
        <v/>
      </c>
      <c r="E194" s="203">
        <f>IF(C194&gt;C193,1,E193+1)</f>
        <v/>
      </c>
      <c r="F194" s="203">
        <f>COUNTIF(C:C,C194)</f>
        <v/>
      </c>
      <c r="G194" s="198">
        <f>+G193+7</f>
        <v/>
      </c>
      <c r="H194" s="205">
        <f>'bands_A-H_Avg'!$H194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v>6.8</v>
      </c>
      <c r="CP194" s="970" t="n">
        <v>0.8835499999999999</v>
      </c>
    </row>
    <row r="195">
      <c r="B195" s="204">
        <f>+C195-1</f>
        <v/>
      </c>
      <c r="C195" s="204">
        <f>IF(bands_A!$D$9+1&gt;MONTH(G195),YEAR(G195),YEAR(G195)+1)</f>
        <v/>
      </c>
      <c r="D195" s="204">
        <f>+C195+1</f>
        <v/>
      </c>
      <c r="E195" s="203">
        <f>IF(C195&gt;C194,1,E194+1)</f>
        <v/>
      </c>
      <c r="F195" s="203">
        <f>COUNTIF(C:C,C195)</f>
        <v/>
      </c>
      <c r="G195" s="198">
        <f>+G194+7</f>
        <v/>
      </c>
      <c r="H195" s="205">
        <f>'bands_A-H_Avg'!$H195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v>6.8</v>
      </c>
      <c r="CP195" s="970" t="n">
        <v>0.8835499999999999</v>
      </c>
    </row>
    <row r="196">
      <c r="B196" s="204">
        <f>+C196-1</f>
        <v/>
      </c>
      <c r="C196" s="204">
        <f>IF(bands_A!$D$9+1&gt;MONTH(G196),YEAR(G196),YEAR(G196)+1)</f>
        <v/>
      </c>
      <c r="D196" s="204">
        <f>+C196+1</f>
        <v/>
      </c>
      <c r="E196" s="203">
        <f>IF(C196&gt;C195,1,E195+1)</f>
        <v/>
      </c>
      <c r="F196" s="203">
        <f>COUNTIF(C:C,C196)</f>
        <v/>
      </c>
      <c r="G196" s="198">
        <f>+G195+7</f>
        <v/>
      </c>
      <c r="H196" s="205">
        <f>'bands_A-H_Avg'!$H196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v>6.8</v>
      </c>
      <c r="CP196" s="970" t="n">
        <v>0.8835499999999999</v>
      </c>
    </row>
    <row r="197">
      <c r="B197" s="204">
        <f>+C197-1</f>
        <v/>
      </c>
      <c r="C197" s="204">
        <f>IF(bands_A!$D$9+1&gt;MONTH(G197),YEAR(G197),YEAR(G197)+1)</f>
        <v/>
      </c>
      <c r="D197" s="204">
        <f>+C197+1</f>
        <v/>
      </c>
      <c r="E197" s="203">
        <f>IF(C197&gt;C196,1,E196+1)</f>
        <v/>
      </c>
      <c r="F197" s="203">
        <f>COUNTIF(C:C,C197)</f>
        <v/>
      </c>
      <c r="G197" s="198">
        <f>+G196+7</f>
        <v/>
      </c>
      <c r="H197" s="205">
        <f>'bands_A-H_Avg'!$H197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v>6.8</v>
      </c>
      <c r="CP197" s="970" t="n">
        <v>0.8835499999999999</v>
      </c>
    </row>
    <row r="198">
      <c r="B198" s="204">
        <f>+C198-1</f>
        <v/>
      </c>
      <c r="C198" s="204">
        <f>IF(bands_A!$D$9+1&gt;MONTH(G198),YEAR(G198),YEAR(G198)+1)</f>
        <v/>
      </c>
      <c r="D198" s="204">
        <f>+C198+1</f>
        <v/>
      </c>
      <c r="E198" s="203">
        <f>IF(C198&gt;C197,1,E197+1)</f>
        <v/>
      </c>
      <c r="F198" s="203">
        <f>COUNTIF(C:C,C198)</f>
        <v/>
      </c>
      <c r="G198" s="198">
        <f>+G197+7</f>
        <v/>
      </c>
      <c r="H198" s="205">
        <f>'bands_A-H_Avg'!$H198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v>6.8</v>
      </c>
      <c r="CP198" s="970" t="n">
        <v>0.8835499999999999</v>
      </c>
    </row>
    <row r="199">
      <c r="B199" s="204">
        <f>+C199-1</f>
        <v/>
      </c>
      <c r="C199" s="204">
        <f>IF(bands_A!$D$9+1&gt;MONTH(G199),YEAR(G199),YEAR(G199)+1)</f>
        <v/>
      </c>
      <c r="D199" s="204">
        <f>+C199+1</f>
        <v/>
      </c>
      <c r="E199" s="203">
        <f>IF(C199&gt;C198,1,E198+1)</f>
        <v/>
      </c>
      <c r="F199" s="203">
        <f>COUNTIF(C:C,C199)</f>
        <v/>
      </c>
      <c r="G199" s="198">
        <f>+G198+7</f>
        <v/>
      </c>
      <c r="H199" s="205">
        <f>'bands_A-H_Avg'!$H199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v>6.8</v>
      </c>
      <c r="CP199" s="970" t="n">
        <v>0.8835499999999999</v>
      </c>
    </row>
    <row r="200">
      <c r="B200" s="204">
        <f>+C200-1</f>
        <v/>
      </c>
      <c r="C200" s="204">
        <f>IF(bands_A!$D$9+1&gt;MONTH(G200),YEAR(G200),YEAR(G200)+1)</f>
        <v/>
      </c>
      <c r="D200" s="204">
        <f>+C200+1</f>
        <v/>
      </c>
      <c r="E200" s="203">
        <f>IF(C200&gt;C199,1,E199+1)</f>
        <v/>
      </c>
      <c r="F200" s="203">
        <f>COUNTIF(C:C,C200)</f>
        <v/>
      </c>
      <c r="G200" s="198">
        <f>+G199+7</f>
        <v/>
      </c>
      <c r="H200" s="205">
        <f>'bands_A-H_Avg'!$H200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v>6.8</v>
      </c>
      <c r="CP200" s="970" t="n">
        <v>0.8835499999999999</v>
      </c>
    </row>
    <row r="201">
      <c r="B201" s="204">
        <f>+C201-1</f>
        <v/>
      </c>
      <c r="C201" s="204">
        <f>IF(bands_A!$D$9+1&gt;MONTH(G201),YEAR(G201),YEAR(G201)+1)</f>
        <v/>
      </c>
      <c r="D201" s="204">
        <f>+C201+1</f>
        <v/>
      </c>
      <c r="E201" s="203">
        <f>IF(C201&gt;C200,1,E200+1)</f>
        <v/>
      </c>
      <c r="F201" s="203">
        <f>COUNTIF(C:C,C201)</f>
        <v/>
      </c>
      <c r="G201" s="198">
        <f>+G200+7</f>
        <v/>
      </c>
      <c r="H201" s="205">
        <f>'bands_A-H_Avg'!$H201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v>6.8</v>
      </c>
      <c r="CP201" s="970" t="n">
        <v>0.8835499999999999</v>
      </c>
    </row>
    <row r="202">
      <c r="B202" s="204">
        <f>+C202-1</f>
        <v/>
      </c>
      <c r="C202" s="204">
        <f>IF(bands_A!$D$9+1&gt;MONTH(G202),YEAR(G202),YEAR(G202)+1)</f>
        <v/>
      </c>
      <c r="D202" s="204">
        <f>+C202+1</f>
        <v/>
      </c>
      <c r="E202" s="203">
        <f>IF(C202&gt;C201,1,E201+1)</f>
        <v/>
      </c>
      <c r="F202" s="203">
        <f>COUNTIF(C:C,C202)</f>
        <v/>
      </c>
      <c r="G202" s="198">
        <f>+G201+7</f>
        <v/>
      </c>
      <c r="H202" s="205">
        <f>'bands_A-H_Avg'!$H202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v>6.8</v>
      </c>
      <c r="CP202" s="970" t="n">
        <v>0.8835499999999999</v>
      </c>
    </row>
    <row r="203">
      <c r="B203" s="204">
        <f>+C203-1</f>
        <v/>
      </c>
      <c r="C203" s="204">
        <f>IF(bands_A!$D$9+1&gt;MONTH(G203),YEAR(G203),YEAR(G203)+1)</f>
        <v/>
      </c>
      <c r="D203" s="204">
        <f>+C203+1</f>
        <v/>
      </c>
      <c r="E203" s="203">
        <f>IF(C203&gt;C202,1,E202+1)</f>
        <v/>
      </c>
      <c r="F203" s="203">
        <f>COUNTIF(C:C,C203)</f>
        <v/>
      </c>
      <c r="G203" s="198">
        <f>+G202+7</f>
        <v/>
      </c>
      <c r="H203" s="205">
        <f>'bands_A-H_Avg'!$H203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v>6.8</v>
      </c>
      <c r="CP203" s="970" t="n">
        <v>0.8835499999999999</v>
      </c>
    </row>
    <row r="204">
      <c r="B204" s="204">
        <f>+C204-1</f>
        <v/>
      </c>
      <c r="C204" s="204">
        <f>IF(bands_A!$D$9+1&gt;MONTH(G204),YEAR(G204),YEAR(G204)+1)</f>
        <v/>
      </c>
      <c r="D204" s="204">
        <f>+C204+1</f>
        <v/>
      </c>
      <c r="E204" s="203">
        <f>IF(C204&gt;C203,1,E203+1)</f>
        <v/>
      </c>
      <c r="F204" s="203">
        <f>COUNTIF(C:C,C204)</f>
        <v/>
      </c>
      <c r="G204" s="198">
        <f>+G203+7</f>
        <v/>
      </c>
      <c r="H204" s="205">
        <f>'bands_A-H_Avg'!$H204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v>6.8</v>
      </c>
      <c r="CP204" s="970" t="n">
        <v>0.8835499999999999</v>
      </c>
    </row>
    <row r="205">
      <c r="B205" s="204">
        <f>+C205-1</f>
        <v/>
      </c>
      <c r="C205" s="204">
        <f>IF(bands_A!$D$9+1&gt;MONTH(G205),YEAR(G205),YEAR(G205)+1)</f>
        <v/>
      </c>
      <c r="D205" s="204">
        <f>+C205+1</f>
        <v/>
      </c>
      <c r="E205" s="203">
        <f>IF(C205&gt;C204,1,E204+1)</f>
        <v/>
      </c>
      <c r="F205" s="203">
        <f>COUNTIF(C:C,C205)</f>
        <v/>
      </c>
      <c r="G205" s="198">
        <f>+G204+7</f>
        <v/>
      </c>
      <c r="H205" s="205">
        <f>'bands_A-H_Avg'!$H205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v>6.8</v>
      </c>
      <c r="CP205" s="970" t="n">
        <v>0.8835499999999999</v>
      </c>
    </row>
    <row r="206">
      <c r="B206" s="204">
        <f>+C206-1</f>
        <v/>
      </c>
      <c r="C206" s="204">
        <f>IF(bands_A!$D$9+1&gt;MONTH(G206),YEAR(G206),YEAR(G206)+1)</f>
        <v/>
      </c>
      <c r="D206" s="204">
        <f>+C206+1</f>
        <v/>
      </c>
      <c r="E206" s="203">
        <f>IF(C206&gt;C205,1,E205+1)</f>
        <v/>
      </c>
      <c r="F206" s="203">
        <f>COUNTIF(C:C,C206)</f>
        <v/>
      </c>
      <c r="G206" s="198">
        <f>+G205+7</f>
        <v/>
      </c>
      <c r="H206" s="205">
        <f>'bands_A-H_Avg'!$H206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v>6.8</v>
      </c>
      <c r="CP206" s="970" t="n">
        <v>0.8835499999999999</v>
      </c>
    </row>
    <row r="207">
      <c r="B207" s="204">
        <f>+C207-1</f>
        <v/>
      </c>
      <c r="C207" s="204">
        <f>IF(bands_A!$D$9+1&gt;MONTH(G207),YEAR(G207),YEAR(G207)+1)</f>
        <v/>
      </c>
      <c r="D207" s="204">
        <f>+C207+1</f>
        <v/>
      </c>
      <c r="E207" s="203">
        <f>IF(C207&gt;C206,1,E206+1)</f>
        <v/>
      </c>
      <c r="F207" s="203">
        <f>COUNTIF(C:C,C207)</f>
        <v/>
      </c>
      <c r="G207" s="198">
        <f>+G206+7</f>
        <v/>
      </c>
      <c r="H207" s="205">
        <f>'bands_A-H_Avg'!$H207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v>6.8</v>
      </c>
      <c r="CP207" s="970" t="n">
        <v>0.8835499999999999</v>
      </c>
    </row>
    <row r="208">
      <c r="B208" s="204">
        <f>+C208-1</f>
        <v/>
      </c>
      <c r="C208" s="204">
        <f>IF(bands_A!$D$9+1&gt;MONTH(G208),YEAR(G208),YEAR(G208)+1)</f>
        <v/>
      </c>
      <c r="D208" s="204">
        <f>+C208+1</f>
        <v/>
      </c>
      <c r="E208" s="203">
        <f>IF(C208&gt;C207,1,E207+1)</f>
        <v/>
      </c>
      <c r="F208" s="203">
        <f>COUNTIF(C:C,C208)</f>
        <v/>
      </c>
      <c r="G208" s="198">
        <f>+G207+7</f>
        <v/>
      </c>
      <c r="H208" s="205">
        <f>'bands_A-H_Avg'!$H208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v>6.8</v>
      </c>
      <c r="CP208" s="970" t="n">
        <v>0.8835499999999999</v>
      </c>
    </row>
    <row r="209">
      <c r="B209" s="204">
        <f>+C209-1</f>
        <v/>
      </c>
      <c r="C209" s="204">
        <f>IF(bands_A!$D$9+1&gt;MONTH(G209),YEAR(G209),YEAR(G209)+1)</f>
        <v/>
      </c>
      <c r="D209" s="204">
        <f>+C209+1</f>
        <v/>
      </c>
      <c r="E209" s="203">
        <f>IF(C209&gt;C208,1,E208+1)</f>
        <v/>
      </c>
      <c r="F209" s="203">
        <f>COUNTIF(C:C,C209)</f>
        <v/>
      </c>
      <c r="G209" s="198">
        <f>+G208+7</f>
        <v/>
      </c>
      <c r="H209" s="205">
        <f>'bands_A-H_Avg'!$H209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v>6.8</v>
      </c>
      <c r="CP209" s="970" t="n">
        <v>0.8835499999999999</v>
      </c>
    </row>
    <row r="210">
      <c r="B210" s="204">
        <f>+C210-1</f>
        <v/>
      </c>
      <c r="C210" s="204">
        <f>IF(bands_A!$D$9+1&gt;MONTH(G210),YEAR(G210),YEAR(G210)+1)</f>
        <v/>
      </c>
      <c r="D210" s="204">
        <f>+C210+1</f>
        <v/>
      </c>
      <c r="E210" s="203">
        <f>IF(C210&gt;C209,1,E209+1)</f>
        <v/>
      </c>
      <c r="F210" s="203">
        <f>COUNTIF(C:C,C210)</f>
        <v/>
      </c>
      <c r="G210" s="198">
        <f>+G209+7</f>
        <v/>
      </c>
      <c r="H210" s="205">
        <f>'bands_A-H_Avg'!$H210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v>6.8</v>
      </c>
      <c r="CP210" s="970" t="n">
        <v>0.8835499999999999</v>
      </c>
    </row>
    <row r="211">
      <c r="B211" s="204">
        <f>+C211-1</f>
        <v/>
      </c>
      <c r="C211" s="204">
        <f>IF(bands_A!$D$9+1&gt;MONTH(G211),YEAR(G211),YEAR(G211)+1)</f>
        <v/>
      </c>
      <c r="D211" s="204">
        <f>+C211+1</f>
        <v/>
      </c>
      <c r="E211" s="203">
        <f>IF(C211&gt;C210,1,E210+1)</f>
        <v/>
      </c>
      <c r="F211" s="203">
        <f>COUNTIF(C:C,C211)</f>
        <v/>
      </c>
      <c r="G211" s="198">
        <f>+G210+7</f>
        <v/>
      </c>
      <c r="H211" s="205">
        <f>'bands_A-H_Avg'!$H211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v>6.8</v>
      </c>
      <c r="CP211" s="970" t="n">
        <v>0.8835499999999999</v>
      </c>
    </row>
    <row r="212">
      <c r="B212" s="204">
        <f>+C212-1</f>
        <v/>
      </c>
      <c r="C212" s="204">
        <f>IF(bands_A!$D$9+1&gt;MONTH(G212),YEAR(G212),YEAR(G212)+1)</f>
        <v/>
      </c>
      <c r="D212" s="204">
        <f>+C212+1</f>
        <v/>
      </c>
      <c r="E212" s="203">
        <f>IF(C212&gt;C211,1,E211+1)</f>
        <v/>
      </c>
      <c r="F212" s="203">
        <f>COUNTIF(C:C,C212)</f>
        <v/>
      </c>
      <c r="G212" s="198">
        <f>+G211+7</f>
        <v/>
      </c>
      <c r="H212" s="205">
        <f>'bands_A-H_Avg'!$H212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v>6.8</v>
      </c>
      <c r="CP212" s="970" t="n">
        <v>0.8835499999999999</v>
      </c>
    </row>
    <row r="213">
      <c r="B213" s="204">
        <f>+C213-1</f>
        <v/>
      </c>
      <c r="C213" s="204">
        <f>IF(bands_A!$D$9+1&gt;MONTH(G213),YEAR(G213),YEAR(G213)+1)</f>
        <v/>
      </c>
      <c r="D213" s="204">
        <f>+C213+1</f>
        <v/>
      </c>
      <c r="E213" s="203">
        <f>IF(C213&gt;C212,1,E212+1)</f>
        <v/>
      </c>
      <c r="F213" s="203">
        <f>COUNTIF(C:C,C213)</f>
        <v/>
      </c>
      <c r="G213" s="198">
        <f>+G212+7</f>
        <v/>
      </c>
      <c r="H213" s="205">
        <f>'bands_A-H_Avg'!$H213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v>6.8</v>
      </c>
      <c r="CP213" s="970" t="n">
        <v>0.8835499999999999</v>
      </c>
    </row>
    <row r="214">
      <c r="B214" s="204">
        <f>+C214-1</f>
        <v/>
      </c>
      <c r="C214" s="204">
        <f>IF(bands_A!$D$9+1&gt;MONTH(G214),YEAR(G214),YEAR(G214)+1)</f>
        <v/>
      </c>
      <c r="D214" s="204">
        <f>+C214+1</f>
        <v/>
      </c>
      <c r="E214" s="203">
        <f>IF(C214&gt;C213,1,E213+1)</f>
        <v/>
      </c>
      <c r="F214" s="203">
        <f>COUNTIF(C:C,C214)</f>
        <v/>
      </c>
      <c r="G214" s="198">
        <f>+G213+7</f>
        <v/>
      </c>
      <c r="H214" s="205">
        <f>'bands_A-H_Avg'!$H214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v>6.8</v>
      </c>
      <c r="CP214" s="970" t="n">
        <v>0.8835499999999999</v>
      </c>
    </row>
    <row r="215">
      <c r="B215" s="204">
        <f>+C215-1</f>
        <v/>
      </c>
      <c r="C215" s="204">
        <f>IF(bands_A!$D$9+1&gt;MONTH(G215),YEAR(G215),YEAR(G215)+1)</f>
        <v/>
      </c>
      <c r="D215" s="204">
        <f>+C215+1</f>
        <v/>
      </c>
      <c r="E215" s="203">
        <f>IF(C215&gt;C214,1,E214+1)</f>
        <v/>
      </c>
      <c r="F215" s="203">
        <f>COUNTIF(C:C,C215)</f>
        <v/>
      </c>
      <c r="G215" s="198">
        <f>+G214+7</f>
        <v/>
      </c>
      <c r="H215" s="205">
        <f>'bands_A-H_Avg'!$H215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v>6.8</v>
      </c>
      <c r="CP215" s="970" t="n">
        <v>0.8835499999999999</v>
      </c>
    </row>
    <row r="216">
      <c r="B216" s="204">
        <f>+C216-1</f>
        <v/>
      </c>
      <c r="C216" s="204">
        <f>IF(bands_A!$D$9+1&gt;MONTH(G216),YEAR(G216),YEAR(G216)+1)</f>
        <v/>
      </c>
      <c r="D216" s="204">
        <f>+C216+1</f>
        <v/>
      </c>
      <c r="E216" s="203">
        <f>IF(C216&gt;C215,1,E215+1)</f>
        <v/>
      </c>
      <c r="F216" s="203">
        <f>COUNTIF(C:C,C216)</f>
        <v/>
      </c>
      <c r="G216" s="198">
        <f>+G215+7</f>
        <v/>
      </c>
      <c r="H216" s="205">
        <f>'bands_A-H_Avg'!$H216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v>6.8</v>
      </c>
      <c r="CP216" s="970" t="n">
        <v>0.8835499999999999</v>
      </c>
    </row>
    <row r="217">
      <c r="B217" s="204">
        <f>+C217-1</f>
        <v/>
      </c>
      <c r="C217" s="204">
        <f>IF(bands_A!$D$9+1&gt;MONTH(G217),YEAR(G217),YEAR(G217)+1)</f>
        <v/>
      </c>
      <c r="D217" s="204">
        <f>+C217+1</f>
        <v/>
      </c>
      <c r="E217" s="203">
        <f>IF(C217&gt;C216,1,E216+1)</f>
        <v/>
      </c>
      <c r="F217" s="203">
        <f>COUNTIF(C:C,C217)</f>
        <v/>
      </c>
      <c r="G217" s="198">
        <f>+G216+7</f>
        <v/>
      </c>
      <c r="H217" s="205">
        <f>'bands_A-H_Avg'!$H217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v>6.8</v>
      </c>
      <c r="CP217" s="970" t="n">
        <v>0.8835499999999999</v>
      </c>
    </row>
    <row r="218">
      <c r="B218" s="204">
        <f>+C218-1</f>
        <v/>
      </c>
      <c r="C218" s="204">
        <f>IF(bands_A!$D$9+1&gt;MONTH(G218),YEAR(G218),YEAR(G218)+1)</f>
        <v/>
      </c>
      <c r="D218" s="204">
        <f>+C218+1</f>
        <v/>
      </c>
      <c r="E218" s="203">
        <f>IF(C218&gt;C217,1,E217+1)</f>
        <v/>
      </c>
      <c r="F218" s="203">
        <f>COUNTIF(C:C,C218)</f>
        <v/>
      </c>
      <c r="G218" s="198">
        <f>+G217+7</f>
        <v/>
      </c>
      <c r="H218" s="205">
        <f>'bands_A-H_Avg'!$H218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v>6.8</v>
      </c>
      <c r="CP218" s="970" t="n">
        <v>0.8835499999999999</v>
      </c>
    </row>
    <row r="219">
      <c r="B219" s="204">
        <f>+C219-1</f>
        <v/>
      </c>
      <c r="C219" s="204">
        <f>IF(bands_A!$D$9+1&gt;MONTH(G219),YEAR(G219),YEAR(G219)+1)</f>
        <v/>
      </c>
      <c r="D219" s="204">
        <f>+C219+1</f>
        <v/>
      </c>
      <c r="E219" s="203">
        <f>IF(C219&gt;C218,1,E218+1)</f>
        <v/>
      </c>
      <c r="F219" s="203">
        <f>COUNTIF(C:C,C219)</f>
        <v/>
      </c>
      <c r="G219" s="198">
        <f>+G218+7</f>
        <v/>
      </c>
      <c r="H219" s="205">
        <f>'bands_A-H_Avg'!$H219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v>6.8</v>
      </c>
      <c r="CP219" s="970" t="n">
        <v>0.8835499999999999</v>
      </c>
    </row>
    <row r="220">
      <c r="B220" s="204">
        <f>+C220-1</f>
        <v/>
      </c>
      <c r="C220" s="204">
        <f>IF(bands_A!$D$9+1&gt;MONTH(G220),YEAR(G220),YEAR(G220)+1)</f>
        <v/>
      </c>
      <c r="D220" s="204">
        <f>+C220+1</f>
        <v/>
      </c>
      <c r="E220" s="203">
        <f>IF(C220&gt;C219,1,E219+1)</f>
        <v/>
      </c>
      <c r="F220" s="203">
        <f>COUNTIF(C:C,C220)</f>
        <v/>
      </c>
      <c r="G220" s="198">
        <f>+G219+7</f>
        <v/>
      </c>
      <c r="H220" s="205">
        <f>'bands_A-H_Avg'!$H220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v>6.8</v>
      </c>
      <c r="CP220" s="970" t="n">
        <v>0.8835499999999999</v>
      </c>
    </row>
    <row r="221">
      <c r="B221" s="204">
        <f>+C221-1</f>
        <v/>
      </c>
      <c r="C221" s="204">
        <f>IF(bands_A!$D$9+1&gt;MONTH(G221),YEAR(G221),YEAR(G221)+1)</f>
        <v/>
      </c>
      <c r="D221" s="204">
        <f>+C221+1</f>
        <v/>
      </c>
      <c r="E221" s="203">
        <f>IF(C221&gt;C220,1,E220+1)</f>
        <v/>
      </c>
      <c r="F221" s="203">
        <f>COUNTIF(C:C,C221)</f>
        <v/>
      </c>
      <c r="G221" s="198">
        <f>+G220+7</f>
        <v/>
      </c>
      <c r="H221" s="205">
        <f>'bands_A-H_Avg'!$H221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v>6.8</v>
      </c>
      <c r="CP221" s="970" t="n">
        <v>0.8835499999999999</v>
      </c>
    </row>
    <row r="222">
      <c r="B222" s="204">
        <f>+C222-1</f>
        <v/>
      </c>
      <c r="C222" s="204">
        <f>IF(bands_A!$D$9+1&gt;MONTH(G222),YEAR(G222),YEAR(G222)+1)</f>
        <v/>
      </c>
      <c r="D222" s="204">
        <f>+C222+1</f>
        <v/>
      </c>
      <c r="E222" s="203">
        <f>IF(C222&gt;C221,1,E221+1)</f>
        <v/>
      </c>
      <c r="F222" s="203">
        <f>COUNTIF(C:C,C222)</f>
        <v/>
      </c>
      <c r="G222" s="198">
        <f>+G221+7</f>
        <v/>
      </c>
      <c r="H222" s="205">
        <f>'bands_A-H_Avg'!$H222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v>6.8</v>
      </c>
      <c r="CP222" s="970" t="n">
        <v>0.8835499999999999</v>
      </c>
    </row>
    <row r="223">
      <c r="B223" s="204">
        <f>+C223-1</f>
        <v/>
      </c>
      <c r="C223" s="204">
        <f>IF(bands_A!$D$9+1&gt;MONTH(G223),YEAR(G223),YEAR(G223)+1)</f>
        <v/>
      </c>
      <c r="D223" s="204">
        <f>+C223+1</f>
        <v/>
      </c>
      <c r="E223" s="203">
        <f>IF(C223&gt;C222,1,E222+1)</f>
        <v/>
      </c>
      <c r="F223" s="203">
        <f>COUNTIF(C:C,C223)</f>
        <v/>
      </c>
      <c r="G223" s="198">
        <f>+G222+7</f>
        <v/>
      </c>
      <c r="H223" s="205">
        <f>'bands_A-H_Avg'!$H223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v>6.8</v>
      </c>
      <c r="CP223" s="970" t="n">
        <v>0.8835499999999999</v>
      </c>
    </row>
    <row r="224">
      <c r="B224" s="204">
        <f>+C224-1</f>
        <v/>
      </c>
      <c r="C224" s="204">
        <f>IF(bands_A!$D$9+1&gt;MONTH(G224),YEAR(G224),YEAR(G224)+1)</f>
        <v/>
      </c>
      <c r="D224" s="204">
        <f>+C224+1</f>
        <v/>
      </c>
      <c r="E224" s="203">
        <f>IF(C224&gt;C223,1,E223+1)</f>
        <v/>
      </c>
      <c r="F224" s="203">
        <f>COUNTIF(C:C,C224)</f>
        <v/>
      </c>
      <c r="G224" s="198">
        <f>+G223+7</f>
        <v/>
      </c>
      <c r="H224" s="205">
        <f>'bands_A-H_Avg'!$H224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v>6.8</v>
      </c>
      <c r="CP224" s="970" t="n">
        <v>0.8835499999999999</v>
      </c>
    </row>
    <row r="225">
      <c r="B225" s="204">
        <f>+C225-1</f>
        <v/>
      </c>
      <c r="C225" s="204">
        <f>IF(bands_A!$D$9+1&gt;MONTH(G225),YEAR(G225),YEAR(G225)+1)</f>
        <v/>
      </c>
      <c r="D225" s="204">
        <f>+C225+1</f>
        <v/>
      </c>
      <c r="E225" s="203">
        <f>IF(C225&gt;C224,1,E224+1)</f>
        <v/>
      </c>
      <c r="F225" s="203">
        <f>COUNTIF(C:C,C225)</f>
        <v/>
      </c>
      <c r="G225" s="198">
        <f>+G224+7</f>
        <v/>
      </c>
      <c r="H225" s="205">
        <f>'bands_A-H_Avg'!$H225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v>6.8</v>
      </c>
      <c r="CP225" s="970" t="n">
        <v>0.8835499999999999</v>
      </c>
    </row>
    <row r="226">
      <c r="B226" s="204">
        <f>+C226-1</f>
        <v/>
      </c>
      <c r="C226" s="204">
        <f>IF(bands_A!$D$9+1&gt;MONTH(G226),YEAR(G226),YEAR(G226)+1)</f>
        <v/>
      </c>
      <c r="D226" s="204">
        <f>+C226+1</f>
        <v/>
      </c>
      <c r="E226" s="203">
        <f>IF(C226&gt;C225,1,E225+1)</f>
        <v/>
      </c>
      <c r="F226" s="203">
        <f>COUNTIF(C:C,C226)</f>
        <v/>
      </c>
      <c r="G226" s="198">
        <f>+G225+7</f>
        <v/>
      </c>
      <c r="H226" s="205">
        <f>'bands_A-H_Avg'!$H226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v>6.8</v>
      </c>
      <c r="CP226" s="970" t="n">
        <v>0.8835499999999999</v>
      </c>
    </row>
    <row r="227">
      <c r="B227" s="204">
        <f>+C227-1</f>
        <v/>
      </c>
      <c r="C227" s="204">
        <f>IF(bands_A!$D$9+1&gt;MONTH(G227),YEAR(G227),YEAR(G227)+1)</f>
        <v/>
      </c>
      <c r="D227" s="204">
        <f>+C227+1</f>
        <v/>
      </c>
      <c r="E227" s="203">
        <f>IF(C227&gt;C226,1,E226+1)</f>
        <v/>
      </c>
      <c r="F227" s="203">
        <f>COUNTIF(C:C,C227)</f>
        <v/>
      </c>
      <c r="G227" s="198">
        <f>+G226+7</f>
        <v/>
      </c>
      <c r="H227" s="205">
        <f>'bands_A-H_Avg'!$H227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v>6.8</v>
      </c>
      <c r="CP227" s="970" t="n">
        <v>0.8835499999999999</v>
      </c>
    </row>
    <row r="228">
      <c r="B228" s="204">
        <f>+C228-1</f>
        <v/>
      </c>
      <c r="C228" s="204">
        <f>IF(bands_A!$D$9+1&gt;MONTH(G228),YEAR(G228),YEAR(G228)+1)</f>
        <v/>
      </c>
      <c r="D228" s="204">
        <f>+C228+1</f>
        <v/>
      </c>
      <c r="E228" s="203">
        <f>IF(C228&gt;C227,1,E227+1)</f>
        <v/>
      </c>
      <c r="F228" s="203">
        <f>COUNTIF(C:C,C228)</f>
        <v/>
      </c>
      <c r="G228" s="198">
        <f>+G227+7</f>
        <v/>
      </c>
      <c r="H228" s="205">
        <f>'bands_A-H_Avg'!$H228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v>6.8</v>
      </c>
      <c r="CP228" s="970" t="n">
        <v>0.8835499999999999</v>
      </c>
    </row>
    <row r="229">
      <c r="B229" s="204">
        <f>+C229-1</f>
        <v/>
      </c>
      <c r="C229" s="204">
        <f>IF(bands_A!$D$9+1&gt;MONTH(G229),YEAR(G229),YEAR(G229)+1)</f>
        <v/>
      </c>
      <c r="D229" s="204">
        <f>+C229+1</f>
        <v/>
      </c>
      <c r="E229" s="203">
        <f>IF(C229&gt;C228,1,E228+1)</f>
        <v/>
      </c>
      <c r="F229" s="203">
        <f>COUNTIF(C:C,C229)</f>
        <v/>
      </c>
      <c r="G229" s="198">
        <f>+G228+7</f>
        <v/>
      </c>
      <c r="H229" s="205">
        <f>'bands_A-H_Avg'!$H229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v>6.8</v>
      </c>
      <c r="CP229" s="970" t="n">
        <v>0.8835499999999999</v>
      </c>
    </row>
    <row r="230">
      <c r="B230" s="204">
        <f>+C230-1</f>
        <v/>
      </c>
      <c r="C230" s="204">
        <f>IF(bands_A!$D$9+1&gt;MONTH(G230),YEAR(G230),YEAR(G230)+1)</f>
        <v/>
      </c>
      <c r="D230" s="204">
        <f>+C230+1</f>
        <v/>
      </c>
      <c r="E230" s="203">
        <f>IF(C230&gt;C229,1,E229+1)</f>
        <v/>
      </c>
      <c r="F230" s="203">
        <f>COUNTIF(C:C,C230)</f>
        <v/>
      </c>
      <c r="G230" s="198">
        <f>+G229+7</f>
        <v/>
      </c>
      <c r="H230" s="205">
        <f>'bands_A-H_Avg'!$H230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v>6.8</v>
      </c>
      <c r="CP230" s="970" t="n">
        <v>0.8835499999999999</v>
      </c>
    </row>
    <row r="231">
      <c r="B231" s="204">
        <f>+C231-1</f>
        <v/>
      </c>
      <c r="C231" s="204">
        <f>IF(bands_A!$D$9+1&gt;MONTH(G231),YEAR(G231),YEAR(G231)+1)</f>
        <v/>
      </c>
      <c r="D231" s="204">
        <f>+C231+1</f>
        <v/>
      </c>
      <c r="E231" s="203">
        <f>IF(C231&gt;C230,1,E230+1)</f>
        <v/>
      </c>
      <c r="F231" s="203">
        <f>COUNTIF(C:C,C231)</f>
        <v/>
      </c>
      <c r="G231" s="198">
        <f>+G230+7</f>
        <v/>
      </c>
      <c r="H231" s="205">
        <f>'bands_A-H_Avg'!$H231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v>6.8</v>
      </c>
      <c r="CP231" s="970" t="n">
        <v>0.8835499999999999</v>
      </c>
    </row>
    <row r="232">
      <c r="B232" s="204">
        <f>+C232-1</f>
        <v/>
      </c>
      <c r="C232" s="204">
        <f>IF(bands_A!$D$9+1&gt;MONTH(G232),YEAR(G232),YEAR(G232)+1)</f>
        <v/>
      </c>
      <c r="D232" s="204">
        <f>+C232+1</f>
        <v/>
      </c>
      <c r="E232" s="203">
        <f>IF(C232&gt;C231,1,E231+1)</f>
        <v/>
      </c>
      <c r="F232" s="203">
        <f>COUNTIF(C:C,C232)</f>
        <v/>
      </c>
      <c r="G232" s="198">
        <f>+G231+7</f>
        <v/>
      </c>
      <c r="H232" s="205">
        <f>'bands_A-H_Avg'!$H232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v>6.8</v>
      </c>
      <c r="CP232" s="970" t="n">
        <v>0.8835499999999999</v>
      </c>
    </row>
    <row r="233">
      <c r="B233" s="204">
        <f>+C233-1</f>
        <v/>
      </c>
      <c r="C233" s="204">
        <f>IF(bands_A!$D$9+1&gt;MONTH(G233),YEAR(G233),YEAR(G233)+1)</f>
        <v/>
      </c>
      <c r="D233" s="204">
        <f>+C233+1</f>
        <v/>
      </c>
      <c r="E233" s="203">
        <f>IF(C233&gt;C232,1,E232+1)</f>
        <v/>
      </c>
      <c r="F233" s="203">
        <f>COUNTIF(C:C,C233)</f>
        <v/>
      </c>
      <c r="G233" s="198">
        <f>+G232+7</f>
        <v/>
      </c>
      <c r="H233" s="205">
        <f>'bands_A-H_Avg'!$H233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v>6.8</v>
      </c>
      <c r="CP233" s="970" t="n">
        <v>0.8835499999999999</v>
      </c>
    </row>
    <row r="234">
      <c r="B234" s="204">
        <f>+C234-1</f>
        <v/>
      </c>
      <c r="C234" s="204">
        <f>IF(bands_A!$D$9+1&gt;MONTH(G234),YEAR(G234),YEAR(G234)+1)</f>
        <v/>
      </c>
      <c r="D234" s="204">
        <f>+C234+1</f>
        <v/>
      </c>
      <c r="E234" s="203">
        <f>IF(C234&gt;C233,1,E233+1)</f>
        <v/>
      </c>
      <c r="F234" s="203">
        <f>COUNTIF(C:C,C234)</f>
        <v/>
      </c>
      <c r="G234" s="198">
        <f>+G233+7</f>
        <v/>
      </c>
      <c r="H234" s="205">
        <f>'bands_A-H_Avg'!$H234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v>6.8</v>
      </c>
      <c r="CP234" s="970" t="n">
        <v>0.8835499999999999</v>
      </c>
    </row>
    <row r="235">
      <c r="B235" s="204">
        <f>+C235-1</f>
        <v/>
      </c>
      <c r="C235" s="204">
        <f>IF(bands_A!$D$9+1&gt;MONTH(G235),YEAR(G235),YEAR(G235)+1)</f>
        <v/>
      </c>
      <c r="D235" s="204">
        <f>+C235+1</f>
        <v/>
      </c>
      <c r="E235" s="203">
        <f>IF(C235&gt;C234,1,E234+1)</f>
        <v/>
      </c>
      <c r="F235" s="203">
        <f>COUNTIF(C:C,C235)</f>
        <v/>
      </c>
      <c r="G235" s="198">
        <f>+G234+7</f>
        <v/>
      </c>
      <c r="H235" s="205">
        <f>'bands_A-H_Avg'!$H235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v>6.8</v>
      </c>
      <c r="CP235" s="970" t="n">
        <v>0.8835499999999999</v>
      </c>
    </row>
    <row r="236">
      <c r="B236" s="204">
        <f>+C236-1</f>
        <v/>
      </c>
      <c r="C236" s="204">
        <f>IF(bands_A!$D$9+1&gt;MONTH(G236),YEAR(G236),YEAR(G236)+1)</f>
        <v/>
      </c>
      <c r="D236" s="204">
        <f>+C236+1</f>
        <v/>
      </c>
      <c r="E236" s="203">
        <f>IF(C236&gt;C235,1,E235+1)</f>
        <v/>
      </c>
      <c r="F236" s="203">
        <f>COUNTIF(C:C,C236)</f>
        <v/>
      </c>
      <c r="G236" s="198">
        <f>+G235+7</f>
        <v/>
      </c>
      <c r="H236" s="205">
        <f>'bands_A-H_Avg'!$H236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v>6.8</v>
      </c>
      <c r="CP236" s="970" t="n">
        <v>0.8835499999999999</v>
      </c>
    </row>
    <row r="237">
      <c r="B237" s="204">
        <f>+C237-1</f>
        <v/>
      </c>
      <c r="C237" s="204">
        <f>IF(bands_A!$D$9+1&gt;MONTH(G237),YEAR(G237),YEAR(G237)+1)</f>
        <v/>
      </c>
      <c r="D237" s="204">
        <f>+C237+1</f>
        <v/>
      </c>
      <c r="E237" s="203">
        <f>IF(C237&gt;C236,1,E236+1)</f>
        <v/>
      </c>
      <c r="F237" s="203">
        <f>COUNTIF(C:C,C237)</f>
        <v/>
      </c>
      <c r="G237" s="198">
        <f>+G236+7</f>
        <v/>
      </c>
      <c r="H237" s="205">
        <f>'bands_A-H_Avg'!$H237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v>6.8</v>
      </c>
      <c r="CP237" s="970" t="n">
        <v>0.8835499999999999</v>
      </c>
    </row>
    <row r="238">
      <c r="B238" s="204">
        <f>+C238-1</f>
        <v/>
      </c>
      <c r="C238" s="204">
        <f>IF(bands_A!$D$9+1&gt;MONTH(G238),YEAR(G238),YEAR(G238)+1)</f>
        <v/>
      </c>
      <c r="D238" s="204">
        <f>+C238+1</f>
        <v/>
      </c>
      <c r="E238" s="203">
        <f>IF(C238&gt;C237,1,E237+1)</f>
        <v/>
      </c>
      <c r="F238" s="203">
        <f>COUNTIF(C:C,C238)</f>
        <v/>
      </c>
      <c r="G238" s="198">
        <f>+G237+7</f>
        <v/>
      </c>
      <c r="H238" s="205">
        <f>'bands_A-H_Avg'!$H238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v>6.8</v>
      </c>
      <c r="CP238" s="970" t="n">
        <v>0.8835499999999999</v>
      </c>
    </row>
    <row r="239">
      <c r="B239" s="204">
        <f>+C239-1</f>
        <v/>
      </c>
      <c r="C239" s="204">
        <f>IF(bands_A!$D$9+1&gt;MONTH(G239),YEAR(G239),YEAR(G239)+1)</f>
        <v/>
      </c>
      <c r="D239" s="204">
        <f>+C239+1</f>
        <v/>
      </c>
      <c r="E239" s="203">
        <f>IF(C239&gt;C238,1,E238+1)</f>
        <v/>
      </c>
      <c r="F239" s="203">
        <f>COUNTIF(C:C,C239)</f>
        <v/>
      </c>
      <c r="G239" s="198">
        <f>+G238+7</f>
        <v/>
      </c>
      <c r="H239" s="205">
        <f>'bands_A-H_Avg'!$H239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v>6.8</v>
      </c>
      <c r="CP239" s="970" t="n">
        <v>0.8835499999999999</v>
      </c>
    </row>
    <row r="240">
      <c r="B240" s="204">
        <f>+C240-1</f>
        <v/>
      </c>
      <c r="C240" s="204">
        <f>IF(bands_A!$D$9+1&gt;MONTH(G240),YEAR(G240),YEAR(G240)+1)</f>
        <v/>
      </c>
      <c r="D240" s="204">
        <f>+C240+1</f>
        <v/>
      </c>
      <c r="E240" s="203">
        <f>IF(C240&gt;C239,1,E239+1)</f>
        <v/>
      </c>
      <c r="F240" s="203">
        <f>COUNTIF(C:C,C240)</f>
        <v/>
      </c>
      <c r="G240" s="198">
        <f>+G239+7</f>
        <v/>
      </c>
      <c r="H240" s="205">
        <f>'bands_A-H_Avg'!$H240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v>6.8</v>
      </c>
      <c r="CP240" s="970" t="n">
        <v>0.8835499999999999</v>
      </c>
    </row>
    <row r="241">
      <c r="B241" s="204">
        <f>+C241-1</f>
        <v/>
      </c>
      <c r="C241" s="204">
        <f>IF(bands_A!$D$9+1&gt;MONTH(G241),YEAR(G241),YEAR(G241)+1)</f>
        <v/>
      </c>
      <c r="D241" s="204">
        <f>+C241+1</f>
        <v/>
      </c>
      <c r="E241" s="203">
        <f>IF(C241&gt;C240,1,E240+1)</f>
        <v/>
      </c>
      <c r="F241" s="203">
        <f>COUNTIF(C:C,C241)</f>
        <v/>
      </c>
      <c r="G241" s="198">
        <f>+G240+7</f>
        <v/>
      </c>
      <c r="H241" s="361">
        <f>+CO241/CP241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6.8</v>
      </c>
      <c r="CP241" s="970" t="n">
        <v>0.8835499999999999</v>
      </c>
    </row>
    <row r="242">
      <c r="B242" s="204">
        <f>+C242-1</f>
        <v/>
      </c>
      <c r="C242" s="204">
        <f>IF(bands_A!$D$9+1&gt;MONTH(G242),YEAR(G242),YEAR(G242)+1)</f>
        <v/>
      </c>
      <c r="D242" s="204">
        <f>+C242+1</f>
        <v/>
      </c>
      <c r="E242" s="203">
        <f>IF(C242&gt;C241,1,E241+1)</f>
        <v/>
      </c>
      <c r="F242" s="203">
        <f>COUNTIF(C:C,C242)</f>
        <v/>
      </c>
      <c r="G242" s="198">
        <f>+G241+7</f>
        <v/>
      </c>
      <c r="H242" s="361">
        <f>+CO242/CP242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7.01</v>
      </c>
      <c r="CP242" s="970" t="n">
        <v>0.8832100000000001</v>
      </c>
    </row>
    <row r="243">
      <c r="B243" s="204">
        <f>+C243-1</f>
        <v/>
      </c>
      <c r="C243" s="204">
        <f>IF(bands_A!$D$9+1&gt;MONTH(G243),YEAR(G243),YEAR(G243)+1)</f>
        <v/>
      </c>
      <c r="D243" s="204">
        <f>+C243+1</f>
        <v/>
      </c>
      <c r="E243" s="203">
        <f>IF(C243&gt;C242,1,E242+1)</f>
        <v/>
      </c>
      <c r="F243" s="203">
        <f>COUNTIF(C:C,C243)</f>
        <v/>
      </c>
      <c r="G243" s="198">
        <f>+G242+7</f>
        <v/>
      </c>
      <c r="H243" s="361">
        <f>+CO243/CP243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6.75</v>
      </c>
      <c r="CP243" s="970" t="n">
        <v>0.88196</v>
      </c>
    </row>
    <row r="244">
      <c r="B244" s="204">
        <f>+C244-1</f>
        <v/>
      </c>
      <c r="C244" s="204">
        <f>IF(bands_A!$D$9+1&gt;MONTH(G244),YEAR(G244),YEAR(G244)+1)</f>
        <v/>
      </c>
      <c r="D244" s="204">
        <f>+C244+1</f>
        <v/>
      </c>
      <c r="E244" s="203">
        <f>IF(C244&gt;C243,1,E243+1)</f>
        <v/>
      </c>
      <c r="F244" s="203">
        <f>COUNTIF(C:C,C244)</f>
        <v/>
      </c>
      <c r="G244" s="198">
        <f>+G243+7</f>
        <v/>
      </c>
      <c r="H244" s="361">
        <f>+CO244/CP244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6.01</v>
      </c>
      <c r="CP244" s="970" t="n">
        <v>0.88271</v>
      </c>
    </row>
    <row r="245">
      <c r="B245" s="204">
        <f>+C245-1</f>
        <v/>
      </c>
      <c r="C245" s="204">
        <f>IF(bands_A!$D$9+1&gt;MONTH(G245),YEAR(G245),YEAR(G245)+1)</f>
        <v/>
      </c>
      <c r="D245" s="204">
        <f>+C245+1</f>
        <v/>
      </c>
      <c r="E245" s="203">
        <f>IF(C245&gt;C244,1,E244+1)</f>
        <v/>
      </c>
      <c r="F245" s="203">
        <f>COUNTIF(C:C,C245)</f>
        <v/>
      </c>
      <c r="G245" s="198">
        <f>+G244+7</f>
        <v/>
      </c>
      <c r="H245" s="361">
        <f>+CO245/CP245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5.78</v>
      </c>
      <c r="CP245" s="970" t="n">
        <v>0.88179</v>
      </c>
    </row>
    <row r="246">
      <c r="B246" s="204">
        <f>+C246-1</f>
        <v/>
      </c>
      <c r="C246" s="204">
        <f>IF(bands_A!$D$9+1&gt;MONTH(G246),YEAR(G246),YEAR(G246)+1)</f>
        <v/>
      </c>
      <c r="D246" s="204">
        <f>+C246+1</f>
        <v/>
      </c>
      <c r="E246" s="203">
        <f>IF(C246&gt;C245,1,E245+1)</f>
        <v/>
      </c>
      <c r="F246" s="203">
        <f>COUNTIF(C:C,C246)</f>
        <v/>
      </c>
      <c r="G246" s="198">
        <f>+G245+7</f>
        <v/>
      </c>
      <c r="H246" s="361">
        <f>+CO246/CP246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6.33</v>
      </c>
      <c r="CP246" s="970" t="n">
        <v>0.88181</v>
      </c>
    </row>
    <row r="247">
      <c r="B247" s="204">
        <f>+C247-1</f>
        <v/>
      </c>
      <c r="C247" s="204">
        <f>IF(bands_A!$D$9+1&gt;MONTH(G247),YEAR(G247),YEAR(G247)+1)</f>
        <v/>
      </c>
      <c r="D247" s="204">
        <f>+C247+1</f>
        <v/>
      </c>
      <c r="E247" s="203">
        <f>IF(C247&gt;C246,1,E246+1)</f>
        <v/>
      </c>
      <c r="F247" s="203">
        <f>COUNTIF(C:C,C247)</f>
        <v/>
      </c>
      <c r="G247" s="198">
        <f>+G246+7</f>
        <v/>
      </c>
      <c r="H247" s="361">
        <f>+CO247/CP247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6.22</v>
      </c>
      <c r="CP247" s="970" t="n">
        <v>0.88126</v>
      </c>
    </row>
    <row r="248">
      <c r="B248" s="204">
        <f>+C248-1</f>
        <v/>
      </c>
      <c r="C248" s="204">
        <f>IF(bands_A!$D$9+1&gt;MONTH(G248),YEAR(G248),YEAR(G248)+1)</f>
        <v/>
      </c>
      <c r="D248" s="204">
        <f>+C248+1</f>
        <v/>
      </c>
      <c r="E248" s="203">
        <f>IF(C248&gt;C247,1,E247+1)</f>
        <v/>
      </c>
      <c r="F248" s="203">
        <f>COUNTIF(C:C,C248)</f>
        <v/>
      </c>
      <c r="G248" s="198">
        <f>+G247+7</f>
        <v/>
      </c>
      <c r="H248" s="361">
        <f>+CO248/CP248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6.21</v>
      </c>
      <c r="CP248" s="970" t="n">
        <v>0.88159</v>
      </c>
    </row>
    <row r="249">
      <c r="B249" s="204">
        <f>+C249-1</f>
        <v/>
      </c>
      <c r="C249" s="204">
        <f>IF(bands_A!$D$9+1&gt;MONTH(G249),YEAR(G249),YEAR(G249)+1)</f>
        <v/>
      </c>
      <c r="D249" s="204">
        <f>+C249+1</f>
        <v/>
      </c>
      <c r="E249" s="203">
        <f>IF(C249&gt;C248,1,E248+1)</f>
        <v/>
      </c>
      <c r="F249" s="203">
        <f>COUNTIF(C:C,C249)</f>
        <v/>
      </c>
      <c r="G249" s="198">
        <f>+G248+7</f>
        <v/>
      </c>
      <c r="H249" s="361">
        <f>+CO249/CP249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6.21</v>
      </c>
      <c r="CP249" s="970" t="n">
        <v>0.88142</v>
      </c>
    </row>
    <row r="250">
      <c r="B250" s="204">
        <f>+C250-1</f>
        <v/>
      </c>
      <c r="C250" s="204">
        <f>IF(bands_A!$D$9+1&gt;MONTH(G250),YEAR(G250),YEAR(G250)+1)</f>
        <v/>
      </c>
      <c r="D250" s="204">
        <f>+C250+1</f>
        <v/>
      </c>
      <c r="E250" s="203">
        <f>IF(C250&gt;C249,1,E249+1)</f>
        <v/>
      </c>
      <c r="F250" s="203">
        <f>COUNTIF(C:C,C250)</f>
        <v/>
      </c>
      <c r="G250" s="198">
        <f>+G249+7</f>
        <v/>
      </c>
      <c r="H250" s="361">
        <f>+CO250/CP250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6.85</v>
      </c>
      <c r="CP250" s="970" t="n">
        <v>0.8816000000000001</v>
      </c>
    </row>
    <row r="251">
      <c r="B251" s="204">
        <f>+C251-1</f>
        <v/>
      </c>
      <c r="C251" s="204">
        <f>IF(bands_A!$D$9+1&gt;MONTH(G251),YEAR(G251),YEAR(G251)+1)</f>
        <v/>
      </c>
      <c r="D251" s="204">
        <f>+C251+1</f>
        <v/>
      </c>
      <c r="E251" s="203">
        <f>IF(C251&gt;C250,1,E250+1)</f>
        <v/>
      </c>
      <c r="F251" s="203">
        <f>COUNTIF(C:C,C251)</f>
        <v/>
      </c>
      <c r="G251" s="198">
        <f>+G250+7</f>
        <v/>
      </c>
      <c r="H251" s="361">
        <f>+CO251/CP251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8.16</v>
      </c>
      <c r="CP251" s="970" t="n">
        <v>0.88136</v>
      </c>
    </row>
    <row r="252">
      <c r="B252" s="204">
        <f>+C252-1</f>
        <v/>
      </c>
      <c r="C252" s="204">
        <f>IF(bands_A!$D$9+1&gt;MONTH(G252),YEAR(G252),YEAR(G252)+1)</f>
        <v/>
      </c>
      <c r="D252" s="204">
        <f>+C252+1</f>
        <v/>
      </c>
      <c r="E252" s="203">
        <f>IF(C252&gt;C251,1,E251+1)</f>
        <v/>
      </c>
      <c r="F252" s="203">
        <f>COUNTIF(C:C,C252)</f>
        <v/>
      </c>
      <c r="G252" s="198">
        <f>+G251+7</f>
        <v/>
      </c>
      <c r="H252" s="361">
        <f>+CO252/CP252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8.300000000000001</v>
      </c>
      <c r="CP252" s="970" t="n">
        <v>0.88164</v>
      </c>
    </row>
    <row r="253">
      <c r="B253" s="204">
        <f>+C253-1</f>
        <v/>
      </c>
      <c r="C253" s="204">
        <f>IF(bands_A!$D$9+1&gt;MONTH(G253),YEAR(G253),YEAR(G253)+1)</f>
        <v/>
      </c>
      <c r="D253" s="204">
        <f>+C253+1</f>
        <v/>
      </c>
      <c r="E253" s="203">
        <f>IF(C253&gt;C252,1,E252+1)</f>
        <v/>
      </c>
      <c r="F253" s="203">
        <f>COUNTIF(C:C,C253)</f>
        <v/>
      </c>
      <c r="G253" s="198">
        <f>+G252+7</f>
        <v/>
      </c>
      <c r="H253" s="361">
        <f>+CO253/CP253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6.75</v>
      </c>
      <c r="CP253" s="970" t="n">
        <v>0.88196</v>
      </c>
    </row>
    <row r="254">
      <c r="B254" s="204">
        <f>+C254-1</f>
        <v/>
      </c>
      <c r="C254" s="204">
        <f>IF(bands_A!$D$9+1&gt;MONTH(G254),YEAR(G254),YEAR(G254)+1)</f>
        <v/>
      </c>
      <c r="D254" s="204">
        <f>+C254+1</f>
        <v/>
      </c>
      <c r="E254" s="203">
        <f>IF(C254&gt;C253,1,E253+1)</f>
        <v/>
      </c>
      <c r="F254" s="203">
        <f>COUNTIF(C:C,C254)</f>
        <v/>
      </c>
      <c r="G254" s="198">
        <f>+G253+7</f>
        <v/>
      </c>
      <c r="H254" s="361">
        <f>+CO254/CP254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7.37</v>
      </c>
      <c r="CP254" s="970" t="n">
        <v>0.88195</v>
      </c>
    </row>
    <row r="255">
      <c r="B255" s="204">
        <f>+C255-1</f>
        <v/>
      </c>
      <c r="C255" s="204">
        <f>IF(bands_A!$D$9+1&gt;MONTH(G255),YEAR(G255),YEAR(G255)+1)</f>
        <v/>
      </c>
      <c r="D255" s="204">
        <f>+C255+1</f>
        <v/>
      </c>
      <c r="E255" s="203">
        <f>IF(C255&gt;C254,1,E254+1)</f>
        <v/>
      </c>
      <c r="F255" s="203">
        <f>COUNTIF(C:C,C255)</f>
        <v/>
      </c>
      <c r="G255" s="198">
        <f>+G254+7</f>
        <v/>
      </c>
      <c r="H255" s="361">
        <f>+CO255/CP255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6.96</v>
      </c>
      <c r="CP255" s="970" t="n">
        <v>0.88204</v>
      </c>
    </row>
    <row r="256">
      <c r="B256" s="204">
        <f>+C256-1</f>
        <v/>
      </c>
      <c r="C256" s="204">
        <f>IF(bands_A!$D$9+1&gt;MONTH(G256),YEAR(G256),YEAR(G256)+1)</f>
        <v/>
      </c>
      <c r="D256" s="204">
        <f>+C256+1</f>
        <v/>
      </c>
      <c r="E256" s="203">
        <f>IF(C256&gt;C255,1,E255+1)</f>
        <v/>
      </c>
      <c r="F256" s="203">
        <f>COUNTIF(C:C,C256)</f>
        <v/>
      </c>
      <c r="G256" s="198">
        <f>+G255+7</f>
        <v/>
      </c>
      <c r="H256" s="361">
        <f>+CO256/CP256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7.28</v>
      </c>
      <c r="CP256" s="970" t="n">
        <v>0.88092</v>
      </c>
    </row>
    <row r="257">
      <c r="B257" s="204">
        <f>+C257-1</f>
        <v/>
      </c>
      <c r="C257" s="204">
        <f>IF(bands_A!$D$9+1&gt;MONTH(G257),YEAR(G257),YEAR(G257)+1)</f>
        <v/>
      </c>
      <c r="D257" s="204">
        <f>+C257+1</f>
        <v/>
      </c>
      <c r="E257" s="203">
        <f>IF(C257&gt;C256,1,E256+1)</f>
        <v/>
      </c>
      <c r="F257" s="203">
        <f>COUNTIF(C:C,C257)</f>
        <v/>
      </c>
      <c r="G257" s="198">
        <f>+G256+7</f>
        <v/>
      </c>
      <c r="H257" s="361">
        <f>+CO257/CP257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7.57</v>
      </c>
      <c r="CP257" s="970" t="n">
        <v>0.8816000000000001</v>
      </c>
    </row>
    <row r="258">
      <c r="B258" s="204">
        <f>+C258-1</f>
        <v/>
      </c>
      <c r="C258" s="204">
        <f>IF(bands_A!$D$9+1&gt;MONTH(G258),YEAR(G258),YEAR(G258)+1)</f>
        <v/>
      </c>
      <c r="D258" s="204">
        <f>+C258+1</f>
        <v/>
      </c>
      <c r="E258" s="203">
        <f>IF(C258&gt;C257,1,E257+1)</f>
        <v/>
      </c>
      <c r="F258" s="203">
        <f>COUNTIF(C:C,C258)</f>
        <v/>
      </c>
      <c r="G258" s="198">
        <f>+G257+7</f>
        <v/>
      </c>
      <c r="H258" s="361">
        <f>+CO258/CP258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7.66</v>
      </c>
      <c r="CP258" s="970" t="n">
        <v>0.88191</v>
      </c>
    </row>
    <row r="259">
      <c r="B259" s="204">
        <f>+C259-1</f>
        <v/>
      </c>
      <c r="C259" s="204">
        <f>IF(bands_A!$D$9+1&gt;MONTH(G259),YEAR(G259),YEAR(G259)+1)</f>
        <v/>
      </c>
      <c r="D259" s="204">
        <f>+C259+1</f>
        <v/>
      </c>
      <c r="E259" s="203">
        <f>IF(C259&gt;C258,1,E258+1)</f>
        <v/>
      </c>
      <c r="F259" s="203">
        <f>COUNTIF(C:C,C259)</f>
        <v/>
      </c>
      <c r="G259" s="198">
        <f>+G258+7</f>
        <v/>
      </c>
      <c r="H259" s="361">
        <f>+CO259/CP259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7.72</v>
      </c>
      <c r="CP259" s="970" t="n">
        <v>0.8817</v>
      </c>
    </row>
    <row r="260">
      <c r="B260" s="204">
        <f>+C260-1</f>
        <v/>
      </c>
      <c r="C260" s="204">
        <f>IF(bands_A!$D$9+1&gt;MONTH(G260),YEAR(G260),YEAR(G260)+1)</f>
        <v/>
      </c>
      <c r="D260" s="204">
        <f>+C260+1</f>
        <v/>
      </c>
      <c r="E260" s="203">
        <f>IF(C260&gt;C259,1,E259+1)</f>
        <v/>
      </c>
      <c r="F260" s="203">
        <f>COUNTIF(C:C,C260)</f>
        <v/>
      </c>
      <c r="G260" s="198">
        <f>+G259+7</f>
        <v/>
      </c>
      <c r="H260" s="361">
        <f>+CO260/CP260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9.27</v>
      </c>
      <c r="CP260" s="970" t="n">
        <v>0.88161</v>
      </c>
    </row>
    <row r="261">
      <c r="B261" s="204">
        <f>+C261-1</f>
        <v/>
      </c>
      <c r="C261" s="204">
        <f>IF(bands_A!$D$9+1&gt;MONTH(G261),YEAR(G261),YEAR(G261)+1)</f>
        <v/>
      </c>
      <c r="D261" s="204">
        <f>+C261+1</f>
        <v/>
      </c>
      <c r="E261" s="203">
        <f>IF(C261&gt;C260,1,E260+1)</f>
        <v/>
      </c>
      <c r="F261" s="203">
        <f>COUNTIF(C:C,C261)</f>
        <v/>
      </c>
      <c r="G261" s="198">
        <f>+G260+7</f>
        <v/>
      </c>
      <c r="H261" s="361">
        <f>+CO261/CP261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9.27</v>
      </c>
      <c r="CP261" s="970" t="n">
        <v>0.88092</v>
      </c>
    </row>
    <row r="262">
      <c r="B262" s="204">
        <f>+C262-1</f>
        <v/>
      </c>
      <c r="C262" s="204">
        <f>IF(bands_A!$D$9+1&gt;MONTH(G262),YEAR(G262),YEAR(G262)+1)</f>
        <v/>
      </c>
      <c r="D262" s="204">
        <f>+C262+1</f>
        <v/>
      </c>
      <c r="E262" s="203">
        <f>IF(C262&gt;C261,1,E261+1)</f>
        <v/>
      </c>
      <c r="F262" s="203">
        <f>COUNTIF(C:C,C262)</f>
        <v/>
      </c>
      <c r="G262" s="198">
        <f>+G261+7</f>
        <v/>
      </c>
      <c r="H262" s="361">
        <f>+CO262/CP262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8.69</v>
      </c>
      <c r="CP262" s="970" t="n">
        <v>0.8801</v>
      </c>
    </row>
    <row r="263">
      <c r="B263" s="204">
        <f>+C263-1</f>
        <v/>
      </c>
      <c r="C263" s="204">
        <f>IF(bands_A!$D$9+1&gt;MONTH(G263),YEAR(G263),YEAR(G263)+1)</f>
        <v/>
      </c>
      <c r="D263" s="204">
        <f>+C263+1</f>
        <v/>
      </c>
      <c r="E263" s="203">
        <f>IF(C263&gt;C262,1,E262+1)</f>
        <v/>
      </c>
      <c r="F263" s="203">
        <f>COUNTIF(C:C,C263)</f>
        <v/>
      </c>
      <c r="G263" s="198">
        <f>+G262+7</f>
        <v/>
      </c>
      <c r="H263" s="361">
        <f>+CO263/CP263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10.63</v>
      </c>
      <c r="CP263" s="970" t="n">
        <v>0.88021</v>
      </c>
    </row>
    <row r="264">
      <c r="B264" s="204">
        <f>+C264-1</f>
        <v/>
      </c>
      <c r="C264" s="204">
        <f>IF(bands_A!$D$9+1&gt;MONTH(G264),YEAR(G264),YEAR(G264)+1)</f>
        <v/>
      </c>
      <c r="D264" s="204">
        <f>+C264+1</f>
        <v/>
      </c>
      <c r="E264" s="203">
        <f>IF(C264&gt;C263,1,E263+1)</f>
        <v/>
      </c>
      <c r="F264" s="203">
        <f>COUNTIF(C:C,C264)</f>
        <v/>
      </c>
      <c r="G264" s="198">
        <f>+G263+7</f>
        <v/>
      </c>
      <c r="H264" s="361">
        <f>+CO264/CP264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10.09</v>
      </c>
      <c r="CP264" s="970" t="n">
        <v>0.88061</v>
      </c>
    </row>
    <row r="265">
      <c r="B265" s="204">
        <f>+C265-1</f>
        <v/>
      </c>
      <c r="C265" s="204">
        <f>IF(bands_A!$D$9+1&gt;MONTH(G265),YEAR(G265),YEAR(G265)+1)</f>
        <v/>
      </c>
      <c r="D265" s="204">
        <f>+C265+1</f>
        <v/>
      </c>
      <c r="E265" s="203">
        <f>IF(C265&gt;C264,1,E264+1)</f>
        <v/>
      </c>
      <c r="F265" s="203">
        <f>COUNTIF(C:C,C265)</f>
        <v/>
      </c>
      <c r="G265" s="198">
        <f>+G264+7</f>
        <v/>
      </c>
      <c r="H265" s="361">
        <f>+CO265/CP265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10.59</v>
      </c>
      <c r="CP265" s="970" t="n">
        <v>0.8801600000000001</v>
      </c>
    </row>
    <row r="266">
      <c r="B266" s="204">
        <f>+C266-1</f>
        <v/>
      </c>
      <c r="C266" s="204">
        <f>IF(bands_A!$D$9+1&gt;MONTH(G266),YEAR(G266),YEAR(G266)+1)</f>
        <v/>
      </c>
      <c r="D266" s="204">
        <f>+C266+1</f>
        <v/>
      </c>
      <c r="E266" s="203">
        <f>IF(C266&gt;C265,1,E265+1)</f>
        <v/>
      </c>
      <c r="F266" s="203">
        <f>COUNTIF(C:C,C266)</f>
        <v/>
      </c>
      <c r="G266" s="198">
        <f>+G265+7</f>
        <v/>
      </c>
      <c r="H266" s="361">
        <f>+CO266/CP266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10.74</v>
      </c>
      <c r="CP266" s="970" t="n">
        <v>0.88091</v>
      </c>
    </row>
    <row r="267">
      <c r="B267" s="204">
        <f>+C267-1</f>
        <v/>
      </c>
      <c r="C267" s="204">
        <f>IF(bands_A!$D$9+1&gt;MONTH(G267),YEAR(G267),YEAR(G267)+1)</f>
        <v/>
      </c>
      <c r="D267" s="204">
        <f>+C267+1</f>
        <v/>
      </c>
      <c r="E267" s="203">
        <f>IF(C267&gt;C266,1,E266+1)</f>
        <v/>
      </c>
      <c r="F267" s="203">
        <f>COUNTIF(C:C,C267)</f>
        <v/>
      </c>
      <c r="G267" s="198">
        <f>+G266+7</f>
        <v/>
      </c>
      <c r="H267" s="361">
        <f>+CO267/CP267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10.95</v>
      </c>
      <c r="CP267" s="970" t="n">
        <v>0.88151</v>
      </c>
    </row>
    <row r="268">
      <c r="B268" s="204">
        <f>+C268-1</f>
        <v/>
      </c>
      <c r="C268" s="204">
        <f>IF(bands_A!$D$9+1&gt;MONTH(G268),YEAR(G268),YEAR(G268)+1)</f>
        <v/>
      </c>
      <c r="D268" s="204">
        <f>+C268+1</f>
        <v/>
      </c>
      <c r="E268" s="203">
        <f>IF(C268&gt;C267,1,E267+1)</f>
        <v/>
      </c>
      <c r="F268" s="203">
        <f>COUNTIF(C:C,C268)</f>
        <v/>
      </c>
      <c r="G268" s="198">
        <f>+G267+7</f>
        <v/>
      </c>
      <c r="H268" s="361">
        <f>+CO268/CP268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10.31</v>
      </c>
      <c r="CP268" s="970" t="n">
        <v>0.88193</v>
      </c>
    </row>
    <row r="269">
      <c r="B269" s="204">
        <f>+C269-1</f>
        <v/>
      </c>
      <c r="C269" s="204">
        <f>IF(bands_A!$D$9+1&gt;MONTH(G269),YEAR(G269),YEAR(G269)+1)</f>
        <v/>
      </c>
      <c r="D269" s="204">
        <f>+C269+1</f>
        <v/>
      </c>
      <c r="E269" s="203">
        <f>IF(C269&gt;C268,1,E268+1)</f>
        <v/>
      </c>
      <c r="F269" s="203">
        <f>COUNTIF(C:C,C269)</f>
        <v/>
      </c>
      <c r="G269" s="198">
        <f>+G268+7</f>
        <v/>
      </c>
      <c r="H269" s="361">
        <f>+CO269/CP269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10.43</v>
      </c>
      <c r="CP269" s="970" t="n">
        <v>0.8821</v>
      </c>
    </row>
    <row r="270">
      <c r="B270" s="204">
        <f>+C270-1</f>
        <v/>
      </c>
      <c r="C270" s="204">
        <f>IF(bands_A!$D$9+1&gt;MONTH(G270),YEAR(G270),YEAR(G270)+1)</f>
        <v/>
      </c>
      <c r="D270" s="204">
        <f>+C270+1</f>
        <v/>
      </c>
      <c r="E270" s="203">
        <f>IF(C270&gt;C269,1,E269+1)</f>
        <v/>
      </c>
      <c r="F270" s="203">
        <f>COUNTIF(C:C,C270)</f>
        <v/>
      </c>
      <c r="G270" s="198">
        <f>+G269+7</f>
        <v/>
      </c>
      <c r="H270" s="361">
        <f>+CO270/CP270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10.62</v>
      </c>
      <c r="CP270" s="970" t="n">
        <v>0.8817700000000001</v>
      </c>
    </row>
    <row r="271">
      <c r="B271" s="204">
        <f>+C271-1</f>
        <v/>
      </c>
      <c r="C271" s="204">
        <f>IF(bands_A!$D$9+1&gt;MONTH(G271),YEAR(G271),YEAR(G271)+1)</f>
        <v/>
      </c>
      <c r="D271" s="204">
        <f>+C271+1</f>
        <v/>
      </c>
      <c r="E271" s="203">
        <f>IF(C271&gt;C270,1,E270+1)</f>
        <v/>
      </c>
      <c r="F271" s="203">
        <f>COUNTIF(C:C,C271)</f>
        <v/>
      </c>
      <c r="G271" s="198">
        <f>+G270+7</f>
        <v/>
      </c>
      <c r="H271" s="361">
        <f>+CO271/CP271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10.45</v>
      </c>
      <c r="CP271" s="970" t="n">
        <v>0.88156</v>
      </c>
    </row>
    <row r="272">
      <c r="B272" s="204">
        <f>+C272-1</f>
        <v/>
      </c>
      <c r="C272" s="204">
        <f>IF(bands_A!$D$9+1&gt;MONTH(G272),YEAR(G272),YEAR(G272)+1)</f>
        <v/>
      </c>
      <c r="D272" s="204">
        <f>+C272+1</f>
        <v/>
      </c>
      <c r="E272" s="203">
        <f>IF(C272&gt;C271,1,E271+1)</f>
        <v/>
      </c>
      <c r="F272" s="203">
        <f>COUNTIF(C:C,C272)</f>
        <v/>
      </c>
      <c r="G272" s="198">
        <f>+G271+7</f>
        <v/>
      </c>
      <c r="H272" s="361">
        <f>+CO272/CP272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11.16</v>
      </c>
      <c r="CP272" s="970" t="n">
        <v>0.88161</v>
      </c>
    </row>
    <row r="273">
      <c r="B273" s="204">
        <f>+C273-1</f>
        <v/>
      </c>
      <c r="C273" s="204">
        <f>IF(bands_A!$D$9+1&gt;MONTH(G273),YEAR(G273),YEAR(G273)+1)</f>
        <v/>
      </c>
      <c r="D273" s="204">
        <f>+C273+1</f>
        <v/>
      </c>
      <c r="E273" s="203">
        <f>IF(C273&gt;C272,1,E272+1)</f>
        <v/>
      </c>
      <c r="F273" s="203">
        <f>COUNTIF(C:C,C273)</f>
        <v/>
      </c>
      <c r="G273" s="198">
        <f>+G272+7</f>
        <v/>
      </c>
      <c r="H273" s="361">
        <f>+CO273/CP273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11.08</v>
      </c>
      <c r="CP273" s="970" t="n">
        <v>0.8815</v>
      </c>
    </row>
    <row r="274">
      <c r="B274" s="204">
        <f>+C274-1</f>
        <v/>
      </c>
      <c r="C274" s="204">
        <f>IF(bands_A!$D$9+1&gt;MONTH(G274),YEAR(G274),YEAR(G274)+1)</f>
        <v/>
      </c>
      <c r="D274" s="204">
        <f>+C274+1</f>
        <v/>
      </c>
      <c r="E274" s="203">
        <f>IF(C274&gt;C273,1,E273+1)</f>
        <v/>
      </c>
      <c r="F274" s="203">
        <f>COUNTIF(C:C,C274)</f>
        <v/>
      </c>
      <c r="G274" s="198">
        <f>+G273+7</f>
        <v/>
      </c>
      <c r="H274" s="361">
        <f>+CO274/CP274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11.06</v>
      </c>
      <c r="CP274" s="970" t="n">
        <v>0.88149</v>
      </c>
    </row>
    <row r="275">
      <c r="B275" s="204">
        <f>+C275-1</f>
        <v/>
      </c>
      <c r="C275" s="204">
        <f>IF(bands_A!$D$9+1&gt;MONTH(G275),YEAR(G275),YEAR(G275)+1)</f>
        <v/>
      </c>
      <c r="D275" s="204">
        <f>+C275+1</f>
        <v/>
      </c>
      <c r="E275" s="203">
        <f>IF(C275&gt;C274,1,E274+1)</f>
        <v/>
      </c>
      <c r="F275" s="203">
        <f>COUNTIF(C:C,C275)</f>
        <v/>
      </c>
      <c r="G275" s="198">
        <f>+G274+7</f>
        <v/>
      </c>
      <c r="H275" s="361">
        <f>+CO275/CP275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12.7</v>
      </c>
      <c r="CP275" s="970" t="n">
        <v>0.88156</v>
      </c>
    </row>
    <row r="276">
      <c r="B276" s="204">
        <f>+C276-1</f>
        <v/>
      </c>
      <c r="C276" s="204">
        <f>IF(bands_A!$D$9+1&gt;MONTH(G276),YEAR(G276),YEAR(G276)+1)</f>
        <v/>
      </c>
      <c r="D276" s="204">
        <f>+C276+1</f>
        <v/>
      </c>
      <c r="E276" s="203">
        <f>IF(C276&gt;C275,1,E275+1)</f>
        <v/>
      </c>
      <c r="F276" s="203">
        <f>COUNTIF(C:C,C276)</f>
        <v/>
      </c>
      <c r="G276" s="198">
        <f>+G275+7</f>
        <v/>
      </c>
      <c r="H276" s="361">
        <f>+CO276/CP276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11.57</v>
      </c>
      <c r="CP276" s="970" t="n">
        <v>0.88146</v>
      </c>
    </row>
    <row r="277">
      <c r="B277" s="204">
        <f>+C277-1</f>
        <v/>
      </c>
      <c r="C277" s="204">
        <f>IF(bands_A!$D$9+1&gt;MONTH(G277),YEAR(G277),YEAR(G277)+1)</f>
        <v/>
      </c>
      <c r="D277" s="204">
        <f>+C277+1</f>
        <v/>
      </c>
      <c r="E277" s="203">
        <f>IF(C277&gt;C276,1,E276+1)</f>
        <v/>
      </c>
      <c r="F277" s="203">
        <f>COUNTIF(C:C,C277)</f>
        <v/>
      </c>
      <c r="G277" s="198">
        <f>+G276+7</f>
        <v/>
      </c>
      <c r="H277" s="361">
        <f>+CO277/CP277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10.08</v>
      </c>
      <c r="CP277" s="970" t="n">
        <v>0.88178</v>
      </c>
    </row>
    <row r="278">
      <c r="B278" s="204">
        <f>+C278-1</f>
        <v/>
      </c>
      <c r="C278" s="204">
        <f>IF(bands_A!$D$9+1&gt;MONTH(G278),YEAR(G278),YEAR(G278)+1)</f>
        <v/>
      </c>
      <c r="D278" s="204">
        <f>+C278+1</f>
        <v/>
      </c>
      <c r="E278" s="203">
        <f>IF(C278&gt;C277,1,E277+1)</f>
        <v/>
      </c>
      <c r="F278" s="203">
        <f>COUNTIF(C:C,C278)</f>
        <v/>
      </c>
      <c r="G278" s="198">
        <f>+G277+7</f>
        <v/>
      </c>
      <c r="H278" s="361">
        <f>+CO278/CP278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9.710000000000001</v>
      </c>
      <c r="CP278" s="970" t="n">
        <v>0.88135</v>
      </c>
    </row>
    <row r="279">
      <c r="B279" s="204">
        <f>+C279-1</f>
        <v/>
      </c>
      <c r="C279" s="204">
        <f>IF(bands_A!$D$9+1&gt;MONTH(G279),YEAR(G279),YEAR(G279)+1)</f>
        <v/>
      </c>
      <c r="D279" s="204">
        <f>+C279+1</f>
        <v/>
      </c>
      <c r="E279" s="203">
        <f>IF(C279&gt;C278,1,E278+1)</f>
        <v/>
      </c>
      <c r="F279" s="203">
        <f>COUNTIF(C:C,C279)</f>
        <v/>
      </c>
      <c r="G279" s="198">
        <f>+G278+7</f>
        <v/>
      </c>
      <c r="H279" s="361">
        <f>+CO279/CP279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9.289999999999999</v>
      </c>
      <c r="CP279" s="970" t="n">
        <v>0.88118</v>
      </c>
    </row>
    <row r="280">
      <c r="B280" s="204">
        <f>+C280-1</f>
        <v/>
      </c>
      <c r="C280" s="204">
        <f>IF(bands_A!$D$9+1&gt;MONTH(G280),YEAR(G280),YEAR(G280)+1)</f>
        <v/>
      </c>
      <c r="D280" s="204">
        <f>+C280+1</f>
        <v/>
      </c>
      <c r="E280" s="203">
        <f>IF(C280&gt;C279,1,E279+1)</f>
        <v/>
      </c>
      <c r="F280" s="203">
        <f>COUNTIF(C:C,C280)</f>
        <v/>
      </c>
      <c r="G280" s="198">
        <f>+G279+7</f>
        <v/>
      </c>
      <c r="H280" s="361">
        <f>+CO280/CP280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9.19</v>
      </c>
      <c r="CP280" s="970" t="n">
        <v>0.88122</v>
      </c>
    </row>
    <row r="281">
      <c r="B281" s="204">
        <f>+C281-1</f>
        <v/>
      </c>
      <c r="C281" s="204">
        <f>IF(bands_A!$D$9+1&gt;MONTH(G281),YEAR(G281),YEAR(G281)+1)</f>
        <v/>
      </c>
      <c r="D281" s="204">
        <f>+C281+1</f>
        <v/>
      </c>
      <c r="E281" s="203">
        <f>IF(C281&gt;C280,1,E280+1)</f>
        <v/>
      </c>
      <c r="F281" s="203">
        <f>COUNTIF(C:C,C281)</f>
        <v/>
      </c>
      <c r="G281" s="198">
        <f>+G280+7</f>
        <v/>
      </c>
      <c r="H281" s="361">
        <f>+CO281/CP281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9.34</v>
      </c>
      <c r="CP281" s="970" t="n">
        <v>0.8811600000000001</v>
      </c>
    </row>
    <row r="282">
      <c r="B282" s="204">
        <f>+C282-1</f>
        <v/>
      </c>
      <c r="C282" s="204">
        <f>IF(bands_A!$D$9+1&gt;MONTH(G282),YEAR(G282),YEAR(G282)+1)</f>
        <v/>
      </c>
      <c r="D282" s="204">
        <f>+C282+1</f>
        <v/>
      </c>
      <c r="E282" s="203">
        <f>IF(C282&gt;C281,1,E281+1)</f>
        <v/>
      </c>
      <c r="F282" s="203">
        <f>COUNTIF(C:C,C282)</f>
        <v/>
      </c>
      <c r="G282" s="198">
        <f>+G281+7</f>
        <v/>
      </c>
      <c r="H282" s="361">
        <f>+CO282/CP282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9.550000000000001</v>
      </c>
      <c r="CP282" s="970" t="n">
        <v>0.8809399999999999</v>
      </c>
    </row>
    <row r="283">
      <c r="B283" s="204">
        <f>+C283-1</f>
        <v/>
      </c>
      <c r="C283" s="204">
        <f>IF(bands_A!$D$9+1&gt;MONTH(G283),YEAR(G283),YEAR(G283)+1)</f>
        <v/>
      </c>
      <c r="D283" s="204">
        <f>+C283+1</f>
        <v/>
      </c>
      <c r="E283" s="203">
        <f>IF(C283&gt;C282,1,E282+1)</f>
        <v/>
      </c>
      <c r="F283" s="203">
        <f>COUNTIF(C:C,C283)</f>
        <v/>
      </c>
      <c r="G283" s="198">
        <f>+G282+7</f>
        <v/>
      </c>
      <c r="H283" s="361">
        <f>+CO283/CP283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9.19</v>
      </c>
      <c r="CP283" s="970" t="n">
        <v>0.88108</v>
      </c>
    </row>
    <row r="284">
      <c r="B284" s="204">
        <f>+C284-1</f>
        <v/>
      </c>
      <c r="C284" s="204">
        <f>IF(bands_A!$D$9+1&gt;MONTH(G284),YEAR(G284),YEAR(G284)+1)</f>
        <v/>
      </c>
      <c r="D284" s="204">
        <f>+C284+1</f>
        <v/>
      </c>
      <c r="E284" s="203">
        <f>IF(C284&gt;C283,1,E283+1)</f>
        <v/>
      </c>
      <c r="F284" s="203">
        <f>COUNTIF(C:C,C284)</f>
        <v/>
      </c>
      <c r="G284" s="198">
        <f>+G283+7</f>
        <v/>
      </c>
      <c r="H284" s="361">
        <f>+CO284/CP284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8.99</v>
      </c>
      <c r="CP284" s="970" t="n">
        <v>0.88084</v>
      </c>
    </row>
    <row r="285">
      <c r="B285" s="204">
        <f>+C285-1</f>
        <v/>
      </c>
      <c r="C285" s="204">
        <f>IF(bands_A!$D$9+1&gt;MONTH(G285),YEAR(G285),YEAR(G285)+1)</f>
        <v/>
      </c>
      <c r="D285" s="204">
        <f>+C285+1</f>
        <v/>
      </c>
      <c r="E285" s="203">
        <f>IF(C285&gt;C284,1,E284+1)</f>
        <v/>
      </c>
      <c r="F285" s="203">
        <f>COUNTIF(C:C,C285)</f>
        <v/>
      </c>
      <c r="G285" s="198">
        <f>+G284+7</f>
        <v/>
      </c>
      <c r="H285" s="361">
        <f>+CO285/CP285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9.35</v>
      </c>
      <c r="CP285" s="970" t="n">
        <v>0.8807</v>
      </c>
    </row>
    <row r="286">
      <c r="B286" s="204">
        <f>+C286-1</f>
        <v/>
      </c>
      <c r="C286" s="204">
        <f>IF(bands_A!$D$9+1&gt;MONTH(G286),YEAR(G286),YEAR(G286)+1)</f>
        <v/>
      </c>
      <c r="D286" s="204">
        <f>+C286+1</f>
        <v/>
      </c>
      <c r="E286" s="203">
        <f>IF(C286&gt;C285,1,E285+1)</f>
        <v/>
      </c>
      <c r="F286" s="203">
        <f>COUNTIF(C:C,C286)</f>
        <v/>
      </c>
      <c r="G286" s="198">
        <f>+G285+7</f>
        <v/>
      </c>
      <c r="H286" s="361">
        <f>+CO286/CP286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9.449999999999999</v>
      </c>
      <c r="CP286" s="970" t="n">
        <v>0.88084</v>
      </c>
    </row>
    <row r="287">
      <c r="B287" s="204">
        <f>+C287-1</f>
        <v/>
      </c>
      <c r="C287" s="204">
        <f>IF(bands_A!$D$9+1&gt;MONTH(G287),YEAR(G287),YEAR(G287)+1)</f>
        <v/>
      </c>
      <c r="D287" s="204">
        <f>+C287+1</f>
        <v/>
      </c>
      <c r="E287" s="203">
        <f>IF(C287&gt;C286,1,E286+1)</f>
        <v/>
      </c>
      <c r="F287" s="203">
        <f>COUNTIF(C:C,C287)</f>
        <v/>
      </c>
      <c r="G287" s="198">
        <f>+G286+7</f>
        <v/>
      </c>
      <c r="H287" s="361">
        <f>+CO287/CP287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9.68</v>
      </c>
      <c r="CP287" s="970" t="n">
        <v>0.88108</v>
      </c>
    </row>
    <row r="288">
      <c r="B288" s="204">
        <f>+C288-1</f>
        <v/>
      </c>
      <c r="C288" s="204">
        <f>IF(bands_A!$D$9+1&gt;MONTH(G288),YEAR(G288),YEAR(G288)+1)</f>
        <v/>
      </c>
      <c r="D288" s="204">
        <f>+C288+1</f>
        <v/>
      </c>
      <c r="E288" s="203">
        <f>IF(C288&gt;C287,1,E287+1)</f>
        <v/>
      </c>
      <c r="F288" s="203">
        <f>COUNTIF(C:C,C288)</f>
        <v/>
      </c>
      <c r="G288" s="198">
        <f>+G287+7</f>
        <v/>
      </c>
      <c r="H288" s="361">
        <f>+CO288/CP288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9.199999999999999</v>
      </c>
      <c r="CP288" s="970" t="n">
        <v>0.88095</v>
      </c>
    </row>
    <row r="289">
      <c r="B289" s="204">
        <f>+C289-1</f>
        <v/>
      </c>
      <c r="C289" s="204">
        <f>IF(bands_A!$D$9+1&gt;MONTH(G289),YEAR(G289),YEAR(G289)+1)</f>
        <v/>
      </c>
      <c r="D289" s="204">
        <f>+C289+1</f>
        <v/>
      </c>
      <c r="E289" s="203">
        <f>IF(C289&gt;C288,1,E288+1)</f>
        <v/>
      </c>
      <c r="F289" s="203">
        <f>COUNTIF(C:C,C289)</f>
        <v/>
      </c>
      <c r="G289" s="198">
        <f>+G288+7</f>
        <v/>
      </c>
      <c r="H289" s="361">
        <f>+CO289/CP289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10.07</v>
      </c>
      <c r="CP289" s="970" t="n">
        <v>0.88093</v>
      </c>
    </row>
    <row r="290">
      <c r="B290" s="204">
        <f>+C290-1</f>
        <v/>
      </c>
      <c r="C290" s="204">
        <f>IF(bands_A!$D$9+1&gt;MONTH(G290),YEAR(G290),YEAR(G290)+1)</f>
        <v/>
      </c>
      <c r="D290" s="204">
        <f>+C290+1</f>
        <v/>
      </c>
      <c r="E290" s="203">
        <f>IF(C290&gt;C289,1,E289+1)</f>
        <v/>
      </c>
      <c r="F290" s="203">
        <f>COUNTIF(C:C,C290)</f>
        <v/>
      </c>
      <c r="G290" s="198">
        <f>+G289+7</f>
        <v/>
      </c>
      <c r="H290" s="361">
        <f>+CO290/CP290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10.45</v>
      </c>
      <c r="CP290" s="970" t="n">
        <v>0.88078</v>
      </c>
    </row>
    <row r="291">
      <c r="B291" s="204">
        <f>+C291-1</f>
        <v/>
      </c>
      <c r="C291" s="204">
        <f>IF(bands_A!$D$9+1&gt;MONTH(G291),YEAR(G291),YEAR(G291)+1)</f>
        <v/>
      </c>
      <c r="D291" s="204">
        <f>+C291+1</f>
        <v/>
      </c>
      <c r="E291" s="203">
        <f>IF(C291&gt;C290,1,E290+1)</f>
        <v/>
      </c>
      <c r="F291" s="203">
        <f>COUNTIF(C:C,C291)</f>
        <v/>
      </c>
      <c r="G291" s="198">
        <f>+G290+7</f>
        <v/>
      </c>
      <c r="H291" s="361">
        <f>+CO291/CP291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10.87</v>
      </c>
      <c r="CP291" s="970" t="n">
        <v>0.88098</v>
      </c>
    </row>
    <row r="292">
      <c r="B292" s="204">
        <f>+C292-1</f>
        <v/>
      </c>
      <c r="C292" s="204">
        <f>IF(bands_A!$D$9+1&gt;MONTH(G292),YEAR(G292),YEAR(G292)+1)</f>
        <v/>
      </c>
      <c r="D292" s="204">
        <f>+C292+1</f>
        <v/>
      </c>
      <c r="E292" s="203">
        <f>IF(C292&gt;C291,1,E291+1)</f>
        <v/>
      </c>
      <c r="F292" s="203">
        <f>COUNTIF(C:C,C292)</f>
        <v/>
      </c>
      <c r="G292" s="198">
        <f>+G291+7</f>
        <v/>
      </c>
      <c r="H292" s="361">
        <f>+CO292/CP292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9.890000000000001</v>
      </c>
      <c r="CP292" s="970" t="n">
        <v>0.88106</v>
      </c>
    </row>
    <row r="293">
      <c r="B293" s="204">
        <f>+C293-1</f>
        <v/>
      </c>
      <c r="C293" s="204">
        <f>IF(bands_A!$D$9+1&gt;MONTH(G293),YEAR(G293),YEAR(G293)+1)</f>
        <v/>
      </c>
      <c r="D293" s="204">
        <f>+C293+1</f>
        <v/>
      </c>
      <c r="E293" s="203">
        <f>IF(C293&gt;C292,1,E292+1)</f>
        <v/>
      </c>
      <c r="F293" s="203">
        <f>COUNTIF(C:C,C293)</f>
        <v/>
      </c>
      <c r="G293" s="198">
        <f>+G292+7</f>
        <v/>
      </c>
      <c r="H293" s="361">
        <f>+CO293/CP293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10.11</v>
      </c>
      <c r="CP293" s="970" t="n">
        <v>0.88088</v>
      </c>
    </row>
    <row r="294">
      <c r="B294" s="204">
        <f>+C294-1</f>
        <v/>
      </c>
      <c r="C294" s="204">
        <f>IF(bands_A!$D$9+1&gt;MONTH(G294),YEAR(G294),YEAR(G294)+1)</f>
        <v/>
      </c>
      <c r="D294" s="204">
        <f>+C294+1</f>
        <v/>
      </c>
      <c r="E294" s="203">
        <f>IF(C294&gt;C293,1,E293+1)</f>
        <v/>
      </c>
      <c r="F294" s="203">
        <f>COUNTIF(C:C,C294)</f>
        <v/>
      </c>
      <c r="G294" s="198">
        <f>+G293+7</f>
        <v/>
      </c>
      <c r="H294" s="361">
        <f>+CO294/CP294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10.13</v>
      </c>
      <c r="CP294" s="970" t="n">
        <v>0.88091</v>
      </c>
    </row>
    <row r="295">
      <c r="B295" s="204">
        <f>+C295-1</f>
        <v/>
      </c>
      <c r="C295" s="204">
        <f>IF(bands_A!$D$9+1&gt;MONTH(G295),YEAR(G295),YEAR(G295)+1)</f>
        <v/>
      </c>
      <c r="D295" s="204">
        <f>+C295+1</f>
        <v/>
      </c>
      <c r="E295" s="203">
        <f>IF(C295&gt;C294,1,E294+1)</f>
        <v/>
      </c>
      <c r="F295" s="203">
        <f>COUNTIF(C:C,C295)</f>
        <v/>
      </c>
      <c r="G295" s="198">
        <f>+G294+7</f>
        <v/>
      </c>
      <c r="H295" s="361">
        <f>+CO295/CP295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9.24</v>
      </c>
      <c r="CP295" s="970" t="n">
        <v>0.88013</v>
      </c>
    </row>
    <row r="296">
      <c r="B296" s="204">
        <f>+C296-1</f>
        <v/>
      </c>
      <c r="C296" s="204">
        <f>IF(bands_A!$D$9+1&gt;MONTH(G296),YEAR(G296),YEAR(G296)+1)</f>
        <v/>
      </c>
      <c r="D296" s="204">
        <f>+C296+1</f>
        <v/>
      </c>
      <c r="E296" s="203">
        <f>IF(C296&gt;C295,1,E295+1)</f>
        <v/>
      </c>
      <c r="F296" s="203">
        <f>COUNTIF(C:C,C296)</f>
        <v/>
      </c>
      <c r="G296" s="198">
        <f>+G295+7</f>
        <v/>
      </c>
      <c r="H296" s="361">
        <f>+CO296/CP296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9.300000000000001</v>
      </c>
      <c r="CP296" s="970" t="n">
        <v>0.88022</v>
      </c>
    </row>
    <row r="297">
      <c r="B297" s="204">
        <f>+C297-1</f>
        <v/>
      </c>
      <c r="C297" s="204">
        <f>IF(bands_A!$D$9+1&gt;MONTH(G297),YEAR(G297),YEAR(G297)+1)</f>
        <v/>
      </c>
      <c r="D297" s="204">
        <f>+C297+1</f>
        <v/>
      </c>
      <c r="E297" s="203">
        <f>IF(C297&gt;C296,1,E296+1)</f>
        <v/>
      </c>
      <c r="F297" s="203">
        <f>COUNTIF(C:C,C297)</f>
        <v/>
      </c>
      <c r="G297" s="198">
        <f>+G296+7</f>
        <v/>
      </c>
      <c r="H297" s="361">
        <f>+CO297/CP297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9.619999999999999</v>
      </c>
      <c r="CP297" s="970" t="n">
        <v>0.88032</v>
      </c>
    </row>
    <row r="298">
      <c r="B298" s="204">
        <f>+C298-1</f>
        <v/>
      </c>
      <c r="C298" s="204">
        <f>IF(bands_A!$D$9+1&gt;MONTH(G298),YEAR(G298),YEAR(G298)+1)</f>
        <v/>
      </c>
      <c r="D298" s="204">
        <f>+C298+1</f>
        <v/>
      </c>
      <c r="E298" s="203">
        <f>IF(C298&gt;C297,1,E297+1)</f>
        <v/>
      </c>
      <c r="F298" s="203">
        <f>COUNTIF(C:C,C298)</f>
        <v/>
      </c>
      <c r="G298" s="198">
        <f>+G297+7</f>
        <v/>
      </c>
      <c r="H298" s="361">
        <f>+CO298/CP298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9.369999999999999</v>
      </c>
      <c r="CP298" s="970" t="n">
        <v>0.88029</v>
      </c>
    </row>
    <row r="299">
      <c r="B299" s="204">
        <f>+C299-1</f>
        <v/>
      </c>
      <c r="C299" s="204">
        <f>IF(bands_A!$D$9+1&gt;MONTH(G299),YEAR(G299),YEAR(G299)+1)</f>
        <v/>
      </c>
      <c r="D299" s="204">
        <f>+C299+1</f>
        <v/>
      </c>
      <c r="E299" s="203">
        <f>IF(C299&gt;C298,1,E298+1)</f>
        <v/>
      </c>
      <c r="F299" s="203">
        <f>COUNTIF(C:C,C299)</f>
        <v/>
      </c>
      <c r="G299" s="198">
        <f>+G298+7</f>
        <v/>
      </c>
      <c r="H299" s="361">
        <f>+CO299/CP299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9.609999999999999</v>
      </c>
      <c r="CP299" s="970" t="n">
        <v>0.8797199999999999</v>
      </c>
    </row>
    <row r="300">
      <c r="B300" s="204">
        <f>+C300-1</f>
        <v/>
      </c>
      <c r="C300" s="204">
        <f>IF(bands_A!$D$9+1&gt;MONTH(G300),YEAR(G300),YEAR(G300)+1)</f>
        <v/>
      </c>
      <c r="D300" s="204">
        <f>+C300+1</f>
        <v/>
      </c>
      <c r="E300" s="203">
        <f>IF(C300&gt;C299,1,E299+1)</f>
        <v/>
      </c>
      <c r="F300" s="203">
        <f>COUNTIF(C:C,C300)</f>
        <v/>
      </c>
      <c r="G300" s="198">
        <f>+G299+7</f>
        <v/>
      </c>
      <c r="H300" s="361">
        <f>+CO300/CP300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9.66</v>
      </c>
      <c r="CP300" s="970" t="n">
        <v>0.87837</v>
      </c>
    </row>
    <row r="301">
      <c r="B301" s="204">
        <f>+C301-1</f>
        <v/>
      </c>
      <c r="C301" s="204">
        <f>IF(bands_A!$D$9+1&gt;MONTH(G301),YEAR(G301),YEAR(G301)+1)</f>
        <v/>
      </c>
      <c r="D301" s="204">
        <f>+C301+1</f>
        <v/>
      </c>
      <c r="E301" s="203">
        <f>IF(C301&gt;C300,1,E300+1)</f>
        <v/>
      </c>
      <c r="F301" s="203">
        <f>COUNTIF(C:C,C301)</f>
        <v/>
      </c>
      <c r="G301" s="198">
        <f>+G300+7</f>
        <v/>
      </c>
      <c r="H301" s="361">
        <f>+CO301/CP301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9.1</v>
      </c>
      <c r="CP301" s="970" t="n">
        <v>0.87924</v>
      </c>
    </row>
    <row r="302">
      <c r="B302" s="204">
        <f>+C302-1</f>
        <v/>
      </c>
      <c r="C302" s="204">
        <f>IF(bands_A!$D$9+1&gt;MONTH(G302),YEAR(G302),YEAR(G302)+1)</f>
        <v/>
      </c>
      <c r="D302" s="204">
        <f>+C302+1</f>
        <v/>
      </c>
      <c r="E302" s="203">
        <f>IF(C302&gt;C301,1,E301+1)</f>
        <v/>
      </c>
      <c r="F302" s="203">
        <f>COUNTIF(C:C,C302)</f>
        <v/>
      </c>
      <c r="G302" s="198">
        <f>+G301+7</f>
        <v/>
      </c>
      <c r="H302" s="361">
        <f>+CO302/CP302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8.77</v>
      </c>
      <c r="CP302" s="970" t="n">
        <v>0.87851</v>
      </c>
    </row>
    <row r="303">
      <c r="B303" s="204">
        <f>+C303-1</f>
        <v/>
      </c>
      <c r="C303" s="204">
        <f>IF(bands_A!$D$9+1&gt;MONTH(G303),YEAR(G303),YEAR(G303)+1)</f>
        <v/>
      </c>
      <c r="D303" s="204">
        <f>+C303+1</f>
        <v/>
      </c>
      <c r="E303" s="203">
        <f>IF(C303&gt;C302,1,E302+1)</f>
        <v/>
      </c>
      <c r="F303" s="203">
        <f>COUNTIF(C:C,C303)</f>
        <v/>
      </c>
      <c r="G303" s="198">
        <f>+G302+7</f>
        <v/>
      </c>
      <c r="H303" s="361">
        <f>+CO303/CP303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8.99</v>
      </c>
      <c r="CP303" s="970" t="n">
        <v>0.87945</v>
      </c>
    </row>
    <row r="304">
      <c r="B304" s="204">
        <f>+C304-1</f>
        <v/>
      </c>
      <c r="C304" s="204">
        <f>IF(bands_A!$D$9+1&gt;MONTH(G304),YEAR(G304),YEAR(G304)+1)</f>
        <v/>
      </c>
      <c r="D304" s="204">
        <f>+C304+1</f>
        <v/>
      </c>
      <c r="E304" s="203">
        <f>IF(C304&gt;C303,1,E303+1)</f>
        <v/>
      </c>
      <c r="F304" s="203">
        <f>COUNTIF(C:C,C304)</f>
        <v/>
      </c>
      <c r="G304" s="198">
        <f>+G303+7</f>
        <v/>
      </c>
      <c r="H304" s="361">
        <f>+CO304/CP304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8.99</v>
      </c>
      <c r="CP304" s="970" t="n">
        <v>0.87995</v>
      </c>
    </row>
    <row r="305">
      <c r="B305" s="204">
        <f>+C305-1</f>
        <v/>
      </c>
      <c r="C305" s="204">
        <f>IF(bands_A!$D$9+1&gt;MONTH(G305),YEAR(G305),YEAR(G305)+1)</f>
        <v/>
      </c>
      <c r="D305" s="204">
        <f>+C305+1</f>
        <v/>
      </c>
      <c r="E305" s="203">
        <f>IF(C305&gt;C304,1,E304+1)</f>
        <v/>
      </c>
      <c r="F305" s="203">
        <f>COUNTIF(C:C,C305)</f>
        <v/>
      </c>
      <c r="G305" s="198">
        <f>+G304+7</f>
        <v/>
      </c>
      <c r="H305" s="361">
        <f>+CO305/CP305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9.16</v>
      </c>
      <c r="CP305" s="970" t="n">
        <v>0.87935</v>
      </c>
    </row>
    <row r="306">
      <c r="B306" s="204">
        <f>+C306-1</f>
        <v/>
      </c>
      <c r="C306" s="204">
        <f>IF(bands_A!$D$9+1&gt;MONTH(G306),YEAR(G306),YEAR(G306)+1)</f>
        <v/>
      </c>
      <c r="D306" s="204">
        <f>+C306+1</f>
        <v/>
      </c>
      <c r="E306" s="203">
        <f>IF(C306&gt;C305,1,E305+1)</f>
        <v/>
      </c>
      <c r="F306" s="203">
        <f>COUNTIF(C:C,C306)</f>
        <v/>
      </c>
      <c r="G306" s="198">
        <f>+G305+7</f>
        <v/>
      </c>
      <c r="H306" s="361">
        <f>+CO306/CP306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10.13</v>
      </c>
      <c r="CP306" s="970" t="n">
        <v>0.8794</v>
      </c>
    </row>
    <row r="307">
      <c r="B307" s="204">
        <f>+C307-1</f>
        <v/>
      </c>
      <c r="C307" s="204">
        <f>IF(bands_A!$D$9+1&gt;MONTH(G307),YEAR(G307),YEAR(G307)+1)</f>
        <v/>
      </c>
      <c r="D307" s="204">
        <f>+C307+1</f>
        <v/>
      </c>
      <c r="E307" s="203">
        <f>IF(C307&gt;C306,1,E306+1)</f>
        <v/>
      </c>
      <c r="F307" s="203">
        <f>COUNTIF(C:C,C307)</f>
        <v/>
      </c>
      <c r="G307" s="198">
        <f>+G306+7</f>
        <v/>
      </c>
      <c r="H307" s="361">
        <f>+CO307/CP307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9.640000000000001</v>
      </c>
      <c r="CP307" s="970" t="n">
        <v>0.8798899999999999</v>
      </c>
    </row>
    <row r="308">
      <c r="B308" s="204">
        <f>+C308-1</f>
        <v/>
      </c>
      <c r="C308" s="204">
        <f>IF(bands_A!$D$9+1&gt;MONTH(G308),YEAR(G308),YEAR(G308)+1)</f>
        <v/>
      </c>
      <c r="D308" s="204">
        <f>+C308+1</f>
        <v/>
      </c>
      <c r="E308" s="203">
        <f>IF(C308&gt;C307,1,E307+1)</f>
        <v/>
      </c>
      <c r="F308" s="203">
        <f>COUNTIF(C:C,C308)</f>
        <v/>
      </c>
      <c r="G308" s="198">
        <f>+G307+7</f>
        <v/>
      </c>
      <c r="H308" s="361">
        <f>+CO308/CP308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9.82</v>
      </c>
      <c r="CP308" s="970" t="n">
        <v>0.87979</v>
      </c>
    </row>
    <row r="309">
      <c r="B309" s="204">
        <f>+C309-1</f>
        <v/>
      </c>
      <c r="C309" s="204">
        <f>IF(bands_A!$D$9+1&gt;MONTH(G309),YEAR(G309),YEAR(G309)+1)</f>
        <v/>
      </c>
      <c r="D309" s="204">
        <f>+C309+1</f>
        <v/>
      </c>
      <c r="E309" s="203">
        <f>IF(C309&gt;C308,1,E308+1)</f>
        <v/>
      </c>
      <c r="F309" s="203">
        <f>COUNTIF(C:C,C309)</f>
        <v/>
      </c>
      <c r="G309" s="198">
        <f>+G308+7</f>
        <v/>
      </c>
      <c r="H309" s="361">
        <f>+CO309/CP309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9.630000000000001</v>
      </c>
      <c r="CP309" s="970" t="n">
        <v>0.87949</v>
      </c>
    </row>
    <row r="310">
      <c r="B310" s="204">
        <f>+C310-1</f>
        <v/>
      </c>
      <c r="C310" s="204">
        <f>IF(bands_A!$D$9+1&gt;MONTH(G310),YEAR(G310),YEAR(G310)+1)</f>
        <v/>
      </c>
      <c r="D310" s="204">
        <f>+C310+1</f>
        <v/>
      </c>
      <c r="E310" s="203">
        <f>IF(C310&gt;C309,1,E309+1)</f>
        <v/>
      </c>
      <c r="F310" s="203">
        <f>COUNTIF(C:C,C310)</f>
        <v/>
      </c>
      <c r="G310" s="198">
        <f>+G309+7</f>
        <v/>
      </c>
      <c r="H310" s="361">
        <f>+CO310/CP310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9.94</v>
      </c>
      <c r="CP310" s="970" t="n">
        <v>0.87874</v>
      </c>
    </row>
    <row r="311">
      <c r="B311" s="204">
        <f>+C311-1</f>
        <v/>
      </c>
      <c r="C311" s="204">
        <f>IF(bands_A!$D$9+1&gt;MONTH(G311),YEAR(G311),YEAR(G311)+1)</f>
        <v/>
      </c>
      <c r="D311" s="204">
        <f>+C311+1</f>
        <v/>
      </c>
      <c r="E311" s="203">
        <f>IF(C311&gt;C310,1,E310+1)</f>
        <v/>
      </c>
      <c r="F311" s="203">
        <f>COUNTIF(C:C,C311)</f>
        <v/>
      </c>
      <c r="G311" s="198">
        <f>+G310+7</f>
        <v/>
      </c>
      <c r="H311" s="361">
        <f>+CO311/CP311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9.800000000000001</v>
      </c>
      <c r="CP311" s="970" t="n">
        <v>0.87979</v>
      </c>
    </row>
    <row r="312">
      <c r="B312" s="204">
        <f>+C312-1</f>
        <v/>
      </c>
      <c r="C312" s="204">
        <f>IF(bands_A!$D$9+1&gt;MONTH(G312),YEAR(G312),YEAR(G312)+1)</f>
        <v/>
      </c>
      <c r="D312" s="204">
        <f>+C312+1</f>
        <v/>
      </c>
      <c r="E312" s="203">
        <f>IF(C312&gt;C311,1,E311+1)</f>
        <v/>
      </c>
      <c r="F312" s="203">
        <f>COUNTIF(C:C,C312)</f>
        <v/>
      </c>
      <c r="G312" s="198">
        <f>+G311+7</f>
        <v/>
      </c>
      <c r="H312" s="361">
        <f>+CO312/CP312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9.5</v>
      </c>
      <c r="CP312" s="970" t="n">
        <v>0.87946</v>
      </c>
    </row>
    <row r="313">
      <c r="B313" s="204">
        <f>+C313-1</f>
        <v/>
      </c>
      <c r="C313" s="204">
        <f>IF(bands_A!$D$9+1&gt;MONTH(G313),YEAR(G313),YEAR(G313)+1)</f>
        <v/>
      </c>
      <c r="D313" s="204">
        <f>+C313+1</f>
        <v/>
      </c>
      <c r="E313" s="203">
        <f>IF(C313&gt;C312,1,E312+1)</f>
        <v/>
      </c>
      <c r="F313" s="203">
        <f>COUNTIF(C:C,C313)</f>
        <v/>
      </c>
      <c r="G313" s="198">
        <f>+G312+7</f>
        <v/>
      </c>
      <c r="H313" s="361">
        <f>+CO313/CP313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9.24</v>
      </c>
      <c r="CP313" s="970" t="n">
        <v>0.8794999999999999</v>
      </c>
    </row>
    <row r="314">
      <c r="B314" s="204">
        <f>+C314-1</f>
        <v/>
      </c>
      <c r="C314" s="204">
        <f>IF(bands_A!$D$9+1&gt;MONTH(G314),YEAR(G314),YEAR(G314)+1)</f>
        <v/>
      </c>
      <c r="D314" s="204">
        <f>+C314+1</f>
        <v/>
      </c>
      <c r="E314" s="203">
        <f>IF(C314&gt;C313,1,E313+1)</f>
        <v/>
      </c>
      <c r="F314" s="203">
        <f>COUNTIF(C:C,C314)</f>
        <v/>
      </c>
      <c r="G314" s="198">
        <f>+G313+7</f>
        <v/>
      </c>
      <c r="H314" s="361">
        <f>+CO314/CP314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8.800000000000001</v>
      </c>
      <c r="CP314" s="970" t="n">
        <v>0.87909</v>
      </c>
    </row>
    <row r="315">
      <c r="B315" s="204">
        <f>+C315-1</f>
        <v/>
      </c>
      <c r="C315" s="204">
        <f>IF(bands_A!$D$9+1&gt;MONTH(G315),YEAR(G315),YEAR(G315)+1)</f>
        <v/>
      </c>
      <c r="D315" s="204">
        <f>+C315+1</f>
        <v/>
      </c>
      <c r="E315" s="203">
        <f>IF(C315&gt;C314,1,E314+1)</f>
        <v/>
      </c>
      <c r="F315" s="203">
        <f>COUNTIF(C:C,C315)</f>
        <v/>
      </c>
      <c r="G315" s="198">
        <f>+G314+7</f>
        <v/>
      </c>
      <c r="H315" s="361">
        <f>+CO315/CP315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8.26</v>
      </c>
      <c r="CP315" s="970" t="n">
        <v>0.87705</v>
      </c>
    </row>
    <row r="316">
      <c r="B316" s="204">
        <f>+C316-1</f>
        <v/>
      </c>
      <c r="C316" s="204">
        <f>IF(bands_A!$D$9+1&gt;MONTH(G316),YEAR(G316),YEAR(G316)+1)</f>
        <v/>
      </c>
      <c r="D316" s="204">
        <f>+C316+1</f>
        <v/>
      </c>
      <c r="E316" s="203">
        <f>IF(C316&gt;C315,1,E315+1)</f>
        <v/>
      </c>
      <c r="F316" s="203">
        <f>COUNTIF(C:C,C316)</f>
        <v/>
      </c>
      <c r="G316" s="198">
        <f>+G315+7</f>
        <v/>
      </c>
      <c r="H316" s="361">
        <f>+CO316/CP316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8.34</v>
      </c>
      <c r="CP316" s="970" t="n">
        <v>0.87681</v>
      </c>
    </row>
    <row r="317">
      <c r="B317" s="204">
        <f>+C317-1</f>
        <v/>
      </c>
      <c r="C317" s="204">
        <f>IF(bands_A!$D$9+1&gt;MONTH(G317),YEAR(G317),YEAR(G317)+1)</f>
        <v/>
      </c>
      <c r="D317" s="204">
        <f>+C317+1</f>
        <v/>
      </c>
      <c r="E317" s="203">
        <f>IF(C317&gt;C316,1,E316+1)</f>
        <v/>
      </c>
      <c r="F317" s="203">
        <f>COUNTIF(C:C,C317)</f>
        <v/>
      </c>
      <c r="G317" s="198">
        <f>+G316+7</f>
        <v/>
      </c>
      <c r="H317" s="361">
        <f>+CO317/CP317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7.49</v>
      </c>
      <c r="CP317" s="970" t="n">
        <v>0.87504</v>
      </c>
    </row>
    <row r="318">
      <c r="B318" s="204">
        <f>+C318-1</f>
        <v/>
      </c>
      <c r="C318" s="204">
        <f>IF(bands_A!$D$9+1&gt;MONTH(G318),YEAR(G318),YEAR(G318)+1)</f>
        <v/>
      </c>
      <c r="D318" s="204">
        <f>+C318+1</f>
        <v/>
      </c>
      <c r="E318" s="203">
        <f>IF(C318&gt;C317,1,E317+1)</f>
        <v/>
      </c>
      <c r="F318" s="203">
        <f>COUNTIF(C:C,C318)</f>
        <v/>
      </c>
      <c r="G318" s="198">
        <f>+G317+7</f>
        <v/>
      </c>
      <c r="H318" s="361">
        <f>+CO318/CP318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7.91</v>
      </c>
      <c r="CP318" s="970" t="n">
        <v>0.8772</v>
      </c>
    </row>
    <row r="319">
      <c r="B319" s="204">
        <f>+C319-1</f>
        <v/>
      </c>
      <c r="C319" s="204">
        <f>IF(bands_A!$D$9+1&gt;MONTH(G319),YEAR(G319),YEAR(G319)+1)</f>
        <v/>
      </c>
      <c r="D319" s="204">
        <f>+C319+1</f>
        <v/>
      </c>
      <c r="E319" s="203">
        <f>IF(C319&gt;C318,1,E318+1)</f>
        <v/>
      </c>
      <c r="F319" s="203">
        <f>COUNTIF(C:C,C319)</f>
        <v/>
      </c>
      <c r="G319" s="198">
        <f>+G318+7</f>
        <v/>
      </c>
      <c r="H319" s="361">
        <f>+CO319/CP319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7.48</v>
      </c>
      <c r="CP319" s="970" t="n">
        <v>0.8760599999999999</v>
      </c>
    </row>
    <row r="320">
      <c r="B320" s="204">
        <f>+C320-1</f>
        <v/>
      </c>
      <c r="C320" s="204">
        <f>IF(bands_A!$D$9+1&gt;MONTH(G320),YEAR(G320),YEAR(G320)+1)</f>
        <v/>
      </c>
      <c r="D320" s="204">
        <f>+C320+1</f>
        <v/>
      </c>
      <c r="E320" s="203">
        <f>IF(C320&gt;C319,1,E319+1)</f>
        <v/>
      </c>
      <c r="F320" s="203">
        <f>COUNTIF(C:C,C320)</f>
        <v/>
      </c>
      <c r="G320" s="198">
        <f>+G319+7</f>
        <v/>
      </c>
      <c r="H320" s="361">
        <f>+CO320/CP320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7.65</v>
      </c>
      <c r="CP320" s="970" t="n">
        <v>0.87692</v>
      </c>
    </row>
    <row r="321">
      <c r="B321" s="204">
        <f>+C321-1</f>
        <v/>
      </c>
      <c r="C321" s="204">
        <f>IF(bands_A!$D$9+1&gt;MONTH(G321),YEAR(G321),YEAR(G321)+1)</f>
        <v/>
      </c>
      <c r="D321" s="204">
        <f>+C321+1</f>
        <v/>
      </c>
      <c r="E321" s="203">
        <f>IF(C321&gt;C320,1,E320+1)</f>
        <v/>
      </c>
      <c r="F321" s="203">
        <f>COUNTIF(C:C,C321)</f>
        <v/>
      </c>
      <c r="G321" s="198">
        <f>+G320+7</f>
        <v/>
      </c>
      <c r="H321" s="361">
        <f>+CO321/CP321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7.32</v>
      </c>
      <c r="CP321" s="970" t="n">
        <v>0.87713</v>
      </c>
    </row>
    <row r="322">
      <c r="B322" s="204">
        <f>+C322-1</f>
        <v/>
      </c>
      <c r="C322" s="204">
        <f>IF(bands_A!$D$9+1&gt;MONTH(G322),YEAR(G322),YEAR(G322)+1)</f>
        <v/>
      </c>
      <c r="D322" s="204">
        <f>+C322+1</f>
        <v/>
      </c>
      <c r="E322" s="203">
        <f>IF(C322&gt;C321,1,E321+1)</f>
        <v/>
      </c>
      <c r="F322" s="203">
        <f>COUNTIF(C:C,C322)</f>
        <v/>
      </c>
      <c r="G322" s="198">
        <f>+G321+7</f>
        <v/>
      </c>
      <c r="H322" s="361">
        <f>+CO322/CP322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7.31</v>
      </c>
      <c r="CP322" s="970" t="n">
        <v>0.8734</v>
      </c>
    </row>
    <row r="323">
      <c r="B323" s="204">
        <f>+C323-1</f>
        <v/>
      </c>
      <c r="C323" s="204">
        <f>IF(bands_A!$D$9+1&gt;MONTH(G323),YEAR(G323),YEAR(G323)+1)</f>
        <v/>
      </c>
      <c r="D323" s="204">
        <f>+C323+1</f>
        <v/>
      </c>
      <c r="E323" s="203">
        <f>IF(C323&gt;C322,1,E322+1)</f>
        <v/>
      </c>
      <c r="F323" s="203">
        <f>COUNTIF(C:C,C323)</f>
        <v/>
      </c>
      <c r="G323" s="198">
        <f>+G322+7</f>
        <v/>
      </c>
      <c r="H323" s="361">
        <f>+CO323/CP323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6.49</v>
      </c>
      <c r="CP323" s="970" t="n">
        <v>0.86866</v>
      </c>
    </row>
    <row r="324">
      <c r="B324" s="204">
        <f>+C324-1</f>
        <v/>
      </c>
      <c r="C324" s="204">
        <f>IF(bands_A!$D$9+1&gt;MONTH(G324),YEAR(G324),YEAR(G324)+1)</f>
        <v/>
      </c>
      <c r="D324" s="204">
        <f>+C324+1</f>
        <v/>
      </c>
      <c r="E324" s="203">
        <f>IF(C324&gt;C323,1,E323+1)</f>
        <v/>
      </c>
      <c r="F324" s="203">
        <f>COUNTIF(C:C,C324)</f>
        <v/>
      </c>
      <c r="G324" s="198">
        <f>+G323+7</f>
        <v/>
      </c>
      <c r="H324" s="361">
        <f>+CO324/CP324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6.73</v>
      </c>
      <c r="CP324" s="970" t="n">
        <v>0.87235</v>
      </c>
    </row>
    <row r="325">
      <c r="B325" s="204">
        <f>+C325-1</f>
        <v/>
      </c>
      <c r="C325" s="204">
        <f>IF(bands_A!$D$9+1&gt;MONTH(G325),YEAR(G325),YEAR(G325)+1)</f>
        <v/>
      </c>
      <c r="D325" s="204">
        <f>+C325+1</f>
        <v/>
      </c>
      <c r="E325" s="203">
        <f>IF(C325&gt;C324,1,E324+1)</f>
        <v/>
      </c>
      <c r="F325" s="203">
        <f>COUNTIF(C:C,C325)</f>
        <v/>
      </c>
      <c r="G325" s="198">
        <f>+G324+7</f>
        <v/>
      </c>
      <c r="H325" s="361">
        <f>+CO325/CP325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6.83</v>
      </c>
      <c r="CP325" s="970" t="n">
        <v>0.87131</v>
      </c>
    </row>
    <row r="326">
      <c r="B326" s="204">
        <f>+C326-1</f>
        <v/>
      </c>
      <c r="C326" s="204">
        <f>IF(bands_A!$D$9+1&gt;MONTH(G326),YEAR(G326),YEAR(G326)+1)</f>
        <v/>
      </c>
      <c r="D326" s="204">
        <f>+C326+1</f>
        <v/>
      </c>
      <c r="E326" s="203">
        <f>IF(C326&gt;C325,1,E325+1)</f>
        <v/>
      </c>
      <c r="F326" s="203">
        <f>COUNTIF(C:C,C326)</f>
        <v/>
      </c>
      <c r="G326" s="198">
        <f>+G325+7</f>
        <v/>
      </c>
      <c r="H326" s="361">
        <f>+CO326/CP326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7.22</v>
      </c>
      <c r="CP326" s="970" t="n">
        <v>0.87276</v>
      </c>
    </row>
    <row r="327">
      <c r="B327" s="204">
        <f>+C327-1</f>
        <v/>
      </c>
      <c r="C327" s="204">
        <f>IF(bands_A!$D$9+1&gt;MONTH(G327),YEAR(G327),YEAR(G327)+1)</f>
        <v/>
      </c>
      <c r="D327" s="204">
        <f>+C327+1</f>
        <v/>
      </c>
      <c r="E327" s="203">
        <f>IF(C327&gt;C326,1,E326+1)</f>
        <v/>
      </c>
      <c r="F327" s="203">
        <f>COUNTIF(C:C,C327)</f>
        <v/>
      </c>
      <c r="G327" s="198">
        <f>+G326+7</f>
        <v/>
      </c>
      <c r="H327" s="361">
        <f>+CO327/CP327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7.43</v>
      </c>
      <c r="CP327" s="970" t="n">
        <v>0.87224</v>
      </c>
    </row>
    <row r="328">
      <c r="B328" s="204">
        <f>+C328-1</f>
        <v/>
      </c>
      <c r="C328" s="204">
        <f>IF(bands_A!$D$9+1&gt;MONTH(G328),YEAR(G328),YEAR(G328)+1)</f>
        <v/>
      </c>
      <c r="D328" s="204">
        <f>+C328+1</f>
        <v/>
      </c>
      <c r="E328" s="203">
        <f>IF(C328&gt;C327,1,E327+1)</f>
        <v/>
      </c>
      <c r="F328" s="203">
        <f>COUNTIF(C:C,C328)</f>
        <v/>
      </c>
      <c r="G328" s="198">
        <f>+G327+7</f>
        <v/>
      </c>
      <c r="H328" s="361">
        <f>+CO328/CP328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7.36</v>
      </c>
      <c r="CP328" s="970" t="n">
        <v>0.87199</v>
      </c>
    </row>
    <row r="329">
      <c r="B329" s="204">
        <f>+C329-1</f>
        <v/>
      </c>
      <c r="C329" s="204">
        <f>IF(bands_A!$D$9+1&gt;MONTH(G329),YEAR(G329),YEAR(G329)+1)</f>
        <v/>
      </c>
      <c r="D329" s="204">
        <f>+C329+1</f>
        <v/>
      </c>
      <c r="E329" s="203">
        <f>IF(C329&gt;C328,1,E328+1)</f>
        <v/>
      </c>
      <c r="F329" s="203">
        <f>COUNTIF(C:C,C329)</f>
        <v/>
      </c>
      <c r="G329" s="198">
        <f>+G328+7</f>
        <v/>
      </c>
      <c r="H329" s="361">
        <f>+CO329/CP329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7.73</v>
      </c>
      <c r="CP329" s="970" t="n">
        <v>0.8744</v>
      </c>
    </row>
    <row r="330">
      <c r="B330" s="204">
        <f>+C330-1</f>
        <v/>
      </c>
      <c r="C330" s="204">
        <f>IF(bands_A!$D$9+1&gt;MONTH(G330),YEAR(G330),YEAR(G330)+1)</f>
        <v/>
      </c>
      <c r="D330" s="204">
        <f>+C330+1</f>
        <v/>
      </c>
      <c r="E330" s="203">
        <f>IF(C330&gt;C329,1,E329+1)</f>
        <v/>
      </c>
      <c r="F330" s="203">
        <f>COUNTIF(C:C,C330)</f>
        <v/>
      </c>
      <c r="G330" s="198">
        <f>+G329+7</f>
        <v/>
      </c>
      <c r="H330" s="361">
        <f>+CO330/CP330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7.56</v>
      </c>
      <c r="CP330" s="970" t="n">
        <v>0.87347</v>
      </c>
    </row>
    <row r="331">
      <c r="B331" s="204">
        <f>+C331-1</f>
        <v/>
      </c>
      <c r="C331" s="204">
        <f>IF(bands_A!$D$9+1&gt;MONTH(G331),YEAR(G331),YEAR(G331)+1)</f>
        <v/>
      </c>
      <c r="D331" s="204">
        <f>+C331+1</f>
        <v/>
      </c>
      <c r="E331" s="203">
        <f>IF(C331&gt;C330,1,E330+1)</f>
        <v/>
      </c>
      <c r="F331" s="203">
        <f>COUNTIF(C:C,C331)</f>
        <v/>
      </c>
      <c r="G331" s="198">
        <f>+G330+7</f>
        <v/>
      </c>
      <c r="H331" s="361">
        <f>+CO331/CP331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7.43</v>
      </c>
      <c r="CP331" s="970" t="n">
        <v>0.87397</v>
      </c>
    </row>
    <row r="332">
      <c r="B332" s="204">
        <f>+C332-1</f>
        <v/>
      </c>
      <c r="C332" s="204">
        <f>IF(bands_A!$D$9+1&gt;MONTH(G332),YEAR(G332),YEAR(G332)+1)</f>
        <v/>
      </c>
      <c r="D332" s="204">
        <f>+C332+1</f>
        <v/>
      </c>
      <c r="E332" s="203">
        <f>IF(C332&gt;C331,1,E331+1)</f>
        <v/>
      </c>
      <c r="F332" s="203">
        <f>COUNTIF(C:C,C332)</f>
        <v/>
      </c>
      <c r="G332" s="198">
        <f>+G331+7</f>
        <v/>
      </c>
      <c r="H332" s="361">
        <f>+CO332/CP332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7.98</v>
      </c>
      <c r="CP332" s="970" t="n">
        <v>0.87554</v>
      </c>
    </row>
    <row r="333">
      <c r="B333" s="204">
        <f>+C333-1</f>
        <v/>
      </c>
      <c r="C333" s="204">
        <f>IF(bands_A!$D$9+1&gt;MONTH(G333),YEAR(G333),YEAR(G333)+1)</f>
        <v/>
      </c>
      <c r="D333" s="204">
        <f>+C333+1</f>
        <v/>
      </c>
      <c r="E333" s="203">
        <f>IF(C333&gt;C332,1,E332+1)</f>
        <v/>
      </c>
      <c r="F333" s="203">
        <f>COUNTIF(C:C,C333)</f>
        <v/>
      </c>
      <c r="G333" s="198">
        <f>+G332+7</f>
        <v/>
      </c>
      <c r="H333" s="361">
        <f>+CO333/CP333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8.09</v>
      </c>
      <c r="CP333" s="970" t="n">
        <v>0.87143</v>
      </c>
    </row>
    <row r="334">
      <c r="B334" s="204">
        <f>+C334-1</f>
        <v/>
      </c>
      <c r="C334" s="204">
        <f>IF(bands_A!$D$9+1&gt;MONTH(G334),YEAR(G334),YEAR(G334)+1)</f>
        <v/>
      </c>
      <c r="D334" s="204">
        <f>+C334+1</f>
        <v/>
      </c>
      <c r="E334" s="203">
        <f>IF(C334&gt;C333,1,E333+1)</f>
        <v/>
      </c>
      <c r="F334" s="203">
        <f>COUNTIF(C:C,C334)</f>
        <v/>
      </c>
      <c r="G334" s="198">
        <f>+G333+7</f>
        <v/>
      </c>
      <c r="H334" s="361">
        <f>+CO334/CP334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7.84</v>
      </c>
      <c r="CP334" s="970" t="n">
        <v>0.86604</v>
      </c>
    </row>
    <row r="335">
      <c r="B335" s="204">
        <f>+C335-1</f>
        <v/>
      </c>
      <c r="C335" s="204">
        <f>IF(bands_A!$D$9+1&gt;MONTH(G335),YEAR(G335),YEAR(G335)+1)</f>
        <v/>
      </c>
      <c r="D335" s="204">
        <f>+C335+1</f>
        <v/>
      </c>
      <c r="E335" s="203">
        <f>IF(C335&gt;C334,1,E334+1)</f>
        <v/>
      </c>
      <c r="F335" s="203">
        <f>COUNTIF(C:C,C335)</f>
        <v/>
      </c>
      <c r="G335" s="198">
        <f>+G334+7</f>
        <v/>
      </c>
      <c r="H335" s="361">
        <f>+CO335/CP335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7.92</v>
      </c>
      <c r="CP335" s="970" t="n">
        <v>0.86247</v>
      </c>
    </row>
    <row r="336">
      <c r="B336" s="204">
        <f>+C336-1</f>
        <v/>
      </c>
      <c r="C336" s="204">
        <f>IF(bands_A!$D$9+1&gt;MONTH(G336),YEAR(G336),YEAR(G336)+1)</f>
        <v/>
      </c>
      <c r="D336" s="204">
        <f>+C336+1</f>
        <v/>
      </c>
      <c r="E336" s="203">
        <f>IF(C336&gt;C335,1,E335+1)</f>
        <v/>
      </c>
      <c r="F336" s="203">
        <f>COUNTIF(C:C,C336)</f>
        <v/>
      </c>
      <c r="G336" s="198">
        <f>+G335+7</f>
        <v/>
      </c>
      <c r="H336" s="361">
        <f>+CO336/CP336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8.27</v>
      </c>
      <c r="CP336" s="970" t="n">
        <v>0.86174</v>
      </c>
    </row>
    <row r="337">
      <c r="B337" s="204">
        <f>+C337-1</f>
        <v/>
      </c>
      <c r="C337" s="204">
        <f>IF(bands_A!$D$9+1&gt;MONTH(G337),YEAR(G337),YEAR(G337)+1)</f>
        <v/>
      </c>
      <c r="D337" s="204">
        <f>+C337+1</f>
        <v/>
      </c>
      <c r="E337" s="203">
        <f>IF(C337&gt;C336,1,E336+1)</f>
        <v/>
      </c>
      <c r="F337" s="203">
        <f>COUNTIF(C:C,C337)</f>
        <v/>
      </c>
      <c r="G337" s="198">
        <f>+G336+7</f>
        <v/>
      </c>
      <c r="H337" s="361">
        <f>+CO337/CP337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8.59</v>
      </c>
      <c r="CP337" s="970" t="n">
        <v>0.85994</v>
      </c>
    </row>
    <row r="338">
      <c r="B338" s="204">
        <f>+C338-1</f>
        <v/>
      </c>
      <c r="C338" s="204">
        <f>IF(bands_A!$D$9+1&gt;MONTH(G338),YEAR(G338),YEAR(G338)+1)</f>
        <v/>
      </c>
      <c r="D338" s="204">
        <f>+C338+1</f>
        <v/>
      </c>
      <c r="E338" s="203">
        <f>IF(C338&gt;C337,1,E337+1)</f>
        <v/>
      </c>
      <c r="F338" s="203">
        <f>COUNTIF(C:C,C338)</f>
        <v/>
      </c>
      <c r="G338" s="198">
        <f>+G337+7</f>
        <v/>
      </c>
      <c r="H338" s="361">
        <f>+CO338/CP338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9.35</v>
      </c>
      <c r="CP338" s="970" t="n">
        <v>0.85614</v>
      </c>
    </row>
    <row r="339">
      <c r="B339" s="204">
        <f>+C339-1</f>
        <v/>
      </c>
      <c r="C339" s="204">
        <f>IF(bands_A!$D$9+1&gt;MONTH(G339),YEAR(G339),YEAR(G339)+1)</f>
        <v/>
      </c>
      <c r="D339" s="204">
        <f>+C339+1</f>
        <v/>
      </c>
      <c r="E339" s="203">
        <f>IF(C339&gt;C338,1,E338+1)</f>
        <v/>
      </c>
      <c r="F339" s="203">
        <f>COUNTIF(C:C,C339)</f>
        <v/>
      </c>
      <c r="G339" s="198">
        <f>+G338+7</f>
        <v/>
      </c>
      <c r="H339" s="361">
        <f>+CO339/CP339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9.43</v>
      </c>
      <c r="CP339" s="970" t="n">
        <v>0.85791</v>
      </c>
    </row>
    <row r="340">
      <c r="B340" s="204">
        <f>+C340-1</f>
        <v/>
      </c>
      <c r="C340" s="204">
        <f>IF(bands_A!$D$9+1&gt;MONTH(G340),YEAR(G340),YEAR(G340)+1)</f>
        <v/>
      </c>
      <c r="D340" s="204">
        <f>+C340+1</f>
        <v/>
      </c>
      <c r="E340" s="203">
        <f>IF(C340&gt;C339,1,E339+1)</f>
        <v/>
      </c>
      <c r="F340" s="203">
        <f>COUNTIF(C:C,C340)</f>
        <v/>
      </c>
      <c r="G340" s="198">
        <f>+G339+7</f>
        <v/>
      </c>
      <c r="H340" s="361">
        <f>+CO340/CP340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10.1</v>
      </c>
      <c r="CP340" s="970" t="n">
        <v>0.86088</v>
      </c>
    </row>
    <row r="341">
      <c r="B341" s="204">
        <f>+C341-1</f>
        <v/>
      </c>
      <c r="C341" s="204">
        <f>IF(bands_A!$D$9+1&gt;MONTH(G341),YEAR(G341),YEAR(G341)+1)</f>
        <v/>
      </c>
      <c r="D341" s="204">
        <f>+C341+1</f>
        <v/>
      </c>
      <c r="E341" s="203">
        <f>IF(C341&gt;C340,1,E340+1)</f>
        <v/>
      </c>
      <c r="F341" s="203">
        <f>COUNTIF(C:C,C341)</f>
        <v/>
      </c>
      <c r="G341" s="198">
        <f>+G340+7</f>
        <v/>
      </c>
      <c r="H341" s="361">
        <f>+CO341/CP341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9.99</v>
      </c>
      <c r="CP341" s="970" t="n">
        <v>0.85882</v>
      </c>
    </row>
    <row r="342">
      <c r="B342" s="204">
        <f>+C342-1</f>
        <v/>
      </c>
      <c r="C342" s="204">
        <f>IF(bands_A!$D$9+1&gt;MONTH(G342),YEAR(G342),YEAR(G342)+1)</f>
        <v/>
      </c>
      <c r="D342" s="204">
        <f>+C342+1</f>
        <v/>
      </c>
      <c r="E342" s="203">
        <f>IF(C342&gt;C341,1,E341+1)</f>
        <v/>
      </c>
      <c r="F342" s="203">
        <f>COUNTIF(C:C,C342)</f>
        <v/>
      </c>
      <c r="G342" s="198">
        <f>+G341+7</f>
        <v/>
      </c>
      <c r="H342" s="361">
        <f>+CO342/CP342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8.98</v>
      </c>
      <c r="CP342" s="970" t="n">
        <v>0.85625</v>
      </c>
    </row>
    <row r="343">
      <c r="B343" s="204">
        <f>+C343-1</f>
        <v/>
      </c>
      <c r="C343" s="204">
        <f>IF(bands_A!$D$9+1&gt;MONTH(G343),YEAR(G343),YEAR(G343)+1)</f>
        <v/>
      </c>
      <c r="D343" s="204">
        <f>+C343+1</f>
        <v/>
      </c>
      <c r="E343" s="203">
        <f>IF(C343&gt;C342,1,E342+1)</f>
        <v/>
      </c>
      <c r="F343" s="203">
        <f>COUNTIF(C:C,C343)</f>
        <v/>
      </c>
      <c r="G343" s="198">
        <f>+G342+7</f>
        <v/>
      </c>
      <c r="H343" s="361">
        <f>+CO343/CP343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8.51</v>
      </c>
      <c r="CP343" s="970" t="n">
        <v>0.85621</v>
      </c>
    </row>
    <row r="344">
      <c r="B344" s="204">
        <f>+C344-1</f>
        <v/>
      </c>
      <c r="C344" s="204">
        <f>IF(bands_A!$D$9+1&gt;MONTH(G344),YEAR(G344),YEAR(G344)+1)</f>
        <v/>
      </c>
      <c r="D344" s="204">
        <f>+C344+1</f>
        <v/>
      </c>
      <c r="E344" s="203">
        <f>IF(C344&gt;C343,1,E343+1)</f>
        <v/>
      </c>
      <c r="F344" s="203">
        <f>COUNTIF(C:C,C344)</f>
        <v/>
      </c>
      <c r="G344" s="198">
        <f>+G343+7</f>
        <v/>
      </c>
      <c r="H344" s="361">
        <f>+CO344/CP344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8.5</v>
      </c>
      <c r="CP344" s="970" t="n">
        <v>0.85882</v>
      </c>
    </row>
    <row r="345">
      <c r="B345" s="204">
        <f>+C345-1</f>
        <v/>
      </c>
      <c r="C345" s="204">
        <f>IF(bands_A!$D$9+1&gt;MONTH(G345),YEAR(G345),YEAR(G345)+1)</f>
        <v/>
      </c>
      <c r="D345" s="204">
        <f>+C345+1</f>
        <v/>
      </c>
      <c r="E345" s="203">
        <f>IF(C345&gt;C344,1,E344+1)</f>
        <v/>
      </c>
      <c r="F345" s="203">
        <f>COUNTIF(C:C,C345)</f>
        <v/>
      </c>
      <c r="G345" s="198">
        <f>+G344+7</f>
        <v/>
      </c>
      <c r="H345" s="361">
        <f>+CO345/CP345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8.279999999999999</v>
      </c>
      <c r="CP345" s="970" t="n">
        <v>0.85799</v>
      </c>
    </row>
    <row r="346">
      <c r="B346" s="204">
        <f>+C346-1</f>
        <v/>
      </c>
      <c r="C346" s="204">
        <f>IF(bands_A!$D$9+1&gt;MONTH(G346),YEAR(G346),YEAR(G346)+1)</f>
        <v/>
      </c>
      <c r="D346" s="204">
        <f>+C346+1</f>
        <v/>
      </c>
      <c r="E346" s="203">
        <f>IF(C346&gt;C345,1,E345+1)</f>
        <v/>
      </c>
      <c r="F346" s="203">
        <f>COUNTIF(C:C,C346)</f>
        <v/>
      </c>
      <c r="G346" s="198">
        <f>+G345+7</f>
        <v/>
      </c>
      <c r="H346" s="361">
        <f>+CO346/CP346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8.460000000000001</v>
      </c>
      <c r="CP346" s="970" t="n">
        <v>0.85638</v>
      </c>
    </row>
    <row r="347">
      <c r="B347" s="204">
        <f>+C347-1</f>
        <v/>
      </c>
      <c r="C347" s="204">
        <f>IF(bands_A!$D$9+1&gt;MONTH(G347),YEAR(G347),YEAR(G347)+1)</f>
        <v/>
      </c>
      <c r="D347" s="204">
        <f>+C347+1</f>
        <v/>
      </c>
      <c r="E347" s="203">
        <f>IF(C347&gt;C346,1,E346+1)</f>
        <v/>
      </c>
      <c r="F347" s="203">
        <f>COUNTIF(C:C,C347)</f>
        <v/>
      </c>
      <c r="G347" s="198">
        <f>+G346+7</f>
        <v/>
      </c>
      <c r="H347" s="361">
        <f>+CO347/CP347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8.699999999999999</v>
      </c>
      <c r="CP347" s="970" t="n">
        <v>0.85667</v>
      </c>
    </row>
    <row r="348">
      <c r="B348" s="204">
        <f>+C348-1</f>
        <v/>
      </c>
      <c r="C348" s="204">
        <f>IF(bands_A!$D$9+1&gt;MONTH(G348),YEAR(G348),YEAR(G348)+1)</f>
        <v/>
      </c>
      <c r="D348" s="204">
        <f>+C348+1</f>
        <v/>
      </c>
      <c r="E348" s="203">
        <f>IF(C348&gt;C347,1,E347+1)</f>
        <v/>
      </c>
      <c r="F348" s="203">
        <f>COUNTIF(C:C,C348)</f>
        <v/>
      </c>
      <c r="G348" s="198">
        <f>+G347+7</f>
        <v/>
      </c>
      <c r="H348" s="361">
        <f>+CO348/CP348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8.27</v>
      </c>
      <c r="CP348" s="970" t="n">
        <v>0.85231</v>
      </c>
    </row>
    <row r="349">
      <c r="B349" s="204">
        <f>+C349-1</f>
        <v/>
      </c>
      <c r="C349" s="204">
        <f>IF(bands_A!$D$9+1&gt;MONTH(G349),YEAR(G349),YEAR(G349)+1)</f>
        <v/>
      </c>
      <c r="D349" s="204">
        <f>+C349+1</f>
        <v/>
      </c>
      <c r="E349" s="203">
        <f>IF(C349&gt;C348,1,E348+1)</f>
        <v/>
      </c>
      <c r="F349" s="203">
        <f>COUNTIF(C:C,C349)</f>
        <v/>
      </c>
      <c r="G349" s="198">
        <f>+G348+7</f>
        <v/>
      </c>
      <c r="H349" s="361">
        <f>+CO349/CP349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8.48</v>
      </c>
      <c r="CP349" s="970" t="n">
        <v>0.84777</v>
      </c>
    </row>
    <row r="350">
      <c r="B350" s="204">
        <f>+C350-1</f>
        <v/>
      </c>
      <c r="C350" s="204">
        <f>IF(bands_A!$D$9+1&gt;MONTH(G350),YEAR(G350),YEAR(G350)+1)</f>
        <v/>
      </c>
      <c r="D350" s="204">
        <f>+C350+1</f>
        <v/>
      </c>
      <c r="E350" s="203">
        <f>IF(C350&gt;C349,1,E349+1)</f>
        <v/>
      </c>
      <c r="F350" s="203">
        <f>COUNTIF(C:C,C350)</f>
        <v/>
      </c>
      <c r="G350" s="198">
        <f>+G349+7</f>
        <v/>
      </c>
      <c r="H350" s="361">
        <f>+CO350/CP350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8.529999999999999</v>
      </c>
      <c r="CP350" s="970" t="n">
        <v>0.85305</v>
      </c>
    </row>
    <row r="351">
      <c r="B351" s="204">
        <f>+C351-1</f>
        <v/>
      </c>
      <c r="C351" s="204">
        <f>IF(bands_A!$D$9+1&gt;MONTH(G351),YEAR(G351),YEAR(G351)+1)</f>
        <v/>
      </c>
      <c r="D351" s="204">
        <f>+C351+1</f>
        <v/>
      </c>
      <c r="E351" s="203">
        <f>IF(C351&gt;C350,1,E350+1)</f>
        <v/>
      </c>
      <c r="F351" s="203">
        <f>COUNTIF(C:C,C351)</f>
        <v/>
      </c>
      <c r="G351" s="198">
        <f>+G350+7</f>
        <v/>
      </c>
      <c r="H351" s="361">
        <f>+CO351/CP351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8.210000000000001</v>
      </c>
      <c r="CP351" s="970" t="n">
        <v>0.8476399999999999</v>
      </c>
    </row>
    <row r="352">
      <c r="B352" s="204">
        <f>+C352-1</f>
        <v/>
      </c>
      <c r="C352" s="204">
        <f>IF(bands_A!$D$9+1&gt;MONTH(G352),YEAR(G352),YEAR(G352)+1)</f>
        <v/>
      </c>
      <c r="D352" s="204">
        <f>+C352+1</f>
        <v/>
      </c>
      <c r="E352" s="203">
        <f>IF(C352&gt;C351,1,E351+1)</f>
        <v/>
      </c>
      <c r="F352" s="203">
        <f>COUNTIF(C:C,C352)</f>
        <v/>
      </c>
      <c r="G352" s="198">
        <f>+G351+7</f>
        <v/>
      </c>
      <c r="H352" s="361">
        <f>+CO352/CP352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8.119999999999999</v>
      </c>
      <c r="CP352" s="970" t="n">
        <v>0.84521</v>
      </c>
    </row>
    <row r="353">
      <c r="B353" s="204">
        <f>+C353-1</f>
        <v/>
      </c>
      <c r="C353" s="204">
        <f>IF(bands_A!$D$9+1&gt;MONTH(G353),YEAR(G353),YEAR(G353)+1)</f>
        <v/>
      </c>
      <c r="D353" s="204">
        <f>+C353+1</f>
        <v/>
      </c>
      <c r="E353" s="203">
        <f>IF(C353&gt;C352,1,E352+1)</f>
        <v/>
      </c>
      <c r="F353" s="203">
        <f>COUNTIF(C:C,C353)</f>
        <v/>
      </c>
      <c r="G353" s="198">
        <f>+G352+7</f>
        <v/>
      </c>
      <c r="H353" s="361">
        <f>+CO353/CP353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8.84</v>
      </c>
      <c r="CP353" s="970" t="n">
        <v>0.84661</v>
      </c>
    </row>
    <row r="354">
      <c r="B354" s="204">
        <f>+C354-1</f>
        <v/>
      </c>
      <c r="C354" s="204">
        <f>IF(bands_A!$D$9+1&gt;MONTH(G354),YEAR(G354),YEAR(G354)+1)</f>
        <v/>
      </c>
      <c r="D354" s="204">
        <f>+C354+1</f>
        <v/>
      </c>
      <c r="E354" s="203">
        <f>IF(C354&gt;C353,1,E353+1)</f>
        <v/>
      </c>
      <c r="F354" s="203">
        <f>COUNTIF(C:C,C354)</f>
        <v/>
      </c>
      <c r="G354" s="198">
        <f>+G353+7</f>
        <v/>
      </c>
      <c r="H354" s="361">
        <f>+CO354/CP354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8.869999999999999</v>
      </c>
      <c r="CP354" s="970" t="n">
        <v>0.84575</v>
      </c>
    </row>
    <row r="355">
      <c r="B355" s="204">
        <f>+C355-1</f>
        <v/>
      </c>
      <c r="C355" s="204">
        <f>IF(bands_A!$D$9+1&gt;MONTH(G355),YEAR(G355),YEAR(G355)+1)</f>
        <v/>
      </c>
      <c r="D355" s="204">
        <f>+C355+1</f>
        <v/>
      </c>
      <c r="E355" s="203">
        <f>IF(C355&gt;C354,1,E354+1)</f>
        <v/>
      </c>
      <c r="F355" s="203">
        <f>COUNTIF(C:C,C355)</f>
        <v/>
      </c>
      <c r="G355" s="198">
        <f>+G354+7</f>
        <v/>
      </c>
      <c r="H355" s="361">
        <f>+CO355/CP355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8.960000000000001</v>
      </c>
      <c r="CP355" s="970" t="n">
        <v>0.84559</v>
      </c>
    </row>
    <row r="356">
      <c r="B356" s="204">
        <f>+C356-1</f>
        <v/>
      </c>
      <c r="C356" s="204">
        <f>IF(bands_A!$D$9+1&gt;MONTH(G356),YEAR(G356),YEAR(G356)+1)</f>
        <v/>
      </c>
      <c r="D356" s="204">
        <f>+C356+1</f>
        <v/>
      </c>
      <c r="E356" s="203">
        <f>IF(C356&gt;C355,1,E355+1)</f>
        <v/>
      </c>
      <c r="F356" s="203">
        <f>COUNTIF(C:C,C356)</f>
        <v/>
      </c>
      <c r="G356" s="198">
        <f>+G355+7</f>
        <v/>
      </c>
      <c r="H356" s="361">
        <f>+CO356/CP356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9.07</v>
      </c>
      <c r="CP356" s="970" t="n">
        <v>0.84414</v>
      </c>
    </row>
    <row r="357">
      <c r="B357" s="204">
        <f>+C357-1</f>
        <v/>
      </c>
      <c r="C357" s="204">
        <f>IF(bands_A!$D$9+1&gt;MONTH(G357),YEAR(G357),YEAR(G357)+1)</f>
        <v/>
      </c>
      <c r="D357" s="204">
        <f>+C357+1</f>
        <v/>
      </c>
      <c r="E357" s="203">
        <f>IF(C357&gt;C356,1,E356+1)</f>
        <v/>
      </c>
      <c r="F357" s="203">
        <f>COUNTIF(C:C,C357)</f>
        <v/>
      </c>
      <c r="G357" s="198">
        <f>+G356+7</f>
        <v/>
      </c>
      <c r="H357" s="361">
        <f>+CO357/CP357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9.02</v>
      </c>
      <c r="CP357" s="970" t="n">
        <v>0.84393</v>
      </c>
    </row>
    <row r="358">
      <c r="B358" s="204">
        <f>+C358-1</f>
        <v/>
      </c>
      <c r="C358" s="204">
        <f>IF(bands_A!$D$9+1&gt;MONTH(G358),YEAR(G358),YEAR(G358)+1)</f>
        <v/>
      </c>
      <c r="D358" s="204">
        <f>+C358+1</f>
        <v/>
      </c>
      <c r="E358" s="203">
        <f>IF(C358&gt;C357,1,E357+1)</f>
        <v/>
      </c>
      <c r="F358" s="203">
        <f>COUNTIF(C:C,C358)</f>
        <v/>
      </c>
      <c r="G358" s="198">
        <f>+G357+7</f>
        <v/>
      </c>
      <c r="H358" s="361">
        <f>+CO358/CP358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8.869999999999999</v>
      </c>
      <c r="CP358" s="970" t="n">
        <v>0.84344</v>
      </c>
    </row>
    <row r="359">
      <c r="B359" s="204">
        <f>+C359-1</f>
        <v/>
      </c>
      <c r="C359" s="204">
        <f>IF(bands_A!$D$9+1&gt;MONTH(G359),YEAR(G359),YEAR(G359)+1)</f>
        <v/>
      </c>
      <c r="D359" s="204">
        <f>+C359+1</f>
        <v/>
      </c>
      <c r="E359" s="203">
        <f>IF(C359&gt;C358,1,E358+1)</f>
        <v/>
      </c>
      <c r="F359" s="203">
        <f>COUNTIF(C:C,C359)</f>
        <v/>
      </c>
      <c r="G359" s="198">
        <f>+G358+7</f>
        <v/>
      </c>
      <c r="H359" s="361">
        <f>+CO359/CP359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8.84</v>
      </c>
      <c r="CP359" s="970" t="n">
        <v>0.84422</v>
      </c>
    </row>
    <row r="360">
      <c r="B360" s="204">
        <f>+C360-1</f>
        <v/>
      </c>
      <c r="C360" s="204">
        <f>IF(bands_A!$D$9+1&gt;MONTH(G360),YEAR(G360),YEAR(G360)+1)</f>
        <v/>
      </c>
      <c r="D360" s="204">
        <f>+C360+1</f>
        <v/>
      </c>
      <c r="E360" s="203">
        <f>IF(C360&gt;C359,1,E359+1)</f>
        <v/>
      </c>
      <c r="F360" s="203">
        <f>COUNTIF(C:C,C360)</f>
        <v/>
      </c>
      <c r="G360" s="198">
        <f>+G359+7</f>
        <v/>
      </c>
      <c r="H360" s="361">
        <f>+CO360/CP360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8.01</v>
      </c>
      <c r="CP360" s="970" t="n">
        <v>0.84218</v>
      </c>
    </row>
    <row r="361">
      <c r="B361" s="204">
        <f>+C361-1</f>
        <v/>
      </c>
      <c r="C361" s="204">
        <f>IF(bands_A!$D$9+1&gt;MONTH(G361),YEAR(G361),YEAR(G361)+1)</f>
        <v/>
      </c>
      <c r="D361" s="204">
        <f>+C361+1</f>
        <v/>
      </c>
      <c r="E361" s="203">
        <f>IF(C361&gt;C360,1,E360+1)</f>
        <v/>
      </c>
      <c r="F361" s="203">
        <f>COUNTIF(C:C,C361)</f>
        <v/>
      </c>
      <c r="G361" s="198">
        <f>+G360+7</f>
        <v/>
      </c>
      <c r="H361" s="361">
        <f>+CO361/CP361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8.07</v>
      </c>
      <c r="CP361" s="970" t="n">
        <v>0.84073</v>
      </c>
    </row>
    <row r="362">
      <c r="B362" s="204">
        <f>+C362-1</f>
        <v/>
      </c>
      <c r="C362" s="204">
        <f>IF(bands_A!$D$9+1&gt;MONTH(G362),YEAR(G362),YEAR(G362)+1)</f>
        <v/>
      </c>
      <c r="D362" s="204">
        <f>+C362+1</f>
        <v/>
      </c>
      <c r="E362" s="203">
        <f>IF(C362&gt;C361,1,E361+1)</f>
        <v/>
      </c>
      <c r="F362" s="203">
        <f>COUNTIF(C:C,C362)</f>
        <v/>
      </c>
      <c r="G362" s="198">
        <f>+G361+7</f>
        <v/>
      </c>
      <c r="H362" s="361">
        <f>+CO362/CP362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7.87</v>
      </c>
      <c r="CP362" s="970" t="n">
        <v>0.84176</v>
      </c>
    </row>
    <row r="363">
      <c r="B363" s="204">
        <f>+C363-1</f>
        <v/>
      </c>
      <c r="C363" s="204">
        <f>IF(bands_A!$D$9+1&gt;MONTH(G363),YEAR(G363),YEAR(G363)+1)</f>
        <v/>
      </c>
      <c r="D363" s="204">
        <f>+C363+1</f>
        <v/>
      </c>
      <c r="E363" s="203">
        <f>IF(C363&gt;C362,1,E362+1)</f>
        <v/>
      </c>
      <c r="F363" s="203">
        <f>COUNTIF(C:C,C363)</f>
        <v/>
      </c>
      <c r="G363" s="198">
        <f>+G362+7</f>
        <v/>
      </c>
      <c r="H363" s="361">
        <f>+CO363/CP363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8</v>
      </c>
      <c r="CP363" s="970" t="n">
        <v>0.84088</v>
      </c>
    </row>
    <row r="364">
      <c r="B364" s="204">
        <f>+C364-1</f>
        <v/>
      </c>
      <c r="C364" s="204">
        <f>IF(bands_A!$D$9+1&gt;MONTH(G364),YEAR(G364),YEAR(G364)+1)</f>
        <v/>
      </c>
      <c r="D364" s="204">
        <f>+C364+1</f>
        <v/>
      </c>
      <c r="E364" s="203">
        <f>IF(C364&gt;C363,1,E363+1)</f>
        <v/>
      </c>
      <c r="F364" s="203">
        <f>COUNTIF(C:C,C364)</f>
        <v/>
      </c>
      <c r="G364" s="198">
        <f>+G363+7</f>
        <v/>
      </c>
      <c r="H364" s="361">
        <f>+CO364/CP364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7.95</v>
      </c>
      <c r="CP364" s="970" t="n">
        <v>0.84021</v>
      </c>
    </row>
    <row r="365">
      <c r="B365" s="204">
        <f>+C365-1</f>
        <v/>
      </c>
      <c r="C365" s="204">
        <f>IF(bands_A!$D$9+1&gt;MONTH(G365),YEAR(G365),YEAR(G365)+1)</f>
        <v/>
      </c>
      <c r="D365" s="204">
        <f>+C365+1</f>
        <v/>
      </c>
      <c r="E365" s="203">
        <f>IF(C365&gt;C364,1,E364+1)</f>
        <v/>
      </c>
      <c r="F365" s="203">
        <f>COUNTIF(C:C,C365)</f>
        <v/>
      </c>
      <c r="G365" s="198">
        <f>+G364+7</f>
        <v/>
      </c>
      <c r="H365" s="361">
        <f>+CO365/CP365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7.98</v>
      </c>
      <c r="CP365" s="970" t="n">
        <v>0.8374200000000001</v>
      </c>
    </row>
    <row r="366">
      <c r="B366" s="204">
        <f>+C366-1</f>
        <v/>
      </c>
      <c r="C366" s="204">
        <f>IF(bands_A!$D$9+1&gt;MONTH(G366),YEAR(G366),YEAR(G366)+1)</f>
        <v/>
      </c>
      <c r="D366" s="204">
        <f>+C366+1</f>
        <v/>
      </c>
      <c r="E366" s="203">
        <f>IF(C366&gt;C365,1,E365+1)</f>
        <v/>
      </c>
      <c r="F366" s="203">
        <f>COUNTIF(C:C,C366)</f>
        <v/>
      </c>
      <c r="G366" s="198">
        <f>+G365+7</f>
        <v/>
      </c>
      <c r="H366" s="361">
        <f>+CO366/CP366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7.63</v>
      </c>
      <c r="CP366" s="970" t="n">
        <v>0.83574</v>
      </c>
    </row>
    <row r="367">
      <c r="B367" s="204">
        <f>+C367-1</f>
        <v/>
      </c>
      <c r="C367" s="204">
        <f>IF(bands_A!$D$9+1&gt;MONTH(G367),YEAR(G367),YEAR(G367)+1)</f>
        <v/>
      </c>
      <c r="D367" s="204">
        <f>+C367+1</f>
        <v/>
      </c>
      <c r="E367" s="203">
        <f>IF(C367&gt;C366,1,E366+1)</f>
        <v/>
      </c>
      <c r="F367" s="203">
        <f>COUNTIF(C:C,C367)</f>
        <v/>
      </c>
      <c r="G367" s="198">
        <f>+G366+7</f>
        <v/>
      </c>
      <c r="H367" s="361">
        <f>+CO367/CP367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7.78</v>
      </c>
      <c r="CP367" s="970" t="n">
        <v>0.83546</v>
      </c>
    </row>
    <row r="368">
      <c r="B368" s="204">
        <f>+C368-1</f>
        <v/>
      </c>
      <c r="C368" s="204">
        <f>IF(bands_A!$D$9+1&gt;MONTH(G368),YEAR(G368),YEAR(G368)+1)</f>
        <v/>
      </c>
      <c r="D368" s="204">
        <f>+C368+1</f>
        <v/>
      </c>
      <c r="E368" s="203">
        <f>IF(C368&gt;C367,1,E367+1)</f>
        <v/>
      </c>
      <c r="F368" s="203">
        <f>COUNTIF(C:C,C368)</f>
        <v/>
      </c>
      <c r="G368" s="198">
        <f>+G367+7</f>
        <v/>
      </c>
      <c r="H368" s="361">
        <f>+CO368/CP368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7.71</v>
      </c>
      <c r="CP368" s="970" t="n">
        <v>0.83591</v>
      </c>
    </row>
    <row r="369">
      <c r="B369" s="204">
        <f>+C369-1</f>
        <v/>
      </c>
      <c r="C369" s="204">
        <f>IF(bands_A!$D$9+1&gt;MONTH(G369),YEAR(G369),YEAR(G369)+1)</f>
        <v/>
      </c>
      <c r="D369" s="204">
        <f>+C369+1</f>
        <v/>
      </c>
      <c r="E369" s="203">
        <f>IF(C369&gt;C368,1,E368+1)</f>
        <v/>
      </c>
      <c r="F369" s="203">
        <f>COUNTIF(C:C,C369)</f>
        <v/>
      </c>
      <c r="G369" s="198">
        <f>+G368+7</f>
        <v/>
      </c>
      <c r="H369" s="361">
        <f>+CO369/CP369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7.71</v>
      </c>
      <c r="CP369" s="970" t="n">
        <v>0.83512</v>
      </c>
    </row>
    <row r="370">
      <c r="B370" s="204">
        <f>+C370-1</f>
        <v/>
      </c>
      <c r="C370" s="204">
        <f>IF(bands_A!$D$9+1&gt;MONTH(G370),YEAR(G370),YEAR(G370)+1)</f>
        <v/>
      </c>
      <c r="D370" s="204">
        <f>+C370+1</f>
        <v/>
      </c>
      <c r="E370" s="203">
        <f>IF(C370&gt;C369,1,E369+1)</f>
        <v/>
      </c>
      <c r="F370" s="203">
        <f>COUNTIF(C:C,C370)</f>
        <v/>
      </c>
      <c r="G370" s="198">
        <f>+G369+7</f>
        <v/>
      </c>
      <c r="H370" s="361">
        <f>+CO370/CP370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7.05</v>
      </c>
      <c r="CP370" s="970" t="n">
        <v>0.83444</v>
      </c>
    </row>
    <row r="371">
      <c r="B371" s="204">
        <f>+C371-1</f>
        <v/>
      </c>
      <c r="C371" s="204">
        <f>IF(bands_A!$D$9+1&gt;MONTH(G371),YEAR(G371),YEAR(G371)+1)</f>
        <v/>
      </c>
      <c r="D371" s="204">
        <f>+C371+1</f>
        <v/>
      </c>
      <c r="E371" s="203">
        <f>IF(C371&gt;C370,1,E370+1)</f>
        <v/>
      </c>
      <c r="F371" s="203">
        <f>COUNTIF(C:C,C371)</f>
        <v/>
      </c>
      <c r="G371" s="198">
        <f>+G370+7</f>
        <v/>
      </c>
      <c r="H371" s="361">
        <f>+CO371/CP371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6.88</v>
      </c>
      <c r="CP371" s="970" t="n">
        <v>0.83295</v>
      </c>
    </row>
    <row r="372">
      <c r="B372" s="204">
        <f>+C372-1</f>
        <v/>
      </c>
      <c r="C372" s="204">
        <f>IF(bands_A!$D$9+1&gt;MONTH(G372),YEAR(G372),YEAR(G372)+1)</f>
        <v/>
      </c>
      <c r="D372" s="204">
        <f>+C372+1</f>
        <v/>
      </c>
      <c r="E372" s="203">
        <f>IF(C372&gt;C371,1,E371+1)</f>
        <v/>
      </c>
      <c r="F372" s="203">
        <f>COUNTIF(C:C,C372)</f>
        <v/>
      </c>
      <c r="G372" s="198">
        <f>+G371+7</f>
        <v/>
      </c>
      <c r="H372" s="361">
        <f>+CO372/CP372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6.74</v>
      </c>
      <c r="CP372" s="970" t="n">
        <v>0.83245</v>
      </c>
    </row>
    <row r="373">
      <c r="B373" s="204">
        <f>+C373-1</f>
        <v/>
      </c>
      <c r="C373" s="204">
        <f>IF(bands_A!$D$9+1&gt;MONTH(G373),YEAR(G373),YEAR(G373)+1)</f>
        <v/>
      </c>
      <c r="D373" s="204">
        <f>+C373+1</f>
        <v/>
      </c>
      <c r="E373" s="203">
        <f>IF(C373&gt;C372,1,E372+1)</f>
        <v/>
      </c>
      <c r="F373" s="203">
        <f>COUNTIF(C:C,C373)</f>
        <v/>
      </c>
      <c r="G373" s="198">
        <f>+G372+7</f>
        <v/>
      </c>
      <c r="H373" s="361">
        <f>+CO373/CP373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6.8</v>
      </c>
      <c r="CP373" s="970" t="n">
        <v>0.83106</v>
      </c>
    </row>
    <row r="374">
      <c r="B374" s="204">
        <f>+C374-1</f>
        <v/>
      </c>
      <c r="C374" s="204">
        <f>IF(bands_A!$D$9+1&gt;MONTH(G374),YEAR(G374),YEAR(G374)+1)</f>
        <v/>
      </c>
      <c r="D374" s="204">
        <f>+C374+1</f>
        <v/>
      </c>
      <c r="E374" s="203">
        <f>IF(C374&gt;C373,1,E373+1)</f>
        <v/>
      </c>
      <c r="F374" s="203">
        <f>COUNTIF(C:C,C374)</f>
        <v/>
      </c>
      <c r="G374" s="198">
        <f>+G373+7</f>
        <v/>
      </c>
      <c r="H374" s="361">
        <f>+CO374/CP374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6.84</v>
      </c>
      <c r="CP374" s="970" t="n">
        <v>0.8311500000000001</v>
      </c>
    </row>
    <row r="375">
      <c r="B375" s="204">
        <f>+C375-1</f>
        <v/>
      </c>
      <c r="C375" s="204">
        <f>IF(bands_A!$D$9+1&gt;MONTH(G375),YEAR(G375),YEAR(G375)+1)</f>
        <v/>
      </c>
      <c r="D375" s="204">
        <f>+C375+1</f>
        <v/>
      </c>
      <c r="E375" s="203">
        <f>IF(C375&gt;C374,1,E374+1)</f>
        <v/>
      </c>
      <c r="F375" s="203">
        <f>COUNTIF(C:C,C375)</f>
        <v/>
      </c>
      <c r="G375" s="198">
        <f>+G374+7</f>
        <v/>
      </c>
      <c r="H375" s="361">
        <f>+CO375/CP375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6.91</v>
      </c>
      <c r="CP375" s="970" t="n">
        <v>0.83081</v>
      </c>
    </row>
    <row r="376">
      <c r="B376" s="204">
        <f>+C376-1</f>
        <v/>
      </c>
      <c r="C376" s="204">
        <f>IF(bands_A!$D$9+1&gt;MONTH(G376),YEAR(G376),YEAR(G376)+1)</f>
        <v/>
      </c>
      <c r="D376" s="204">
        <f>+C376+1</f>
        <v/>
      </c>
      <c r="E376" s="203">
        <f>IF(C376&gt;C375,1,E375+1)</f>
        <v/>
      </c>
      <c r="F376" s="203">
        <f>COUNTIF(C:C,C376)</f>
        <v/>
      </c>
      <c r="G376" s="198">
        <f>+G375+7</f>
        <v/>
      </c>
      <c r="H376" s="361">
        <f>+CO376/CP376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6.92</v>
      </c>
      <c r="CP376" s="970" t="n">
        <v>0.83062</v>
      </c>
    </row>
    <row r="377">
      <c r="B377" s="204">
        <f>+C377-1</f>
        <v/>
      </c>
      <c r="C377" s="204">
        <f>IF(bands_A!$D$9+1&gt;MONTH(G377),YEAR(G377),YEAR(G377)+1)</f>
        <v/>
      </c>
      <c r="D377" s="204">
        <f>+C377+1</f>
        <v/>
      </c>
      <c r="E377" s="203">
        <f>IF(C377&gt;C376,1,E376+1)</f>
        <v/>
      </c>
      <c r="F377" s="203">
        <f>COUNTIF(C:C,C377)</f>
        <v/>
      </c>
      <c r="G377" s="198">
        <f>+G376+7</f>
        <v/>
      </c>
      <c r="H377" s="361">
        <f>+CO377/CP377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6.87</v>
      </c>
      <c r="CP377" s="970" t="n">
        <v>0.8292</v>
      </c>
    </row>
    <row r="378">
      <c r="B378" s="204">
        <f>+C378-1</f>
        <v/>
      </c>
      <c r="C378" s="204">
        <f>IF(bands_A!$D$9+1&gt;MONTH(G378),YEAR(G378),YEAR(G378)+1)</f>
        <v/>
      </c>
      <c r="D378" s="204">
        <f>+C378+1</f>
        <v/>
      </c>
      <c r="E378" s="203">
        <f>IF(C378&gt;C377,1,E377+1)</f>
        <v/>
      </c>
      <c r="F378" s="203">
        <f>COUNTIF(C:C,C378)</f>
        <v/>
      </c>
      <c r="G378" s="198">
        <f>+G377+7</f>
        <v/>
      </c>
      <c r="H378" s="361">
        <f>+CO378/CP378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6.81</v>
      </c>
      <c r="CP378" s="970" t="n">
        <v>0.8275</v>
      </c>
    </row>
    <row r="379">
      <c r="B379" s="204">
        <f>+C379-1</f>
        <v/>
      </c>
      <c r="C379" s="204">
        <f>IF(bands_A!$D$9+1&gt;MONTH(G379),YEAR(G379),YEAR(G379)+1)</f>
        <v/>
      </c>
      <c r="D379" s="204">
        <f>+C379+1</f>
        <v/>
      </c>
      <c r="E379" s="203">
        <f>IF(C379&gt;C378,1,E378+1)</f>
        <v/>
      </c>
      <c r="F379" s="203">
        <f>COUNTIF(C:C,C379)</f>
        <v/>
      </c>
      <c r="G379" s="198">
        <f>+G378+7</f>
        <v/>
      </c>
      <c r="H379" s="361">
        <f>+CO379/CP379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6.72</v>
      </c>
      <c r="CP379" s="970" t="n">
        <v>0.82583</v>
      </c>
    </row>
    <row r="380">
      <c r="B380" s="204">
        <f>+C380-1</f>
        <v/>
      </c>
      <c r="C380" s="204">
        <f>IF(bands_A!$D$9+1&gt;MONTH(G380),YEAR(G380),YEAR(G380)+1)</f>
        <v/>
      </c>
      <c r="D380" s="204">
        <f>+C380+1</f>
        <v/>
      </c>
      <c r="E380" s="203">
        <f>IF(C380&gt;C379,1,E379+1)</f>
        <v/>
      </c>
      <c r="F380" s="203">
        <f>COUNTIF(C:C,C380)</f>
        <v/>
      </c>
      <c r="G380" s="198">
        <f>+G379+7</f>
        <v/>
      </c>
      <c r="H380" s="361">
        <f>+CO380/CP380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6.37</v>
      </c>
      <c r="CP380" s="970" t="n">
        <v>0.82489</v>
      </c>
    </row>
    <row r="381">
      <c r="B381" s="204">
        <f>+C381-1</f>
        <v/>
      </c>
      <c r="C381" s="204">
        <f>IF(bands_A!$D$9+1&gt;MONTH(G381),YEAR(G381),YEAR(G381)+1)</f>
        <v/>
      </c>
      <c r="D381" s="204">
        <f>+C381+1</f>
        <v/>
      </c>
      <c r="E381" s="203">
        <f>IF(C381&gt;C380,1,E380+1)</f>
        <v/>
      </c>
      <c r="F381" s="203">
        <f>COUNTIF(C:C,C381)</f>
        <v/>
      </c>
      <c r="G381" s="198">
        <f>+G380+7</f>
        <v/>
      </c>
      <c r="H381" s="361">
        <f>+CO381/CP381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6.1</v>
      </c>
      <c r="CP381" s="970" t="n">
        <v>0.82051</v>
      </c>
    </row>
    <row r="382">
      <c r="B382" s="204">
        <f>+C382-1</f>
        <v/>
      </c>
      <c r="C382" s="204">
        <f>IF(bands_A!$D$9+1&gt;MONTH(G382),YEAR(G382),YEAR(G382)+1)</f>
        <v/>
      </c>
      <c r="D382" s="204">
        <f>+C382+1</f>
        <v/>
      </c>
      <c r="E382" s="203">
        <f>IF(C382&gt;C381,1,E381+1)</f>
        <v/>
      </c>
      <c r="F382" s="203">
        <f>COUNTIF(C:C,C382)</f>
        <v/>
      </c>
      <c r="G382" s="198">
        <f>+G381+7</f>
        <v/>
      </c>
      <c r="H382" s="361">
        <f>+CO382/CP382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5.84</v>
      </c>
      <c r="CP382" s="970" t="n">
        <v>0.82039</v>
      </c>
    </row>
    <row r="383">
      <c r="B383" s="204">
        <f>+C383-1</f>
        <v/>
      </c>
      <c r="C383" s="204">
        <f>IF(bands_A!$D$9+1&gt;MONTH(G383),YEAR(G383),YEAR(G383)+1)</f>
        <v/>
      </c>
      <c r="D383" s="204">
        <f>+C383+1</f>
        <v/>
      </c>
      <c r="E383" s="203">
        <f>IF(C383&gt;C382,1,E382+1)</f>
        <v/>
      </c>
      <c r="F383" s="203">
        <f>COUNTIF(C:C,C383)</f>
        <v/>
      </c>
      <c r="G383" s="198">
        <f>+G382+7</f>
        <v/>
      </c>
      <c r="H383" s="361">
        <f>+CO383/CP383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6.07</v>
      </c>
      <c r="CP383" s="970" t="n">
        <v>0.81931</v>
      </c>
    </row>
    <row r="384">
      <c r="B384" s="204">
        <f>+C384-1</f>
        <v/>
      </c>
      <c r="C384" s="204">
        <f>IF(bands_A!$D$9+1&gt;MONTH(G384),YEAR(G384),YEAR(G384)+1)</f>
        <v/>
      </c>
      <c r="D384" s="204">
        <f>+C384+1</f>
        <v/>
      </c>
      <c r="E384" s="203">
        <f>IF(C384&gt;C383,1,E383+1)</f>
        <v/>
      </c>
      <c r="F384" s="203">
        <f>COUNTIF(C:C,C384)</f>
        <v/>
      </c>
      <c r="G384" s="198">
        <f>+G383+7</f>
        <v/>
      </c>
      <c r="H384" s="361">
        <f>+CO384/CP384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5.88</v>
      </c>
      <c r="CP384" s="970" t="n">
        <v>0.81954</v>
      </c>
    </row>
    <row r="385">
      <c r="B385" s="204">
        <f>+C385-1</f>
        <v/>
      </c>
      <c r="C385" s="204">
        <f>IF(bands_A!$D$9+1&gt;MONTH(G385),YEAR(G385),YEAR(G385)+1)</f>
        <v/>
      </c>
      <c r="D385" s="204">
        <f>+C385+1</f>
        <v/>
      </c>
      <c r="E385" s="203">
        <f>IF(C385&gt;C384,1,E384+1)</f>
        <v/>
      </c>
      <c r="F385" s="203">
        <f>COUNTIF(C:C,C385)</f>
        <v/>
      </c>
      <c r="G385" s="198">
        <f>+G384+7</f>
        <v/>
      </c>
      <c r="H385" s="361">
        <f>+CO385/CP385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5.84</v>
      </c>
      <c r="CP385" s="970" t="n">
        <v>0.81937</v>
      </c>
    </row>
    <row r="386">
      <c r="B386" s="204">
        <f>+C386-1</f>
        <v/>
      </c>
      <c r="C386" s="204">
        <f>IF(bands_A!$D$9+1&gt;MONTH(G386),YEAR(G386),YEAR(G386)+1)</f>
        <v/>
      </c>
      <c r="D386" s="204">
        <f>+C386+1</f>
        <v/>
      </c>
      <c r="E386" s="203">
        <f>IF(C386&gt;C385,1,E385+1)</f>
        <v/>
      </c>
      <c r="F386" s="203">
        <f>COUNTIF(C:C,C386)</f>
        <v/>
      </c>
      <c r="G386" s="198">
        <f>+G385+7</f>
        <v/>
      </c>
      <c r="H386" s="361">
        <f>+CO386/CP386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5.74</v>
      </c>
      <c r="CP386" s="970" t="n">
        <v>0.81926</v>
      </c>
    </row>
    <row r="387">
      <c r="B387" s="204">
        <f>+C387-1</f>
        <v/>
      </c>
      <c r="C387" s="204">
        <f>IF(bands_A!$D$9+1&gt;MONTH(G387),YEAR(G387),YEAR(G387)+1)</f>
        <v/>
      </c>
      <c r="D387" s="204">
        <f>+C387+1</f>
        <v/>
      </c>
      <c r="E387" s="203">
        <f>IF(C387&gt;C386,1,E386+1)</f>
        <v/>
      </c>
      <c r="F387" s="203">
        <f>COUNTIF(C:C,C387)</f>
        <v/>
      </c>
      <c r="G387" s="198">
        <f>+G386+7</f>
        <v/>
      </c>
      <c r="H387" s="361">
        <f>+CO387/CP387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6.03</v>
      </c>
      <c r="CP387" s="970" t="n">
        <v>0.81855</v>
      </c>
    </row>
    <row r="388">
      <c r="B388" s="204">
        <f>+C388-1</f>
        <v/>
      </c>
      <c r="C388" s="204">
        <f>IF(bands_A!$D$9+1&gt;MONTH(G388),YEAR(G388),YEAR(G388)+1)</f>
        <v/>
      </c>
      <c r="D388" s="204">
        <f>+C388+1</f>
        <v/>
      </c>
      <c r="E388" s="203">
        <f>IF(C388&gt;C387,1,E387+1)</f>
        <v/>
      </c>
      <c r="F388" s="203">
        <f>COUNTIF(C:C,C388)</f>
        <v/>
      </c>
      <c r="G388" s="198">
        <f>+G387+7</f>
        <v/>
      </c>
      <c r="H388" s="361">
        <f>+CO388/CP388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6.04</v>
      </c>
      <c r="CP388" s="970" t="n">
        <v>0.81999</v>
      </c>
    </row>
    <row r="389">
      <c r="B389" s="204">
        <f>+C389-1</f>
        <v/>
      </c>
      <c r="C389" s="204">
        <f>IF(bands_A!$D$9+1&gt;MONTH(G389),YEAR(G389),YEAR(G389)+1)</f>
        <v/>
      </c>
      <c r="D389" s="204">
        <f>+C389+1</f>
        <v/>
      </c>
      <c r="E389" s="203">
        <f>IF(C389&gt;C388,1,E388+1)</f>
        <v/>
      </c>
      <c r="F389" s="203">
        <f>COUNTIF(C:C,C389)</f>
        <v/>
      </c>
      <c r="G389" s="198">
        <f>+G388+7</f>
        <v/>
      </c>
      <c r="H389" s="361">
        <f>+CO389/CP389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6.04</v>
      </c>
      <c r="CP389" s="970" t="n">
        <v>0.81978</v>
      </c>
    </row>
    <row r="390">
      <c r="B390" s="204">
        <f>+C390-1</f>
        <v/>
      </c>
      <c r="C390" s="204">
        <f>IF(bands_A!$D$9+1&gt;MONTH(G390),YEAR(G390),YEAR(G390)+1)</f>
        <v/>
      </c>
      <c r="D390" s="204">
        <f>+C390+1</f>
        <v/>
      </c>
      <c r="E390" s="203">
        <f>IF(C390&gt;C389,1,E389+1)</f>
        <v/>
      </c>
      <c r="F390" s="203">
        <f>COUNTIF(C:C,C390)</f>
        <v/>
      </c>
      <c r="G390" s="198">
        <f>+G389+7</f>
        <v/>
      </c>
      <c r="H390" s="361">
        <f>+CO390/CP390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6.37</v>
      </c>
      <c r="CP390" s="970" t="n">
        <v>0.8207100000000001</v>
      </c>
    </row>
    <row r="391">
      <c r="B391" s="204">
        <f>+C391-1</f>
        <v/>
      </c>
      <c r="C391" s="204">
        <f>IF(bands_A!$D$9+1&gt;MONTH(G391),YEAR(G391),YEAR(G391)+1)</f>
        <v/>
      </c>
      <c r="D391" s="204">
        <f>+C391+1</f>
        <v/>
      </c>
      <c r="E391" s="203">
        <f>IF(C391&gt;C390,1,E390+1)</f>
        <v/>
      </c>
      <c r="F391" s="203">
        <f>COUNTIF(C:C,C391)</f>
        <v/>
      </c>
      <c r="G391" s="198">
        <f>+G390+7</f>
        <v/>
      </c>
      <c r="H391" s="361">
        <f>+CO391/CP391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6.11</v>
      </c>
      <c r="CP391" s="970" t="n">
        <v>0.82079</v>
      </c>
    </row>
    <row r="392">
      <c r="B392" s="204">
        <f>+C392-1</f>
        <v/>
      </c>
      <c r="C392" s="204">
        <f>IF(bands_A!$D$9+1&gt;MONTH(G392),YEAR(G392),YEAR(G392)+1)</f>
        <v/>
      </c>
      <c r="D392" s="204">
        <f>+C392+1</f>
        <v/>
      </c>
      <c r="E392" s="203">
        <f>IF(C392&gt;C391,1,E391+1)</f>
        <v/>
      </c>
      <c r="F392" s="203">
        <f>COUNTIF(C:C,C392)</f>
        <v/>
      </c>
      <c r="G392" s="198">
        <f>+G391+7</f>
        <v/>
      </c>
      <c r="H392" s="361">
        <f>+CO392/CP392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6.34</v>
      </c>
      <c r="CP392" s="970" t="n">
        <v>0.81945</v>
      </c>
    </row>
    <row r="393">
      <c r="B393" s="204">
        <f>+C393-1</f>
        <v/>
      </c>
      <c r="C393" s="204">
        <f>IF(bands_A!$D$9+1&gt;MONTH(G393),YEAR(G393),YEAR(G393)+1)</f>
        <v/>
      </c>
      <c r="D393" s="204">
        <f>+C393+1</f>
        <v/>
      </c>
      <c r="E393" s="203">
        <f>IF(C393&gt;C392,1,E392+1)</f>
        <v/>
      </c>
      <c r="F393" s="203">
        <f>COUNTIF(C:C,C393)</f>
        <v/>
      </c>
      <c r="G393" s="198">
        <f>+G392+7</f>
        <v/>
      </c>
      <c r="H393" s="361">
        <f>+CO393/CP393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6.56</v>
      </c>
      <c r="CP393" s="970" t="n">
        <v>0.81646</v>
      </c>
    </row>
    <row r="394">
      <c r="B394" s="204">
        <f>+C394-1</f>
        <v/>
      </c>
      <c r="C394" s="204">
        <f>IF(bands_A!$D$9+1&gt;MONTH(G394),YEAR(G394),YEAR(G394)+1)</f>
        <v/>
      </c>
      <c r="D394" s="204">
        <f>+C394+1</f>
        <v/>
      </c>
      <c r="E394" s="203">
        <f>IF(C394&gt;C393,1,E393+1)</f>
        <v/>
      </c>
      <c r="F394" s="203">
        <f>COUNTIF(C:C,C394)</f>
        <v/>
      </c>
      <c r="G394" s="198">
        <f>+G393+7</f>
        <v/>
      </c>
      <c r="H394" s="361">
        <f>+CO394/CP394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6.28</v>
      </c>
      <c r="CP394" s="970" t="n">
        <v>0.81552</v>
      </c>
    </row>
    <row r="395">
      <c r="B395" s="204">
        <f>+C395-1</f>
        <v/>
      </c>
      <c r="C395" s="204">
        <f>IF(bands_A!$D$9+1&gt;MONTH(G395),YEAR(G395),YEAR(G395)+1)</f>
        <v/>
      </c>
      <c r="D395" s="204">
        <f>+C395+1</f>
        <v/>
      </c>
      <c r="E395" s="203">
        <f>IF(C395&gt;C394,1,E394+1)</f>
        <v/>
      </c>
      <c r="F395" s="203">
        <f>COUNTIF(C:C,C395)</f>
        <v/>
      </c>
      <c r="G395" s="198">
        <f>+G394+7</f>
        <v/>
      </c>
      <c r="H395" s="361">
        <f>+CO395/CP395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6.06</v>
      </c>
      <c r="CP395" s="970" t="n">
        <v>0.81633</v>
      </c>
    </row>
    <row r="396">
      <c r="B396" s="204">
        <f>+C396-1</f>
        <v/>
      </c>
      <c r="C396" s="204">
        <f>IF(bands_A!$D$9+1&gt;MONTH(G396),YEAR(G396),YEAR(G396)+1)</f>
        <v/>
      </c>
      <c r="D396" s="204">
        <f>+C396+1</f>
        <v/>
      </c>
      <c r="E396" s="203">
        <f>IF(C396&gt;C395,1,E395+1)</f>
        <v/>
      </c>
      <c r="F396" s="203">
        <f>COUNTIF(C:C,C396)</f>
        <v/>
      </c>
      <c r="G396" s="198">
        <f>+G395+7</f>
        <v/>
      </c>
      <c r="H396" s="361">
        <f>+CO396/CP396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5.89</v>
      </c>
      <c r="CP396" s="970" t="n">
        <v>0.8175</v>
      </c>
    </row>
    <row r="397">
      <c r="B397" s="204">
        <f>+C397-1</f>
        <v/>
      </c>
      <c r="C397" s="204">
        <f>IF(bands_A!$D$9+1&gt;MONTH(G397),YEAR(G397),YEAR(G397)+1)</f>
        <v/>
      </c>
      <c r="D397" s="204">
        <f>+C397+1</f>
        <v/>
      </c>
      <c r="E397" s="203">
        <f>IF(C397&gt;C396,1,E396+1)</f>
        <v/>
      </c>
      <c r="F397" s="203">
        <f>COUNTIF(C:C,C397)</f>
        <v/>
      </c>
      <c r="G397" s="198">
        <f>+G396+7</f>
        <v/>
      </c>
      <c r="H397" s="361">
        <f>+CO397/CP397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5.67</v>
      </c>
      <c r="CP397" s="970" t="n">
        <v>0.81793</v>
      </c>
    </row>
    <row r="398">
      <c r="B398" s="204">
        <f>+C398-1</f>
        <v/>
      </c>
      <c r="C398" s="204">
        <f>IF(bands_A!$D$9+1&gt;MONTH(G398),YEAR(G398),YEAR(G398)+1)</f>
        <v/>
      </c>
      <c r="D398" s="204">
        <f>+C398+1</f>
        <v/>
      </c>
      <c r="E398" s="203">
        <f>IF(C398&gt;C397,1,E397+1)</f>
        <v/>
      </c>
      <c r="F398" s="203">
        <f>COUNTIF(C:C,C398)</f>
        <v/>
      </c>
      <c r="G398" s="198">
        <f>+G397+7</f>
        <v/>
      </c>
      <c r="H398" s="361">
        <f>+CO398/CP398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5.58</v>
      </c>
      <c r="CP398" s="970" t="n">
        <v>0.81433</v>
      </c>
    </row>
    <row r="399">
      <c r="B399" s="204">
        <f>+C399-1</f>
        <v/>
      </c>
      <c r="C399" s="204">
        <f>IF(bands_A!$D$9+1&gt;MONTH(G399),YEAR(G399),YEAR(G399)+1)</f>
        <v/>
      </c>
      <c r="D399" s="204">
        <f>+C399+1</f>
        <v/>
      </c>
      <c r="E399" s="203">
        <f>IF(C399&gt;C398,1,E398+1)</f>
        <v/>
      </c>
      <c r="F399" s="203">
        <f>COUNTIF(C:C,C399)</f>
        <v/>
      </c>
      <c r="G399" s="198">
        <f>+G398+7</f>
        <v/>
      </c>
      <c r="H399" s="361">
        <f>+CO399/CP399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5.54</v>
      </c>
      <c r="CP399" s="970" t="n">
        <v>0.81354</v>
      </c>
    </row>
    <row r="400">
      <c r="B400" s="204">
        <f>+C400-1</f>
        <v/>
      </c>
      <c r="C400" s="204">
        <f>IF(bands_A!$D$9+1&gt;MONTH(G400),YEAR(G400),YEAR(G400)+1)</f>
        <v/>
      </c>
      <c r="D400" s="204">
        <f>+C400+1</f>
        <v/>
      </c>
      <c r="E400" s="203">
        <f>IF(C400&gt;C399,1,E399+1)</f>
        <v/>
      </c>
      <c r="F400" s="203">
        <f>COUNTIF(C:C,C400)</f>
        <v/>
      </c>
      <c r="G400" s="198">
        <f>+G399+7</f>
        <v/>
      </c>
      <c r="H400" s="361">
        <f>+CO400/CP400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5.18</v>
      </c>
      <c r="CP400" s="970" t="n">
        <v>0.81529</v>
      </c>
    </row>
    <row r="401">
      <c r="B401" s="204">
        <f>+C401-1</f>
        <v/>
      </c>
      <c r="C401" s="204">
        <f>IF(bands_A!$D$9+1&gt;MONTH(G401),YEAR(G401),YEAR(G401)+1)</f>
        <v/>
      </c>
      <c r="D401" s="204">
        <f>+C401+1</f>
        <v/>
      </c>
      <c r="E401" s="203">
        <f>IF(C401&gt;C400,1,E400+1)</f>
        <v/>
      </c>
      <c r="F401" s="203">
        <f>COUNTIF(C:C,C401)</f>
        <v/>
      </c>
      <c r="G401" s="198">
        <f>+G400+7</f>
        <v/>
      </c>
      <c r="H401" s="361">
        <f>+CO401/CP401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5.1</v>
      </c>
      <c r="CP401" s="970" t="n">
        <v>0.81119</v>
      </c>
    </row>
    <row r="402">
      <c r="B402" s="204">
        <f>+C402-1</f>
        <v/>
      </c>
      <c r="C402" s="204">
        <f>IF(bands_A!$D$9+1&gt;MONTH(G402),YEAR(G402),YEAR(G402)+1)</f>
        <v/>
      </c>
      <c r="D402" s="204">
        <f>+C402+1</f>
        <v/>
      </c>
      <c r="E402" s="203">
        <f>IF(C402&gt;C401,1,E401+1)</f>
        <v/>
      </c>
      <c r="F402" s="203">
        <f>COUNTIF(C:C,C402)</f>
        <v/>
      </c>
      <c r="G402" s="198">
        <f>+G401+7</f>
        <v/>
      </c>
      <c r="H402" s="361">
        <f>+CO402/CP402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5.01</v>
      </c>
      <c r="CP402" s="970" t="n">
        <v>0.81335</v>
      </c>
    </row>
    <row r="403">
      <c r="B403" s="204">
        <f>+C403-1</f>
        <v/>
      </c>
      <c r="C403" s="204">
        <f>IF(bands_A!$D$9+1&gt;MONTH(G403),YEAR(G403),YEAR(G403)+1)</f>
        <v/>
      </c>
      <c r="D403" s="204">
        <f>+C403+1</f>
        <v/>
      </c>
      <c r="E403" s="203">
        <f>IF(C403&gt;C402,1,E402+1)</f>
        <v/>
      </c>
      <c r="F403" s="203">
        <f>COUNTIF(C:C,C403)</f>
        <v/>
      </c>
      <c r="G403" s="198">
        <f>+G402+7</f>
        <v/>
      </c>
      <c r="H403" s="361">
        <f>+CO403/CP403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5.19</v>
      </c>
      <c r="CP403" s="970" t="n">
        <v>0.81412</v>
      </c>
    </row>
    <row r="404">
      <c r="B404" s="204">
        <f>+C404-1</f>
        <v/>
      </c>
      <c r="C404" s="204">
        <f>IF(bands_A!$D$9+1&gt;MONTH(G404),YEAR(G404),YEAR(G404)+1)</f>
        <v/>
      </c>
      <c r="D404" s="204">
        <f>+C404+1</f>
        <v/>
      </c>
      <c r="E404" s="203">
        <f>IF(C404&gt;C403,1,E403+1)</f>
        <v/>
      </c>
      <c r="F404" s="203">
        <f>COUNTIF(C:C,C404)</f>
        <v/>
      </c>
      <c r="G404" s="198">
        <f>+G403+7</f>
        <v/>
      </c>
      <c r="H404" s="361">
        <f>+CO404/CP404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5.6</v>
      </c>
      <c r="CP404" s="970" t="n">
        <v>0.81535</v>
      </c>
    </row>
    <row r="405">
      <c r="B405" s="204">
        <f>+C405-1</f>
        <v/>
      </c>
      <c r="C405" s="204">
        <f>IF(bands_A!$D$9+1&gt;MONTH(G405),YEAR(G405),YEAR(G405)+1)</f>
        <v/>
      </c>
      <c r="D405" s="204">
        <f>+C405+1</f>
        <v/>
      </c>
      <c r="E405" s="203">
        <f>IF(C405&gt;C404,1,E404+1)</f>
        <v/>
      </c>
      <c r="F405" s="203">
        <f>COUNTIF(C:C,C405)</f>
        <v/>
      </c>
      <c r="G405" s="198">
        <f>+G404+7</f>
        <v/>
      </c>
      <c r="H405" s="361">
        <f>+CO405/CP405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5.6</v>
      </c>
      <c r="CP405" s="970" t="n">
        <v>0.81511</v>
      </c>
    </row>
    <row r="406">
      <c r="B406" s="204">
        <f>+C406-1</f>
        <v/>
      </c>
      <c r="C406" s="204">
        <f>IF(bands_A!$D$9+1&gt;MONTH(G406),YEAR(G406),YEAR(G406)+1)</f>
        <v/>
      </c>
      <c r="D406" s="204">
        <f>+C406+1</f>
        <v/>
      </c>
      <c r="E406" s="203">
        <f>IF(C406&gt;C405,1,E405+1)</f>
        <v/>
      </c>
      <c r="F406" s="203">
        <f>COUNTIF(C:C,C406)</f>
        <v/>
      </c>
      <c r="G406" s="198">
        <f>+G405+7</f>
        <v/>
      </c>
      <c r="H406" s="361">
        <f>+CO406/CP406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5.52</v>
      </c>
      <c r="CP406" s="970" t="n">
        <v>0.8133899999999999</v>
      </c>
    </row>
    <row r="407">
      <c r="B407" s="204">
        <f>+C407-1</f>
        <v/>
      </c>
      <c r="C407" s="204">
        <f>IF(bands_A!$D$9+1&gt;MONTH(G407),YEAR(G407),YEAR(G407)+1)</f>
        <v/>
      </c>
      <c r="D407" s="204">
        <f>+C407+1</f>
        <v/>
      </c>
      <c r="E407" s="203">
        <f>IF(C407&gt;C406,1,E406+1)</f>
        <v/>
      </c>
      <c r="F407" s="203">
        <f>COUNTIF(C:C,C407)</f>
        <v/>
      </c>
      <c r="G407" s="198">
        <f>+G406+7</f>
        <v/>
      </c>
      <c r="H407" s="361">
        <f>+CO407/CP407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5.5</v>
      </c>
      <c r="CP407" s="970" t="n">
        <v>0.81163</v>
      </c>
    </row>
    <row r="408">
      <c r="B408" s="204">
        <f>+C408-1</f>
        <v/>
      </c>
      <c r="C408" s="204">
        <f>IF(bands_A!$D$9+1&gt;MONTH(G408),YEAR(G408),YEAR(G408)+1)</f>
        <v/>
      </c>
      <c r="D408" s="204">
        <f>+C408+1</f>
        <v/>
      </c>
      <c r="E408" s="203">
        <f>IF(C408&gt;C407,1,E407+1)</f>
        <v/>
      </c>
      <c r="F408" s="203">
        <f>COUNTIF(C:C,C408)</f>
        <v/>
      </c>
      <c r="G408" s="198">
        <f>+G407+7</f>
        <v/>
      </c>
      <c r="H408" s="361">
        <f>+CO408/CP408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5.57</v>
      </c>
      <c r="CP408" s="970" t="n">
        <v>0.8122</v>
      </c>
    </row>
    <row r="409">
      <c r="B409" s="204">
        <f>+C409-1</f>
        <v/>
      </c>
      <c r="C409" s="204">
        <f>IF(bands_A!$D$9+1&gt;MONTH(G409),YEAR(G409),YEAR(G409)+1)</f>
        <v/>
      </c>
      <c r="D409" s="204">
        <f>+C409+1</f>
        <v/>
      </c>
      <c r="E409" s="203">
        <f>IF(C409&gt;C408,1,E408+1)</f>
        <v/>
      </c>
      <c r="F409" s="203">
        <f>COUNTIF(C:C,C409)</f>
        <v/>
      </c>
      <c r="G409" s="198">
        <f>+G408+7</f>
        <v/>
      </c>
      <c r="H409" s="361">
        <f>+CO409/CP409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5.75</v>
      </c>
      <c r="CP409" s="970" t="n">
        <v>0.81228</v>
      </c>
    </row>
    <row r="410">
      <c r="B410" s="204">
        <f>+C410-1</f>
        <v/>
      </c>
      <c r="C410" s="204">
        <f>IF(bands_A!$D$9+1&gt;MONTH(G410),YEAR(G410),YEAR(G410)+1)</f>
        <v/>
      </c>
      <c r="D410" s="204">
        <f>+C410+1</f>
        <v/>
      </c>
      <c r="E410" s="203">
        <f>IF(C410&gt;C409,1,E409+1)</f>
        <v/>
      </c>
      <c r="F410" s="203">
        <f>COUNTIF(C:C,C410)</f>
        <v/>
      </c>
      <c r="G410" s="198">
        <f>+G409+7</f>
        <v/>
      </c>
      <c r="H410" s="361">
        <f>+CO410/CP410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5.86</v>
      </c>
      <c r="CP410" s="970" t="n">
        <v>0.81192</v>
      </c>
    </row>
    <row r="411">
      <c r="B411" s="204">
        <f>+C411-1</f>
        <v/>
      </c>
      <c r="C411" s="204">
        <f>IF(bands_A!$D$9+1&gt;MONTH(G411),YEAR(G411),YEAR(G411)+1)</f>
        <v/>
      </c>
      <c r="D411" s="204">
        <f>+C411+1</f>
        <v/>
      </c>
      <c r="E411" s="203">
        <f>IF(C411&gt;C410,1,E410+1)</f>
        <v/>
      </c>
      <c r="F411" s="203">
        <f>COUNTIF(C:C,C411)</f>
        <v/>
      </c>
      <c r="G411" s="198">
        <f>+G410+7</f>
        <v/>
      </c>
      <c r="H411" s="361">
        <f>+CO411/CP411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5.83</v>
      </c>
      <c r="CP411" s="970" t="n">
        <v>0.8134</v>
      </c>
    </row>
    <row r="412">
      <c r="B412" s="204">
        <f>+C412-1</f>
        <v/>
      </c>
      <c r="C412" s="204">
        <f>IF(bands_A!$D$9+1&gt;MONTH(G412),YEAR(G412),YEAR(G412)+1)</f>
        <v/>
      </c>
      <c r="D412" s="204">
        <f>+C412+1</f>
        <v/>
      </c>
      <c r="E412" s="203">
        <f>IF(C412&gt;C411,1,E411+1)</f>
        <v/>
      </c>
      <c r="F412" s="203">
        <f>COUNTIF(C:C,C412)</f>
        <v/>
      </c>
      <c r="G412" s="198">
        <f>+G411+7</f>
        <v/>
      </c>
      <c r="H412" s="361">
        <f>+CO412/CP412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5.87</v>
      </c>
      <c r="CP412" s="970" t="n">
        <v>0.81448</v>
      </c>
    </row>
    <row r="413">
      <c r="B413" s="204">
        <f>+C413-1</f>
        <v/>
      </c>
      <c r="C413" s="204">
        <f>IF(bands_A!$D$9+1&gt;MONTH(G413),YEAR(G413),YEAR(G413)+1)</f>
        <v/>
      </c>
      <c r="D413" s="204">
        <f>+C413+1</f>
        <v/>
      </c>
      <c r="E413" s="203">
        <f>IF(C413&gt;C412,1,E412+1)</f>
        <v/>
      </c>
      <c r="F413" s="203">
        <f>COUNTIF(C:C,C413)</f>
        <v/>
      </c>
      <c r="G413" s="198">
        <f>+G412+7</f>
        <v/>
      </c>
      <c r="H413" s="361">
        <f>+CO413/CP413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5.65</v>
      </c>
      <c r="CP413" s="970" t="n">
        <v>0.8111699999999999</v>
      </c>
    </row>
    <row r="414">
      <c r="B414" s="204">
        <f>+C414-1</f>
        <v/>
      </c>
      <c r="C414" s="204">
        <f>IF(bands_A!$D$9+1&gt;MONTH(G414),YEAR(G414),YEAR(G414)+1)</f>
        <v/>
      </c>
      <c r="D414" s="204">
        <f>+C414+1</f>
        <v/>
      </c>
      <c r="E414" s="203">
        <f>IF(C414&gt;C413,1,E413+1)</f>
        <v/>
      </c>
      <c r="F414" s="203">
        <f>COUNTIF(C:C,C414)</f>
        <v/>
      </c>
      <c r="G414" s="198">
        <f>+G413+7</f>
        <v/>
      </c>
      <c r="H414" s="361">
        <f>+CO414/CP414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5.31</v>
      </c>
      <c r="CP414" s="970" t="n">
        <v>0.81052</v>
      </c>
    </row>
    <row r="415">
      <c r="B415" s="204">
        <f>+C415-1</f>
        <v/>
      </c>
      <c r="C415" s="204">
        <f>IF(bands_A!$D$9+1&gt;MONTH(G415),YEAR(G415),YEAR(G415)+1)</f>
        <v/>
      </c>
      <c r="D415" s="204">
        <f>+C415+1</f>
        <v/>
      </c>
      <c r="E415" s="203">
        <f>IF(C415&gt;C414,1,E414+1)</f>
        <v/>
      </c>
      <c r="F415" s="203">
        <f>COUNTIF(C:C,C415)</f>
        <v/>
      </c>
      <c r="G415" s="198">
        <f>+G414+7</f>
        <v/>
      </c>
      <c r="H415" s="361">
        <f>+CO415/CP415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5.4</v>
      </c>
      <c r="CP415" s="970" t="n">
        <v>0.81218</v>
      </c>
    </row>
    <row r="416">
      <c r="B416" s="204">
        <f>+C416-1</f>
        <v/>
      </c>
      <c r="C416" s="204">
        <f>IF(bands_A!$D$9+1&gt;MONTH(G416),YEAR(G416),YEAR(G416)+1)</f>
        <v/>
      </c>
      <c r="D416" s="204">
        <f>+C416+1</f>
        <v/>
      </c>
      <c r="E416" s="203">
        <f>IF(C416&gt;C415,1,E415+1)</f>
        <v/>
      </c>
      <c r="F416" s="203">
        <f>COUNTIF(C:C,C416)</f>
        <v/>
      </c>
      <c r="G416" s="198">
        <f>+G415+7</f>
        <v/>
      </c>
      <c r="H416" s="361">
        <f>+CO416/CP416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5.44</v>
      </c>
      <c r="CP416" s="970" t="n">
        <v>0.81166</v>
      </c>
    </row>
    <row r="417">
      <c r="B417" s="204">
        <f>+C417-1</f>
        <v/>
      </c>
      <c r="C417" s="204">
        <f>IF(bands_A!$D$9+1&gt;MONTH(G417),YEAR(G417),YEAR(G417)+1)</f>
        <v/>
      </c>
      <c r="D417" s="204">
        <f>+C417+1</f>
        <v/>
      </c>
      <c r="E417" s="203">
        <f>IF(C417&gt;C416,1,E416+1)</f>
        <v/>
      </c>
      <c r="F417" s="203">
        <f>COUNTIF(C:C,C417)</f>
        <v/>
      </c>
      <c r="G417" s="198">
        <f>+G416+7</f>
        <v/>
      </c>
      <c r="H417" s="361">
        <f>+CO417/CP417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5.59</v>
      </c>
      <c r="CP417" s="970" t="n">
        <v>0.81211</v>
      </c>
    </row>
    <row r="418">
      <c r="B418" s="204">
        <f>+C418-1</f>
        <v/>
      </c>
      <c r="C418" s="204">
        <f>IF(bands_A!$D$9+1&gt;MONTH(G418),YEAR(G418),YEAR(G418)+1)</f>
        <v/>
      </c>
      <c r="D418" s="204">
        <f>+C418+1</f>
        <v/>
      </c>
      <c r="E418" s="203">
        <f>IF(C418&gt;C417,1,E417+1)</f>
        <v/>
      </c>
      <c r="F418" s="203">
        <f>COUNTIF(C:C,C418)</f>
        <v/>
      </c>
      <c r="G418" s="198">
        <f>+G417+7</f>
        <v/>
      </c>
      <c r="H418" s="361">
        <f>+CO418/CP418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5.74</v>
      </c>
      <c r="CP418" s="970" t="n">
        <v>0.80914</v>
      </c>
    </row>
    <row r="419">
      <c r="B419" s="204">
        <f>+C419-1</f>
        <v/>
      </c>
      <c r="C419" s="204">
        <f>IF(bands_A!$D$9+1&gt;MONTH(G419),YEAR(G419),YEAR(G419)+1)</f>
        <v/>
      </c>
      <c r="D419" s="204">
        <f>+C419+1</f>
        <v/>
      </c>
      <c r="E419" s="203">
        <f>IF(C419&gt;C418,1,E418+1)</f>
        <v/>
      </c>
      <c r="F419" s="203">
        <f>COUNTIF(C:C,C419)</f>
        <v/>
      </c>
      <c r="G419" s="198">
        <f>+G418+7</f>
        <v/>
      </c>
      <c r="H419" s="361">
        <f>+CO419/CP419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5.91</v>
      </c>
      <c r="CP419" s="970" t="n">
        <v>0.8108300000000001</v>
      </c>
    </row>
    <row r="420">
      <c r="B420" s="204">
        <f>+C420-1</f>
        <v/>
      </c>
      <c r="C420" s="204">
        <f>IF(bands_A!$D$9+1&gt;MONTH(G420),YEAR(G420),YEAR(G420)+1)</f>
        <v/>
      </c>
      <c r="D420" s="204">
        <f>+C420+1</f>
        <v/>
      </c>
      <c r="E420" s="203">
        <f>IF(C420&gt;C419,1,E419+1)</f>
        <v/>
      </c>
      <c r="F420" s="203">
        <f>COUNTIF(C:C,C420)</f>
        <v/>
      </c>
      <c r="G420" s="198">
        <f>+G419+7</f>
        <v/>
      </c>
      <c r="H420" s="361">
        <f>+CO420/CP420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5.58</v>
      </c>
      <c r="CP420" s="970" t="n">
        <v>0.81272</v>
      </c>
    </row>
    <row r="421">
      <c r="B421" s="204">
        <f>+C421-1</f>
        <v/>
      </c>
      <c r="C421" s="204">
        <f>IF(bands_A!$D$9+1&gt;MONTH(G421),YEAR(G421),YEAR(G421)+1)</f>
        <v/>
      </c>
      <c r="D421" s="204">
        <f>+C421+1</f>
        <v/>
      </c>
      <c r="E421" s="203">
        <f>IF(C421&gt;C420,1,E420+1)</f>
        <v/>
      </c>
      <c r="F421" s="203">
        <f>COUNTIF(C:C,C421)</f>
        <v/>
      </c>
      <c r="G421" s="198">
        <f>+G420+7</f>
        <v/>
      </c>
      <c r="H421" s="361">
        <f>+CO421/CP421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5.46</v>
      </c>
      <c r="CP421" s="970" t="n">
        <v>0.81443</v>
      </c>
    </row>
    <row r="422">
      <c r="B422" s="204">
        <f>+C422-1</f>
        <v/>
      </c>
      <c r="C422" s="204">
        <f>IF(bands_A!$D$9+1&gt;MONTH(G422),YEAR(G422),YEAR(G422)+1)</f>
        <v/>
      </c>
      <c r="D422" s="204">
        <f>+C422+1</f>
        <v/>
      </c>
      <c r="E422" s="203">
        <f>IF(C422&gt;C421,1,E421+1)</f>
        <v/>
      </c>
      <c r="F422" s="203">
        <f>COUNTIF(C:C,C422)</f>
        <v/>
      </c>
      <c r="G422" s="198">
        <f>+G421+7</f>
        <v/>
      </c>
      <c r="H422" s="361">
        <f>+CO422/CP422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5.55</v>
      </c>
      <c r="CP422" s="970" t="n">
        <v>0.81595</v>
      </c>
    </row>
    <row r="423">
      <c r="B423" s="204">
        <f>+C423-1</f>
        <v/>
      </c>
      <c r="C423" s="204">
        <f>IF(bands_A!$D$9+1&gt;MONTH(G423),YEAR(G423),YEAR(G423)+1)</f>
        <v/>
      </c>
      <c r="D423" s="204">
        <f>+C423+1</f>
        <v/>
      </c>
      <c r="E423" s="203">
        <f>IF(C423&gt;C422,1,E422+1)</f>
        <v/>
      </c>
      <c r="F423" s="203">
        <f>COUNTIF(C:C,C423)</f>
        <v/>
      </c>
      <c r="G423" s="198">
        <f>+G422+7</f>
        <v/>
      </c>
      <c r="H423" s="361">
        <f>+CO423/CP423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5.72</v>
      </c>
      <c r="CP423" s="970" t="n">
        <v>0.82092</v>
      </c>
    </row>
    <row r="424">
      <c r="B424" s="204">
        <f>+C424-1</f>
        <v/>
      </c>
      <c r="C424" s="204">
        <f>IF(bands_A!$D$9+1&gt;MONTH(G424),YEAR(G424),YEAR(G424)+1)</f>
        <v/>
      </c>
      <c r="D424" s="204">
        <f>+C424+1</f>
        <v/>
      </c>
      <c r="E424" s="203">
        <f>IF(C424&gt;C423,1,E423+1)</f>
        <v/>
      </c>
      <c r="F424" s="203">
        <f>COUNTIF(C:C,C424)</f>
        <v/>
      </c>
      <c r="G424" s="198">
        <f>+G423+7</f>
        <v/>
      </c>
      <c r="H424" s="361">
        <f>+CO424/CP424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5.27</v>
      </c>
      <c r="CP424" s="970" t="n">
        <v>0.8217100000000001</v>
      </c>
    </row>
    <row r="425">
      <c r="B425" s="204">
        <f>+C425-1</f>
        <v/>
      </c>
      <c r="C425" s="204">
        <f>IF(bands_A!$D$9+1&gt;MONTH(G425),YEAR(G425),YEAR(G425)+1)</f>
        <v/>
      </c>
      <c r="D425" s="204">
        <f>+C425+1</f>
        <v/>
      </c>
      <c r="E425" s="203">
        <f>IF(C425&gt;C424,1,E424+1)</f>
        <v/>
      </c>
      <c r="F425" s="203">
        <f>COUNTIF(C:C,C425)</f>
        <v/>
      </c>
      <c r="G425" s="198">
        <f>+G424+7</f>
        <v/>
      </c>
      <c r="H425" s="361">
        <f>+CO425/CP425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5.1</v>
      </c>
      <c r="CP425" s="970" t="n">
        <v>0.8206</v>
      </c>
    </row>
    <row r="426">
      <c r="B426" s="204">
        <f>+C426-1</f>
        <v/>
      </c>
      <c r="C426" s="204">
        <f>IF(bands_A!$D$9+1&gt;MONTH(G426),YEAR(G426),YEAR(G426)+1)</f>
        <v/>
      </c>
      <c r="D426" s="204">
        <f>+C426+1</f>
        <v/>
      </c>
      <c r="E426" s="203">
        <f>IF(C426&gt;C425,1,E425+1)</f>
        <v/>
      </c>
      <c r="F426" s="203">
        <f>COUNTIF(C:C,C426)</f>
        <v/>
      </c>
      <c r="G426" s="198">
        <f>+G425+7</f>
        <v/>
      </c>
      <c r="H426" s="361">
        <f>+CO426/CP426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5.08</v>
      </c>
      <c r="CP426" s="970" t="n">
        <v>0.82037</v>
      </c>
    </row>
    <row r="427">
      <c r="B427" s="204">
        <f>+C427-1</f>
        <v/>
      </c>
      <c r="C427" s="204">
        <f>IF(bands_A!$D$9+1&gt;MONTH(G427),YEAR(G427),YEAR(G427)+1)</f>
        <v/>
      </c>
      <c r="D427" s="204">
        <f>+C427+1</f>
        <v/>
      </c>
      <c r="E427" s="203">
        <f>IF(C427&gt;C426,1,E426+1)</f>
        <v/>
      </c>
      <c r="F427" s="203">
        <f>COUNTIF(C:C,C427)</f>
        <v/>
      </c>
      <c r="G427" s="198">
        <f>+G426+7</f>
        <v/>
      </c>
      <c r="H427" s="361">
        <f>+CO427/CP427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4.56</v>
      </c>
      <c r="CP427" s="970" t="n">
        <v>0.81923</v>
      </c>
    </row>
    <row r="428">
      <c r="B428" s="204">
        <f>+C428-1</f>
        <v/>
      </c>
      <c r="C428" s="204">
        <f>IF(bands_A!$D$9+1&gt;MONTH(G428),YEAR(G428),YEAR(G428)+1)</f>
        <v/>
      </c>
      <c r="D428" s="204">
        <f>+C428+1</f>
        <v/>
      </c>
      <c r="E428" s="203">
        <f>IF(C428&gt;C427,1,E427+1)</f>
        <v/>
      </c>
      <c r="F428" s="203">
        <f>COUNTIF(C:C,C428)</f>
        <v/>
      </c>
      <c r="G428" s="198">
        <f>+G427+7</f>
        <v/>
      </c>
      <c r="H428" s="361">
        <f>+CO428/CP428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4.64</v>
      </c>
      <c r="CP428" s="970" t="n">
        <v>0.82103</v>
      </c>
    </row>
    <row r="429">
      <c r="B429" s="204">
        <f>+C429-1</f>
        <v/>
      </c>
      <c r="C429" s="204">
        <f>IF(bands_A!$D$9+1&gt;MONTH(G429),YEAR(G429),YEAR(G429)+1)</f>
        <v/>
      </c>
      <c r="D429" s="204">
        <f>+C429+1</f>
        <v/>
      </c>
      <c r="E429" s="203">
        <f>IF(C429&gt;C428,1,E428+1)</f>
        <v/>
      </c>
      <c r="F429" s="203">
        <f>COUNTIF(C:C,C429)</f>
        <v/>
      </c>
      <c r="G429" s="198">
        <f>+G428+7</f>
        <v/>
      </c>
      <c r="H429" s="361">
        <f>+CO429/CP429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4.42</v>
      </c>
      <c r="CP429" s="970" t="n">
        <v>0.82426</v>
      </c>
    </row>
    <row r="430">
      <c r="B430" s="204">
        <f>+C430-1</f>
        <v/>
      </c>
      <c r="C430" s="204">
        <f>IF(bands_A!$D$9+1&gt;MONTH(G430),YEAR(G430),YEAR(G430)+1)</f>
        <v/>
      </c>
      <c r="D430" s="204">
        <f>+C430+1</f>
        <v/>
      </c>
      <c r="E430" s="203">
        <f>IF(C430&gt;C429,1,E429+1)</f>
        <v/>
      </c>
      <c r="F430" s="203">
        <f>COUNTIF(C:C,C430)</f>
        <v/>
      </c>
      <c r="G430" s="198">
        <f>+G429+7</f>
        <v/>
      </c>
      <c r="H430" s="361">
        <f>+CO430/CP430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4.32</v>
      </c>
      <c r="CP430" s="970" t="n">
        <v>0.82187</v>
      </c>
    </row>
    <row r="431">
      <c r="B431" s="204">
        <f>+C431-1</f>
        <v/>
      </c>
      <c r="C431" s="204">
        <f>IF(bands_A!$D$9+1&gt;MONTH(G431),YEAR(G431),YEAR(G431)+1)</f>
        <v/>
      </c>
      <c r="D431" s="204">
        <f>+C431+1</f>
        <v/>
      </c>
      <c r="E431" s="203">
        <f>IF(C431&gt;C430,1,E430+1)</f>
        <v/>
      </c>
      <c r="F431" s="203">
        <f>COUNTIF(C:C,C431)</f>
        <v/>
      </c>
      <c r="G431" s="198">
        <f>+G430+7</f>
        <v/>
      </c>
      <c r="H431" s="361">
        <f>+CO431/CP431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4.28</v>
      </c>
      <c r="CP431" s="970" t="n">
        <v>0.8226599999999999</v>
      </c>
    </row>
    <row r="432">
      <c r="B432" s="204">
        <f>+C432-1</f>
        <v/>
      </c>
      <c r="C432" s="204">
        <f>IF(bands_A!$D$9+1&gt;MONTH(G432),YEAR(G432),YEAR(G432)+1)</f>
        <v/>
      </c>
      <c r="D432" s="204">
        <f>+C432+1</f>
        <v/>
      </c>
      <c r="E432" s="203">
        <f>IF(C432&gt;C431,1,E431+1)</f>
        <v/>
      </c>
      <c r="F432" s="203">
        <f>COUNTIF(C:C,C432)</f>
        <v/>
      </c>
      <c r="G432" s="198">
        <f>+G431+7</f>
        <v/>
      </c>
      <c r="H432" s="361">
        <f>+CO432/CP432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4.32</v>
      </c>
      <c r="CP432" s="970" t="n">
        <v>0.82176</v>
      </c>
    </row>
    <row r="433">
      <c r="B433" s="204">
        <f>+C433-1</f>
        <v/>
      </c>
      <c r="C433" s="204">
        <f>IF(bands_A!$D$9+1&gt;MONTH(G433),YEAR(G433),YEAR(G433)+1)</f>
        <v/>
      </c>
      <c r="D433" s="204">
        <f>+C433+1</f>
        <v/>
      </c>
      <c r="E433" s="203">
        <f>IF(C433&gt;C432,1,E432+1)</f>
        <v/>
      </c>
      <c r="F433" s="203">
        <f>COUNTIF(C:C,C433)</f>
        <v/>
      </c>
      <c r="G433" s="198">
        <f>+G432+7</f>
        <v/>
      </c>
      <c r="H433" s="361">
        <f>+CO433/CP433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4.4</v>
      </c>
      <c r="CP433" s="970" t="n">
        <v>0.81953</v>
      </c>
    </row>
    <row r="434">
      <c r="B434" s="204">
        <f>+C434-1</f>
        <v/>
      </c>
      <c r="C434" s="204">
        <f>IF(bands_A!$D$9+1&gt;MONTH(G434),YEAR(G434),YEAR(G434)+1)</f>
        <v/>
      </c>
      <c r="D434" s="204">
        <f>+C434+1</f>
        <v/>
      </c>
      <c r="E434" s="203">
        <f>IF(C434&gt;C433,1,E433+1)</f>
        <v/>
      </c>
      <c r="F434" s="203">
        <f>COUNTIF(C:C,C434)</f>
        <v/>
      </c>
      <c r="G434" s="198">
        <f>+G433+7</f>
        <v/>
      </c>
      <c r="H434" s="361">
        <f>+CO434/CP434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4.28</v>
      </c>
      <c r="CP434" s="970" t="n">
        <v>0.81986</v>
      </c>
    </row>
    <row r="435">
      <c r="B435" s="204">
        <f>+C435-1</f>
        <v/>
      </c>
      <c r="C435" s="204">
        <f>IF(bands_A!$D$9+1&gt;MONTH(G435),YEAR(G435),YEAR(G435)+1)</f>
        <v/>
      </c>
      <c r="D435" s="204">
        <f>+C435+1</f>
        <v/>
      </c>
      <c r="E435" s="203">
        <f>IF(C435&gt;C434,1,E434+1)</f>
        <v/>
      </c>
      <c r="F435" s="203">
        <f>COUNTIF(C:C,C435)</f>
        <v/>
      </c>
      <c r="G435" s="198">
        <f>+G434+7</f>
        <v/>
      </c>
      <c r="H435" s="361">
        <f>+CO435/CP435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4.22</v>
      </c>
      <c r="CP435" s="970" t="n">
        <v>0.81935</v>
      </c>
    </row>
    <row r="436">
      <c r="B436" s="204">
        <f>+C436-1</f>
        <v/>
      </c>
      <c r="C436" s="204">
        <f>IF(bands_A!$D$9+1&gt;MONTH(G436),YEAR(G436),YEAR(G436)+1)</f>
        <v/>
      </c>
      <c r="D436" s="204">
        <f>+C436+1</f>
        <v/>
      </c>
      <c r="E436" s="203">
        <f>IF(C436&gt;C435,1,E435+1)</f>
        <v/>
      </c>
      <c r="F436" s="203">
        <f>COUNTIF(C:C,C436)</f>
        <v/>
      </c>
      <c r="G436" s="198">
        <f>+G435+7</f>
        <v/>
      </c>
      <c r="H436" s="361">
        <f>+CO436/CP436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4.04</v>
      </c>
      <c r="CP436" s="970" t="n">
        <v>0.81875</v>
      </c>
    </row>
    <row r="437">
      <c r="B437" s="204">
        <f>+C437-1</f>
        <v/>
      </c>
      <c r="C437" s="204">
        <f>IF(bands_A!$D$9+1&gt;MONTH(G437),YEAR(G437),YEAR(G437)+1)</f>
        <v/>
      </c>
      <c r="D437" s="204">
        <f>+C437+1</f>
        <v/>
      </c>
      <c r="E437" s="203">
        <f>IF(C437&gt;C436,1,E436+1)</f>
        <v/>
      </c>
      <c r="F437" s="203">
        <f>COUNTIF(C:C,C437)</f>
        <v/>
      </c>
      <c r="G437" s="198">
        <f>+G436+7</f>
        <v/>
      </c>
      <c r="H437" s="361">
        <f>+CO437/CP437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4.22</v>
      </c>
      <c r="CP437" s="970" t="n">
        <v>0.81793</v>
      </c>
    </row>
    <row r="438">
      <c r="B438" s="204">
        <f>+C438-1</f>
        <v/>
      </c>
      <c r="C438" s="204">
        <f>IF(bands_A!$D$9+1&gt;MONTH(G438),YEAR(G438),YEAR(G438)+1)</f>
        <v/>
      </c>
      <c r="D438" s="204">
        <f>+C438+1</f>
        <v/>
      </c>
      <c r="E438" s="203">
        <f>IF(C438&gt;C437,1,E437+1)</f>
        <v/>
      </c>
      <c r="F438" s="203">
        <f>COUNTIF(C:C,C438)</f>
        <v/>
      </c>
      <c r="G438" s="198">
        <f>+G437+7</f>
        <v/>
      </c>
      <c r="H438" s="361">
        <f>+CO438/CP438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4.25</v>
      </c>
      <c r="CP438" s="970" t="n">
        <v>0.81479</v>
      </c>
    </row>
    <row r="439">
      <c r="B439" s="204">
        <f>+C439-1</f>
        <v/>
      </c>
      <c r="C439" s="204">
        <f>IF(bands_A!$D$9+1&gt;MONTH(G439),YEAR(G439),YEAR(G439)+1)</f>
        <v/>
      </c>
      <c r="D439" s="204">
        <f>+C439+1</f>
        <v/>
      </c>
      <c r="E439" s="203">
        <f>IF(C439&gt;C438,1,E438+1)</f>
        <v/>
      </c>
      <c r="F439" s="203">
        <f>COUNTIF(C:C,C439)</f>
        <v/>
      </c>
      <c r="G439" s="198">
        <f>+G438+7</f>
        <v/>
      </c>
      <c r="H439" s="361">
        <f>+CO439/CP439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v>
      </c>
      <c r="CP439" s="970" t="n">
        <v>0.8131699999999999</v>
      </c>
    </row>
    <row r="440">
      <c r="B440" s="204">
        <f>+C440-1</f>
        <v/>
      </c>
      <c r="C440" s="204">
        <f>IF(bands_A!$D$9+1&gt;MONTH(G440),YEAR(G440),YEAR(G440)+1)</f>
        <v/>
      </c>
      <c r="D440" s="204">
        <f>+C440+1</f>
        <v/>
      </c>
      <c r="E440" s="203">
        <f>IF(C440&gt;C439,1,E439+1)</f>
        <v/>
      </c>
      <c r="F440" s="203">
        <f>COUNTIF(C:C,C440)</f>
        <v/>
      </c>
      <c r="G440" s="198">
        <f>+G439+7</f>
        <v/>
      </c>
      <c r="H440" s="361">
        <f>+CO440/CP440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4.04</v>
      </c>
      <c r="CP440" s="970" t="n">
        <v>0.8106100000000001</v>
      </c>
    </row>
    <row r="441">
      <c r="B441" s="204">
        <f>+C441-1</f>
        <v/>
      </c>
      <c r="C441" s="204">
        <f>IF(bands_A!$D$9+1&gt;MONTH(G441),YEAR(G441),YEAR(G441)+1)</f>
        <v/>
      </c>
      <c r="D441" s="204">
        <f>+C441+1</f>
        <v/>
      </c>
      <c r="E441" s="203">
        <f>IF(C441&gt;C440,1,E440+1)</f>
        <v/>
      </c>
      <c r="F441" s="203">
        <f>COUNTIF(C:C,C441)</f>
        <v/>
      </c>
      <c r="G441" s="198">
        <f>+G440+7</f>
        <v/>
      </c>
      <c r="H441" s="361">
        <f>+CO441/CP441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4.04</v>
      </c>
      <c r="CP441" s="970" t="n">
        <v>0.81658</v>
      </c>
    </row>
    <row r="442">
      <c r="B442" s="204">
        <f>+C442-1</f>
        <v/>
      </c>
      <c r="C442" s="204">
        <f>IF(bands_A!$D$9+1&gt;MONTH(G442),YEAR(G442),YEAR(G442)+1)</f>
        <v/>
      </c>
      <c r="D442" s="204">
        <f>+C442+1</f>
        <v/>
      </c>
      <c r="E442" s="203">
        <f>IF(C442&gt;C441,1,E441+1)</f>
        <v/>
      </c>
      <c r="F442" s="203">
        <f>COUNTIF(C:C,C442)</f>
        <v/>
      </c>
      <c r="G442" s="198">
        <f>+G441+7</f>
        <v/>
      </c>
      <c r="H442" s="361">
        <f>+CO442/CP442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4.07</v>
      </c>
      <c r="CP442" s="970" t="n">
        <v>0.80853</v>
      </c>
    </row>
    <row r="443">
      <c r="B443" s="204">
        <f>+C443-1</f>
        <v/>
      </c>
      <c r="C443" s="204">
        <f>IF(bands_A!$D$9+1&gt;MONTH(G443),YEAR(G443),YEAR(G443)+1)</f>
        <v/>
      </c>
      <c r="D443" s="204">
        <f>+C443+1</f>
        <v/>
      </c>
      <c r="E443" s="203">
        <f>IF(C443&gt;C442,1,E442+1)</f>
        <v/>
      </c>
      <c r="F443" s="203">
        <f>COUNTIF(C:C,C443)</f>
        <v/>
      </c>
      <c r="G443" s="198">
        <f>+G442+7</f>
        <v/>
      </c>
      <c r="H443" s="361">
        <f>+CO443/CP443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4.17</v>
      </c>
      <c r="CP443" s="970" t="n">
        <v>0.80694</v>
      </c>
    </row>
    <row r="444">
      <c r="B444" s="204">
        <f>+C444-1</f>
        <v/>
      </c>
      <c r="C444" s="204">
        <f>IF(bands_A!$D$9+1&gt;MONTH(G444),YEAR(G444),YEAR(G444)+1)</f>
        <v/>
      </c>
      <c r="D444" s="204">
        <f>+C444+1</f>
        <v/>
      </c>
      <c r="E444" s="203">
        <f>IF(C444&gt;C443,1,E443+1)</f>
        <v/>
      </c>
      <c r="F444" s="203">
        <f>COUNTIF(C:C,C444)</f>
        <v/>
      </c>
      <c r="G444" s="198">
        <f>+G443+7</f>
        <v/>
      </c>
      <c r="H444" s="361">
        <f>+CO444/CP444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4.13</v>
      </c>
      <c r="CP444" s="970" t="n">
        <v>0.80627</v>
      </c>
    </row>
    <row r="445">
      <c r="B445" s="204">
        <f>+C445-1</f>
        <v/>
      </c>
      <c r="C445" s="204">
        <f>IF(bands_A!$D$9+1&gt;MONTH(G445),YEAR(G445),YEAR(G445)+1)</f>
        <v/>
      </c>
      <c r="D445" s="204">
        <f>+C445+1</f>
        <v/>
      </c>
      <c r="E445" s="203">
        <f>IF(C445&gt;C444,1,E444+1)</f>
        <v/>
      </c>
      <c r="F445" s="203">
        <f>COUNTIF(C:C,C445)</f>
        <v/>
      </c>
      <c r="G445" s="198">
        <f>+G444+7</f>
        <v/>
      </c>
      <c r="H445" s="361">
        <f>+CO445/CP445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4.22</v>
      </c>
      <c r="CP445" s="970" t="n">
        <v>0.8053399999999999</v>
      </c>
    </row>
    <row r="446">
      <c r="B446" s="204">
        <f>+C446-1</f>
        <v/>
      </c>
      <c r="C446" s="204">
        <f>IF(bands_A!$D$9+1&gt;MONTH(G446),YEAR(G446),YEAR(G446)+1)</f>
        <v/>
      </c>
      <c r="D446" s="204">
        <f>+C446+1</f>
        <v/>
      </c>
      <c r="E446" s="203">
        <f>IF(C446&gt;C445,1,E445+1)</f>
        <v/>
      </c>
      <c r="F446" s="203">
        <f>COUNTIF(C:C,C446)</f>
        <v/>
      </c>
      <c r="G446" s="198">
        <f>+G445+7</f>
        <v/>
      </c>
      <c r="H446" s="361">
        <f>+CO446/CP446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4.08</v>
      </c>
      <c r="CP446" s="970" t="n">
        <v>0.80501</v>
      </c>
    </row>
    <row r="447">
      <c r="B447" s="204">
        <f>+C447-1</f>
        <v/>
      </c>
      <c r="C447" s="204">
        <f>IF(bands_A!$D$9+1&gt;MONTH(G447),YEAR(G447),YEAR(G447)+1)</f>
        <v/>
      </c>
      <c r="D447" s="204">
        <f>+C447+1</f>
        <v/>
      </c>
      <c r="E447" s="203">
        <f>IF(C447&gt;C446,1,E446+1)</f>
        <v/>
      </c>
      <c r="F447" s="203">
        <f>COUNTIF(C:C,C447)</f>
        <v/>
      </c>
      <c r="G447" s="198">
        <f>+G446+7</f>
        <v/>
      </c>
      <c r="H447" s="361">
        <f>+CO447/CP447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3.87</v>
      </c>
      <c r="CP447" s="970" t="n">
        <v>0.80435</v>
      </c>
    </row>
    <row r="448">
      <c r="B448" s="204">
        <f>+C448-1</f>
        <v/>
      </c>
      <c r="C448" s="204">
        <f>IF(bands_A!$D$9+1&gt;MONTH(G448),YEAR(G448),YEAR(G448)+1)</f>
        <v/>
      </c>
      <c r="D448" s="204">
        <f>+C448+1</f>
        <v/>
      </c>
      <c r="E448" s="203">
        <f>IF(C448&gt;C447,1,E447+1)</f>
        <v/>
      </c>
      <c r="F448" s="203">
        <f>COUNTIF(C:C,C448)</f>
        <v/>
      </c>
      <c r="G448" s="198">
        <f>+G447+7</f>
        <v/>
      </c>
      <c r="H448" s="361">
        <f>+CO448/CP448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3.92</v>
      </c>
      <c r="CP448" s="970" t="n">
        <v>0.80306</v>
      </c>
    </row>
    <row r="449">
      <c r="B449" s="204">
        <f>+C449-1</f>
        <v/>
      </c>
      <c r="C449" s="204">
        <f>IF(bands_A!$D$9+1&gt;MONTH(G449),YEAR(G449),YEAR(G449)+1)</f>
        <v/>
      </c>
      <c r="D449" s="204">
        <f>+C449+1</f>
        <v/>
      </c>
      <c r="E449" s="203">
        <f>IF(C449&gt;C448,1,E448+1)</f>
        <v/>
      </c>
      <c r="F449" s="203">
        <f>COUNTIF(C:C,C449)</f>
        <v/>
      </c>
      <c r="G449" s="198">
        <f>+G448+7</f>
        <v/>
      </c>
      <c r="H449" s="361">
        <f>+CO449/CP449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3.66</v>
      </c>
      <c r="CP449" s="970" t="n">
        <v>0.80342</v>
      </c>
    </row>
    <row r="450">
      <c r="B450" s="204">
        <f>+C450-1</f>
        <v/>
      </c>
      <c r="C450" s="204">
        <f>IF(bands_A!$D$9+1&gt;MONTH(G450),YEAR(G450),YEAR(G450)+1)</f>
        <v/>
      </c>
      <c r="D450" s="204">
        <f>+C450+1</f>
        <v/>
      </c>
      <c r="E450" s="203">
        <f>IF(C450&gt;C449,1,E449+1)</f>
        <v/>
      </c>
      <c r="F450" s="203">
        <f>COUNTIF(C:C,C450)</f>
        <v/>
      </c>
      <c r="G450" s="198">
        <f>+G449+7</f>
        <v/>
      </c>
      <c r="H450" s="361">
        <f>+CO450/CP450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3.8</v>
      </c>
      <c r="CP450" s="970" t="n">
        <v>0.80445</v>
      </c>
    </row>
    <row r="451">
      <c r="B451" s="204">
        <f>+C451-1</f>
        <v/>
      </c>
      <c r="C451" s="204">
        <f>IF(bands_A!$D$9+1&gt;MONTH(G451),YEAR(G451),YEAR(G451)+1)</f>
        <v/>
      </c>
      <c r="D451" s="204">
        <f>+C451+1</f>
        <v/>
      </c>
      <c r="E451" s="203">
        <f>IF(C451&gt;C450,1,E450+1)</f>
        <v/>
      </c>
      <c r="F451" s="203">
        <f>COUNTIF(C:C,C451)</f>
        <v/>
      </c>
      <c r="G451" s="198">
        <f>+G450+7</f>
        <v/>
      </c>
      <c r="H451" s="361">
        <f>+CO451/CP451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3.87</v>
      </c>
      <c r="CP451" s="970" t="n">
        <v>0.8059500000000001</v>
      </c>
    </row>
    <row r="452">
      <c r="B452" s="204">
        <f>+C452-1</f>
        <v/>
      </c>
      <c r="C452" s="204">
        <f>IF(bands_A!$D$9+1&gt;MONTH(G452),YEAR(G452),YEAR(G452)+1)</f>
        <v/>
      </c>
      <c r="D452" s="204">
        <f>+C452+1</f>
        <v/>
      </c>
      <c r="E452" s="203">
        <f>IF(C452&gt;C451,1,E451+1)</f>
        <v/>
      </c>
      <c r="F452" s="203">
        <f>COUNTIF(C:C,C452)</f>
        <v/>
      </c>
      <c r="G452" s="198">
        <f>+G451+7</f>
        <v/>
      </c>
      <c r="H452" s="361">
        <f>+CO452/CP452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3.87</v>
      </c>
      <c r="CP452" s="970" t="n">
        <v>0.80453</v>
      </c>
    </row>
    <row r="453">
      <c r="B453" s="204">
        <f>+C453-1</f>
        <v/>
      </c>
      <c r="C453" s="204">
        <f>IF(bands_A!$D$9+1&gt;MONTH(G453),YEAR(G453),YEAR(G453)+1)</f>
        <v/>
      </c>
      <c r="D453" s="204">
        <f>+C453+1</f>
        <v/>
      </c>
      <c r="E453" s="203">
        <f>IF(C453&gt;C452,1,E452+1)</f>
        <v/>
      </c>
      <c r="F453" s="203">
        <f>COUNTIF(C:C,C453)</f>
        <v/>
      </c>
      <c r="G453" s="198">
        <f>+G452+7</f>
        <v/>
      </c>
      <c r="H453" s="361">
        <f>+CO453/CP453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4.03</v>
      </c>
      <c r="CP453" s="970" t="n">
        <v>0.80445</v>
      </c>
    </row>
    <row r="454">
      <c r="B454" s="204">
        <f>+C454-1</f>
        <v/>
      </c>
      <c r="C454" s="204">
        <f>IF(bands_A!$D$9+1&gt;MONTH(G454),YEAR(G454),YEAR(G454)+1)</f>
        <v/>
      </c>
      <c r="D454" s="204">
        <f>+C454+1</f>
        <v/>
      </c>
      <c r="E454" s="203">
        <f>IF(C454&gt;C453,1,E453+1)</f>
        <v/>
      </c>
      <c r="F454" s="203">
        <f>COUNTIF(C:C,C454)</f>
        <v/>
      </c>
      <c r="G454" s="198">
        <f>+G453+7</f>
        <v/>
      </c>
      <c r="H454" s="361">
        <f>+CO454/CP454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4.06</v>
      </c>
      <c r="CP454" s="970" t="n">
        <v>0.80387</v>
      </c>
    </row>
    <row r="455">
      <c r="B455" s="204">
        <f>+C455-1</f>
        <v/>
      </c>
      <c r="C455" s="204">
        <f>IF(bands_A!$D$9+1&gt;MONTH(G455),YEAR(G455),YEAR(G455)+1)</f>
        <v/>
      </c>
      <c r="D455" s="204">
        <f>+C455+1</f>
        <v/>
      </c>
      <c r="E455" s="203">
        <f>IF(C455&gt;C454,1,E454+1)</f>
        <v/>
      </c>
      <c r="F455" s="203">
        <f>COUNTIF(C:C,C455)</f>
        <v/>
      </c>
      <c r="G455" s="198">
        <f>+G454+7</f>
        <v/>
      </c>
      <c r="H455" s="361">
        <f>+CO455/CP455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4.11</v>
      </c>
      <c r="CP455" s="970" t="n">
        <v>0.80198</v>
      </c>
    </row>
    <row r="456">
      <c r="B456" s="204">
        <f>+C456-1</f>
        <v/>
      </c>
      <c r="C456" s="204">
        <f>IF(bands_A!$D$9+1&gt;MONTH(G456),YEAR(G456),YEAR(G456)+1)</f>
        <v/>
      </c>
      <c r="D456" s="204">
        <f>+C456+1</f>
        <v/>
      </c>
      <c r="E456" s="203">
        <f>IF(C456&gt;C455,1,E455+1)</f>
        <v/>
      </c>
      <c r="F456" s="203">
        <f>COUNTIF(C:C,C456)</f>
        <v/>
      </c>
      <c r="G456" s="198">
        <f>+G455+7</f>
        <v/>
      </c>
      <c r="H456" s="361">
        <f>+CO456/CP456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4.22</v>
      </c>
      <c r="CP456" s="970" t="n">
        <v>0.80219</v>
      </c>
    </row>
    <row r="457">
      <c r="B457" s="204">
        <f>+C457-1</f>
        <v/>
      </c>
      <c r="C457" s="204">
        <f>IF(bands_A!$D$9+1&gt;MONTH(G457),YEAR(G457),YEAR(G457)+1)</f>
        <v/>
      </c>
      <c r="D457" s="204">
        <f>+C457+1</f>
        <v/>
      </c>
      <c r="E457" s="203">
        <f>IF(C457&gt;C456,1,E456+1)</f>
        <v/>
      </c>
      <c r="F457" s="203">
        <f>COUNTIF(C:C,C457)</f>
        <v/>
      </c>
      <c r="G457" s="198">
        <f>+G456+7</f>
        <v/>
      </c>
      <c r="H457" s="361">
        <f>+CO457/CP457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4.05</v>
      </c>
      <c r="CP457" s="970" t="n">
        <v>0.80249</v>
      </c>
    </row>
    <row r="458">
      <c r="B458" s="204">
        <f>+C458-1</f>
        <v/>
      </c>
      <c r="C458" s="204">
        <f>IF(bands_A!$D$9+1&gt;MONTH(G458),YEAR(G458),YEAR(G458)+1)</f>
        <v/>
      </c>
      <c r="D458" s="204">
        <f>+C458+1</f>
        <v/>
      </c>
      <c r="E458" s="203">
        <f>IF(C458&gt;C457,1,E457+1)</f>
        <v/>
      </c>
      <c r="F458" s="203">
        <f>COUNTIF(C:C,C458)</f>
        <v/>
      </c>
      <c r="G458" s="198">
        <f>+G457+7</f>
        <v/>
      </c>
      <c r="H458" s="361">
        <f>+CO458/CP458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4.2</v>
      </c>
      <c r="CP458" s="970" t="n">
        <v>0.80337</v>
      </c>
    </row>
    <row r="459">
      <c r="B459" s="204">
        <f>+C459-1</f>
        <v/>
      </c>
      <c r="C459" s="204">
        <f>IF(bands_A!$D$9+1&gt;MONTH(G459),YEAR(G459),YEAR(G459)+1)</f>
        <v/>
      </c>
      <c r="D459" s="204">
        <f>+C459+1</f>
        <v/>
      </c>
      <c r="E459" s="203">
        <f>IF(C459&gt;C458,1,E458+1)</f>
        <v/>
      </c>
      <c r="F459" s="203">
        <f>COUNTIF(C:C,C459)</f>
        <v/>
      </c>
      <c r="G459" s="198">
        <f>+G458+7</f>
        <v/>
      </c>
      <c r="H459" s="361">
        <f>+CO459/CP459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4.24</v>
      </c>
      <c r="CP459" s="970" t="n">
        <v>0.80354</v>
      </c>
    </row>
    <row r="460">
      <c r="B460" s="204">
        <f>+C460-1</f>
        <v/>
      </c>
      <c r="C460" s="204">
        <f>IF(bands_A!$D$9+1&gt;MONTH(G460),YEAR(G460),YEAR(G460)+1)</f>
        <v/>
      </c>
      <c r="D460" s="204">
        <f>+C460+1</f>
        <v/>
      </c>
      <c r="E460" s="203">
        <f>IF(C460&gt;C459,1,E459+1)</f>
        <v/>
      </c>
      <c r="F460" s="203">
        <f>COUNTIF(C:C,C460)</f>
        <v/>
      </c>
      <c r="G460" s="198">
        <f>+G459+7</f>
        <v/>
      </c>
      <c r="H460" s="361">
        <f>+CO460/CP460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4.24</v>
      </c>
      <c r="CP460" s="970" t="n">
        <v>0.80375</v>
      </c>
    </row>
    <row r="461">
      <c r="B461" s="204">
        <f>+C461-1</f>
        <v/>
      </c>
      <c r="C461" s="204">
        <f>IF(bands_A!$D$9+1&gt;MONTH(G461),YEAR(G461),YEAR(G461)+1)</f>
        <v/>
      </c>
      <c r="D461" s="204">
        <f>+C461+1</f>
        <v/>
      </c>
      <c r="E461" s="203">
        <f>IF(C461&gt;C460,1,E460+1)</f>
        <v/>
      </c>
      <c r="F461" s="203">
        <f>COUNTIF(C:C,C461)</f>
        <v/>
      </c>
      <c r="G461" s="198">
        <f>+G460+7</f>
        <v/>
      </c>
      <c r="H461" s="361">
        <f>+CO461/CP461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4.06</v>
      </c>
      <c r="CP461" s="970" t="n">
        <v>0.80381</v>
      </c>
    </row>
    <row r="462">
      <c r="B462" s="204">
        <f>+C462-1</f>
        <v/>
      </c>
      <c r="C462" s="204">
        <f>IF(bands_A!$D$9+1&gt;MONTH(G462),YEAR(G462),YEAR(G462)+1)</f>
        <v/>
      </c>
      <c r="D462" s="204">
        <f>+C462+1</f>
        <v/>
      </c>
      <c r="E462" s="203">
        <f>IF(C462&gt;C461,1,E461+1)</f>
        <v/>
      </c>
      <c r="F462" s="203">
        <f>COUNTIF(C:C,C462)</f>
        <v/>
      </c>
      <c r="G462" s="198">
        <f>+G461+7</f>
        <v/>
      </c>
      <c r="H462" s="361">
        <f>+CO462/CP462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4.1</v>
      </c>
      <c r="CP462" s="970" t="n">
        <v>0.8025</v>
      </c>
    </row>
    <row r="463">
      <c r="B463" s="204">
        <f>+C463-1</f>
        <v/>
      </c>
      <c r="C463" s="204">
        <f>IF(bands_A!$D$9+1&gt;MONTH(G463),YEAR(G463),YEAR(G463)+1)</f>
        <v/>
      </c>
      <c r="D463" s="204">
        <f>+C463+1</f>
        <v/>
      </c>
      <c r="E463" s="203">
        <f>IF(C463&gt;C462,1,E462+1)</f>
        <v/>
      </c>
      <c r="F463" s="203">
        <f>COUNTIF(C:C,C463)</f>
        <v/>
      </c>
      <c r="G463" s="198">
        <f>+G462+7</f>
        <v/>
      </c>
      <c r="H463" s="361">
        <f>+CO463/CP463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4.07</v>
      </c>
      <c r="CP463" s="970" t="n">
        <v>0.80128</v>
      </c>
    </row>
    <row r="464">
      <c r="B464" s="204">
        <f>+C464-1</f>
        <v/>
      </c>
      <c r="C464" s="204">
        <f>IF(bands_A!$D$9+1&gt;MONTH(G464),YEAR(G464),YEAR(G464)+1)</f>
        <v/>
      </c>
      <c r="D464" s="204">
        <f>+C464+1</f>
        <v/>
      </c>
      <c r="E464" s="203">
        <f>IF(C464&gt;C463,1,E463+1)</f>
        <v/>
      </c>
      <c r="F464" s="203">
        <f>COUNTIF(C:C,C464)</f>
        <v/>
      </c>
      <c r="G464" s="198">
        <f>+G463+7</f>
        <v/>
      </c>
      <c r="H464" s="361">
        <f>+CO464/CP464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4.28</v>
      </c>
      <c r="CP464" s="970" t="n">
        <v>0.80038</v>
      </c>
    </row>
    <row r="465">
      <c r="B465" s="204">
        <f>+C465-1</f>
        <v/>
      </c>
      <c r="C465" s="204">
        <f>IF(bands_A!$D$9+1&gt;MONTH(G465),YEAR(G465),YEAR(G465)+1)</f>
        <v/>
      </c>
      <c r="D465" s="204">
        <f>+C465+1</f>
        <v/>
      </c>
      <c r="E465" s="203">
        <f>IF(C465&gt;C464,1,E464+1)</f>
        <v/>
      </c>
      <c r="F465" s="203">
        <f>COUNTIF(C:C,C465)</f>
        <v/>
      </c>
      <c r="G465" s="198">
        <f>+G464+7</f>
        <v/>
      </c>
      <c r="H465" s="361">
        <f>+CO465/CP465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4.2</v>
      </c>
      <c r="CP465" s="970" t="n">
        <v>0.80002</v>
      </c>
    </row>
    <row r="466">
      <c r="B466" s="204">
        <f>+C466-1</f>
        <v/>
      </c>
      <c r="C466" s="204">
        <f>IF(bands_A!$D$9+1&gt;MONTH(G466),YEAR(G466),YEAR(G466)+1)</f>
        <v/>
      </c>
      <c r="D466" s="204">
        <f>+C466+1</f>
        <v/>
      </c>
      <c r="E466" s="203">
        <f>IF(C466&gt;C465,1,E465+1)</f>
        <v/>
      </c>
      <c r="F466" s="203">
        <f>COUNTIF(C:C,C466)</f>
        <v/>
      </c>
      <c r="G466" s="198">
        <f>+G465+7</f>
        <v/>
      </c>
      <c r="H466" s="361">
        <f>+CO466/CP466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3.97</v>
      </c>
      <c r="CP466" s="970" t="n">
        <v>0.79997</v>
      </c>
    </row>
    <row r="467">
      <c r="B467" s="204">
        <f>+C467-1</f>
        <v/>
      </c>
      <c r="C467" s="204">
        <f>IF(bands_A!$D$9+1&gt;MONTH(G467),YEAR(G467),YEAR(G467)+1)</f>
        <v/>
      </c>
      <c r="D467" s="204">
        <f>+C467+1</f>
        <v/>
      </c>
      <c r="E467" s="203">
        <f>IF(C467&gt;C466,1,E466+1)</f>
        <v/>
      </c>
      <c r="F467" s="203">
        <f>COUNTIF(C:C,C467)</f>
        <v/>
      </c>
      <c r="G467" s="198">
        <f>+G466+7</f>
        <v/>
      </c>
      <c r="H467" s="361">
        <f>+CO467/CP467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3.9</v>
      </c>
      <c r="CP467" s="970" t="n">
        <v>0.79862</v>
      </c>
    </row>
    <row r="468">
      <c r="B468" s="204">
        <f>+C468-1</f>
        <v/>
      </c>
      <c r="C468" s="204">
        <f>IF(bands_A!$D$9+1&gt;MONTH(G468),YEAR(G468),YEAR(G468)+1)</f>
        <v/>
      </c>
      <c r="D468" s="204">
        <f>+C468+1</f>
        <v/>
      </c>
      <c r="E468" s="203">
        <f>IF(C468&gt;C467,1,E467+1)</f>
        <v/>
      </c>
      <c r="F468" s="203">
        <f>COUNTIF(C:C,C468)</f>
        <v/>
      </c>
      <c r="G468" s="198">
        <f>+G467+7</f>
        <v/>
      </c>
      <c r="H468" s="361">
        <f>+CO468/CP468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3.88</v>
      </c>
      <c r="CP468" s="970" t="n">
        <v>0.79832</v>
      </c>
    </row>
    <row r="469">
      <c r="B469" s="204">
        <f>+C469-1</f>
        <v/>
      </c>
      <c r="C469" s="204">
        <f>IF(bands_A!$D$9+1&gt;MONTH(G469),YEAR(G469),YEAR(G469)+1)</f>
        <v/>
      </c>
      <c r="D469" s="204">
        <f>+C469+1</f>
        <v/>
      </c>
      <c r="E469" s="203">
        <f>IF(C469&gt;C468,1,E468+1)</f>
        <v/>
      </c>
      <c r="F469" s="203">
        <f>COUNTIF(C:C,C469)</f>
        <v/>
      </c>
      <c r="G469" s="198">
        <f>+G468+7</f>
        <v/>
      </c>
      <c r="H469" s="361">
        <f>+CO469/CP469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3.9</v>
      </c>
      <c r="CP469" s="970" t="n">
        <v>0.79509</v>
      </c>
    </row>
    <row r="470">
      <c r="B470" s="204">
        <f>+C470-1</f>
        <v/>
      </c>
      <c r="C470" s="204">
        <f>IF(bands_A!$D$9+1&gt;MONTH(G470),YEAR(G470),YEAR(G470)+1)</f>
        <v/>
      </c>
      <c r="D470" s="204">
        <f>+C470+1</f>
        <v/>
      </c>
      <c r="E470" s="203">
        <f>IF(C470&gt;C469,1,E469+1)</f>
        <v/>
      </c>
      <c r="F470" s="203">
        <f>COUNTIF(C:C,C470)</f>
        <v/>
      </c>
      <c r="G470" s="198">
        <f>+G469+7</f>
        <v/>
      </c>
      <c r="H470" s="361">
        <f>+CO470/CP470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3.73</v>
      </c>
      <c r="CP470" s="970" t="n">
        <v>0.79354</v>
      </c>
    </row>
    <row r="471">
      <c r="B471" s="204">
        <f>+C471-1</f>
        <v/>
      </c>
      <c r="C471" s="204">
        <f>IF(bands_A!$D$9+1&gt;MONTH(G471),YEAR(G471),YEAR(G471)+1)</f>
        <v/>
      </c>
      <c r="D471" s="204">
        <f>+C471+1</f>
        <v/>
      </c>
      <c r="E471" s="203">
        <f>IF(C471&gt;C470,1,E470+1)</f>
        <v/>
      </c>
      <c r="F471" s="203">
        <f>COUNTIF(C:C,C471)</f>
        <v/>
      </c>
      <c r="G471" s="198">
        <f>+G470+7</f>
        <v/>
      </c>
      <c r="H471" s="361">
        <f>+CO471/CP471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3.75</v>
      </c>
      <c r="CP471" s="970" t="n">
        <v>0.79336</v>
      </c>
    </row>
    <row r="472">
      <c r="B472" s="204">
        <f>+C472-1</f>
        <v/>
      </c>
      <c r="C472" s="204">
        <f>IF(bands_A!$D$9+1&gt;MONTH(G472),YEAR(G472),YEAR(G472)+1)</f>
        <v/>
      </c>
      <c r="D472" s="204">
        <f>+C472+1</f>
        <v/>
      </c>
      <c r="E472" s="203">
        <f>IF(C472&gt;C471,1,E471+1)</f>
        <v/>
      </c>
      <c r="F472" s="203">
        <f>COUNTIF(C:C,C472)</f>
        <v/>
      </c>
      <c r="G472" s="198">
        <f>+G471+7</f>
        <v/>
      </c>
      <c r="H472" s="361">
        <f>+CO472/CP472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3.88</v>
      </c>
      <c r="CP472" s="970" t="n">
        <v>0.79134</v>
      </c>
    </row>
    <row r="473">
      <c r="B473" s="204">
        <f>+C473-1</f>
        <v/>
      </c>
      <c r="C473" s="204">
        <f>IF(bands_A!$D$9+1&gt;MONTH(G473),YEAR(G473),YEAR(G473)+1)</f>
        <v/>
      </c>
      <c r="D473" s="204">
        <f>+C473+1</f>
        <v/>
      </c>
      <c r="E473" s="203">
        <f>IF(C473&gt;C472,1,E472+1)</f>
        <v/>
      </c>
      <c r="F473" s="203">
        <f>COUNTIF(C:C,C473)</f>
        <v/>
      </c>
      <c r="G473" s="198">
        <f>+G472+7</f>
        <v/>
      </c>
      <c r="H473" s="361">
        <f>+CO473/CP473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3.92</v>
      </c>
      <c r="CP473" s="970" t="n">
        <v>0.79114</v>
      </c>
    </row>
    <row r="474">
      <c r="B474" s="204">
        <f>+C474-1</f>
        <v/>
      </c>
      <c r="C474" s="204">
        <f>IF(bands_A!$D$9+1&gt;MONTH(G474),YEAR(G474),YEAR(G474)+1)</f>
        <v/>
      </c>
      <c r="D474" s="204">
        <f>+C474+1</f>
        <v/>
      </c>
      <c r="E474" s="203">
        <f>IF(C474&gt;C473,1,E473+1)</f>
        <v/>
      </c>
      <c r="F474" s="203">
        <f>COUNTIF(C:C,C474)</f>
        <v/>
      </c>
      <c r="G474" s="198">
        <f>+G473+7</f>
        <v/>
      </c>
      <c r="H474" s="361">
        <f>+CO474/CP474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3.92</v>
      </c>
      <c r="CP474" s="970" t="n">
        <v>0.78982</v>
      </c>
    </row>
    <row r="475">
      <c r="B475" s="204">
        <f>+C475-1</f>
        <v/>
      </c>
      <c r="C475" s="204">
        <f>IF(bands_A!$D$9+1&gt;MONTH(G475),YEAR(G475),YEAR(G475)+1)</f>
        <v/>
      </c>
      <c r="D475" s="204">
        <f>+C475+1</f>
        <v/>
      </c>
      <c r="E475" s="203">
        <f>IF(C475&gt;C474,1,E474+1)</f>
        <v/>
      </c>
      <c r="F475" s="203">
        <f>COUNTIF(C:C,C475)</f>
        <v/>
      </c>
      <c r="G475" s="198">
        <f>+G474+7</f>
        <v/>
      </c>
      <c r="H475" s="361">
        <f>+CO475/CP475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3.89</v>
      </c>
      <c r="CP475" s="970" t="n">
        <v>0.79026</v>
      </c>
    </row>
    <row r="476">
      <c r="B476" s="204">
        <f>+C476-1</f>
        <v/>
      </c>
      <c r="C476" s="204">
        <f>IF(bands_A!$D$9+1&gt;MONTH(G476),YEAR(G476),YEAR(G476)+1)</f>
        <v/>
      </c>
      <c r="D476" s="204">
        <f>+C476+1</f>
        <v/>
      </c>
      <c r="E476" s="203">
        <f>IF(C476&gt;C475,1,E475+1)</f>
        <v/>
      </c>
      <c r="F476" s="203">
        <f>COUNTIF(C:C,C476)</f>
        <v/>
      </c>
      <c r="G476" s="198">
        <f>+G475+7</f>
        <v/>
      </c>
      <c r="H476" s="361">
        <f>+CO476/CP476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3.91</v>
      </c>
      <c r="CP476" s="970" t="n">
        <v>0.79018</v>
      </c>
    </row>
    <row r="477">
      <c r="B477" s="204">
        <f>+C477-1</f>
        <v/>
      </c>
      <c r="C477" s="204">
        <f>IF(bands_A!$D$9+1&gt;MONTH(G477),YEAR(G477),YEAR(G477)+1)</f>
        <v/>
      </c>
      <c r="D477" s="204">
        <f>+C477+1</f>
        <v/>
      </c>
      <c r="E477" s="203">
        <f>IF(C477&gt;C476,1,E476+1)</f>
        <v/>
      </c>
      <c r="F477" s="203">
        <f>COUNTIF(C:C,C477)</f>
        <v/>
      </c>
      <c r="G477" s="198">
        <f>+G476+7</f>
        <v/>
      </c>
      <c r="H477" s="361">
        <f>+CO477/CP477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3.74</v>
      </c>
      <c r="CP477" s="970" t="n">
        <v>0.78994</v>
      </c>
    </row>
    <row r="478">
      <c r="B478" s="204">
        <f>+C478-1</f>
        <v/>
      </c>
      <c r="C478" s="204">
        <f>IF(bands_A!$D$9+1&gt;MONTH(G478),YEAR(G478),YEAR(G478)+1)</f>
        <v/>
      </c>
      <c r="D478" s="204">
        <f>+C478+1</f>
        <v/>
      </c>
      <c r="E478" s="203">
        <f>IF(C478&gt;C477,1,E477+1)</f>
        <v/>
      </c>
      <c r="F478" s="203">
        <f>COUNTIF(C:C,C478)</f>
        <v/>
      </c>
      <c r="G478" s="198">
        <f>+G477+7</f>
        <v/>
      </c>
      <c r="H478" s="361">
        <f>+CO478/CP478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3.61</v>
      </c>
      <c r="CP478" s="970" t="n">
        <v>0.79065</v>
      </c>
    </row>
    <row r="479">
      <c r="B479" s="204">
        <f>+C479-1</f>
        <v/>
      </c>
      <c r="C479" s="204">
        <f>IF(bands_A!$D$9+1&gt;MONTH(G479),YEAR(G479),YEAR(G479)+1)</f>
        <v/>
      </c>
      <c r="D479" s="204">
        <f>+C479+1</f>
        <v/>
      </c>
      <c r="E479" s="203">
        <f>IF(C479&gt;C478,1,E478+1)</f>
        <v/>
      </c>
      <c r="F479" s="203">
        <f>COUNTIF(C:C,C479)</f>
        <v/>
      </c>
      <c r="G479" s="198">
        <f>+G478+7</f>
        <v/>
      </c>
      <c r="H479" s="361">
        <f>+CO479/CP479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3.34</v>
      </c>
      <c r="CP479" s="970" t="n">
        <v>0.79128</v>
      </c>
    </row>
    <row r="480">
      <c r="B480" s="204">
        <f>+C480-1</f>
        <v/>
      </c>
      <c r="C480" s="204">
        <f>IF(bands_A!$D$9+1&gt;MONTH(G480),YEAR(G480),YEAR(G480)+1)</f>
        <v/>
      </c>
      <c r="D480" s="204">
        <f>+C480+1</f>
        <v/>
      </c>
      <c r="E480" s="203">
        <f>IF(C480&gt;C479,1,E479+1)</f>
        <v/>
      </c>
      <c r="F480" s="203">
        <f>COUNTIF(C:C,C480)</f>
        <v/>
      </c>
      <c r="G480" s="198">
        <f>+G479+7</f>
        <v/>
      </c>
      <c r="H480" s="361">
        <f>+CO480/CP480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3.36</v>
      </c>
      <c r="CP480" s="970" t="n">
        <v>0.79083</v>
      </c>
    </row>
    <row r="481">
      <c r="B481" s="204">
        <f>+C481-1</f>
        <v/>
      </c>
      <c r="C481" s="204">
        <f>IF(bands_A!$D$9+1&gt;MONTH(G481),YEAR(G481),YEAR(G481)+1)</f>
        <v/>
      </c>
      <c r="D481" s="204">
        <f>+C481+1</f>
        <v/>
      </c>
      <c r="E481" s="203">
        <f>IF(C481&gt;C480,1,E480+1)</f>
        <v/>
      </c>
      <c r="F481" s="203">
        <f>COUNTIF(C:C,C481)</f>
        <v/>
      </c>
      <c r="G481" s="198">
        <f>+G480+7</f>
        <v/>
      </c>
      <c r="H481" s="361">
        <f>+CO481/CP481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3.33</v>
      </c>
      <c r="CP481" s="970" t="n">
        <v>0.79103</v>
      </c>
    </row>
    <row r="482">
      <c r="B482" s="204">
        <f>+C482-1</f>
        <v/>
      </c>
      <c r="C482" s="204">
        <f>IF(bands_A!$D$9+1&gt;MONTH(G482),YEAR(G482),YEAR(G482)+1)</f>
        <v/>
      </c>
      <c r="D482" s="204">
        <f>+C482+1</f>
        <v/>
      </c>
      <c r="E482" s="203">
        <f>IF(C482&gt;C481,1,E481+1)</f>
        <v/>
      </c>
      <c r="F482" s="203">
        <f>COUNTIF(C:C,C482)</f>
        <v/>
      </c>
      <c r="G482" s="198">
        <f>+G481+7</f>
        <v/>
      </c>
      <c r="H482" s="361">
        <f>+CO482/CP482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3.25</v>
      </c>
      <c r="CP482" s="970" t="n">
        <v>0.79117</v>
      </c>
    </row>
    <row r="483">
      <c r="B483" s="204">
        <f>+C483-1</f>
        <v/>
      </c>
      <c r="C483" s="204">
        <f>IF(bands_A!$D$9+1&gt;MONTH(G483),YEAR(G483),YEAR(G483)+1)</f>
        <v/>
      </c>
      <c r="D483" s="204">
        <f>+C483+1</f>
        <v/>
      </c>
      <c r="E483" s="203">
        <f>IF(C483&gt;C482,1,E482+1)</f>
        <v/>
      </c>
      <c r="F483" s="203">
        <f>COUNTIF(C:C,C483)</f>
        <v/>
      </c>
      <c r="G483" s="198">
        <f>+G482+7</f>
        <v/>
      </c>
      <c r="H483" s="361">
        <f>+CO483/CP483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3.23</v>
      </c>
      <c r="CP483" s="970" t="n">
        <v>0.79044</v>
      </c>
    </row>
    <row r="484">
      <c r="B484" s="204">
        <f>+C484-1</f>
        <v/>
      </c>
      <c r="C484" s="204">
        <f>IF(bands_A!$D$9+1&gt;MONTH(G484),YEAR(G484),YEAR(G484)+1)</f>
        <v/>
      </c>
      <c r="D484" s="204">
        <f>+C484+1</f>
        <v/>
      </c>
      <c r="E484" s="203">
        <f>IF(C484&gt;C483,1,E483+1)</f>
        <v/>
      </c>
      <c r="F484" s="203">
        <f>COUNTIF(C:C,C484)</f>
        <v/>
      </c>
      <c r="G484" s="198">
        <f>+G483+7</f>
        <v/>
      </c>
      <c r="H484" s="361">
        <f>+CO484/CP484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3.24</v>
      </c>
      <c r="CP484" s="970" t="n">
        <v>0.7902400000000001</v>
      </c>
    </row>
    <row r="485">
      <c r="B485" s="204">
        <f>+C485-1</f>
        <v/>
      </c>
      <c r="C485" s="204">
        <f>IF(bands_A!$D$9+1&gt;MONTH(G485),YEAR(G485),YEAR(G485)+1)</f>
        <v/>
      </c>
      <c r="D485" s="204">
        <f>+C485+1</f>
        <v/>
      </c>
      <c r="E485" s="203">
        <f>IF(C485&gt;C484,1,E484+1)</f>
        <v/>
      </c>
      <c r="F485" s="203">
        <f>COUNTIF(C:C,C485)</f>
        <v/>
      </c>
      <c r="G485" s="198">
        <f>+G484+7</f>
        <v/>
      </c>
      <c r="H485" s="361">
        <f>+CO485/CP485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3.28</v>
      </c>
      <c r="CP485" s="970" t="n">
        <v>0.78932</v>
      </c>
    </row>
    <row r="486">
      <c r="B486" s="204">
        <f>+C486-1</f>
        <v/>
      </c>
      <c r="C486" s="204">
        <f>IF(bands_A!$D$9+1&gt;MONTH(G486),YEAR(G486),YEAR(G486)+1)</f>
        <v/>
      </c>
      <c r="D486" s="204">
        <f>+C486+1</f>
        <v/>
      </c>
      <c r="E486" s="203">
        <f>IF(C486&gt;C485,1,E485+1)</f>
        <v/>
      </c>
      <c r="F486" s="203">
        <f>COUNTIF(C:C,C486)</f>
        <v/>
      </c>
      <c r="G486" s="198">
        <f>+G485+7</f>
        <v/>
      </c>
      <c r="H486" s="361">
        <f>+CO486/CP486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3.28</v>
      </c>
      <c r="CP486" s="970" t="n">
        <v>0.78861</v>
      </c>
    </row>
    <row r="487">
      <c r="B487" s="204">
        <f>+C487-1</f>
        <v/>
      </c>
      <c r="C487" s="204">
        <f>IF(bands_A!$D$9+1&gt;MONTH(G487),YEAR(G487),YEAR(G487)+1)</f>
        <v/>
      </c>
      <c r="D487" s="204">
        <f>+C487+1</f>
        <v/>
      </c>
      <c r="E487" s="203">
        <f>IF(C487&gt;C486,1,E486+1)</f>
        <v/>
      </c>
      <c r="F487" s="203">
        <f>COUNTIF(C:C,C487)</f>
        <v/>
      </c>
      <c r="G487" s="198">
        <f>+G486+7</f>
        <v/>
      </c>
      <c r="H487" s="361">
        <f>+CO487/CP487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3.27</v>
      </c>
      <c r="CP487" s="970" t="n">
        <v>0.7893</v>
      </c>
    </row>
    <row r="488">
      <c r="B488" s="204">
        <f>+C488-1</f>
        <v/>
      </c>
      <c r="C488" s="204">
        <f>IF(bands_A!$D$9+1&gt;MONTH(G488),YEAR(G488),YEAR(G488)+1)</f>
        <v/>
      </c>
      <c r="D488" s="204">
        <f>+C488+1</f>
        <v/>
      </c>
      <c r="E488" s="203">
        <f>IF(C488&gt;C487,1,E487+1)</f>
        <v/>
      </c>
      <c r="F488" s="203">
        <f>COUNTIF(C:C,C488)</f>
        <v/>
      </c>
      <c r="G488" s="198">
        <f>+G487+7</f>
        <v/>
      </c>
      <c r="H488" s="361">
        <f>+CO488/CP488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3.82</v>
      </c>
      <c r="CP488" s="970" t="n">
        <v>0.7891</v>
      </c>
    </row>
    <row r="489">
      <c r="B489" s="204">
        <f>+C489-1</f>
        <v/>
      </c>
      <c r="C489" s="204">
        <f>IF(bands_A!$D$9+1&gt;MONTH(G489),YEAR(G489),YEAR(G489)+1)</f>
        <v/>
      </c>
      <c r="D489" s="204">
        <f>+C489+1</f>
        <v/>
      </c>
      <c r="E489" s="203">
        <f>IF(C489&gt;C488,1,E488+1)</f>
        <v/>
      </c>
      <c r="F489" s="203">
        <f>COUNTIF(C:C,C489)</f>
        <v/>
      </c>
      <c r="G489" s="198">
        <f>+G488+7</f>
        <v/>
      </c>
      <c r="H489" s="361">
        <f>+CO489/CP489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3.68</v>
      </c>
      <c r="CP489" s="970" t="n">
        <v>0.78923</v>
      </c>
    </row>
    <row r="490">
      <c r="B490" s="204">
        <f>+C490-1</f>
        <v/>
      </c>
      <c r="C490" s="204">
        <f>IF(bands_A!$D$9+1&gt;MONTH(G490),YEAR(G490),YEAR(G490)+1)</f>
        <v/>
      </c>
      <c r="D490" s="204">
        <f>+C490+1</f>
        <v/>
      </c>
      <c r="E490" s="203">
        <f>IF(C490&gt;C489,1,E489+1)</f>
        <v/>
      </c>
      <c r="F490" s="203">
        <f>COUNTIF(C:C,C490)</f>
        <v/>
      </c>
      <c r="G490" s="198">
        <f>+G489+7</f>
        <v/>
      </c>
      <c r="H490" s="361">
        <f>+CO490/CP490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3.98</v>
      </c>
      <c r="CP490" s="970" t="n">
        <v>0.78907</v>
      </c>
    </row>
    <row r="491">
      <c r="B491" s="204">
        <f>+C491-1</f>
        <v/>
      </c>
      <c r="C491" s="204">
        <f>IF(bands_A!$D$9+1&gt;MONTH(G491),YEAR(G491),YEAR(G491)+1)</f>
        <v/>
      </c>
      <c r="D491" s="204">
        <f>+C491+1</f>
        <v/>
      </c>
      <c r="E491" s="203">
        <f>IF(C491&gt;C490,1,E490+1)</f>
        <v/>
      </c>
      <c r="F491" s="203">
        <f>COUNTIF(C:C,C491)</f>
        <v/>
      </c>
      <c r="G491" s="198">
        <f>+G490+7</f>
        <v/>
      </c>
      <c r="H491" s="361">
        <f>+CO491/CP491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3.93</v>
      </c>
      <c r="CP491" s="970" t="n">
        <v>0.7895</v>
      </c>
    </row>
    <row r="492">
      <c r="B492" s="204">
        <f>+C492-1</f>
        <v/>
      </c>
      <c r="C492" s="204">
        <f>IF(bands_A!$D$9+1&gt;MONTH(G492),YEAR(G492),YEAR(G492)+1)</f>
        <v/>
      </c>
      <c r="D492" s="204">
        <f>+C492+1</f>
        <v/>
      </c>
      <c r="E492" s="203">
        <f>IF(C492&gt;C491,1,E491+1)</f>
        <v/>
      </c>
      <c r="F492" s="203">
        <f>COUNTIF(C:C,C492)</f>
        <v/>
      </c>
      <c r="G492" s="198">
        <f>+G491+7</f>
        <v/>
      </c>
      <c r="H492" s="361">
        <f>+CO492/CP492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3.69</v>
      </c>
      <c r="CP492" s="970" t="n">
        <v>0.78913</v>
      </c>
    </row>
    <row r="493">
      <c r="B493" s="204">
        <f>+C493-1</f>
        <v/>
      </c>
      <c r="C493" s="204">
        <f>IF(bands_A!$D$9+1&gt;MONTH(G493),YEAR(G493),YEAR(G493)+1)</f>
        <v/>
      </c>
      <c r="D493" s="204">
        <f>+C493+1</f>
        <v/>
      </c>
      <c r="E493" s="203">
        <f>IF(C493&gt;C492,1,E492+1)</f>
        <v/>
      </c>
      <c r="F493" s="203">
        <f>COUNTIF(C:C,C493)</f>
        <v/>
      </c>
      <c r="G493" s="198">
        <f>+G492+7</f>
        <v/>
      </c>
      <c r="H493" s="361">
        <f>+CO493/CP493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3.77</v>
      </c>
      <c r="CP493" s="970" t="n">
        <v>0.7895799999999999</v>
      </c>
    </row>
    <row r="494">
      <c r="B494" s="204">
        <f>+C494-1</f>
        <v/>
      </c>
      <c r="C494" s="204">
        <f>IF(bands_A!$D$9+1&gt;MONTH(G494),YEAR(G494),YEAR(G494)+1)</f>
        <v/>
      </c>
      <c r="D494" s="204">
        <f>+C494+1</f>
        <v/>
      </c>
      <c r="E494" s="203">
        <f>IF(C494&gt;C493,1,E493+1)</f>
        <v/>
      </c>
      <c r="F494" s="203">
        <f>COUNTIF(C:C,C494)</f>
        <v/>
      </c>
      <c r="G494" s="198">
        <f>+G493+7</f>
        <v/>
      </c>
      <c r="H494" s="361">
        <f>+CO494/CP494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3.9</v>
      </c>
      <c r="CP494" s="970" t="n">
        <v>0.78938</v>
      </c>
    </row>
    <row r="495">
      <c r="B495" s="204">
        <f>+C495-1</f>
        <v/>
      </c>
      <c r="C495" s="204">
        <f>IF(bands_A!$D$9+1&gt;MONTH(G495),YEAR(G495),YEAR(G495)+1)</f>
        <v/>
      </c>
      <c r="D495" s="204">
        <f>+C495+1</f>
        <v/>
      </c>
      <c r="E495" s="203">
        <f>IF(C495&gt;C494,1,E494+1)</f>
        <v/>
      </c>
      <c r="F495" s="203">
        <f>COUNTIF(C:C,C495)</f>
        <v/>
      </c>
      <c r="G495" s="198">
        <f>+G494+7</f>
        <v/>
      </c>
      <c r="H495" s="361">
        <f>+CO495/CP495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3.97</v>
      </c>
      <c r="CP495" s="970" t="n">
        <v>0.78648</v>
      </c>
    </row>
    <row r="496">
      <c r="B496" s="204">
        <f>+C496-1</f>
        <v/>
      </c>
      <c r="C496" s="204">
        <f>IF(bands_A!$D$9+1&gt;MONTH(G496),YEAR(G496),YEAR(G496)+1)</f>
        <v/>
      </c>
      <c r="D496" s="204">
        <f>+C496+1</f>
        <v/>
      </c>
      <c r="E496" s="203">
        <f>IF(C496&gt;C495,1,E495+1)</f>
        <v/>
      </c>
      <c r="F496" s="203">
        <f>COUNTIF(C:C,C496)</f>
        <v/>
      </c>
      <c r="G496" s="198">
        <f>+G495+7</f>
        <v/>
      </c>
      <c r="H496" s="361">
        <f>+CO496/CP496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3.71</v>
      </c>
      <c r="CP496" s="970" t="n">
        <v>0.78452</v>
      </c>
    </row>
    <row r="497">
      <c r="B497" s="204">
        <f>+C497-1</f>
        <v/>
      </c>
      <c r="C497" s="204">
        <f>IF(bands_A!$D$9+1&gt;MONTH(G497),YEAR(G497),YEAR(G497)+1)</f>
        <v/>
      </c>
      <c r="D497" s="204">
        <f>+C497+1</f>
        <v/>
      </c>
      <c r="E497" s="203">
        <f>IF(C497&gt;C496,1,E496+1)</f>
        <v/>
      </c>
      <c r="F497" s="203">
        <f>COUNTIF(C:C,C497)</f>
        <v/>
      </c>
      <c r="G497" s="198">
        <f>+G496+7</f>
        <v/>
      </c>
      <c r="H497" s="361">
        <f>+CO497/CP497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3.72</v>
      </c>
      <c r="CP497" s="970" t="n">
        <v>0.78685</v>
      </c>
    </row>
    <row r="498">
      <c r="B498" s="204">
        <f>+C498-1</f>
        <v/>
      </c>
      <c r="C498" s="204">
        <f>IF(bands_A!$D$9+1&gt;MONTH(G498),YEAR(G498),YEAR(G498)+1)</f>
        <v/>
      </c>
      <c r="D498" s="204">
        <f>+C498+1</f>
        <v/>
      </c>
      <c r="E498" s="203">
        <f>IF(C498&gt;C497,1,E497+1)</f>
        <v/>
      </c>
      <c r="F498" s="203">
        <f>COUNTIF(C:C,C498)</f>
        <v/>
      </c>
      <c r="G498" s="198">
        <f>+G497+7</f>
        <v/>
      </c>
      <c r="H498" s="361">
        <f>+CO498/CP498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3.61</v>
      </c>
      <c r="CP498" s="970" t="n">
        <v>0.78571</v>
      </c>
    </row>
    <row r="499">
      <c r="B499" s="204">
        <f>+C499-1</f>
        <v/>
      </c>
      <c r="C499" s="204">
        <f>IF(bands_A!$D$9+1&gt;MONTH(G499),YEAR(G499),YEAR(G499)+1)</f>
        <v/>
      </c>
      <c r="D499" s="204">
        <f>+C499+1</f>
        <v/>
      </c>
      <c r="E499" s="203">
        <f>IF(C499&gt;C498,1,E498+1)</f>
        <v/>
      </c>
      <c r="F499" s="203">
        <f>COUNTIF(C:C,C499)</f>
        <v/>
      </c>
      <c r="G499" s="198">
        <f>+G498+7</f>
        <v/>
      </c>
      <c r="H499" s="361">
        <f>+CO499/CP499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3.67</v>
      </c>
      <c r="CP499" s="970" t="n">
        <v>0.78576</v>
      </c>
    </row>
    <row r="500">
      <c r="B500" s="204">
        <f>+C500-1</f>
        <v/>
      </c>
      <c r="C500" s="204">
        <f>IF(bands_A!$D$9+1&gt;MONTH(G500),YEAR(G500),YEAR(G500)+1)</f>
        <v/>
      </c>
      <c r="D500" s="204">
        <f>+C500+1</f>
        <v/>
      </c>
      <c r="E500" s="203">
        <f>IF(C500&gt;C499,1,E499+1)</f>
        <v/>
      </c>
      <c r="F500" s="203">
        <f>COUNTIF(C:C,C500)</f>
        <v/>
      </c>
      <c r="G500" s="198">
        <f>+G499+7</f>
        <v/>
      </c>
      <c r="H500" s="361">
        <f>+CO500/CP500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3.72</v>
      </c>
      <c r="CP500" s="970" t="n">
        <v>0.78583</v>
      </c>
    </row>
    <row r="501">
      <c r="B501" s="204">
        <f>+C501-1</f>
        <v/>
      </c>
      <c r="C501" s="204">
        <f>IF(bands_A!$D$9+1&gt;MONTH(G501),YEAR(G501),YEAR(G501)+1)</f>
        <v/>
      </c>
      <c r="D501" s="204">
        <f>+C501+1</f>
        <v/>
      </c>
      <c r="E501" s="203">
        <f>IF(C501&gt;C500,1,E500+1)</f>
        <v/>
      </c>
      <c r="F501" s="203">
        <f>COUNTIF(C:C,C501)</f>
        <v/>
      </c>
      <c r="G501" s="198">
        <f>+G500+7</f>
        <v/>
      </c>
      <c r="H501" s="361">
        <f>+CO501/CP501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3.84</v>
      </c>
      <c r="CP501" s="970" t="n">
        <v>0.78579</v>
      </c>
    </row>
    <row r="502">
      <c r="B502" s="204">
        <f>+C502-1</f>
        <v/>
      </c>
      <c r="C502" s="204">
        <f>IF(bands_A!$D$9+1&gt;MONTH(G502),YEAR(G502),YEAR(G502)+1)</f>
        <v/>
      </c>
      <c r="D502" s="204">
        <f>+C502+1</f>
        <v/>
      </c>
      <c r="E502" s="203">
        <f>IF(C502&gt;C501,1,E501+1)</f>
        <v/>
      </c>
      <c r="F502" s="203">
        <f>COUNTIF(C:C,C502)</f>
        <v/>
      </c>
      <c r="G502" s="198">
        <f>+G501+7</f>
        <v/>
      </c>
      <c r="H502" s="361">
        <f>+CO502/CP502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3.95</v>
      </c>
      <c r="CP502" s="970" t="n">
        <v>0.78413</v>
      </c>
    </row>
    <row r="503">
      <c r="B503" s="204">
        <f>+C503-1</f>
        <v/>
      </c>
      <c r="C503" s="204">
        <f>IF(bands_A!$D$9+1&gt;MONTH(G503),YEAR(G503),YEAR(G503)+1)</f>
        <v/>
      </c>
      <c r="D503" s="204">
        <f>+C503+1</f>
        <v/>
      </c>
      <c r="E503" s="203">
        <f>IF(C503&gt;C502,1,E502+1)</f>
        <v/>
      </c>
      <c r="F503" s="203">
        <f>COUNTIF(C:C,C503)</f>
        <v/>
      </c>
      <c r="G503" s="198">
        <f>+G502+7</f>
        <v/>
      </c>
      <c r="H503" s="361">
        <f>+CO503/CP503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3.93</v>
      </c>
      <c r="CP503" s="970" t="n">
        <v>0.78285</v>
      </c>
    </row>
    <row r="504">
      <c r="B504" s="204">
        <f>+C504-1</f>
        <v/>
      </c>
      <c r="C504" s="204">
        <f>IF(bands_A!$D$9+1&gt;MONTH(G504),YEAR(G504),YEAR(G504)+1)</f>
        <v/>
      </c>
      <c r="D504" s="204">
        <f>+C504+1</f>
        <v/>
      </c>
      <c r="E504" s="203">
        <f>IF(C504&gt;C503,1,E503+1)</f>
        <v/>
      </c>
      <c r="F504" s="203">
        <f>COUNTIF(C:C,C504)</f>
        <v/>
      </c>
      <c r="G504" s="198">
        <f>+G503+7</f>
        <v/>
      </c>
      <c r="H504" s="361">
        <f>+CO504/CP504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3.69</v>
      </c>
      <c r="CP504" s="970" t="n">
        <v>0.78308</v>
      </c>
    </row>
    <row r="505">
      <c r="B505" s="204">
        <f>+C505-1</f>
        <v/>
      </c>
      <c r="C505" s="204">
        <f>IF(bands_A!$D$9+1&gt;MONTH(G505),YEAR(G505),YEAR(G505)+1)</f>
        <v/>
      </c>
      <c r="D505" s="204">
        <f>+C505+1</f>
        <v/>
      </c>
      <c r="E505" s="203">
        <f>IF(C505&gt;C504,1,E504+1)</f>
        <v/>
      </c>
      <c r="F505" s="203">
        <f>COUNTIF(C:C,C505)</f>
        <v/>
      </c>
      <c r="G505" s="198">
        <f>+G504+7</f>
        <v/>
      </c>
      <c r="H505" s="361">
        <f>+CO505/CP505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3.68</v>
      </c>
      <c r="CP505" s="970" t="n">
        <v>0.78243</v>
      </c>
    </row>
    <row r="506">
      <c r="B506" s="204">
        <f>+C506-1</f>
        <v/>
      </c>
      <c r="C506" s="204">
        <f>IF(bands_A!$D$9+1&gt;MONTH(G506),YEAR(G506),YEAR(G506)+1)</f>
        <v/>
      </c>
      <c r="D506" s="204">
        <f>+C506+1</f>
        <v/>
      </c>
      <c r="E506" s="203">
        <f>IF(C506&gt;C505,1,E505+1)</f>
        <v/>
      </c>
      <c r="F506" s="203">
        <f>COUNTIF(C:C,C506)</f>
        <v/>
      </c>
      <c r="G506" s="198">
        <f>+G505+7</f>
        <v/>
      </c>
      <c r="H506" s="361">
        <f>+CO506/CP506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3.62</v>
      </c>
      <c r="CP506" s="970" t="n">
        <v>0.78046</v>
      </c>
    </row>
    <row r="507">
      <c r="B507" s="204">
        <f>+C507-1</f>
        <v/>
      </c>
      <c r="C507" s="204">
        <f>IF(bands_A!$D$9+1&gt;MONTH(G507),YEAR(G507),YEAR(G507)+1)</f>
        <v/>
      </c>
      <c r="D507" s="204">
        <f>+C507+1</f>
        <v/>
      </c>
      <c r="E507" s="203">
        <f>IF(C507&gt;C506,1,E506+1)</f>
        <v/>
      </c>
      <c r="F507" s="203">
        <f>COUNTIF(C:C,C507)</f>
        <v/>
      </c>
      <c r="G507" s="198">
        <f>+G506+7</f>
        <v/>
      </c>
      <c r="H507" s="361">
        <f>+CO507/CP507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3.51</v>
      </c>
      <c r="CP507" s="970" t="n">
        <v>0.78042</v>
      </c>
    </row>
    <row r="508">
      <c r="B508" s="204">
        <f>+C508-1</f>
        <v/>
      </c>
      <c r="C508" s="204">
        <f>IF(bands_A!$D$9+1&gt;MONTH(G508),YEAR(G508),YEAR(G508)+1)</f>
        <v/>
      </c>
      <c r="D508" s="204">
        <f>+C508+1</f>
        <v/>
      </c>
      <c r="E508" s="203">
        <f>IF(C508&gt;C507,1,E507+1)</f>
        <v/>
      </c>
      <c r="F508" s="203">
        <f>COUNTIF(C:C,C508)</f>
        <v/>
      </c>
      <c r="G508" s="198">
        <f>+G507+7</f>
        <v/>
      </c>
      <c r="H508" s="361">
        <f>+CO508/CP508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3.51</v>
      </c>
      <c r="CP508" s="970" t="n">
        <v>0.78015</v>
      </c>
    </row>
    <row r="509">
      <c r="B509" s="204">
        <f>+C509-1</f>
        <v/>
      </c>
      <c r="C509" s="204">
        <f>IF(bands_A!$D$9+1&gt;MONTH(G509),YEAR(G509),YEAR(G509)+1)</f>
        <v/>
      </c>
      <c r="D509" s="204">
        <f>+C509+1</f>
        <v/>
      </c>
      <c r="E509" s="203">
        <f>IF(C509&gt;C508,1,E508+1)</f>
        <v/>
      </c>
      <c r="F509" s="203">
        <f>COUNTIF(C:C,C509)</f>
        <v/>
      </c>
      <c r="G509" s="198">
        <f>+G508+7</f>
        <v/>
      </c>
      <c r="H509" s="361">
        <f>+CO509/CP509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3.58</v>
      </c>
      <c r="CP509" s="970" t="n">
        <v>0.77893</v>
      </c>
    </row>
    <row r="510">
      <c r="B510" s="204">
        <f>+C510-1</f>
        <v/>
      </c>
      <c r="C510" s="204">
        <f>IF(bands_A!$D$9+1&gt;MONTH(G510),YEAR(G510),YEAR(G510)+1)</f>
        <v/>
      </c>
      <c r="D510" s="204">
        <f>+C510+1</f>
        <v/>
      </c>
      <c r="E510" s="203">
        <f>IF(C510&gt;C509,1,E509+1)</f>
        <v/>
      </c>
      <c r="F510" s="203">
        <f>COUNTIF(C:C,C510)</f>
        <v/>
      </c>
      <c r="G510" s="198">
        <f>+G509+7</f>
        <v/>
      </c>
      <c r="H510" s="361">
        <f>+CO510/CP510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3.53</v>
      </c>
      <c r="CP510" s="970" t="n">
        <v>0.78052</v>
      </c>
    </row>
    <row r="511">
      <c r="B511" s="204">
        <f>+C511-1</f>
        <v/>
      </c>
      <c r="C511" s="204">
        <f>IF(bands_A!$D$9+1&gt;MONTH(G511),YEAR(G511),YEAR(G511)+1)</f>
        <v/>
      </c>
      <c r="D511" s="204">
        <f>+C511+1</f>
        <v/>
      </c>
      <c r="E511" s="203">
        <f>IF(C511&gt;C510,1,E510+1)</f>
        <v/>
      </c>
      <c r="F511" s="203">
        <f>COUNTIF(C:C,C511)</f>
        <v/>
      </c>
      <c r="G511" s="198">
        <f>+G510+7</f>
        <v/>
      </c>
      <c r="H511" s="361">
        <f>+CO511/CP511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3.55</v>
      </c>
      <c r="CP511" s="970" t="n">
        <v>0.7815</v>
      </c>
    </row>
    <row r="512">
      <c r="B512" s="204">
        <f>+C512-1</f>
        <v/>
      </c>
      <c r="C512" s="204">
        <f>IF(bands_A!$D$9+1&gt;MONTH(G512),YEAR(G512),YEAR(G512)+1)</f>
        <v/>
      </c>
      <c r="D512" s="204">
        <f>+C512+1</f>
        <v/>
      </c>
      <c r="E512" s="203">
        <f>IF(C512&gt;C511,1,E511+1)</f>
        <v/>
      </c>
      <c r="F512" s="203">
        <f>COUNTIF(C:C,C512)</f>
        <v/>
      </c>
      <c r="G512" s="198">
        <f>+G511+7</f>
        <v/>
      </c>
      <c r="H512" s="361">
        <f>+CO512/CP512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3.69</v>
      </c>
      <c r="CP512" s="970" t="n">
        <v>0.78229</v>
      </c>
    </row>
    <row r="513">
      <c r="B513" s="204">
        <f>+C513-1</f>
        <v/>
      </c>
      <c r="C513" s="204">
        <f>IF(bands_A!$D$9+1&gt;MONTH(G513),YEAR(G513),YEAR(G513)+1)</f>
        <v/>
      </c>
      <c r="D513" s="204">
        <f>+C513+1</f>
        <v/>
      </c>
      <c r="E513" s="203">
        <f>IF(C513&gt;C512,1,E512+1)</f>
        <v/>
      </c>
      <c r="F513" s="203">
        <f>COUNTIF(C:C,C513)</f>
        <v/>
      </c>
      <c r="G513" s="198">
        <f>+G512+7</f>
        <v/>
      </c>
      <c r="H513" s="361">
        <f>+CO513/CP513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3.67</v>
      </c>
      <c r="CP513" s="970" t="n">
        <v>0.78544</v>
      </c>
    </row>
    <row r="514">
      <c r="B514" s="204">
        <f>+C514-1</f>
        <v/>
      </c>
      <c r="C514" s="204">
        <f>IF(bands_A!$D$9+1&gt;MONTH(G514),YEAR(G514),YEAR(G514)+1)</f>
        <v/>
      </c>
      <c r="D514" s="204">
        <f>+C514+1</f>
        <v/>
      </c>
      <c r="E514" s="203">
        <f>IF(C514&gt;C513,1,E513+1)</f>
        <v/>
      </c>
      <c r="F514" s="203">
        <f>COUNTIF(C:C,C514)</f>
        <v/>
      </c>
      <c r="G514" s="198">
        <f>+G513+7</f>
        <v/>
      </c>
      <c r="H514" s="361">
        <f>+CO514/CP514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3.74</v>
      </c>
      <c r="CP514" s="970" t="n">
        <v>0.7920700000000001</v>
      </c>
    </row>
    <row r="515">
      <c r="B515" s="204">
        <f>+C515-1</f>
        <v/>
      </c>
      <c r="C515" s="204">
        <f>IF(bands_A!$D$9+1&gt;MONTH(G515),YEAR(G515),YEAR(G515)+1)</f>
        <v/>
      </c>
      <c r="D515" s="204">
        <f>+C515+1</f>
        <v/>
      </c>
      <c r="E515" s="203">
        <f>IF(C515&gt;C514,1,E514+1)</f>
        <v/>
      </c>
      <c r="F515" s="203">
        <f>COUNTIF(C:C,C515)</f>
        <v/>
      </c>
      <c r="G515" s="198">
        <f>+G514+7</f>
        <v/>
      </c>
      <c r="H515" s="361">
        <f>+CO515/CP515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3.83</v>
      </c>
      <c r="CP515" s="970" t="n">
        <v>0.78933</v>
      </c>
    </row>
    <row r="516">
      <c r="B516" s="204">
        <f>+C516-1</f>
        <v/>
      </c>
      <c r="C516" s="204">
        <f>IF(bands_A!$D$9+1&gt;MONTH(G516),YEAR(G516),YEAR(G516)+1)</f>
        <v/>
      </c>
      <c r="D516" s="204">
        <f>+C516+1</f>
        <v/>
      </c>
      <c r="E516" s="203">
        <f>IF(C516&gt;C515,1,E515+1)</f>
        <v/>
      </c>
      <c r="F516" s="203">
        <f>COUNTIF(C:C,C516)</f>
        <v/>
      </c>
      <c r="G516" s="198">
        <f>+G515+7</f>
        <v/>
      </c>
      <c r="H516" s="361">
        <f>+CO516/CP516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3.81</v>
      </c>
      <c r="CP516" s="970" t="n">
        <v>0.79183</v>
      </c>
    </row>
    <row r="517">
      <c r="B517" s="204">
        <f>+C517-1</f>
        <v/>
      </c>
      <c r="C517" s="204">
        <f>IF(bands_A!$D$9+1&gt;MONTH(G517),YEAR(G517),YEAR(G517)+1)</f>
        <v/>
      </c>
      <c r="D517" s="204">
        <f>+C517+1</f>
        <v/>
      </c>
      <c r="E517" s="203">
        <f>IF(C517&gt;C516,1,E516+1)</f>
        <v/>
      </c>
      <c r="F517" s="203">
        <f>COUNTIF(C:C,C517)</f>
        <v/>
      </c>
      <c r="G517" s="198">
        <f>+G516+7</f>
        <v/>
      </c>
      <c r="H517" s="361">
        <f>+CO517/CP517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3.83</v>
      </c>
      <c r="CP517" s="970" t="n">
        <v>0.80235</v>
      </c>
    </row>
    <row r="518">
      <c r="B518" s="204">
        <f>+C518-1</f>
        <v/>
      </c>
      <c r="C518" s="204">
        <f>IF(bands_A!$D$9+1&gt;MONTH(G518),YEAR(G518),YEAR(G518)+1)</f>
        <v/>
      </c>
      <c r="D518" s="204">
        <f>+C518+1</f>
        <v/>
      </c>
      <c r="E518" s="203">
        <f>IF(C518&gt;C517,1,E517+1)</f>
        <v/>
      </c>
      <c r="F518" s="203">
        <f>COUNTIF(C:C,C518)</f>
        <v/>
      </c>
      <c r="G518" s="198">
        <f>+G517+7</f>
        <v/>
      </c>
      <c r="H518" s="361">
        <f>+CO518/CP518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3.98</v>
      </c>
      <c r="CP518" s="970" t="n">
        <v>0.80077</v>
      </c>
    </row>
    <row r="519">
      <c r="B519" s="204">
        <f>+C519-1</f>
        <v/>
      </c>
      <c r="C519" s="204">
        <f>IF(bands_A!$D$9+1&gt;MONTH(G519),YEAR(G519),YEAR(G519)+1)</f>
        <v/>
      </c>
      <c r="D519" s="204">
        <f>+C519+1</f>
        <v/>
      </c>
      <c r="E519" s="203">
        <f>IF(C519&gt;C518,1,E518+1)</f>
        <v/>
      </c>
      <c r="F519" s="203">
        <f>COUNTIF(C:C,C519)</f>
        <v/>
      </c>
      <c r="G519" s="198">
        <f>+G518+7</f>
        <v/>
      </c>
      <c r="H519" s="361">
        <f>+CO519/CP519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3.87</v>
      </c>
      <c r="CP519" s="970" t="n">
        <v>0.8006</v>
      </c>
    </row>
    <row r="520">
      <c r="B520" s="204">
        <f>+C520-1</f>
        <v/>
      </c>
      <c r="C520" s="204">
        <f>IF(bands_A!$D$9+1&gt;MONTH(G520),YEAR(G520),YEAR(G520)+1)</f>
        <v/>
      </c>
      <c r="D520" s="204">
        <f>+C520+1</f>
        <v/>
      </c>
      <c r="E520" s="203">
        <f>IF(C520&gt;C519,1,E519+1)</f>
        <v/>
      </c>
      <c r="F520" s="203">
        <f>COUNTIF(C:C,C520)</f>
        <v/>
      </c>
      <c r="G520" s="198">
        <f>+G519+7</f>
        <v/>
      </c>
      <c r="H520" s="361">
        <f>+CO520/CP520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3.94</v>
      </c>
      <c r="CP520" s="970" t="n">
        <v>0.8012</v>
      </c>
    </row>
    <row r="521">
      <c r="B521" s="204">
        <f>+C521-1</f>
        <v/>
      </c>
      <c r="C521" s="204">
        <f>IF(bands_A!$D$9+1&gt;MONTH(G521),YEAR(G521),YEAR(G521)+1)</f>
        <v/>
      </c>
      <c r="D521" s="204">
        <f>+C521+1</f>
        <v/>
      </c>
      <c r="E521" s="203">
        <f>IF(C521&gt;C520,1,E520+1)</f>
        <v/>
      </c>
      <c r="F521" s="203">
        <f>COUNTIF(C:C,C521)</f>
        <v/>
      </c>
      <c r="G521" s="198">
        <f>+G520+7</f>
        <v/>
      </c>
      <c r="H521" s="361">
        <f>+CO521/CP521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3.85</v>
      </c>
      <c r="CP521" s="970" t="n">
        <v>0.80269</v>
      </c>
    </row>
    <row r="522">
      <c r="B522" s="204">
        <f>+C522-1</f>
        <v/>
      </c>
      <c r="C522" s="204">
        <f>IF(bands_A!$D$9+1&gt;MONTH(G522),YEAR(G522),YEAR(G522)+1)</f>
        <v/>
      </c>
      <c r="D522" s="204">
        <f>+C522+1</f>
        <v/>
      </c>
      <c r="E522" s="203">
        <f>IF(C522&gt;C521,1,E521+1)</f>
        <v/>
      </c>
      <c r="F522" s="203">
        <f>COUNTIF(C:C,C522)</f>
        <v/>
      </c>
      <c r="G522" s="198">
        <f>+G521+7</f>
        <v/>
      </c>
      <c r="H522" s="361">
        <f>+CO522/CP522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3.77</v>
      </c>
      <c r="CP522" s="970" t="n">
        <v>0.80661</v>
      </c>
    </row>
    <row r="523">
      <c r="B523" s="204">
        <f>+C523-1</f>
        <v/>
      </c>
      <c r="C523" s="204">
        <f>IF(bands_A!$D$9+1&gt;MONTH(G523),YEAR(G523),YEAR(G523)+1)</f>
        <v/>
      </c>
      <c r="D523" s="204">
        <f>+C523+1</f>
        <v/>
      </c>
      <c r="E523" s="203">
        <f>IF(C523&gt;C522,1,E522+1)</f>
        <v/>
      </c>
      <c r="F523" s="203">
        <f>COUNTIF(C:C,C523)</f>
        <v/>
      </c>
      <c r="G523" s="198">
        <f>+G522+7</f>
        <v/>
      </c>
      <c r="H523" s="361">
        <f>+CO523/CP523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3.7</v>
      </c>
      <c r="CP523" s="970" t="n">
        <v>0.80746</v>
      </c>
    </row>
    <row r="524">
      <c r="B524" s="204">
        <f>+C524-1</f>
        <v/>
      </c>
      <c r="C524" s="204">
        <f>IF(bands_A!$D$9+1&gt;MONTH(G524),YEAR(G524),YEAR(G524)+1)</f>
        <v/>
      </c>
      <c r="D524" s="204">
        <f>+C524+1</f>
        <v/>
      </c>
      <c r="E524" s="203">
        <f>IF(C524&gt;C523,1,E523+1)</f>
        <v/>
      </c>
      <c r="F524" s="203">
        <f>COUNTIF(C:C,C524)</f>
        <v/>
      </c>
      <c r="G524" s="198">
        <f>+G523+7</f>
        <v/>
      </c>
      <c r="H524" s="361">
        <f>+CO524/CP524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3.74</v>
      </c>
      <c r="CP524" s="970" t="n">
        <v>0.80342</v>
      </c>
    </row>
    <row r="525">
      <c r="B525" s="204">
        <f>+C525-1</f>
        <v/>
      </c>
      <c r="C525" s="204">
        <f>IF(bands_A!$D$9+1&gt;MONTH(G525),YEAR(G525),YEAR(G525)+1)</f>
        <v/>
      </c>
      <c r="D525" s="204">
        <f>+C525+1</f>
        <v/>
      </c>
      <c r="E525" s="203">
        <f>IF(C525&gt;C524,1,E524+1)</f>
        <v/>
      </c>
      <c r="F525" s="203">
        <f>COUNTIF(C:C,C525)</f>
        <v/>
      </c>
      <c r="G525" s="198">
        <f>+G524+7</f>
        <v/>
      </c>
      <c r="H525" s="361">
        <f>+CO525/CP525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3.72</v>
      </c>
      <c r="CP525" s="970" t="n">
        <v>0.80415</v>
      </c>
    </row>
    <row r="526">
      <c r="B526" s="204">
        <f>+C526-1</f>
        <v/>
      </c>
      <c r="C526" s="204">
        <f>IF(bands_A!$D$9+1&gt;MONTH(G526),YEAR(G526),YEAR(G526)+1)</f>
        <v/>
      </c>
      <c r="D526" s="204">
        <f>+C526+1</f>
        <v/>
      </c>
      <c r="E526" s="203">
        <f>IF(C526&gt;C525,1,E525+1)</f>
        <v/>
      </c>
      <c r="F526" s="203">
        <f>COUNTIF(C:C,C526)</f>
        <v/>
      </c>
      <c r="G526" s="198">
        <f>+G525+7</f>
        <v/>
      </c>
      <c r="H526" s="361">
        <f>+CO526/CP526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3.73</v>
      </c>
      <c r="CP526" s="970" t="n">
        <v>0.80428</v>
      </c>
    </row>
    <row r="527">
      <c r="B527" s="204">
        <f>+C527-1</f>
        <v/>
      </c>
      <c r="C527" s="204">
        <f>IF(bands_A!$D$9+1&gt;MONTH(G527),YEAR(G527),YEAR(G527)+1)</f>
        <v/>
      </c>
      <c r="D527" s="204">
        <f>+C527+1</f>
        <v/>
      </c>
      <c r="E527" s="203">
        <f>IF(C527&gt;C526,1,E526+1)</f>
        <v/>
      </c>
      <c r="F527" s="203">
        <f>COUNTIF(C:C,C527)</f>
        <v/>
      </c>
      <c r="G527" s="198">
        <f>+G526+7</f>
        <v/>
      </c>
      <c r="H527" s="361">
        <f>+CO527/CP527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3.65</v>
      </c>
      <c r="CP527" s="970" t="n">
        <v>0.80586</v>
      </c>
    </row>
    <row r="528">
      <c r="B528" s="204">
        <f>+C528-1</f>
        <v/>
      </c>
      <c r="C528" s="204">
        <f>IF(bands_A!$D$9+1&gt;MONTH(G528),YEAR(G528),YEAR(G528)+1)</f>
        <v/>
      </c>
      <c r="D528" s="204">
        <f>+C528+1</f>
        <v/>
      </c>
      <c r="E528" s="203">
        <f>IF(C528&gt;C527,1,E527+1)</f>
        <v/>
      </c>
      <c r="F528" s="203">
        <f>COUNTIF(C:C,C528)</f>
        <v/>
      </c>
      <c r="G528" s="198">
        <f>+G527+7</f>
        <v/>
      </c>
      <c r="H528" s="361">
        <f>+CO528/CP528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3.65</v>
      </c>
      <c r="CP528" s="970" t="n">
        <v>0.80625</v>
      </c>
    </row>
    <row r="529">
      <c r="B529" s="204">
        <f>+C529-1</f>
        <v/>
      </c>
      <c r="C529" s="204">
        <f>IF(bands_A!$D$9+1&gt;MONTH(G529),YEAR(G529),YEAR(G529)+1)</f>
        <v/>
      </c>
      <c r="D529" s="204">
        <f>+C529+1</f>
        <v/>
      </c>
      <c r="E529" s="203">
        <f>IF(C529&gt;C528,1,E528+1)</f>
        <v/>
      </c>
      <c r="F529" s="203">
        <f>COUNTIF(C:C,C529)</f>
        <v/>
      </c>
      <c r="G529" s="198">
        <f>+G528+7</f>
        <v/>
      </c>
      <c r="H529" s="361">
        <f>+CO529/CP529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3.82</v>
      </c>
      <c r="CP529" s="970" t="n">
        <v>0.80117</v>
      </c>
    </row>
    <row r="530">
      <c r="B530" s="204">
        <f>+C530-1</f>
        <v/>
      </c>
      <c r="C530" s="204">
        <f>IF(bands_A!$D$9+1&gt;MONTH(G530),YEAR(G530),YEAR(G530)+1)</f>
        <v/>
      </c>
      <c r="D530" s="204">
        <f>+C530+1</f>
        <v/>
      </c>
      <c r="E530" s="203">
        <f>IF(C530&gt;C529,1,E529+1)</f>
        <v/>
      </c>
      <c r="F530" s="203">
        <f>COUNTIF(C:C,C530)</f>
        <v/>
      </c>
      <c r="G530" s="198">
        <f>+G529+7</f>
        <v/>
      </c>
      <c r="H530" s="361">
        <f>+CO530/CP530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3.79</v>
      </c>
      <c r="CP530" s="970" t="n">
        <v>0.80289</v>
      </c>
    </row>
    <row r="531">
      <c r="B531" s="204">
        <f>+C531-1</f>
        <v/>
      </c>
      <c r="C531" s="204">
        <f>IF(bands_A!$D$9+1&gt;MONTH(G531),YEAR(G531),YEAR(G531)+1)</f>
        <v/>
      </c>
      <c r="D531" s="204">
        <f>+C531+1</f>
        <v/>
      </c>
      <c r="E531" s="203">
        <f>IF(C531&gt;C530,1,E530+1)</f>
        <v/>
      </c>
      <c r="F531" s="203">
        <f>COUNTIF(C:C,C531)</f>
        <v/>
      </c>
      <c r="G531" s="198">
        <f>+G530+7</f>
        <v/>
      </c>
      <c r="H531" s="361">
        <f>+CO531/CP531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3.81</v>
      </c>
      <c r="CP531" s="970" t="n">
        <v>0.80231</v>
      </c>
    </row>
    <row r="532">
      <c r="B532" s="204">
        <f>+C532-1</f>
        <v/>
      </c>
      <c r="C532" s="204">
        <f>IF(bands_A!$D$9+1&gt;MONTH(G532),YEAR(G532),YEAR(G532)+1)</f>
        <v/>
      </c>
      <c r="D532" s="204">
        <f>+C532+1</f>
        <v/>
      </c>
      <c r="E532" s="203">
        <f>IF(C532&gt;C531,1,E531+1)</f>
        <v/>
      </c>
      <c r="F532" s="203">
        <f>COUNTIF(C:C,C532)</f>
        <v/>
      </c>
      <c r="G532" s="198">
        <f>+G531+7</f>
        <v/>
      </c>
      <c r="H532" s="361">
        <f>+CO532/CP532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3.84</v>
      </c>
      <c r="CP532" s="970" t="n">
        <v>0.80045</v>
      </c>
    </row>
    <row r="533">
      <c r="B533" s="204">
        <f>+C533-1</f>
        <v/>
      </c>
      <c r="C533" s="204">
        <f>IF(bands_A!$D$9+1&gt;MONTH(G533),YEAR(G533),YEAR(G533)+1)</f>
        <v/>
      </c>
      <c r="D533" s="204">
        <f>+C533+1</f>
        <v/>
      </c>
      <c r="E533" s="203">
        <f>IF(C533&gt;C532,1,E532+1)</f>
        <v/>
      </c>
      <c r="F533" s="203">
        <f>COUNTIF(C:C,C533)</f>
        <v/>
      </c>
      <c r="G533" s="198">
        <f>+G532+7</f>
        <v/>
      </c>
      <c r="H533" s="361">
        <f>+CO533/CP533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3.83</v>
      </c>
      <c r="CP533" s="970" t="n">
        <v>0.8004599999999999</v>
      </c>
    </row>
    <row r="534">
      <c r="B534" s="204">
        <f>+C534-1</f>
        <v/>
      </c>
      <c r="C534" s="204">
        <f>IF(bands_A!$D$9+1&gt;MONTH(G534),YEAR(G534),YEAR(G534)+1)</f>
        <v/>
      </c>
      <c r="D534" s="204">
        <f>+C534+1</f>
        <v/>
      </c>
      <c r="E534" s="203">
        <f>IF(C534&gt;C533,1,E533+1)</f>
        <v/>
      </c>
      <c r="F534" s="203">
        <f>COUNTIF(C:C,C534)</f>
        <v/>
      </c>
      <c r="G534" s="198">
        <f>+G533+7</f>
        <v/>
      </c>
      <c r="H534" s="361">
        <f>+CO534/CP534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3.92</v>
      </c>
      <c r="CP534" s="970" t="n">
        <v>0.80152</v>
      </c>
    </row>
    <row r="535">
      <c r="B535" s="204">
        <f>+C535-1</f>
        <v/>
      </c>
      <c r="C535" s="204">
        <f>IF(bands_A!$D$9+1&gt;MONTH(G535),YEAR(G535),YEAR(G535)+1)</f>
        <v/>
      </c>
      <c r="D535" s="204">
        <f>+C535+1</f>
        <v/>
      </c>
      <c r="E535" s="203">
        <f>IF(C535&gt;C534,1,E534+1)</f>
        <v/>
      </c>
      <c r="F535" s="203">
        <f>COUNTIF(C:C,C535)</f>
        <v/>
      </c>
      <c r="G535" s="198">
        <f>+G534+7</f>
        <v/>
      </c>
      <c r="H535" s="361">
        <f>+CO535/CP535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4</v>
      </c>
      <c r="CP535" s="970" t="n">
        <v>0.799</v>
      </c>
    </row>
    <row r="536">
      <c r="B536" s="204">
        <f>+C536-1</f>
        <v/>
      </c>
      <c r="C536" s="204">
        <f>IF(bands_A!$D$9+1&gt;MONTH(G536),YEAR(G536),YEAR(G536)+1)</f>
        <v/>
      </c>
      <c r="D536" s="204">
        <f>+C536+1</f>
        <v/>
      </c>
      <c r="E536" s="203">
        <f>IF(C536&gt;C535,1,E535+1)</f>
        <v/>
      </c>
      <c r="F536" s="203">
        <f>COUNTIF(C:C,C536)</f>
        <v/>
      </c>
      <c r="G536" s="198">
        <f>+G535+7</f>
        <v/>
      </c>
      <c r="H536" s="361">
        <f>+CO536/CP536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3.99</v>
      </c>
      <c r="CP536" s="970" t="n">
        <v>0.79718</v>
      </c>
    </row>
    <row r="537">
      <c r="B537" s="204">
        <f>+C537-1</f>
        <v/>
      </c>
      <c r="C537" s="204">
        <f>IF(bands_A!$D$9+1&gt;MONTH(G537),YEAR(G537),YEAR(G537)+1)</f>
        <v/>
      </c>
      <c r="D537" s="204">
        <f>+C537+1</f>
        <v/>
      </c>
      <c r="E537" s="203">
        <f>IF(C537&gt;C536,1,E536+1)</f>
        <v/>
      </c>
      <c r="F537" s="203">
        <f>COUNTIF(C:C,C537)</f>
        <v/>
      </c>
      <c r="G537" s="198">
        <f>+G536+7</f>
        <v/>
      </c>
      <c r="H537" s="361">
        <f>+CO537/CP537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4.02</v>
      </c>
      <c r="CP537" s="970" t="n">
        <v>0.79408</v>
      </c>
    </row>
    <row r="538">
      <c r="B538" s="204">
        <f>+C538-1</f>
        <v/>
      </c>
      <c r="C538" s="204">
        <f>IF(bands_A!$D$9+1&gt;MONTH(G538),YEAR(G538),YEAR(G538)+1)</f>
        <v/>
      </c>
      <c r="D538" s="204">
        <f>+C538+1</f>
        <v/>
      </c>
      <c r="E538" s="203">
        <f>IF(C538&gt;C537,1,E537+1)</f>
        <v/>
      </c>
      <c r="F538" s="203">
        <f>COUNTIF(C:C,C538)</f>
        <v/>
      </c>
      <c r="G538" s="198">
        <f>+G537+7</f>
        <v/>
      </c>
      <c r="H538" s="361">
        <f>+CO538/CP538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4</v>
      </c>
      <c r="CP538" s="970" t="n">
        <v>0.79408</v>
      </c>
    </row>
    <row r="539">
      <c r="B539" s="204">
        <f>+C539-1</f>
        <v/>
      </c>
      <c r="C539" s="204">
        <f>IF(bands_A!$D$9+1&gt;MONTH(G539),YEAR(G539),YEAR(G539)+1)</f>
        <v/>
      </c>
      <c r="D539" s="204">
        <f>+C539+1</f>
        <v/>
      </c>
      <c r="E539" s="203">
        <f>IF(C539&gt;C538,1,E538+1)</f>
        <v/>
      </c>
      <c r="F539" s="203">
        <f>COUNTIF(C:C,C539)</f>
        <v/>
      </c>
      <c r="G539" s="198">
        <f>+G538+7</f>
        <v/>
      </c>
      <c r="H539" s="361">
        <f>+CO539/CP539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4.02</v>
      </c>
      <c r="CP539" s="970" t="n">
        <v>0.79448</v>
      </c>
    </row>
    <row r="540">
      <c r="B540" s="204">
        <f>+C540-1</f>
        <v/>
      </c>
      <c r="C540" s="204">
        <f>IF(bands_A!$D$9+1&gt;MONTH(G540),YEAR(G540),YEAR(G540)+1)</f>
        <v/>
      </c>
      <c r="D540" s="204">
        <f>+C540+1</f>
        <v/>
      </c>
      <c r="E540" s="203">
        <f>IF(C540&gt;C539,1,E539+1)</f>
        <v/>
      </c>
      <c r="F540" s="203">
        <f>COUNTIF(C:C,C540)</f>
        <v/>
      </c>
      <c r="G540" s="198">
        <f>+G539+7</f>
        <v/>
      </c>
      <c r="H540" s="361">
        <f>+CO540/CP540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3.97</v>
      </c>
      <c r="CP540" s="970" t="n">
        <v>0.7928500000000001</v>
      </c>
    </row>
    <row r="541">
      <c r="B541" s="204">
        <f>+C541-1</f>
        <v/>
      </c>
      <c r="C541" s="204">
        <f>IF(bands_A!$D$9+1&gt;MONTH(G541),YEAR(G541),YEAR(G541)+1)</f>
        <v/>
      </c>
      <c r="D541" s="204">
        <f>+C541+1</f>
        <v/>
      </c>
      <c r="E541" s="203">
        <f>IF(C541&gt;C540,1,E540+1)</f>
        <v/>
      </c>
      <c r="F541" s="203">
        <f>COUNTIF(C:C,C541)</f>
        <v/>
      </c>
      <c r="G541" s="198">
        <f>+G540+7</f>
        <v/>
      </c>
      <c r="H541" s="361">
        <f>+CO541/CP541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4.31</v>
      </c>
      <c r="CP541" s="970" t="n">
        <v>0.79231</v>
      </c>
    </row>
    <row r="542">
      <c r="B542" s="204">
        <f>+C542-1</f>
        <v/>
      </c>
      <c r="C542" s="204">
        <f>IF(bands_A!$D$9+1&gt;MONTH(G542),YEAR(G542),YEAR(G542)+1)</f>
        <v/>
      </c>
      <c r="D542" s="204">
        <f>+C542+1</f>
        <v/>
      </c>
      <c r="E542" s="203">
        <f>IF(C542&gt;C541,1,E541+1)</f>
        <v/>
      </c>
      <c r="F542" s="203">
        <f>COUNTIF(C:C,C542)</f>
        <v/>
      </c>
      <c r="G542" s="198">
        <f>+G541+7</f>
        <v/>
      </c>
      <c r="H542" s="361">
        <f>+CO542/CP542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4.38</v>
      </c>
      <c r="CP542" s="970" t="n">
        <v>0.79134</v>
      </c>
    </row>
    <row r="543">
      <c r="B543" s="204">
        <f>+C543-1</f>
        <v/>
      </c>
      <c r="C543" s="204">
        <f>IF(bands_A!$D$9+1&gt;MONTH(G543),YEAR(G543),YEAR(G543)+1)</f>
        <v/>
      </c>
      <c r="D543" s="204">
        <f>+C543+1</f>
        <v/>
      </c>
      <c r="E543" s="203">
        <f>IF(C543&gt;C542,1,E542+1)</f>
        <v/>
      </c>
      <c r="F543" s="203">
        <f>COUNTIF(C:C,C543)</f>
        <v/>
      </c>
      <c r="G543" s="198">
        <f>+G542+7</f>
        <v/>
      </c>
      <c r="H543" s="361">
        <f>+CO543/CP543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4.35</v>
      </c>
      <c r="CP543" s="970" t="n">
        <v>0.79225</v>
      </c>
    </row>
    <row r="544">
      <c r="B544" s="204">
        <f>+C544-1</f>
        <v/>
      </c>
      <c r="C544" s="204">
        <f>IF(bands_A!$D$9+1&gt;MONTH(G544),YEAR(G544),YEAR(G544)+1)</f>
        <v/>
      </c>
      <c r="D544" s="204">
        <f>+C544+1</f>
        <v/>
      </c>
      <c r="E544" s="203">
        <f>IF(C544&gt;C543,1,E543+1)</f>
        <v/>
      </c>
      <c r="F544" s="203">
        <f>COUNTIF(C:C,C544)</f>
        <v/>
      </c>
      <c r="G544" s="198">
        <f>+G543+7</f>
        <v/>
      </c>
      <c r="H544" s="361">
        <f>+CO544/CP544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5.47</v>
      </c>
      <c r="CP544" s="970" t="n">
        <v>0.78981</v>
      </c>
    </row>
    <row r="545">
      <c r="B545" s="204">
        <f>+C545-1</f>
        <v/>
      </c>
      <c r="C545" s="204">
        <f>IF(bands_A!$D$9+1&gt;MONTH(G545),YEAR(G545),YEAR(G545)+1)</f>
        <v/>
      </c>
      <c r="D545" s="204">
        <f>+C545+1</f>
        <v/>
      </c>
      <c r="E545" s="203">
        <f>IF(C545&gt;C544,1,E544+1)</f>
        <v/>
      </c>
      <c r="F545" s="203">
        <f>COUNTIF(C:C,C545)</f>
        <v/>
      </c>
      <c r="G545" s="198">
        <f>+G544+7</f>
        <v/>
      </c>
      <c r="H545" s="361">
        <f>+CO545/CP545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5.42</v>
      </c>
      <c r="CP545" s="970" t="n">
        <v>0.79081</v>
      </c>
    </row>
    <row r="546">
      <c r="B546" s="204">
        <f>+C546-1</f>
        <v/>
      </c>
      <c r="C546" s="204">
        <f>IF(bands_A!$D$9+1&gt;MONTH(G546),YEAR(G546),YEAR(G546)+1)</f>
        <v/>
      </c>
      <c r="D546" s="204">
        <f>+C546+1</f>
        <v/>
      </c>
      <c r="E546" s="203">
        <f>IF(C546&gt;C545,1,E545+1)</f>
        <v/>
      </c>
      <c r="F546" s="203">
        <f>COUNTIF(C:C,C546)</f>
        <v/>
      </c>
      <c r="G546" s="198">
        <f>+G545+7</f>
        <v/>
      </c>
      <c r="H546" s="361">
        <f>+CO546/CP546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5.83</v>
      </c>
      <c r="CP546" s="970" t="n">
        <v>0.79009</v>
      </c>
    </row>
    <row r="547">
      <c r="B547" s="204">
        <f>+C547-1</f>
        <v/>
      </c>
      <c r="C547" s="204">
        <f>IF(bands_A!$D$9+1&gt;MONTH(G547),YEAR(G547),YEAR(G547)+1)</f>
        <v/>
      </c>
      <c r="D547" s="204">
        <f>+C547+1</f>
        <v/>
      </c>
      <c r="E547" s="203">
        <f>IF(C547&gt;C546,1,E546+1)</f>
        <v/>
      </c>
      <c r="F547" s="203">
        <f>COUNTIF(C:C,C547)</f>
        <v/>
      </c>
      <c r="G547" s="198">
        <f>+G546+7</f>
        <v/>
      </c>
      <c r="H547" s="361">
        <f>+CO547/CP547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5.5</v>
      </c>
      <c r="CP547" s="970" t="n">
        <v>0.7894600000000001</v>
      </c>
    </row>
    <row r="548">
      <c r="B548" s="204">
        <f>+C548-1</f>
        <v/>
      </c>
      <c r="C548" s="204">
        <f>IF(bands_A!$D$9+1&gt;MONTH(G548),YEAR(G548),YEAR(G548)+1)</f>
        <v/>
      </c>
      <c r="D548" s="204">
        <f>+C548+1</f>
        <v/>
      </c>
      <c r="E548" s="203">
        <f>IF(C548&gt;C547,1,E547+1)</f>
        <v/>
      </c>
      <c r="F548" s="203">
        <f>COUNTIF(C:C,C548)</f>
        <v/>
      </c>
      <c r="G548" s="198">
        <f>+G547+7</f>
        <v/>
      </c>
      <c r="H548" s="361">
        <f>+CO548/CP548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5.26</v>
      </c>
      <c r="CP548" s="971" t="n">
        <v>0.78866</v>
      </c>
    </row>
    <row r="549">
      <c r="B549" s="204">
        <f>+C549-1</f>
        <v/>
      </c>
      <c r="C549" s="204">
        <f>IF(bands_A!$D$9+1&gt;MONTH(G549),YEAR(G549),YEAR(G549)+1)</f>
        <v/>
      </c>
      <c r="D549" s="204">
        <f>+C549+1</f>
        <v/>
      </c>
      <c r="E549" s="203">
        <f>IF(C549&gt;C548,1,E548+1)</f>
        <v/>
      </c>
      <c r="F549" s="203">
        <f>COUNTIF(C:C,C549)</f>
        <v/>
      </c>
      <c r="G549" s="198">
        <f>+G548+7</f>
        <v/>
      </c>
      <c r="H549" s="361">
        <f>+CO549/CP549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5.83</v>
      </c>
      <c r="CP549" s="971" t="n">
        <v>0.78827</v>
      </c>
    </row>
    <row r="550">
      <c r="B550" s="204">
        <f>+C550-1</f>
        <v/>
      </c>
      <c r="C550" s="204">
        <f>IF(bands_A!$D$9+1&gt;MONTH(G550),YEAR(G550),YEAR(G550)+1)</f>
        <v/>
      </c>
      <c r="D550" s="204">
        <f>+C550+1</f>
        <v/>
      </c>
      <c r="E550" s="203">
        <f>IF(C550&gt;C549,1,E549+1)</f>
        <v/>
      </c>
      <c r="F550" s="203">
        <f>COUNTIF(C:C,C550)</f>
        <v/>
      </c>
      <c r="G550" s="198">
        <f>+G549+7</f>
        <v/>
      </c>
      <c r="H550" s="361">
        <f>+CO550/CP550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6.33</v>
      </c>
      <c r="CP550" s="971" t="n">
        <v>0.78979</v>
      </c>
    </row>
    <row r="551">
      <c r="B551" s="204">
        <f>+C551-1</f>
        <v/>
      </c>
      <c r="C551" s="204">
        <f>IF(bands_A!$D$9+1&gt;MONTH(G551),YEAR(G551),YEAR(G551)+1)</f>
        <v/>
      </c>
      <c r="D551" s="204">
        <f>+C551+1</f>
        <v/>
      </c>
      <c r="E551" s="203">
        <f>IF(C551&gt;C550,1,E550+1)</f>
        <v/>
      </c>
      <c r="F551" s="203">
        <f>COUNTIF(C:C,C551)</f>
        <v/>
      </c>
      <c r="G551" s="198">
        <f>+G550+7</f>
        <v/>
      </c>
      <c r="H551" s="361">
        <f>+CO551/CP551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6.08</v>
      </c>
      <c r="CP551" s="971" t="n">
        <v>0.79076</v>
      </c>
    </row>
    <row r="552">
      <c r="B552" s="204">
        <f>+C552-1</f>
        <v/>
      </c>
      <c r="C552" s="204">
        <f>IF(bands_A!$D$9+1&gt;MONTH(G552),YEAR(G552),YEAR(G552)+1)</f>
        <v/>
      </c>
      <c r="D552" s="204">
        <f>+C552+1</f>
        <v/>
      </c>
      <c r="E552" s="203">
        <f>IF(C552&gt;C551,1,E551+1)</f>
        <v/>
      </c>
      <c r="F552" s="203">
        <f>COUNTIF(C:C,C552)</f>
        <v/>
      </c>
      <c r="G552" s="198">
        <f>+G551+7</f>
        <v/>
      </c>
      <c r="H552" s="361">
        <f>+CO552/CP552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6.17</v>
      </c>
      <c r="CP552" s="971" t="n">
        <v>0.78918</v>
      </c>
    </row>
    <row r="553">
      <c r="B553" s="204">
        <f>+C553-1</f>
        <v/>
      </c>
      <c r="C553" s="204">
        <f>IF(bands_A!$D$9+1&gt;MONTH(G553),YEAR(G553),YEAR(G553)+1)</f>
        <v/>
      </c>
      <c r="D553" s="204">
        <f>+C553+1</f>
        <v/>
      </c>
      <c r="E553" s="203">
        <f>IF(C553&gt;C552,1,E552+1)</f>
        <v/>
      </c>
      <c r="F553" s="203">
        <f>COUNTIF(C:C,C553)</f>
        <v/>
      </c>
      <c r="G553" s="198">
        <f>+G552+7</f>
        <v/>
      </c>
      <c r="H553" s="361">
        <f>+CO553/CP553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6.34</v>
      </c>
      <c r="CP553" s="971" t="n">
        <v>0.79216</v>
      </c>
    </row>
    <row r="554">
      <c r="B554" s="204">
        <f>+C554-1</f>
        <v/>
      </c>
      <c r="C554" s="204">
        <f>IF(bands_A!$D$9+1&gt;MONTH(G554),YEAR(G554),YEAR(G554)+1)</f>
        <v/>
      </c>
      <c r="D554" s="204">
        <f>+C554+1</f>
        <v/>
      </c>
      <c r="E554" s="203">
        <f>IF(C554&gt;C553,1,E553+1)</f>
        <v/>
      </c>
      <c r="F554" s="203">
        <f>COUNTIF(C:C,C554)</f>
        <v/>
      </c>
      <c r="G554" s="198">
        <f>+G553+7</f>
        <v/>
      </c>
      <c r="H554" s="361">
        <f>+CO554/CP554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6.97</v>
      </c>
      <c r="CP554" s="971" t="n">
        <v>0.79348</v>
      </c>
    </row>
    <row r="555">
      <c r="B555" s="204">
        <f>+C555-1</f>
        <v/>
      </c>
      <c r="C555" s="204">
        <f>IF(bands_A!$D$9+1&gt;MONTH(G555),YEAR(G555),YEAR(G555)+1)</f>
        <v/>
      </c>
      <c r="D555" s="204">
        <f>+C555+1</f>
        <v/>
      </c>
      <c r="E555" s="203">
        <f>IF(C555&gt;C554,1,E554+1)</f>
        <v/>
      </c>
      <c r="F555" s="203">
        <f>COUNTIF(C:C,C555)</f>
        <v/>
      </c>
      <c r="G555" s="198">
        <f>+G554+7</f>
        <v/>
      </c>
      <c r="H555" s="361">
        <f>+CO555/CP555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7.22</v>
      </c>
      <c r="CP555" s="971" t="n">
        <v>0.79814</v>
      </c>
    </row>
    <row r="556">
      <c r="B556" s="204">
        <f>+C556-1</f>
        <v/>
      </c>
      <c r="C556" s="204">
        <f>IF(bands_A!$D$9+1&gt;MONTH(G556),YEAR(G556),YEAR(G556)+1)</f>
        <v/>
      </c>
      <c r="D556" s="204">
        <f>+C556+1</f>
        <v/>
      </c>
      <c r="E556" s="203">
        <f>IF(C556&gt;C555,1,E555+1)</f>
        <v/>
      </c>
      <c r="F556" s="203">
        <f>COUNTIF(C:C,C556)</f>
        <v/>
      </c>
      <c r="G556" s="198">
        <f>+G555+7</f>
        <v/>
      </c>
      <c r="H556" s="361">
        <f>+CO556/CP556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8.09</v>
      </c>
      <c r="CP556" s="971" t="n">
        <v>0.80258</v>
      </c>
    </row>
    <row r="557">
      <c r="B557" s="204">
        <f>+C557-1</f>
        <v/>
      </c>
      <c r="C557" s="204">
        <f>IF(bands_A!$D$9+1&gt;MONTH(G557),YEAR(G557),YEAR(G557)+1)</f>
        <v/>
      </c>
      <c r="D557" s="204">
        <f>+C557+1</f>
        <v/>
      </c>
      <c r="E557" s="203">
        <f>IF(C557&gt;C556,1,E556+1)</f>
        <v/>
      </c>
      <c r="F557" s="203">
        <f>COUNTIF(C:C,C557)</f>
        <v/>
      </c>
      <c r="G557" s="198">
        <f>+G556+7</f>
        <v/>
      </c>
      <c r="H557" s="361">
        <f>+CO557/CP557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7.59</v>
      </c>
      <c r="CP557" s="971" t="n">
        <v>0.80248</v>
      </c>
    </row>
    <row r="558">
      <c r="B558" s="204">
        <f>+C558-1</f>
        <v/>
      </c>
      <c r="C558" s="204">
        <f>IF(bands_A!$D$9+1&gt;MONTH(G558),YEAR(G558),YEAR(G558)+1)</f>
        <v/>
      </c>
      <c r="D558" s="204">
        <f>+C558+1</f>
        <v/>
      </c>
      <c r="E558" s="203">
        <f>IF(C558&gt;C557,1,E557+1)</f>
        <v/>
      </c>
      <c r="F558" s="203">
        <f>COUNTIF(C:C,C558)</f>
        <v/>
      </c>
      <c r="G558" s="198">
        <f>+G557+7</f>
        <v/>
      </c>
      <c r="H558" s="361">
        <f>+CO558/CP558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8.25</v>
      </c>
      <c r="CP558" s="971" t="n">
        <v>0.80015</v>
      </c>
    </row>
    <row r="559">
      <c r="B559" s="204">
        <f>+C559-1</f>
        <v/>
      </c>
      <c r="C559" s="204">
        <f>IF(bands_A!$D$9+1&gt;MONTH(G559),YEAR(G559),YEAR(G559)+1)</f>
        <v/>
      </c>
      <c r="D559" s="204">
        <f>+C559+1</f>
        <v/>
      </c>
      <c r="E559" s="203">
        <f>IF(C559&gt;C558,1,E558+1)</f>
        <v/>
      </c>
      <c r="F559" s="203">
        <f>COUNTIF(C:C,C559)</f>
        <v/>
      </c>
      <c r="G559" s="198">
        <f>+G558+7</f>
        <v/>
      </c>
      <c r="H559" s="361">
        <f>+CO559/CP559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9.41</v>
      </c>
      <c r="CP559" s="971" t="n">
        <v>0.80108</v>
      </c>
    </row>
    <row r="560">
      <c r="B560" s="204">
        <f>+C560-1</f>
        <v/>
      </c>
      <c r="C560" s="204">
        <f>IF(bands_A!$D$9+1&gt;MONTH(G560),YEAR(G560),YEAR(G560)+1)</f>
        <v/>
      </c>
      <c r="D560" s="204">
        <f>+C560+1</f>
        <v/>
      </c>
      <c r="E560" s="203">
        <f>IF(C560&gt;C559,1,E559+1)</f>
        <v/>
      </c>
      <c r="F560" s="203">
        <f>COUNTIF(C:C,C560)</f>
        <v/>
      </c>
      <c r="G560" s="198">
        <f>+G559+7</f>
        <v/>
      </c>
      <c r="H560" s="361">
        <f>+CO560/CP560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9.550000000000001</v>
      </c>
      <c r="CP560" s="971" t="n">
        <v>0.80062</v>
      </c>
    </row>
    <row r="561">
      <c r="B561" s="204">
        <f>+C561-1</f>
        <v/>
      </c>
      <c r="C561" s="204">
        <f>IF(bands_A!$D$9+1&gt;MONTH(G561),YEAR(G561),YEAR(G561)+1)</f>
        <v/>
      </c>
      <c r="D561" s="204">
        <f>+C561+1</f>
        <v/>
      </c>
      <c r="E561" s="203">
        <f>IF(C561&gt;C560,1,E560+1)</f>
        <v/>
      </c>
      <c r="F561" s="203">
        <f>COUNTIF(C:C,C561)</f>
        <v/>
      </c>
      <c r="G561" s="198">
        <f>+G560+7</f>
        <v/>
      </c>
      <c r="H561" s="361">
        <f>+CO561/CP561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10.28</v>
      </c>
      <c r="CP561" s="971" t="n">
        <v>0.80367</v>
      </c>
    </row>
    <row r="562">
      <c r="B562" s="204">
        <f>+C562-1</f>
        <v/>
      </c>
      <c r="C562" s="204">
        <f>IF(bands_A!$D$9+1&gt;MONTH(G562),YEAR(G562),YEAR(G562)+1)</f>
        <v/>
      </c>
      <c r="D562" s="204">
        <f>+C562+1</f>
        <v/>
      </c>
      <c r="E562" s="203">
        <f>IF(C562&gt;C561,1,E561+1)</f>
        <v/>
      </c>
      <c r="F562" s="203">
        <f>COUNTIF(C:C,C562)</f>
        <v/>
      </c>
      <c r="G562" s="198">
        <f>+G561+7</f>
        <v/>
      </c>
      <c r="H562" s="361">
        <f>+CO562/CP562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0" t="n">
        <v>10.93</v>
      </c>
      <c r="CP562" s="971" t="n">
        <v>0.80684</v>
      </c>
    </row>
    <row r="563">
      <c r="B563" s="204">
        <f>+C563-1</f>
        <v/>
      </c>
      <c r="C563" s="204">
        <f>IF(bands_A!$D$9+1&gt;MONTH(G563),YEAR(G563),YEAR(G563)+1)</f>
        <v/>
      </c>
      <c r="D563" s="204">
        <f>+C563+1</f>
        <v/>
      </c>
      <c r="E563" s="203">
        <f>IF(C563&gt;C562,1,E562+1)</f>
        <v/>
      </c>
      <c r="F563" s="203">
        <f>COUNTIF(C:C,C563)</f>
        <v/>
      </c>
      <c r="G563" s="198">
        <f>+G562+7</f>
        <v/>
      </c>
      <c r="H563" s="361">
        <f>+CO563/CP563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0" t="n">
        <v>10.26</v>
      </c>
      <c r="CP563" s="972" t="n">
        <v>0.8054</v>
      </c>
    </row>
    <row r="564">
      <c r="B564" s="204">
        <f>+C564-1</f>
        <v/>
      </c>
      <c r="C564" s="204">
        <f>IF(bands_A!$D$9+1&gt;MONTH(G564),YEAR(G564),YEAR(G564)+1)</f>
        <v/>
      </c>
      <c r="D564" s="204">
        <f>+C564+1</f>
        <v/>
      </c>
      <c r="E564" s="203">
        <f>IF(C564&gt;C563,1,E563+1)</f>
        <v/>
      </c>
      <c r="F564" s="203">
        <f>COUNTIF(C:C,C564)</f>
        <v/>
      </c>
      <c r="G564" s="198">
        <f>+G563+7</f>
        <v/>
      </c>
      <c r="H564" s="361">
        <f>+CO564/CP564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t="n">
        <v>9.789999999999999</v>
      </c>
      <c r="CP564" s="972" t="n">
        <v>0.80516</v>
      </c>
    </row>
    <row r="565">
      <c r="B565" s="204">
        <f>+C565-1</f>
        <v/>
      </c>
      <c r="C565" s="204">
        <f>IF(bands_A!$D$9+1&gt;MONTH(G565),YEAR(G565),YEAR(G565)+1)</f>
        <v/>
      </c>
      <c r="D565" s="204">
        <f>+C565+1</f>
        <v/>
      </c>
      <c r="E565" s="203">
        <f>IF(C565&gt;C564,1,E564+1)</f>
        <v/>
      </c>
      <c r="F565" s="203">
        <f>COUNTIF(C:C,C565)</f>
        <v/>
      </c>
      <c r="G565" s="198">
        <f>+G564+7</f>
        <v/>
      </c>
      <c r="H565" s="361">
        <f>+CO565/CP565</f>
        <v/>
      </c>
      <c r="I565" s="968">
        <f>H565/M565</f>
        <v/>
      </c>
      <c r="J565" s="968">
        <f>H565/N565</f>
        <v/>
      </c>
      <c r="K565" s="968">
        <f>(H565+Q565)/O565</f>
        <v/>
      </c>
      <c r="L565" s="968">
        <f>(H565+Q565)/P565</f>
        <v/>
      </c>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f>H565/(HLOOKUP(B:B,$4:$10,3,FALSE)+((HLOOKUP(C:C,$4:$10,3,FALSE)-HLOOKUP(B:B,$4:$10,3,FALSE))*E565/F565))</f>
        <v/>
      </c>
      <c r="V565" s="969">
        <f>HLOOKUP(B:B,$4:$10,7,FALSE)+((HLOOKUP(C:C,$4:$10,7,FALSE)-HLOOKUP(B:B,$4:$10,7,FALSE))*E565/F565)</f>
        <v/>
      </c>
      <c r="AB565" s="198">
        <f>$G565</f>
        <v/>
      </c>
      <c r="AC565" s="199">
        <f>$H565</f>
        <v/>
      </c>
      <c r="AD565" s="199">
        <f>$M565*AD$34</f>
        <v/>
      </c>
      <c r="AE565" s="199">
        <f>$M565*AE$34</f>
        <v/>
      </c>
      <c r="AF565" s="199">
        <f>$M565*AF$34</f>
        <v/>
      </c>
      <c r="AG565" s="199">
        <f>$M565*AG$34</f>
        <v/>
      </c>
      <c r="AH565" s="199">
        <f>$M565*AH$34</f>
        <v/>
      </c>
      <c r="AJ565" s="198">
        <f>$G565</f>
        <v/>
      </c>
      <c r="AK565" s="199">
        <f>$H565</f>
        <v/>
      </c>
      <c r="AL565" s="199">
        <f>$N565*AL$34</f>
        <v/>
      </c>
      <c r="AM565" s="199">
        <f>$N565*AM$34</f>
        <v/>
      </c>
      <c r="AN565" s="199">
        <f>$N565*AN$34</f>
        <v/>
      </c>
      <c r="AO565" s="199">
        <f>$N565*AO$34</f>
        <v/>
      </c>
      <c r="AP565" s="199">
        <f>$N565*AP$34</f>
        <v/>
      </c>
      <c r="AR565" s="198">
        <f>$G565</f>
        <v/>
      </c>
      <c r="AS565" s="199">
        <f>$H565</f>
        <v/>
      </c>
      <c r="AT565" s="199">
        <f>$O565*AT$34-$Q565</f>
        <v/>
      </c>
      <c r="AU565" s="199">
        <f>$O565*AU$34-$Q565</f>
        <v/>
      </c>
      <c r="AV565" s="199">
        <f>$O565*AV$34-$Q565</f>
        <v/>
      </c>
      <c r="AW565" s="199">
        <f>$O565*AW$34-$Q565</f>
        <v/>
      </c>
      <c r="AX565" s="199">
        <f>$O565*AX$34-$Q565</f>
        <v/>
      </c>
      <c r="AZ565" s="198">
        <f>$G565</f>
        <v/>
      </c>
      <c r="BA565" s="199">
        <f>$H565</f>
        <v/>
      </c>
      <c r="BB565" s="199">
        <f>$P565*BB$34-$Q565</f>
        <v/>
      </c>
      <c r="BC565" s="199">
        <f>$P565*BC$34-$Q565</f>
        <v/>
      </c>
      <c r="BD565" s="199">
        <f>$P565*BD$34-$Q565</f>
        <v/>
      </c>
      <c r="BE565" s="199">
        <f>$P565*BE$34-$Q565</f>
        <v/>
      </c>
      <c r="BF565" s="199">
        <f>$P565*BF$34-$Q565</f>
        <v/>
      </c>
      <c r="BH565" s="198">
        <f>$G565</f>
        <v/>
      </c>
      <c r="BI565" s="197">
        <f>$I565</f>
        <v/>
      </c>
      <c r="BJ565" s="197">
        <f>IF(ISBLANK(BJ566),AVERAGE($I$53:$I565)-STDEV($I$53:$I565)*2,BJ566)</f>
        <v/>
      </c>
      <c r="BK565" s="197">
        <f>IF(ISBLANK(BK566),AVERAGE($I$53:$I565)-STDEV($I$53:$I565),BK566)</f>
        <v/>
      </c>
      <c r="BL565" s="197">
        <f>IF(ISBLANK(BL566),AVERAGE($I$53:$I565),BL566)</f>
        <v/>
      </c>
      <c r="BM565" s="197">
        <f>IF(ISBLANK(BM566),AVERAGE($I$53:$I565)+STDEV($I$53:$I565),BM566)</f>
        <v/>
      </c>
      <c r="BN565" s="197">
        <f>IF(ISBLANK(BN566),AVERAGE($I$53:$I565)+STDEV($I$53:$I565)*2,BN566)</f>
        <v/>
      </c>
      <c r="BP565" s="198">
        <f>$G565</f>
        <v/>
      </c>
      <c r="BQ565" s="197">
        <f>$J565</f>
        <v/>
      </c>
      <c r="BR565" s="197">
        <f>IF(ISBLANK(BR566),AVERAGE($J$53:$J565)-STDEV($J$53:$J565)*2,BR566)</f>
        <v/>
      </c>
      <c r="BS565" s="197">
        <f>IF(ISBLANK(BS566),AVERAGE($J$53:$J565)-STDEV($J$53:$J565),BS566)</f>
        <v/>
      </c>
      <c r="BT565" s="197">
        <f>IF(ISBLANK(BT566),AVERAGE($J$53:$J565),BT566)</f>
        <v/>
      </c>
      <c r="BU565" s="197">
        <f>IF(ISBLANK(BU566),AVERAGE($J$53:$J565)+STDEV($J$53:$J565),BU566)</f>
        <v/>
      </c>
      <c r="BV565" s="197">
        <f>IF(ISBLANK(BV566),AVERAGE($J$53:$J565)+STDEV($J$53:$J565)*2,BV566)</f>
        <v/>
      </c>
      <c r="BX565" s="198">
        <f>$G565</f>
        <v/>
      </c>
      <c r="BY565" s="197">
        <f>$K565</f>
        <v/>
      </c>
      <c r="BZ565" s="197">
        <f>IF(ISBLANK(BZ566),AVERAGE($K$53:$K565)-STDEV($K$53:$K565)*2,BZ566)</f>
        <v/>
      </c>
      <c r="CA565" s="197">
        <f>IF(ISBLANK(CA566),AVERAGE($K$53:$K565)-STDEV($K$53:$K565),CA566)</f>
        <v/>
      </c>
      <c r="CB565" s="197">
        <f>IF(ISBLANK(CB566),AVERAGE($K$53:$K565),CB566)</f>
        <v/>
      </c>
      <c r="CC565" s="197">
        <f>IF(ISBLANK(CC566),AVERAGE($K$53:$K565)+STDEV($K$53:$K565),CC566)</f>
        <v/>
      </c>
      <c r="CD565" s="197">
        <f>IF(ISBLANK(CD566),AVERAGE($K$53:$K565)+STDEV($K$53:$K565)*2,CD566)</f>
        <v/>
      </c>
      <c r="CF565" s="198">
        <f>$G565</f>
        <v/>
      </c>
      <c r="CG565" s="197">
        <f>$L565</f>
        <v/>
      </c>
      <c r="CH565" s="197">
        <f>IF(ISBLANK(CH566),AVERAGE($L$53:$L565)-STDEV($L$53:$L565)*2,CH566)</f>
        <v/>
      </c>
      <c r="CI565" s="197">
        <f>IF(ISBLANK(CI566),AVERAGE($L$53:$L565)-STDEV($L$53:$L565),CI566)</f>
        <v/>
      </c>
      <c r="CJ565" s="197">
        <f>IF(ISBLANK(CJ566),AVERAGE($L$53:$L565),CJ566)</f>
        <v/>
      </c>
      <c r="CK565" s="197">
        <f>IF(ISBLANK(CK566),AVERAGE($L$53:$L565)+STDEV($L$53:$L565),CK566)</f>
        <v/>
      </c>
      <c r="CL565" s="197">
        <f>IF(ISBLANK(CL566),AVERAGE($L$53:$L565)+STDEV($L$53:$L565)*2,CL566)</f>
        <v/>
      </c>
      <c r="CO565" s="370" t="n">
        <v>9.699999999999999</v>
      </c>
      <c r="CP565" s="972" t="n">
        <v>0.80615</v>
      </c>
    </row>
    <row r="566">
      <c r="B566" s="204">
        <f>+C566-1</f>
        <v/>
      </c>
      <c r="C566" s="204">
        <f>IF(bands_A!$D$9+1&gt;MONTH(G566),YEAR(G566),YEAR(G566)+1)</f>
        <v/>
      </c>
      <c r="D566" s="204">
        <f>+C566+1</f>
        <v/>
      </c>
      <c r="E566" s="203">
        <f>IF(C566&gt;C565,1,E565+1)</f>
        <v/>
      </c>
      <c r="F566" s="203">
        <f>COUNTIF(C:C,C566)</f>
        <v/>
      </c>
      <c r="G566" s="198">
        <f>+G565+7</f>
        <v/>
      </c>
      <c r="H566" s="361">
        <f>+CO566/CP566</f>
        <v/>
      </c>
      <c r="I566" s="968">
        <f>H566/M566</f>
        <v/>
      </c>
      <c r="J566" s="968">
        <f>H566/N566</f>
        <v/>
      </c>
      <c r="K566" s="968">
        <f>(H566+Q566)/O566</f>
        <v/>
      </c>
      <c r="L566" s="968">
        <f>(H566+Q566)/P566</f>
        <v/>
      </c>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f>H566/(HLOOKUP(B:B,$4:$10,3,FALSE)+((HLOOKUP(C:C,$4:$10,3,FALSE)-HLOOKUP(B:B,$4:$10,3,FALSE))*E566/F566))</f>
        <v/>
      </c>
      <c r="V566" s="969">
        <f>HLOOKUP(B:B,$4:$10,7,FALSE)+((HLOOKUP(C:C,$4:$10,7,FALSE)-HLOOKUP(B:B,$4:$10,7,FALSE))*E566/F566)</f>
        <v/>
      </c>
      <c r="AB566" s="198">
        <f>$G566</f>
        <v/>
      </c>
      <c r="AC566" s="199">
        <f>$H566</f>
        <v/>
      </c>
      <c r="AD566" s="199">
        <f>$M566*AD$34</f>
        <v/>
      </c>
      <c r="AE566" s="199">
        <f>$M566*AE$34</f>
        <v/>
      </c>
      <c r="AF566" s="199">
        <f>$M566*AF$34</f>
        <v/>
      </c>
      <c r="AG566" s="199">
        <f>$M566*AG$34</f>
        <v/>
      </c>
      <c r="AH566" s="199">
        <f>$M566*AH$34</f>
        <v/>
      </c>
      <c r="AJ566" s="198">
        <f>$G566</f>
        <v/>
      </c>
      <c r="AK566" s="199">
        <f>$H566</f>
        <v/>
      </c>
      <c r="AL566" s="199">
        <f>$N566*AL$34</f>
        <v/>
      </c>
      <c r="AM566" s="199">
        <f>$N566*AM$34</f>
        <v/>
      </c>
      <c r="AN566" s="199">
        <f>$N566*AN$34</f>
        <v/>
      </c>
      <c r="AO566" s="199">
        <f>$N566*AO$34</f>
        <v/>
      </c>
      <c r="AP566" s="199">
        <f>$N566*AP$34</f>
        <v/>
      </c>
      <c r="AR566" s="198">
        <f>$G566</f>
        <v/>
      </c>
      <c r="AS566" s="199">
        <f>$H566</f>
        <v/>
      </c>
      <c r="AT566" s="199">
        <f>$O566*AT$34-$Q566</f>
        <v/>
      </c>
      <c r="AU566" s="199">
        <f>$O566*AU$34-$Q566</f>
        <v/>
      </c>
      <c r="AV566" s="199">
        <f>$O566*AV$34-$Q566</f>
        <v/>
      </c>
      <c r="AW566" s="199">
        <f>$O566*AW$34-$Q566</f>
        <v/>
      </c>
      <c r="AX566" s="199">
        <f>$O566*AX$34-$Q566</f>
        <v/>
      </c>
      <c r="AZ566" s="198">
        <f>$G566</f>
        <v/>
      </c>
      <c r="BA566" s="199">
        <f>$H566</f>
        <v/>
      </c>
      <c r="BB566" s="199">
        <f>$P566*BB$34-$Q566</f>
        <v/>
      </c>
      <c r="BC566" s="199">
        <f>$P566*BC$34-$Q566</f>
        <v/>
      </c>
      <c r="BD566" s="199">
        <f>$P566*BD$34-$Q566</f>
        <v/>
      </c>
      <c r="BE566" s="199">
        <f>$P566*BE$34-$Q566</f>
        <v/>
      </c>
      <c r="BF566" s="199">
        <f>$P566*BF$34-$Q566</f>
        <v/>
      </c>
      <c r="BH566" s="198">
        <f>$G566</f>
        <v/>
      </c>
      <c r="BI566" s="197">
        <f>$I566</f>
        <v/>
      </c>
      <c r="BJ566" s="197">
        <f>IF(ISBLANK(BJ567),AVERAGE($I$53:$I566)-STDEV($I$53:$I566)*2,BJ567)</f>
        <v/>
      </c>
      <c r="BK566" s="197">
        <f>IF(ISBLANK(BK567),AVERAGE($I$53:$I566)-STDEV($I$53:$I566),BK567)</f>
        <v/>
      </c>
      <c r="BL566" s="197">
        <f>IF(ISBLANK(BL567),AVERAGE($I$53:$I566),BL567)</f>
        <v/>
      </c>
      <c r="BM566" s="197">
        <f>IF(ISBLANK(BM567),AVERAGE($I$53:$I566)+STDEV($I$53:$I566),BM567)</f>
        <v/>
      </c>
      <c r="BN566" s="197">
        <f>IF(ISBLANK(BN567),AVERAGE($I$53:$I566)+STDEV($I$53:$I566)*2,BN567)</f>
        <v/>
      </c>
      <c r="BP566" s="198">
        <f>$G566</f>
        <v/>
      </c>
      <c r="BQ566" s="197">
        <f>$J566</f>
        <v/>
      </c>
      <c r="BR566" s="197">
        <f>IF(ISBLANK(BR567),AVERAGE($J$53:$J566)-STDEV($J$53:$J566)*2,BR567)</f>
        <v/>
      </c>
      <c r="BS566" s="197">
        <f>IF(ISBLANK(BS567),AVERAGE($J$53:$J566)-STDEV($J$53:$J566),BS567)</f>
        <v/>
      </c>
      <c r="BT566" s="197">
        <f>IF(ISBLANK(BT567),AVERAGE($J$53:$J566),BT567)</f>
        <v/>
      </c>
      <c r="BU566" s="197">
        <f>IF(ISBLANK(BU567),AVERAGE($J$53:$J566)+STDEV($J$53:$J566),BU567)</f>
        <v/>
      </c>
      <c r="BV566" s="197">
        <f>IF(ISBLANK(BV567),AVERAGE($J$53:$J566)+STDEV($J$53:$J566)*2,BV567)</f>
        <v/>
      </c>
      <c r="BX566" s="198">
        <f>$G566</f>
        <v/>
      </c>
      <c r="BY566" s="197">
        <f>$K566</f>
        <v/>
      </c>
      <c r="BZ566" s="197">
        <f>IF(ISBLANK(BZ567),AVERAGE($K$53:$K566)-STDEV($K$53:$K566)*2,BZ567)</f>
        <v/>
      </c>
      <c r="CA566" s="197">
        <f>IF(ISBLANK(CA567),AVERAGE($K$53:$K566)-STDEV($K$53:$K566),CA567)</f>
        <v/>
      </c>
      <c r="CB566" s="197">
        <f>IF(ISBLANK(CB567),AVERAGE($K$53:$K566),CB567)</f>
        <v/>
      </c>
      <c r="CC566" s="197">
        <f>IF(ISBLANK(CC567),AVERAGE($K$53:$K566)+STDEV($K$53:$K566),CC567)</f>
        <v/>
      </c>
      <c r="CD566" s="197">
        <f>IF(ISBLANK(CD567),AVERAGE($K$53:$K566)+STDEV($K$53:$K566)*2,CD567)</f>
        <v/>
      </c>
      <c r="CF566" s="198">
        <f>$G566</f>
        <v/>
      </c>
      <c r="CG566" s="197">
        <f>$L566</f>
        <v/>
      </c>
      <c r="CH566" s="197">
        <f>IF(ISBLANK(CH567),AVERAGE($L$53:$L566)-STDEV($L$53:$L566)*2,CH567)</f>
        <v/>
      </c>
      <c r="CI566" s="197">
        <f>IF(ISBLANK(CI567),AVERAGE($L$53:$L566)-STDEV($L$53:$L566),CI567)</f>
        <v/>
      </c>
      <c r="CJ566" s="197">
        <f>IF(ISBLANK(CJ567),AVERAGE($L$53:$L566),CJ567)</f>
        <v/>
      </c>
      <c r="CK566" s="197">
        <f>IF(ISBLANK(CK567),AVERAGE($L$53:$L566)+STDEV($L$53:$L566),CK567)</f>
        <v/>
      </c>
      <c r="CL566" s="197">
        <f>IF(ISBLANK(CL567),AVERAGE($L$53:$L566)+STDEV($L$53:$L566)*2,CL567)</f>
        <v/>
      </c>
      <c r="CO566" s="370" t="n">
        <v>10.11</v>
      </c>
      <c r="CP566" s="972" t="n">
        <v>0.80806</v>
      </c>
    </row>
    <row r="567">
      <c r="B567" s="204">
        <f>+C567-1</f>
        <v/>
      </c>
      <c r="C567" s="204">
        <f>IF(bands_A!$D$9+1&gt;MONTH(G567),YEAR(G567),YEAR(G567)+1)</f>
        <v/>
      </c>
      <c r="D567" s="204">
        <f>+C567+1</f>
        <v/>
      </c>
      <c r="E567" s="203">
        <f>IF(C567&gt;C566,1,E566+1)</f>
        <v/>
      </c>
      <c r="F567" s="203">
        <f>COUNTIF(C:C,C567)</f>
        <v/>
      </c>
      <c r="G567" s="198">
        <f>+G566+7</f>
        <v/>
      </c>
      <c r="H567" s="361">
        <f>+CO567/CP567</f>
        <v/>
      </c>
      <c r="I567" s="968">
        <f>H567/M567</f>
        <v/>
      </c>
      <c r="J567" s="968">
        <f>H567/N567</f>
        <v/>
      </c>
      <c r="K567" s="968">
        <f>(H567+Q567)/O567</f>
        <v/>
      </c>
      <c r="L567" s="968">
        <f>(H567+Q567)/P567</f>
        <v/>
      </c>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f>H567/(HLOOKUP(B:B,$4:$10,3,FALSE)+((HLOOKUP(C:C,$4:$10,3,FALSE)-HLOOKUP(B:B,$4:$10,3,FALSE))*E567/F567))</f>
        <v/>
      </c>
      <c r="V567" s="969">
        <f>HLOOKUP(B:B,$4:$10,7,FALSE)+((HLOOKUP(C:C,$4:$10,7,FALSE)-HLOOKUP(B:B,$4:$10,7,FALSE))*E567/F567)</f>
        <v/>
      </c>
      <c r="AB567" s="198">
        <f>$G567</f>
        <v/>
      </c>
      <c r="AC567" s="199">
        <f>$H567</f>
        <v/>
      </c>
      <c r="AD567" s="199">
        <f>$M567*AD$34</f>
        <v/>
      </c>
      <c r="AE567" s="199">
        <f>$M567*AE$34</f>
        <v/>
      </c>
      <c r="AF567" s="199">
        <f>$M567*AF$34</f>
        <v/>
      </c>
      <c r="AG567" s="199">
        <f>$M567*AG$34</f>
        <v/>
      </c>
      <c r="AH567" s="199">
        <f>$M567*AH$34</f>
        <v/>
      </c>
      <c r="AJ567" s="198">
        <f>$G567</f>
        <v/>
      </c>
      <c r="AK567" s="199">
        <f>$H567</f>
        <v/>
      </c>
      <c r="AL567" s="199">
        <f>$N567*AL$34</f>
        <v/>
      </c>
      <c r="AM567" s="199">
        <f>$N567*AM$34</f>
        <v/>
      </c>
      <c r="AN567" s="199">
        <f>$N567*AN$34</f>
        <v/>
      </c>
      <c r="AO567" s="199">
        <f>$N567*AO$34</f>
        <v/>
      </c>
      <c r="AP567" s="199">
        <f>$N567*AP$34</f>
        <v/>
      </c>
      <c r="AR567" s="198">
        <f>$G567</f>
        <v/>
      </c>
      <c r="AS567" s="199">
        <f>$H567</f>
        <v/>
      </c>
      <c r="AT567" s="199">
        <f>$O567*AT$34-$Q567</f>
        <v/>
      </c>
      <c r="AU567" s="199">
        <f>$O567*AU$34-$Q567</f>
        <v/>
      </c>
      <c r="AV567" s="199">
        <f>$O567*AV$34-$Q567</f>
        <v/>
      </c>
      <c r="AW567" s="199">
        <f>$O567*AW$34-$Q567</f>
        <v/>
      </c>
      <c r="AX567" s="199">
        <f>$O567*AX$34-$Q567</f>
        <v/>
      </c>
      <c r="AZ567" s="198">
        <f>$G567</f>
        <v/>
      </c>
      <c r="BA567" s="199">
        <f>$H567</f>
        <v/>
      </c>
      <c r="BB567" s="199">
        <f>$P567*BB$34-$Q567</f>
        <v/>
      </c>
      <c r="BC567" s="199">
        <f>$P567*BC$34-$Q567</f>
        <v/>
      </c>
      <c r="BD567" s="199">
        <f>$P567*BD$34-$Q567</f>
        <v/>
      </c>
      <c r="BE567" s="199">
        <f>$P567*BE$34-$Q567</f>
        <v/>
      </c>
      <c r="BF567" s="199">
        <f>$P567*BF$34-$Q567</f>
        <v/>
      </c>
      <c r="BH567" s="198">
        <f>$G567</f>
        <v/>
      </c>
      <c r="BI567" s="197">
        <f>$I567</f>
        <v/>
      </c>
      <c r="BJ567" s="197">
        <f>IF(ISBLANK(BJ568),AVERAGE($I$53:$I567)-STDEV($I$53:$I567)*2,BJ568)</f>
        <v/>
      </c>
      <c r="BK567" s="197">
        <f>IF(ISBLANK(BK568),AVERAGE($I$53:$I567)-STDEV($I$53:$I567),BK568)</f>
        <v/>
      </c>
      <c r="BL567" s="197">
        <f>IF(ISBLANK(BL568),AVERAGE($I$53:$I567),BL568)</f>
        <v/>
      </c>
      <c r="BM567" s="197">
        <f>IF(ISBLANK(BM568),AVERAGE($I$53:$I567)+STDEV($I$53:$I567),BM568)</f>
        <v/>
      </c>
      <c r="BN567" s="197">
        <f>IF(ISBLANK(BN568),AVERAGE($I$53:$I567)+STDEV($I$53:$I567)*2,BN568)</f>
        <v/>
      </c>
      <c r="BP567" s="198">
        <f>$G567</f>
        <v/>
      </c>
      <c r="BQ567" s="197">
        <f>$J567</f>
        <v/>
      </c>
      <c r="BR567" s="197">
        <f>IF(ISBLANK(BR568),AVERAGE($J$53:$J567)-STDEV($J$53:$J567)*2,BR568)</f>
        <v/>
      </c>
      <c r="BS567" s="197">
        <f>IF(ISBLANK(BS568),AVERAGE($J$53:$J567)-STDEV($J$53:$J567),BS568)</f>
        <v/>
      </c>
      <c r="BT567" s="197">
        <f>IF(ISBLANK(BT568),AVERAGE($J$53:$J567),BT568)</f>
        <v/>
      </c>
      <c r="BU567" s="197">
        <f>IF(ISBLANK(BU568),AVERAGE($J$53:$J567)+STDEV($J$53:$J567),BU568)</f>
        <v/>
      </c>
      <c r="BV567" s="197">
        <f>IF(ISBLANK(BV568),AVERAGE($J$53:$J567)+STDEV($J$53:$J567)*2,BV568)</f>
        <v/>
      </c>
      <c r="BX567" s="198">
        <f>$G567</f>
        <v/>
      </c>
      <c r="BY567" s="197">
        <f>$K567</f>
        <v/>
      </c>
      <c r="BZ567" s="197">
        <f>IF(ISBLANK(BZ568),AVERAGE($K$53:$K567)-STDEV($K$53:$K567)*2,BZ568)</f>
        <v/>
      </c>
      <c r="CA567" s="197">
        <f>IF(ISBLANK(CA568),AVERAGE($K$53:$K567)-STDEV($K$53:$K567),CA568)</f>
        <v/>
      </c>
      <c r="CB567" s="197">
        <f>IF(ISBLANK(CB568),AVERAGE($K$53:$K567),CB568)</f>
        <v/>
      </c>
      <c r="CC567" s="197">
        <f>IF(ISBLANK(CC568),AVERAGE($K$53:$K567)+STDEV($K$53:$K567),CC568)</f>
        <v/>
      </c>
      <c r="CD567" s="197">
        <f>IF(ISBLANK(CD568),AVERAGE($K$53:$K567)+STDEV($K$53:$K567)*2,CD568)</f>
        <v/>
      </c>
      <c r="CF567" s="198">
        <f>$G567</f>
        <v/>
      </c>
      <c r="CG567" s="197">
        <f>$L567</f>
        <v/>
      </c>
      <c r="CH567" s="197">
        <f>IF(ISBLANK(CH568),AVERAGE($L$53:$L567)-STDEV($L$53:$L567)*2,CH568)</f>
        <v/>
      </c>
      <c r="CI567" s="197">
        <f>IF(ISBLANK(CI568),AVERAGE($L$53:$L567)-STDEV($L$53:$L567),CI568)</f>
        <v/>
      </c>
      <c r="CJ567" s="197">
        <f>IF(ISBLANK(CJ568),AVERAGE($L$53:$L567),CJ568)</f>
        <v/>
      </c>
      <c r="CK567" s="197">
        <f>IF(ISBLANK(CK568),AVERAGE($L$53:$L567)+STDEV($L$53:$L567),CK568)</f>
        <v/>
      </c>
      <c r="CL567" s="197">
        <f>IF(ISBLANK(CL568),AVERAGE($L$53:$L567)+STDEV($L$53:$L567)*2,CL568)</f>
        <v/>
      </c>
      <c r="CO567" s="370" t="n">
        <v>10.13</v>
      </c>
      <c r="CP567" s="972" t="n">
        <v>0.8076</v>
      </c>
    </row>
    <row r="568">
      <c r="B568" s="204">
        <f>+C568-1</f>
        <v/>
      </c>
      <c r="C568" s="204">
        <f>IF(bands_A!$D$9+1&gt;MONTH(G568),YEAR(G568),YEAR(G568)+1)</f>
        <v/>
      </c>
      <c r="D568" s="204">
        <f>+C568+1</f>
        <v/>
      </c>
      <c r="E568" s="203">
        <f>IF(C568&gt;C567,1,E567+1)</f>
        <v/>
      </c>
      <c r="F568" s="203">
        <f>COUNTIF(C:C,C568)</f>
        <v/>
      </c>
      <c r="G568" s="198">
        <f>+G567+7</f>
        <v/>
      </c>
      <c r="H568" s="361">
        <f>+CO568/CP568</f>
        <v/>
      </c>
      <c r="I568" s="968">
        <f>H568/M568</f>
        <v/>
      </c>
      <c r="J568" s="968">
        <f>H568/N568</f>
        <v/>
      </c>
      <c r="K568" s="968">
        <f>(H568+Q568)/O568</f>
        <v/>
      </c>
      <c r="L568" s="968">
        <f>(H568+Q568)/P568</f>
        <v/>
      </c>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f>H568/(HLOOKUP(B:B,$4:$10,3,FALSE)+((HLOOKUP(C:C,$4:$10,3,FALSE)-HLOOKUP(B:B,$4:$10,3,FALSE))*E568/F568))</f>
        <v/>
      </c>
      <c r="V568" s="969">
        <f>HLOOKUP(B:B,$4:$10,7,FALSE)+((HLOOKUP(C:C,$4:$10,7,FALSE)-HLOOKUP(B:B,$4:$10,7,FALSE))*E568/F568)</f>
        <v/>
      </c>
      <c r="AB568" s="198">
        <f>$G568</f>
        <v/>
      </c>
      <c r="AC568" s="199">
        <f>$H568</f>
        <v/>
      </c>
      <c r="AD568" s="199">
        <f>$M568*AD$34</f>
        <v/>
      </c>
      <c r="AE568" s="199">
        <f>$M568*AE$34</f>
        <v/>
      </c>
      <c r="AF568" s="199">
        <f>$M568*AF$34</f>
        <v/>
      </c>
      <c r="AG568" s="199">
        <f>$M568*AG$34</f>
        <v/>
      </c>
      <c r="AH568" s="199">
        <f>$M568*AH$34</f>
        <v/>
      </c>
      <c r="AJ568" s="198">
        <f>$G568</f>
        <v/>
      </c>
      <c r="AK568" s="199">
        <f>$H568</f>
        <v/>
      </c>
      <c r="AL568" s="199">
        <f>$N568*AL$34</f>
        <v/>
      </c>
      <c r="AM568" s="199">
        <f>$N568*AM$34</f>
        <v/>
      </c>
      <c r="AN568" s="199">
        <f>$N568*AN$34</f>
        <v/>
      </c>
      <c r="AO568" s="199">
        <f>$N568*AO$34</f>
        <v/>
      </c>
      <c r="AP568" s="199">
        <f>$N568*AP$34</f>
        <v/>
      </c>
      <c r="AR568" s="198">
        <f>$G568</f>
        <v/>
      </c>
      <c r="AS568" s="199">
        <f>$H568</f>
        <v/>
      </c>
      <c r="AT568" s="199">
        <f>$O568*AT$34-$Q568</f>
        <v/>
      </c>
      <c r="AU568" s="199">
        <f>$O568*AU$34-$Q568</f>
        <v/>
      </c>
      <c r="AV568" s="199">
        <f>$O568*AV$34-$Q568</f>
        <v/>
      </c>
      <c r="AW568" s="199">
        <f>$O568*AW$34-$Q568</f>
        <v/>
      </c>
      <c r="AX568" s="199">
        <f>$O568*AX$34-$Q568</f>
        <v/>
      </c>
      <c r="AZ568" s="198">
        <f>$G568</f>
        <v/>
      </c>
      <c r="BA568" s="199">
        <f>$H568</f>
        <v/>
      </c>
      <c r="BB568" s="199">
        <f>$P568*BB$34-$Q568</f>
        <v/>
      </c>
      <c r="BC568" s="199">
        <f>$P568*BC$34-$Q568</f>
        <v/>
      </c>
      <c r="BD568" s="199">
        <f>$P568*BD$34-$Q568</f>
        <v/>
      </c>
      <c r="BE568" s="199">
        <f>$P568*BE$34-$Q568</f>
        <v/>
      </c>
      <c r="BF568" s="199">
        <f>$P568*BF$34-$Q568</f>
        <v/>
      </c>
      <c r="BH568" s="198">
        <f>$G568</f>
        <v/>
      </c>
      <c r="BI568" s="197">
        <f>$I568</f>
        <v/>
      </c>
      <c r="BJ568" s="197">
        <f>IF(ISBLANK(BJ569),AVERAGE($I$53:$I568)-STDEV($I$53:$I568)*2,BJ569)</f>
        <v/>
      </c>
      <c r="BK568" s="197">
        <f>IF(ISBLANK(BK569),AVERAGE($I$53:$I568)-STDEV($I$53:$I568),BK569)</f>
        <v/>
      </c>
      <c r="BL568" s="197">
        <f>IF(ISBLANK(BL569),AVERAGE($I$53:$I568),BL569)</f>
        <v/>
      </c>
      <c r="BM568" s="197">
        <f>IF(ISBLANK(BM569),AVERAGE($I$53:$I568)+STDEV($I$53:$I568),BM569)</f>
        <v/>
      </c>
      <c r="BN568" s="197">
        <f>IF(ISBLANK(BN569),AVERAGE($I$53:$I568)+STDEV($I$53:$I568)*2,BN569)</f>
        <v/>
      </c>
      <c r="BP568" s="198">
        <f>$G568</f>
        <v/>
      </c>
      <c r="BQ568" s="197">
        <f>$J568</f>
        <v/>
      </c>
      <c r="BR568" s="197">
        <f>IF(ISBLANK(BR569),AVERAGE($J$53:$J568)-STDEV($J$53:$J568)*2,BR569)</f>
        <v/>
      </c>
      <c r="BS568" s="197">
        <f>IF(ISBLANK(BS569),AVERAGE($J$53:$J568)-STDEV($J$53:$J568),BS569)</f>
        <v/>
      </c>
      <c r="BT568" s="197">
        <f>IF(ISBLANK(BT569),AVERAGE($J$53:$J568),BT569)</f>
        <v/>
      </c>
      <c r="BU568" s="197">
        <f>IF(ISBLANK(BU569),AVERAGE($J$53:$J568)+STDEV($J$53:$J568),BU569)</f>
        <v/>
      </c>
      <c r="BV568" s="197">
        <f>IF(ISBLANK(BV569),AVERAGE($J$53:$J568)+STDEV($J$53:$J568)*2,BV569)</f>
        <v/>
      </c>
      <c r="BX568" s="198">
        <f>$G568</f>
        <v/>
      </c>
      <c r="BY568" s="197">
        <f>$K568</f>
        <v/>
      </c>
      <c r="BZ568" s="197">
        <f>IF(ISBLANK(BZ569),AVERAGE($K$53:$K568)-STDEV($K$53:$K568)*2,BZ569)</f>
        <v/>
      </c>
      <c r="CA568" s="197">
        <f>IF(ISBLANK(CA569),AVERAGE($K$53:$K568)-STDEV($K$53:$K568),CA569)</f>
        <v/>
      </c>
      <c r="CB568" s="197">
        <f>IF(ISBLANK(CB569),AVERAGE($K$53:$K568),CB569)</f>
        <v/>
      </c>
      <c r="CC568" s="197">
        <f>IF(ISBLANK(CC569),AVERAGE($K$53:$K568)+STDEV($K$53:$K568),CC569)</f>
        <v/>
      </c>
      <c r="CD568" s="197">
        <f>IF(ISBLANK(CD569),AVERAGE($K$53:$K568)+STDEV($K$53:$K568)*2,CD569)</f>
        <v/>
      </c>
      <c r="CF568" s="198">
        <f>$G568</f>
        <v/>
      </c>
      <c r="CG568" s="197">
        <f>$L568</f>
        <v/>
      </c>
      <c r="CH568" s="197">
        <f>IF(ISBLANK(CH569),AVERAGE($L$53:$L568)-STDEV($L$53:$L568)*2,CH569)</f>
        <v/>
      </c>
      <c r="CI568" s="197">
        <f>IF(ISBLANK(CI569),AVERAGE($L$53:$L568)-STDEV($L$53:$L568),CI569)</f>
        <v/>
      </c>
      <c r="CJ568" s="197">
        <f>IF(ISBLANK(CJ569),AVERAGE($L$53:$L568),CJ569)</f>
        <v/>
      </c>
      <c r="CK568" s="197">
        <f>IF(ISBLANK(CK569),AVERAGE($L$53:$L568)+STDEV($L$53:$L568),CK569)</f>
        <v/>
      </c>
      <c r="CL568" s="197">
        <f>IF(ISBLANK(CL569),AVERAGE($L$53:$L568)+STDEV($L$53:$L568)*2,CL569)</f>
        <v/>
      </c>
      <c r="CO568" s="370" t="n">
        <v>10.55</v>
      </c>
      <c r="CP568" s="972" t="n">
        <v>0.80609</v>
      </c>
    </row>
    <row r="569">
      <c r="B569" s="204">
        <f>+C569-1</f>
        <v/>
      </c>
      <c r="C569" s="204">
        <f>IF(bands_A!$D$9+1&gt;MONTH(G569),YEAR(G569),YEAR(G569)+1)</f>
        <v/>
      </c>
      <c r="D569" s="204">
        <f>+C569+1</f>
        <v/>
      </c>
      <c r="E569" s="203">
        <f>IF(C569&gt;C568,1,E568+1)</f>
        <v/>
      </c>
      <c r="F569" s="203">
        <f>COUNTIF(C:C,C569)</f>
        <v/>
      </c>
      <c r="G569" s="198">
        <f>+G568+7</f>
        <v/>
      </c>
      <c r="H569" s="361">
        <f>+CO569/CP569</f>
        <v/>
      </c>
      <c r="I569" s="968">
        <f>H569/M569</f>
        <v/>
      </c>
      <c r="J569" s="968">
        <f>H569/N569</f>
        <v/>
      </c>
      <c r="K569" s="968">
        <f>(H569+Q569)/O569</f>
        <v/>
      </c>
      <c r="L569" s="968">
        <f>(H569+Q569)/P569</f>
        <v/>
      </c>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f>H569/(HLOOKUP(B:B,$4:$10,3,FALSE)+((HLOOKUP(C:C,$4:$10,3,FALSE)-HLOOKUP(B:B,$4:$10,3,FALSE))*E569/F569))</f>
        <v/>
      </c>
      <c r="V569" s="969">
        <f>HLOOKUP(B:B,$4:$10,7,FALSE)+((HLOOKUP(C:C,$4:$10,7,FALSE)-HLOOKUP(B:B,$4:$10,7,FALSE))*E569/F569)</f>
        <v/>
      </c>
      <c r="AB569" s="198">
        <f>$G569</f>
        <v/>
      </c>
      <c r="AC569" s="199">
        <f>$H569</f>
        <v/>
      </c>
      <c r="AD569" s="199">
        <f>$M569*AD$34</f>
        <v/>
      </c>
      <c r="AE569" s="199">
        <f>$M569*AE$34</f>
        <v/>
      </c>
      <c r="AF569" s="199">
        <f>$M569*AF$34</f>
        <v/>
      </c>
      <c r="AG569" s="199">
        <f>$M569*AG$34</f>
        <v/>
      </c>
      <c r="AH569" s="199">
        <f>$M569*AH$34</f>
        <v/>
      </c>
      <c r="AJ569" s="198">
        <f>$G569</f>
        <v/>
      </c>
      <c r="AK569" s="199">
        <f>$H569</f>
        <v/>
      </c>
      <c r="AL569" s="199">
        <f>$N569*AL$34</f>
        <v/>
      </c>
      <c r="AM569" s="199">
        <f>$N569*AM$34</f>
        <v/>
      </c>
      <c r="AN569" s="199">
        <f>$N569*AN$34</f>
        <v/>
      </c>
      <c r="AO569" s="199">
        <f>$N569*AO$34</f>
        <v/>
      </c>
      <c r="AP569" s="199">
        <f>$N569*AP$34</f>
        <v/>
      </c>
      <c r="AR569" s="198">
        <f>$G569</f>
        <v/>
      </c>
      <c r="AS569" s="199">
        <f>$H569</f>
        <v/>
      </c>
      <c r="AT569" s="199">
        <f>$O569*AT$34-$Q569</f>
        <v/>
      </c>
      <c r="AU569" s="199">
        <f>$O569*AU$34-$Q569</f>
        <v/>
      </c>
      <c r="AV569" s="199">
        <f>$O569*AV$34-$Q569</f>
        <v/>
      </c>
      <c r="AW569" s="199">
        <f>$O569*AW$34-$Q569</f>
        <v/>
      </c>
      <c r="AX569" s="199">
        <f>$O569*AX$34-$Q569</f>
        <v/>
      </c>
      <c r="AZ569" s="198">
        <f>$G569</f>
        <v/>
      </c>
      <c r="BA569" s="199">
        <f>$H569</f>
        <v/>
      </c>
      <c r="BB569" s="199">
        <f>$P569*BB$34-$Q569</f>
        <v/>
      </c>
      <c r="BC569" s="199">
        <f>$P569*BC$34-$Q569</f>
        <v/>
      </c>
      <c r="BD569" s="199">
        <f>$P569*BD$34-$Q569</f>
        <v/>
      </c>
      <c r="BE569" s="199">
        <f>$P569*BE$34-$Q569</f>
        <v/>
      </c>
      <c r="BF569" s="199">
        <f>$P569*BF$34-$Q569</f>
        <v/>
      </c>
      <c r="BH569" s="198">
        <f>$G569</f>
        <v/>
      </c>
      <c r="BI569" s="197">
        <f>$I569</f>
        <v/>
      </c>
      <c r="BJ569" s="197">
        <f>IF(ISBLANK(BJ570),AVERAGE($I$53:$I569)-STDEV($I$53:$I569)*2,BJ570)</f>
        <v/>
      </c>
      <c r="BK569" s="197">
        <f>IF(ISBLANK(BK570),AVERAGE($I$53:$I569)-STDEV($I$53:$I569),BK570)</f>
        <v/>
      </c>
      <c r="BL569" s="197">
        <f>IF(ISBLANK(BL570),AVERAGE($I$53:$I569),BL570)</f>
        <v/>
      </c>
      <c r="BM569" s="197">
        <f>IF(ISBLANK(BM570),AVERAGE($I$53:$I569)+STDEV($I$53:$I569),BM570)</f>
        <v/>
      </c>
      <c r="BN569" s="197">
        <f>IF(ISBLANK(BN570),AVERAGE($I$53:$I569)+STDEV($I$53:$I569)*2,BN570)</f>
        <v/>
      </c>
      <c r="BP569" s="198">
        <f>$G569</f>
        <v/>
      </c>
      <c r="BQ569" s="197">
        <f>$J569</f>
        <v/>
      </c>
      <c r="BR569" s="197">
        <f>IF(ISBLANK(BR570),AVERAGE($J$53:$J569)-STDEV($J$53:$J569)*2,BR570)</f>
        <v/>
      </c>
      <c r="BS569" s="197">
        <f>IF(ISBLANK(BS570),AVERAGE($J$53:$J569)-STDEV($J$53:$J569),BS570)</f>
        <v/>
      </c>
      <c r="BT569" s="197">
        <f>IF(ISBLANK(BT570),AVERAGE($J$53:$J569),BT570)</f>
        <v/>
      </c>
      <c r="BU569" s="197">
        <f>IF(ISBLANK(BU570),AVERAGE($J$53:$J569)+STDEV($J$53:$J569),BU570)</f>
        <v/>
      </c>
      <c r="BV569" s="197">
        <f>IF(ISBLANK(BV570),AVERAGE($J$53:$J569)+STDEV($J$53:$J569)*2,BV570)</f>
        <v/>
      </c>
      <c r="BX569" s="198">
        <f>$G569</f>
        <v/>
      </c>
      <c r="BY569" s="197">
        <f>$K569</f>
        <v/>
      </c>
      <c r="BZ569" s="197">
        <f>IF(ISBLANK(BZ570),AVERAGE($K$53:$K569)-STDEV($K$53:$K569)*2,BZ570)</f>
        <v/>
      </c>
      <c r="CA569" s="197">
        <f>IF(ISBLANK(CA570),AVERAGE($K$53:$K569)-STDEV($K$53:$K569),CA570)</f>
        <v/>
      </c>
      <c r="CB569" s="197">
        <f>IF(ISBLANK(CB570),AVERAGE($K$53:$K569),CB570)</f>
        <v/>
      </c>
      <c r="CC569" s="197">
        <f>IF(ISBLANK(CC570),AVERAGE($K$53:$K569)+STDEV($K$53:$K569),CC570)</f>
        <v/>
      </c>
      <c r="CD569" s="197">
        <f>IF(ISBLANK(CD570),AVERAGE($K$53:$K569)+STDEV($K$53:$K569)*2,CD570)</f>
        <v/>
      </c>
      <c r="CF569" s="198">
        <f>$G569</f>
        <v/>
      </c>
      <c r="CG569" s="197">
        <f>$L569</f>
        <v/>
      </c>
      <c r="CH569" s="197">
        <f>IF(ISBLANK(CH570),AVERAGE($L$53:$L569)-STDEV($L$53:$L569)*2,CH570)</f>
        <v/>
      </c>
      <c r="CI569" s="197">
        <f>IF(ISBLANK(CI570),AVERAGE($L$53:$L569)-STDEV($L$53:$L569),CI570)</f>
        <v/>
      </c>
      <c r="CJ569" s="197">
        <f>IF(ISBLANK(CJ570),AVERAGE($L$53:$L569),CJ570)</f>
        <v/>
      </c>
      <c r="CK569" s="197">
        <f>IF(ISBLANK(CK570),AVERAGE($L$53:$L569)+STDEV($L$53:$L569),CK570)</f>
        <v/>
      </c>
      <c r="CL569" s="197">
        <f>IF(ISBLANK(CL570),AVERAGE($L$53:$L569)+STDEV($L$53:$L569)*2,CL570)</f>
        <v/>
      </c>
      <c r="CO569" s="370" t="n">
        <v>10.87</v>
      </c>
      <c r="CP569" s="972" t="n">
        <v>0.79975</v>
      </c>
    </row>
    <row r="570">
      <c r="B570" s="204">
        <f>+C570-1</f>
        <v/>
      </c>
      <c r="C570" s="204">
        <f>IF(bands_A!$D$9+1&gt;MONTH(G570),YEAR(G570),YEAR(G570)+1)</f>
        <v/>
      </c>
      <c r="D570" s="204">
        <f>+C570+1</f>
        <v/>
      </c>
      <c r="E570" s="203">
        <f>IF(C570&gt;C569,1,E569+1)</f>
        <v/>
      </c>
      <c r="F570" s="203">
        <f>COUNTIF(C:C,C570)</f>
        <v/>
      </c>
      <c r="G570" s="198">
        <f>+G569+7</f>
        <v/>
      </c>
      <c r="H570" s="361">
        <f>+CO570/CP570</f>
        <v/>
      </c>
      <c r="I570" s="968">
        <f>H570/M570</f>
        <v/>
      </c>
      <c r="J570" s="968">
        <f>H570/N570</f>
        <v/>
      </c>
      <c r="K570" s="968">
        <f>(H570+Q570)/O570</f>
        <v/>
      </c>
      <c r="L570" s="968">
        <f>(H570+Q570)/P570</f>
        <v/>
      </c>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f>H570/(HLOOKUP(B:B,$4:$10,3,FALSE)+((HLOOKUP(C:C,$4:$10,3,FALSE)-HLOOKUP(B:B,$4:$10,3,FALSE))*E570/F570))</f>
        <v/>
      </c>
      <c r="V570" s="969">
        <f>HLOOKUP(B:B,$4:$10,7,FALSE)+((HLOOKUP(C:C,$4:$10,7,FALSE)-HLOOKUP(B:B,$4:$10,7,FALSE))*E570/F570)</f>
        <v/>
      </c>
      <c r="AB570" s="198">
        <f>$G570</f>
        <v/>
      </c>
      <c r="AC570" s="199">
        <f>$H570</f>
        <v/>
      </c>
      <c r="AD570" s="199">
        <f>$M570*AD$34</f>
        <v/>
      </c>
      <c r="AE570" s="199">
        <f>$M570*AE$34</f>
        <v/>
      </c>
      <c r="AF570" s="199">
        <f>$M570*AF$34</f>
        <v/>
      </c>
      <c r="AG570" s="199">
        <f>$M570*AG$34</f>
        <v/>
      </c>
      <c r="AH570" s="199">
        <f>$M570*AH$34</f>
        <v/>
      </c>
      <c r="AJ570" s="198">
        <f>$G570</f>
        <v/>
      </c>
      <c r="AK570" s="199">
        <f>$H570</f>
        <v/>
      </c>
      <c r="AL570" s="199">
        <f>$N570*AL$34</f>
        <v/>
      </c>
      <c r="AM570" s="199">
        <f>$N570*AM$34</f>
        <v/>
      </c>
      <c r="AN570" s="199">
        <f>$N570*AN$34</f>
        <v/>
      </c>
      <c r="AO570" s="199">
        <f>$N570*AO$34</f>
        <v/>
      </c>
      <c r="AP570" s="199">
        <f>$N570*AP$34</f>
        <v/>
      </c>
      <c r="AR570" s="198">
        <f>$G570</f>
        <v/>
      </c>
      <c r="AS570" s="199">
        <f>$H570</f>
        <v/>
      </c>
      <c r="AT570" s="199">
        <f>$O570*AT$34-$Q570</f>
        <v/>
      </c>
      <c r="AU570" s="199">
        <f>$O570*AU$34-$Q570</f>
        <v/>
      </c>
      <c r="AV570" s="199">
        <f>$O570*AV$34-$Q570</f>
        <v/>
      </c>
      <c r="AW570" s="199">
        <f>$O570*AW$34-$Q570</f>
        <v/>
      </c>
      <c r="AX570" s="199">
        <f>$O570*AX$34-$Q570</f>
        <v/>
      </c>
      <c r="AZ570" s="198">
        <f>$G570</f>
        <v/>
      </c>
      <c r="BA570" s="199">
        <f>$H570</f>
        <v/>
      </c>
      <c r="BB570" s="199">
        <f>$P570*BB$34-$Q570</f>
        <v/>
      </c>
      <c r="BC570" s="199">
        <f>$P570*BC$34-$Q570</f>
        <v/>
      </c>
      <c r="BD570" s="199">
        <f>$P570*BD$34-$Q570</f>
        <v/>
      </c>
      <c r="BE570" s="199">
        <f>$P570*BE$34-$Q570</f>
        <v/>
      </c>
      <c r="BF570" s="199">
        <f>$P570*BF$34-$Q570</f>
        <v/>
      </c>
      <c r="BH570" s="198">
        <f>$G570</f>
        <v/>
      </c>
      <c r="BI570" s="197">
        <f>$I570</f>
        <v/>
      </c>
      <c r="BJ570" s="197">
        <f>IF(ISBLANK(BJ571),AVERAGE($I$53:$I570)-STDEV($I$53:$I570)*2,BJ571)</f>
        <v/>
      </c>
      <c r="BK570" s="197">
        <f>IF(ISBLANK(BK571),AVERAGE($I$53:$I570)-STDEV($I$53:$I570),BK571)</f>
        <v/>
      </c>
      <c r="BL570" s="197">
        <f>IF(ISBLANK(BL571),AVERAGE($I$53:$I570),BL571)</f>
        <v/>
      </c>
      <c r="BM570" s="197">
        <f>IF(ISBLANK(BM571),AVERAGE($I$53:$I570)+STDEV($I$53:$I570),BM571)</f>
        <v/>
      </c>
      <c r="BN570" s="197">
        <f>IF(ISBLANK(BN571),AVERAGE($I$53:$I570)+STDEV($I$53:$I570)*2,BN571)</f>
        <v/>
      </c>
      <c r="BP570" s="198">
        <f>$G570</f>
        <v/>
      </c>
      <c r="BQ570" s="197">
        <f>$J570</f>
        <v/>
      </c>
      <c r="BR570" s="197">
        <f>IF(ISBLANK(BR571),AVERAGE($J$53:$J570)-STDEV($J$53:$J570)*2,BR571)</f>
        <v/>
      </c>
      <c r="BS570" s="197">
        <f>IF(ISBLANK(BS571),AVERAGE($J$53:$J570)-STDEV($J$53:$J570),BS571)</f>
        <v/>
      </c>
      <c r="BT570" s="197">
        <f>IF(ISBLANK(BT571),AVERAGE($J$53:$J570),BT571)</f>
        <v/>
      </c>
      <c r="BU570" s="197">
        <f>IF(ISBLANK(BU571),AVERAGE($J$53:$J570)+STDEV($J$53:$J570),BU571)</f>
        <v/>
      </c>
      <c r="BV570" s="197">
        <f>IF(ISBLANK(BV571),AVERAGE($J$53:$J570)+STDEV($J$53:$J570)*2,BV571)</f>
        <v/>
      </c>
      <c r="BX570" s="198">
        <f>$G570</f>
        <v/>
      </c>
      <c r="BY570" s="197">
        <f>$K570</f>
        <v/>
      </c>
      <c r="BZ570" s="197">
        <f>IF(ISBLANK(BZ571),AVERAGE($K$53:$K570)-STDEV($K$53:$K570)*2,BZ571)</f>
        <v/>
      </c>
      <c r="CA570" s="197">
        <f>IF(ISBLANK(CA571),AVERAGE($K$53:$K570)-STDEV($K$53:$K570),CA571)</f>
        <v/>
      </c>
      <c r="CB570" s="197">
        <f>IF(ISBLANK(CB571),AVERAGE($K$53:$K570),CB571)</f>
        <v/>
      </c>
      <c r="CC570" s="197">
        <f>IF(ISBLANK(CC571),AVERAGE($K$53:$K570)+STDEV($K$53:$K570),CC571)</f>
        <v/>
      </c>
      <c r="CD570" s="197">
        <f>IF(ISBLANK(CD571),AVERAGE($K$53:$K570)+STDEV($K$53:$K570)*2,CD571)</f>
        <v/>
      </c>
      <c r="CF570" s="198">
        <f>$G570</f>
        <v/>
      </c>
      <c r="CG570" s="197">
        <f>$L570</f>
        <v/>
      </c>
      <c r="CH570" s="197">
        <f>IF(ISBLANK(CH571),AVERAGE($L$53:$L570)-STDEV($L$53:$L570)*2,CH571)</f>
        <v/>
      </c>
      <c r="CI570" s="197">
        <f>IF(ISBLANK(CI571),AVERAGE($L$53:$L570)-STDEV($L$53:$L570),CI571)</f>
        <v/>
      </c>
      <c r="CJ570" s="197">
        <f>IF(ISBLANK(CJ571),AVERAGE($L$53:$L570),CJ571)</f>
        <v/>
      </c>
      <c r="CK570" s="197">
        <f>IF(ISBLANK(CK571),AVERAGE($L$53:$L570)+STDEV($L$53:$L570),CK571)</f>
        <v/>
      </c>
      <c r="CL570" s="197">
        <f>IF(ISBLANK(CL571),AVERAGE($L$53:$L570)+STDEV($L$53:$L570)*2,CL571)</f>
        <v/>
      </c>
      <c r="CO570" s="370" t="n">
        <v>10.78</v>
      </c>
      <c r="CP570" s="972" t="n">
        <v>0.80157</v>
      </c>
    </row>
    <row r="571">
      <c r="B571" s="204">
        <f>+C571-1</f>
        <v/>
      </c>
      <c r="C571" s="204">
        <f>IF(bands_A!$D$9+1&gt;MONTH(G571),YEAR(G571),YEAR(G571)+1)</f>
        <v/>
      </c>
      <c r="D571" s="204">
        <f>+C571+1</f>
        <v/>
      </c>
      <c r="E571" s="203">
        <f>IF(C571&gt;C570,1,E570+1)</f>
        <v/>
      </c>
      <c r="F571" s="203">
        <f>COUNTIF(C:C,C571)</f>
        <v/>
      </c>
      <c r="G571" s="198">
        <f>+G570+7</f>
        <v/>
      </c>
      <c r="H571" s="361">
        <f>+CO571/CP571</f>
        <v/>
      </c>
      <c r="I571" s="968">
        <f>H571/M571</f>
        <v/>
      </c>
      <c r="J571" s="968">
        <f>H571/N571</f>
        <v/>
      </c>
      <c r="K571" s="968">
        <f>(H571+Q571)/O571</f>
        <v/>
      </c>
      <c r="L571" s="968">
        <f>(H571+Q571)/P571</f>
        <v/>
      </c>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f>H571/(HLOOKUP(B:B,$4:$10,3,FALSE)+((HLOOKUP(C:C,$4:$10,3,FALSE)-HLOOKUP(B:B,$4:$10,3,FALSE))*E571/F571))</f>
        <v/>
      </c>
      <c r="V571" s="969">
        <f>HLOOKUP(B:B,$4:$10,7,FALSE)+((HLOOKUP(C:C,$4:$10,7,FALSE)-HLOOKUP(B:B,$4:$10,7,FALSE))*E571/F571)</f>
        <v/>
      </c>
      <c r="AB571" s="198">
        <f>$G571</f>
        <v/>
      </c>
      <c r="AC571" s="199">
        <f>$H571</f>
        <v/>
      </c>
      <c r="AD571" s="199">
        <f>$M571*AD$34</f>
        <v/>
      </c>
      <c r="AE571" s="199">
        <f>$M571*AE$34</f>
        <v/>
      </c>
      <c r="AF571" s="199">
        <f>$M571*AF$34</f>
        <v/>
      </c>
      <c r="AG571" s="199">
        <f>$M571*AG$34</f>
        <v/>
      </c>
      <c r="AH571" s="199">
        <f>$M571*AH$34</f>
        <v/>
      </c>
      <c r="AJ571" s="198">
        <f>$G571</f>
        <v/>
      </c>
      <c r="AK571" s="199">
        <f>$H571</f>
        <v/>
      </c>
      <c r="AL571" s="199">
        <f>$N571*AL$34</f>
        <v/>
      </c>
      <c r="AM571" s="199">
        <f>$N571*AM$34</f>
        <v/>
      </c>
      <c r="AN571" s="199">
        <f>$N571*AN$34</f>
        <v/>
      </c>
      <c r="AO571" s="199">
        <f>$N571*AO$34</f>
        <v/>
      </c>
      <c r="AP571" s="199">
        <f>$N571*AP$34</f>
        <v/>
      </c>
      <c r="AR571" s="198">
        <f>$G571</f>
        <v/>
      </c>
      <c r="AS571" s="199">
        <f>$H571</f>
        <v/>
      </c>
      <c r="AT571" s="199">
        <f>$O571*AT$34-$Q571</f>
        <v/>
      </c>
      <c r="AU571" s="199">
        <f>$O571*AU$34-$Q571</f>
        <v/>
      </c>
      <c r="AV571" s="199">
        <f>$O571*AV$34-$Q571</f>
        <v/>
      </c>
      <c r="AW571" s="199">
        <f>$O571*AW$34-$Q571</f>
        <v/>
      </c>
      <c r="AX571" s="199">
        <f>$O571*AX$34-$Q571</f>
        <v/>
      </c>
      <c r="AZ571" s="198">
        <f>$G571</f>
        <v/>
      </c>
      <c r="BA571" s="199">
        <f>$H571</f>
        <v/>
      </c>
      <c r="BB571" s="199">
        <f>$P571*BB$34-$Q571</f>
        <v/>
      </c>
      <c r="BC571" s="199">
        <f>$P571*BC$34-$Q571</f>
        <v/>
      </c>
      <c r="BD571" s="199">
        <f>$P571*BD$34-$Q571</f>
        <v/>
      </c>
      <c r="BE571" s="199">
        <f>$P571*BE$34-$Q571</f>
        <v/>
      </c>
      <c r="BF571" s="199">
        <f>$P571*BF$34-$Q571</f>
        <v/>
      </c>
      <c r="BH571" s="198">
        <f>$G571</f>
        <v/>
      </c>
      <c r="BI571" s="197">
        <f>$I571</f>
        <v/>
      </c>
      <c r="BJ571" s="197">
        <f>IF(ISBLANK(BJ572),AVERAGE($I$53:$I571)-STDEV($I$53:$I571)*2,BJ572)</f>
        <v/>
      </c>
      <c r="BK571" s="197">
        <f>IF(ISBLANK(BK572),AVERAGE($I$53:$I571)-STDEV($I$53:$I571),BK572)</f>
        <v/>
      </c>
      <c r="BL571" s="197">
        <f>IF(ISBLANK(BL572),AVERAGE($I$53:$I571),BL572)</f>
        <v/>
      </c>
      <c r="BM571" s="197">
        <f>IF(ISBLANK(BM572),AVERAGE($I$53:$I571)+STDEV($I$53:$I571),BM572)</f>
        <v/>
      </c>
      <c r="BN571" s="197">
        <f>IF(ISBLANK(BN572),AVERAGE($I$53:$I571)+STDEV($I$53:$I571)*2,BN572)</f>
        <v/>
      </c>
      <c r="BP571" s="198">
        <f>$G571</f>
        <v/>
      </c>
      <c r="BQ571" s="197">
        <f>$J571</f>
        <v/>
      </c>
      <c r="BR571" s="197">
        <f>IF(ISBLANK(BR572),AVERAGE($J$53:$J571)-STDEV($J$53:$J571)*2,BR572)</f>
        <v/>
      </c>
      <c r="BS571" s="197">
        <f>IF(ISBLANK(BS572),AVERAGE($J$53:$J571)-STDEV($J$53:$J571),BS572)</f>
        <v/>
      </c>
      <c r="BT571" s="197">
        <f>IF(ISBLANK(BT572),AVERAGE($J$53:$J571),BT572)</f>
        <v/>
      </c>
      <c r="BU571" s="197">
        <f>IF(ISBLANK(BU572),AVERAGE($J$53:$J571)+STDEV($J$53:$J571),BU572)</f>
        <v/>
      </c>
      <c r="BV571" s="197">
        <f>IF(ISBLANK(BV572),AVERAGE($J$53:$J571)+STDEV($J$53:$J571)*2,BV572)</f>
        <v/>
      </c>
      <c r="BX571" s="198">
        <f>$G571</f>
        <v/>
      </c>
      <c r="BY571" s="197">
        <f>$K571</f>
        <v/>
      </c>
      <c r="BZ571" s="197">
        <f>IF(ISBLANK(BZ572),AVERAGE($K$53:$K571)-STDEV($K$53:$K571)*2,BZ572)</f>
        <v/>
      </c>
      <c r="CA571" s="197">
        <f>IF(ISBLANK(CA572),AVERAGE($K$53:$K571)-STDEV($K$53:$K571),CA572)</f>
        <v/>
      </c>
      <c r="CB571" s="197">
        <f>IF(ISBLANK(CB572),AVERAGE($K$53:$K571),CB572)</f>
        <v/>
      </c>
      <c r="CC571" s="197">
        <f>IF(ISBLANK(CC572),AVERAGE($K$53:$K571)+STDEV($K$53:$K571),CC572)</f>
        <v/>
      </c>
      <c r="CD571" s="197">
        <f>IF(ISBLANK(CD572),AVERAGE($K$53:$K571)+STDEV($K$53:$K571)*2,CD572)</f>
        <v/>
      </c>
      <c r="CF571" s="198">
        <f>$G571</f>
        <v/>
      </c>
      <c r="CG571" s="197">
        <f>$L571</f>
        <v/>
      </c>
      <c r="CH571" s="197">
        <f>IF(ISBLANK(CH572),AVERAGE($L$53:$L571)-STDEV($L$53:$L571)*2,CH572)</f>
        <v/>
      </c>
      <c r="CI571" s="197">
        <f>IF(ISBLANK(CI572),AVERAGE($L$53:$L571)-STDEV($L$53:$L571),CI572)</f>
        <v/>
      </c>
      <c r="CJ571" s="197">
        <f>IF(ISBLANK(CJ572),AVERAGE($L$53:$L571),CJ572)</f>
        <v/>
      </c>
      <c r="CK571" s="197">
        <f>IF(ISBLANK(CK572),AVERAGE($L$53:$L571)+STDEV($L$53:$L571),CK572)</f>
        <v/>
      </c>
      <c r="CL571" s="197">
        <f>IF(ISBLANK(CL572),AVERAGE($L$53:$L571)+STDEV($L$53:$L571)*2,CL572)</f>
        <v/>
      </c>
      <c r="CO571" s="370" t="n">
        <v>11.59</v>
      </c>
      <c r="CP571" s="972" t="n">
        <v>0.79283</v>
      </c>
    </row>
    <row r="572">
      <c r="B572" s="204">
        <f>+C572-1</f>
        <v/>
      </c>
      <c r="C572" s="204">
        <f>IF(bands_A!$D$9+1&gt;MONTH(G572),YEAR(G572),YEAR(G572)+1)</f>
        <v/>
      </c>
      <c r="D572" s="204">
        <f>+C572+1</f>
        <v/>
      </c>
      <c r="E572" s="203">
        <f>IF(C572&gt;C571,1,E571+1)</f>
        <v/>
      </c>
      <c r="F572" s="203">
        <f>COUNTIF(C:C,C572)</f>
        <v/>
      </c>
      <c r="G572" s="198">
        <f>+G571+7</f>
        <v/>
      </c>
      <c r="H572" s="361">
        <f>+CO572/CP572</f>
        <v/>
      </c>
      <c r="I572" s="968">
        <f>H572/M572</f>
        <v/>
      </c>
      <c r="J572" s="968">
        <f>H572/N572</f>
        <v/>
      </c>
      <c r="K572" s="968">
        <f>(H572+Q572)/O572</f>
        <v/>
      </c>
      <c r="L572" s="968">
        <f>(H572+Q572)/P572</f>
        <v/>
      </c>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f>H572/(HLOOKUP(B:B,$4:$10,3,FALSE)+((HLOOKUP(C:C,$4:$10,3,FALSE)-HLOOKUP(B:B,$4:$10,3,FALSE))*E572/F572))</f>
        <v/>
      </c>
      <c r="V572" s="969">
        <f>HLOOKUP(B:B,$4:$10,7,FALSE)+((HLOOKUP(C:C,$4:$10,7,FALSE)-HLOOKUP(B:B,$4:$10,7,FALSE))*E572/F572)</f>
        <v/>
      </c>
      <c r="AB572" s="198">
        <f>$G572</f>
        <v/>
      </c>
      <c r="AC572" s="199">
        <f>$H572</f>
        <v/>
      </c>
      <c r="AD572" s="199">
        <f>$M572*AD$34</f>
        <v/>
      </c>
      <c r="AE572" s="199">
        <f>$M572*AE$34</f>
        <v/>
      </c>
      <c r="AF572" s="199">
        <f>$M572*AF$34</f>
        <v/>
      </c>
      <c r="AG572" s="199">
        <f>$M572*AG$34</f>
        <v/>
      </c>
      <c r="AH572" s="199">
        <f>$M572*AH$34</f>
        <v/>
      </c>
      <c r="AJ572" s="198">
        <f>$G572</f>
        <v/>
      </c>
      <c r="AK572" s="199">
        <f>$H572</f>
        <v/>
      </c>
      <c r="AL572" s="199">
        <f>$N572*AL$34</f>
        <v/>
      </c>
      <c r="AM572" s="199">
        <f>$N572*AM$34</f>
        <v/>
      </c>
      <c r="AN572" s="199">
        <f>$N572*AN$34</f>
        <v/>
      </c>
      <c r="AO572" s="199">
        <f>$N572*AO$34</f>
        <v/>
      </c>
      <c r="AP572" s="199">
        <f>$N572*AP$34</f>
        <v/>
      </c>
      <c r="AR572" s="198">
        <f>$G572</f>
        <v/>
      </c>
      <c r="AS572" s="199">
        <f>$H572</f>
        <v/>
      </c>
      <c r="AT572" s="199">
        <f>$O572*AT$34-$Q572</f>
        <v/>
      </c>
      <c r="AU572" s="199">
        <f>$O572*AU$34-$Q572</f>
        <v/>
      </c>
      <c r="AV572" s="199">
        <f>$O572*AV$34-$Q572</f>
        <v/>
      </c>
      <c r="AW572" s="199">
        <f>$O572*AW$34-$Q572</f>
        <v/>
      </c>
      <c r="AX572" s="199">
        <f>$O572*AX$34-$Q572</f>
        <v/>
      </c>
      <c r="AZ572" s="198">
        <f>$G572</f>
        <v/>
      </c>
      <c r="BA572" s="199">
        <f>$H572</f>
        <v/>
      </c>
      <c r="BB572" s="199">
        <f>$P572*BB$34-$Q572</f>
        <v/>
      </c>
      <c r="BC572" s="199">
        <f>$P572*BC$34-$Q572</f>
        <v/>
      </c>
      <c r="BD572" s="199">
        <f>$P572*BD$34-$Q572</f>
        <v/>
      </c>
      <c r="BE572" s="199">
        <f>$P572*BE$34-$Q572</f>
        <v/>
      </c>
      <c r="BF572" s="199">
        <f>$P572*BF$34-$Q572</f>
        <v/>
      </c>
      <c r="BH572" s="198">
        <f>$G572</f>
        <v/>
      </c>
      <c r="BI572" s="197">
        <f>$I572</f>
        <v/>
      </c>
      <c r="BJ572" s="197">
        <f>IF(ISBLANK(BJ573),AVERAGE($I$53:$I572)-STDEV($I$53:$I572)*2,BJ573)</f>
        <v/>
      </c>
      <c r="BK572" s="197">
        <f>IF(ISBLANK(BK573),AVERAGE($I$53:$I572)-STDEV($I$53:$I572),BK573)</f>
        <v/>
      </c>
      <c r="BL572" s="197">
        <f>IF(ISBLANK(BL573),AVERAGE($I$53:$I572),BL573)</f>
        <v/>
      </c>
      <c r="BM572" s="197">
        <f>IF(ISBLANK(BM573),AVERAGE($I$53:$I572)+STDEV($I$53:$I572),BM573)</f>
        <v/>
      </c>
      <c r="BN572" s="197">
        <f>IF(ISBLANK(BN573),AVERAGE($I$53:$I572)+STDEV($I$53:$I572)*2,BN573)</f>
        <v/>
      </c>
      <c r="BP572" s="198">
        <f>$G572</f>
        <v/>
      </c>
      <c r="BQ572" s="197">
        <f>$J572</f>
        <v/>
      </c>
      <c r="BR572" s="197">
        <f>IF(ISBLANK(BR573),AVERAGE($J$53:$J572)-STDEV($J$53:$J572)*2,BR573)</f>
        <v/>
      </c>
      <c r="BS572" s="197">
        <f>IF(ISBLANK(BS573),AVERAGE($J$53:$J572)-STDEV($J$53:$J572),BS573)</f>
        <v/>
      </c>
      <c r="BT572" s="197">
        <f>IF(ISBLANK(BT573),AVERAGE($J$53:$J572),BT573)</f>
        <v/>
      </c>
      <c r="BU572" s="197">
        <f>IF(ISBLANK(BU573),AVERAGE($J$53:$J572)+STDEV($J$53:$J572),BU573)</f>
        <v/>
      </c>
      <c r="BV572" s="197">
        <f>IF(ISBLANK(BV573),AVERAGE($J$53:$J572)+STDEV($J$53:$J572)*2,BV573)</f>
        <v/>
      </c>
      <c r="BX572" s="198">
        <f>$G572</f>
        <v/>
      </c>
      <c r="BY572" s="197">
        <f>$K572</f>
        <v/>
      </c>
      <c r="BZ572" s="197">
        <f>IF(ISBLANK(BZ573),AVERAGE($K$53:$K572)-STDEV($K$53:$K572)*2,BZ573)</f>
        <v/>
      </c>
      <c r="CA572" s="197">
        <f>IF(ISBLANK(CA573),AVERAGE($K$53:$K572)-STDEV($K$53:$K572),CA573)</f>
        <v/>
      </c>
      <c r="CB572" s="197">
        <f>IF(ISBLANK(CB573),AVERAGE($K$53:$K572),CB573)</f>
        <v/>
      </c>
      <c r="CC572" s="197">
        <f>IF(ISBLANK(CC573),AVERAGE($K$53:$K572)+STDEV($K$53:$K572),CC573)</f>
        <v/>
      </c>
      <c r="CD572" s="197">
        <f>IF(ISBLANK(CD573),AVERAGE($K$53:$K572)+STDEV($K$53:$K572)*2,CD573)</f>
        <v/>
      </c>
      <c r="CF572" s="198">
        <f>$G572</f>
        <v/>
      </c>
      <c r="CG572" s="197">
        <f>$L572</f>
        <v/>
      </c>
      <c r="CH572" s="197">
        <f>IF(ISBLANK(CH573),AVERAGE($L$53:$L572)-STDEV($L$53:$L572)*2,CH573)</f>
        <v/>
      </c>
      <c r="CI572" s="197">
        <f>IF(ISBLANK(CI573),AVERAGE($L$53:$L572)-STDEV($L$53:$L572),CI573)</f>
        <v/>
      </c>
      <c r="CJ572" s="197">
        <f>IF(ISBLANK(CJ573),AVERAGE($L$53:$L572),CJ573)</f>
        <v/>
      </c>
      <c r="CK572" s="197">
        <f>IF(ISBLANK(CK573),AVERAGE($L$53:$L572)+STDEV($L$53:$L572),CK573)</f>
        <v/>
      </c>
      <c r="CL572" s="197">
        <f>IF(ISBLANK(CL573),AVERAGE($L$53:$L572)+STDEV($L$53:$L572)*2,CL573)</f>
        <v/>
      </c>
      <c r="CO572" s="370" t="n">
        <v>11.93</v>
      </c>
      <c r="CP572" s="972" t="n">
        <v>0.80081</v>
      </c>
    </row>
    <row r="573">
      <c r="B573" s="204">
        <f>+C573-1</f>
        <v/>
      </c>
      <c r="C573" s="204">
        <f>IF(bands_A!$D$9+1&gt;MONTH(G573),YEAR(G573),YEAR(G573)+1)</f>
        <v/>
      </c>
      <c r="D573" s="204">
        <f>+C573+1</f>
        <v/>
      </c>
      <c r="E573" s="203">
        <f>IF(C573&gt;C572,1,E572+1)</f>
        <v/>
      </c>
      <c r="F573" s="203">
        <f>COUNTIF(C:C,C573)</f>
        <v/>
      </c>
      <c r="G573" s="198">
        <f>+G572+7</f>
        <v/>
      </c>
      <c r="H573" s="361">
        <f>+CO573/CP573</f>
        <v/>
      </c>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IF(bands_A!$D$9+1&gt;MONTH(G574),YEAR(G574),YEAR(G574)+1)</f>
        <v/>
      </c>
      <c r="D574" s="204">
        <f>+C574+1</f>
        <v/>
      </c>
      <c r="E574" s="203">
        <f>IF(C574&gt;C573,1,E573+1)</f>
        <v/>
      </c>
      <c r="F574" s="203">
        <f>COUNTIF(C:C,C574)</f>
        <v/>
      </c>
      <c r="G574" s="198">
        <f>+G573+7</f>
        <v/>
      </c>
      <c r="H574" s="361">
        <f>+CO574/CP574</f>
        <v/>
      </c>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IF(bands_A!$D$9+1&gt;MONTH(G575),YEAR(G575),YEAR(G575)+1)</f>
        <v/>
      </c>
      <c r="D575" s="204">
        <f>+C575+1</f>
        <v/>
      </c>
      <c r="E575" s="203">
        <f>IF(C575&gt;C574,1,E574+1)</f>
        <v/>
      </c>
      <c r="F575" s="203">
        <f>COUNTIF(C:C,C575)</f>
        <v/>
      </c>
      <c r="G575" s="198">
        <f>+G574+7</f>
        <v/>
      </c>
      <c r="H575" s="361">
        <f>+CO575/CP575</f>
        <v/>
      </c>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IF(bands_A!$D$9+1&gt;MONTH(G576),YEAR(G576),YEAR(G576)+1)</f>
        <v/>
      </c>
      <c r="D576" s="204">
        <f>+C576+1</f>
        <v/>
      </c>
      <c r="E576" s="203">
        <f>IF(C576&gt;C575,1,E575+1)</f>
        <v/>
      </c>
      <c r="F576" s="203">
        <f>COUNTIF(C:C,C576)</f>
        <v/>
      </c>
      <c r="G576" s="198">
        <f>+G575+7</f>
        <v/>
      </c>
      <c r="H576" s="361">
        <f>+CO576/CP576</f>
        <v/>
      </c>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6.xml><?xml version="1.0" encoding="utf-8"?>
<worksheet xmlns="http://schemas.openxmlformats.org/spreadsheetml/2006/main">
  <sheetPr codeName="Sheet16">
    <tabColor theme="3"/>
    <outlinePr summaryBelow="1" summaryRight="1"/>
    <pageSetUpPr fitToPage="1"/>
  </sheetPr>
  <dimension ref="A1:CS609"/>
  <sheetViews>
    <sheetView workbookViewId="0">
      <selection activeCell="A1" sqref="A1"/>
    </sheetView>
  </sheetViews>
  <sheetFormatPr baseColWidth="10" defaultColWidth="8.6640625" defaultRowHeight="13"/>
  <cols>
    <col width="2.5" customWidth="1" style="195" min="1" max="1"/>
    <col hidden="1" outlineLevel="1" width="4.6640625" customWidth="1" style="196" min="2" max="2"/>
    <col hidden="1" outlineLevel="1" width="6.33203125" customWidth="1" style="196" min="3" max="3"/>
    <col hidden="1" outlineLevel="1" width="5.33203125" customWidth="1" style="196" min="4" max="4"/>
    <col hidden="1" outlineLevel="1" width="7.33203125" customWidth="1" style="196" min="5" max="5"/>
    <col hidden="1" outlineLevel="1" width="5.33203125" customWidth="1" style="196" min="6" max="6"/>
    <col collapsed="1" width="12.6640625" customWidth="1" style="195" min="7" max="7"/>
    <col width="8" customWidth="1" style="195" min="8" max="10"/>
    <col width="8.6640625" bestFit="1" customWidth="1" style="195" min="11" max="11"/>
    <col width="8" customWidth="1" style="195" min="12" max="13"/>
    <col width="8.6640625" bestFit="1" customWidth="1" style="195" min="14" max="15"/>
    <col width="8.6640625" customWidth="1" style="195" min="16" max="19"/>
    <col width="11.6640625" customWidth="1" style="195" min="20" max="20"/>
    <col width="7.5" customWidth="1" style="195" min="21" max="26"/>
    <col width="8.6640625" customWidth="1" style="195" min="27" max="27"/>
    <col width="11.6640625" customWidth="1" style="195" min="28" max="28"/>
    <col width="7.5" customWidth="1" style="195" min="29" max="34"/>
    <col width="8.6640625" customWidth="1" style="195" min="35" max="35"/>
    <col width="11.6640625" customWidth="1" style="195" min="36" max="36"/>
    <col width="7.5" customWidth="1" style="195" min="37" max="42"/>
    <col width="8.6640625" customWidth="1" style="195" min="43" max="43"/>
    <col width="11.6640625" customWidth="1" style="195" min="44" max="44"/>
    <col width="7.5" customWidth="1" style="195" min="45" max="50"/>
    <col width="8.6640625" customWidth="1" style="195" min="51" max="51"/>
    <col width="11.6640625" customWidth="1" style="195" min="52" max="52"/>
    <col width="7.5" customWidth="1" style="195" min="53" max="58"/>
    <col width="8.6640625" customWidth="1" style="195" min="59" max="59"/>
    <col width="11.6640625" customWidth="1" style="195" min="60" max="60"/>
    <col width="7.5" customWidth="1" style="195" min="61" max="66"/>
    <col width="8.6640625" customWidth="1" style="195" min="67" max="67"/>
    <col width="11.6640625" customWidth="1" style="195" min="68" max="68"/>
    <col width="7.5" customWidth="1" style="195" min="69" max="74"/>
    <col width="8.6640625" customWidth="1" style="195" min="75" max="75"/>
    <col width="11.6640625" customWidth="1" style="195" min="76" max="76"/>
    <col width="7.5" customWidth="1" style="195" min="77" max="82"/>
    <col width="8.6640625" customWidth="1" style="195" min="83" max="83"/>
    <col width="11.6640625" customWidth="1" style="195" min="84" max="84"/>
    <col width="7.5" customWidth="1" style="195" min="85" max="90"/>
    <col width="8.6640625" customWidth="1" style="195" min="91" max="16384"/>
  </cols>
  <sheetData>
    <row r="1">
      <c r="A1" s="21">
        <f>Summary!$B$5</f>
        <v/>
      </c>
    </row>
    <row r="2">
      <c r="A2" s="21" t="inlineStr">
        <is>
          <t>Price Bands</t>
        </is>
      </c>
    </row>
    <row r="3">
      <c r="A3" s="21" t="n"/>
    </row>
    <row r="4" customFormat="1" s="219">
      <c r="B4" s="220" t="n"/>
      <c r="C4" s="220" t="n"/>
      <c r="D4" s="220" t="n"/>
      <c r="E4" s="220" t="n"/>
      <c r="F4" s="220" t="n"/>
      <c r="I4" s="219" t="n">
        <v>2004</v>
      </c>
      <c r="J4" s="219">
        <f>I4+1</f>
        <v/>
      </c>
      <c r="K4" s="219">
        <f>J4+1</f>
        <v/>
      </c>
      <c r="L4" s="219">
        <f>K4+1</f>
        <v/>
      </c>
      <c r="M4" s="219">
        <f>L4+1</f>
        <v/>
      </c>
      <c r="N4" s="219">
        <f>M4+1</f>
        <v/>
      </c>
      <c r="O4" s="219">
        <f>N4+1</f>
        <v/>
      </c>
      <c r="P4" s="219">
        <f>O4+1</f>
        <v/>
      </c>
      <c r="Q4" s="219">
        <f>P4+1</f>
        <v/>
      </c>
      <c r="R4" s="219">
        <f>Q4+1</f>
        <v/>
      </c>
      <c r="S4" s="219">
        <f>R4+1</f>
        <v/>
      </c>
      <c r="T4" s="219">
        <f>S4+1</f>
        <v/>
      </c>
      <c r="U4" s="219">
        <f>T4+1</f>
        <v/>
      </c>
      <c r="V4" s="219">
        <f>U4+1</f>
        <v/>
      </c>
      <c r="W4" s="219">
        <f>V4+1</f>
        <v/>
      </c>
    </row>
    <row r="5">
      <c r="G5" s="195" t="inlineStr">
        <is>
          <t>EPS</t>
        </is>
      </c>
      <c r="I5" s="332" t="n">
        <v>0.1115068492743139</v>
      </c>
      <c r="J5" s="332" t="n">
        <v>0.1439846086386337</v>
      </c>
      <c r="K5" s="199">
        <f>'FS_Y (OLD)'!G29</f>
        <v/>
      </c>
      <c r="L5" s="199">
        <f>'FS_Y (OLD)'!H29</f>
        <v/>
      </c>
      <c r="M5" s="199">
        <f>'FS_Y (OLD)'!I29</f>
        <v/>
      </c>
      <c r="N5" s="199">
        <f>'FS_Y (OLD)'!J29</f>
        <v/>
      </c>
      <c r="O5" s="199">
        <f>'FS_Y (OLD)'!K29</f>
        <v/>
      </c>
      <c r="P5" s="199">
        <f>'FS_Y (OLD)'!L29</f>
        <v/>
      </c>
      <c r="Q5" s="199">
        <f>'FS_Y (OLD)'!M29</f>
        <v/>
      </c>
      <c r="R5" s="199">
        <f>'FS_Y (OLD)'!N29</f>
        <v/>
      </c>
      <c r="S5" s="199">
        <f>'FS_Y (OLD)'!O29</f>
        <v/>
      </c>
      <c r="T5" s="199">
        <f>'FS_Y (OLD)'!P29</f>
        <v/>
      </c>
      <c r="U5" s="199">
        <f>'FS_Y (OLD)'!Q29</f>
        <v/>
      </c>
      <c r="V5" s="199">
        <f>'FS_Y (OLD)'!R29</f>
        <v/>
      </c>
      <c r="W5" s="199">
        <f>'FS_Y (OLD)'!S29</f>
        <v/>
      </c>
      <c r="X5" s="202" t="n"/>
      <c r="Y5" s="202" t="n"/>
    </row>
    <row r="6">
      <c r="G6" s="195" t="inlineStr">
        <is>
          <t>BVPS</t>
        </is>
      </c>
      <c r="I6" s="217" t="n">
        <v>0.8712183282850986</v>
      </c>
      <c r="J6" s="217" t="n">
        <v>1.281240866249773</v>
      </c>
      <c r="K6" s="216">
        <f>'FS_Y (OLD)'!G89/'FS_Y (OLD)'!G31/'FS_Y (OLD)'!G226</f>
        <v/>
      </c>
      <c r="L6" s="216">
        <f>'FS_Y (OLD)'!H89/'FS_Y (OLD)'!H31/'FS_Y (OLD)'!H226</f>
        <v/>
      </c>
      <c r="M6" s="216">
        <f>'FS_Y (OLD)'!I89/'FS_Y (OLD)'!I31/'FS_Y (OLD)'!I226</f>
        <v/>
      </c>
      <c r="N6" s="216">
        <f>'FS_Y (OLD)'!J89/'FS_Y (OLD)'!J31/'FS_Y (OLD)'!J226</f>
        <v/>
      </c>
      <c r="O6" s="216">
        <f>'FS_Y (OLD)'!K89/'FS_Y (OLD)'!K31/'FS_Y (OLD)'!K226</f>
        <v/>
      </c>
      <c r="P6" s="216">
        <f>'FS_Y (OLD)'!L89/'FS_Y (OLD)'!L31/'FS_Y (OLD)'!L226</f>
        <v/>
      </c>
      <c r="Q6" s="216">
        <f>'FS_Y (OLD)'!M89/'FS_Y (OLD)'!M31/'FS_Y (OLD)'!M226</f>
        <v/>
      </c>
      <c r="R6" s="216">
        <f>'FS_Y (OLD)'!N89/'FS_Y (OLD)'!N31/'FS_Y (OLD)'!N226</f>
        <v/>
      </c>
      <c r="S6" s="216">
        <f>'FS_Y (OLD)'!O89/'FS_Y (OLD)'!O31/'FS_Y (OLD)'!O226</f>
        <v/>
      </c>
      <c r="T6" s="216">
        <f>'FS_Y (OLD)'!P89/'FS_Y (OLD)'!P31/'FS_Y (OLD)'!P226</f>
        <v/>
      </c>
      <c r="U6" s="216">
        <f>'FS_Y (OLD)'!Q89/'FS_Y (OLD)'!Q31/'FS_Y (OLD)'!Q226</f>
        <v/>
      </c>
      <c r="V6" s="216">
        <f>'FS_Y (OLD)'!R89/'FS_Y (OLD)'!R31/'FS_Y (OLD)'!R226</f>
        <v/>
      </c>
      <c r="W6" s="216">
        <f>'FS_Y (OLD)'!S89/'FS_Y (OLD)'!S31/'FS_Y (OLD)'!S226</f>
        <v/>
      </c>
      <c r="X6" s="202" t="n"/>
      <c r="Y6" s="202" t="n"/>
    </row>
    <row r="7">
      <c r="G7" s="195" t="inlineStr">
        <is>
          <t>EBITDA PS</t>
        </is>
      </c>
      <c r="I7" s="217" t="n">
        <v>0.2472409561079986</v>
      </c>
      <c r="J7" s="217" t="n">
        <v>0.3249857124654918</v>
      </c>
      <c r="K7" s="216">
        <f>'FS_Y (OLD)'!G154/'FS_Y (OLD)'!G31/'FS_Y (OLD)'!G226</f>
        <v/>
      </c>
      <c r="L7" s="216">
        <f>'FS_Y (OLD)'!H154/'FS_Y (OLD)'!H31/'FS_Y (OLD)'!H226</f>
        <v/>
      </c>
      <c r="M7" s="216">
        <f>'FS_Y (OLD)'!I154/'FS_Y (OLD)'!I31/'FS_Y (OLD)'!I226</f>
        <v/>
      </c>
      <c r="N7" s="216">
        <f>'FS_Y (OLD)'!J154/'FS_Y (OLD)'!J31/'FS_Y (OLD)'!J226</f>
        <v/>
      </c>
      <c r="O7" s="216">
        <f>'FS_Y (OLD)'!K154/'FS_Y (OLD)'!K31/'FS_Y (OLD)'!K226</f>
        <v/>
      </c>
      <c r="P7" s="216">
        <f>'FS_Y (OLD)'!L154/'FS_Y (OLD)'!L31/'FS_Y (OLD)'!L226</f>
        <v/>
      </c>
      <c r="Q7" s="216">
        <f>'FS_Y (OLD)'!M154/'FS_Y (OLD)'!M31/'FS_Y (OLD)'!M226</f>
        <v/>
      </c>
      <c r="R7" s="216">
        <f>'FS_Y (OLD)'!N154/'FS_Y (OLD)'!N31/'FS_Y (OLD)'!N226</f>
        <v/>
      </c>
      <c r="S7" s="216">
        <f>'FS_Y (OLD)'!O154/'FS_Y (OLD)'!O31/'FS_Y (OLD)'!O226</f>
        <v/>
      </c>
      <c r="T7" s="216">
        <f>'FS_Y (OLD)'!P154/'FS_Y (OLD)'!P31/'FS_Y (OLD)'!P226</f>
        <v/>
      </c>
      <c r="U7" s="216">
        <f>'FS_Y (OLD)'!Q154/'FS_Y (OLD)'!Q31/'FS_Y (OLD)'!Q226</f>
        <v/>
      </c>
      <c r="V7" s="216">
        <f>'FS_Y (OLD)'!R154/'FS_Y (OLD)'!R31/'FS_Y (OLD)'!R226</f>
        <v/>
      </c>
      <c r="W7" s="216">
        <f>'FS_Y (OLD)'!S154/'FS_Y (OLD)'!S31/'FS_Y (OLD)'!S226</f>
        <v/>
      </c>
      <c r="X7" s="202" t="n"/>
      <c r="Y7" s="202" t="n"/>
    </row>
    <row r="8">
      <c r="G8" s="195" t="inlineStr">
        <is>
          <t>Sales PS</t>
        </is>
      </c>
      <c r="I8" s="217" t="n">
        <v>2.510046323986172</v>
      </c>
      <c r="J8" s="217" t="n">
        <v>2.962017064723038</v>
      </c>
      <c r="K8" s="216">
        <f>'FS_Y (OLD)'!G11/'FS_Y (OLD)'!G31/'FS_Y (OLD)'!G226</f>
        <v/>
      </c>
      <c r="L8" s="216">
        <f>'FS_Y (OLD)'!H11/'FS_Y (OLD)'!H31/'FS_Y (OLD)'!H226</f>
        <v/>
      </c>
      <c r="M8" s="216">
        <f>'FS_Y (OLD)'!I11/'FS_Y (OLD)'!I31/'FS_Y (OLD)'!I226</f>
        <v/>
      </c>
      <c r="N8" s="216">
        <f>'FS_Y (OLD)'!J11/'FS_Y (OLD)'!J31/'FS_Y (OLD)'!J226</f>
        <v/>
      </c>
      <c r="O8" s="216">
        <f>'FS_Y (OLD)'!K11/'FS_Y (OLD)'!K31/'FS_Y (OLD)'!K226</f>
        <v/>
      </c>
      <c r="P8" s="216">
        <f>'FS_Y (OLD)'!L11/'FS_Y (OLD)'!L31/'FS_Y (OLD)'!L226</f>
        <v/>
      </c>
      <c r="Q8" s="216">
        <f>'FS_Y (OLD)'!M11/'FS_Y (OLD)'!M31/'FS_Y (OLD)'!M226</f>
        <v/>
      </c>
      <c r="R8" s="216">
        <f>'FS_Y (OLD)'!N11/'FS_Y (OLD)'!N31/'FS_Y (OLD)'!N226</f>
        <v/>
      </c>
      <c r="S8" s="216">
        <f>'FS_Y (OLD)'!O11/'FS_Y (OLD)'!O31/'FS_Y (OLD)'!O226</f>
        <v/>
      </c>
      <c r="T8" s="216">
        <f>'FS_Y (OLD)'!P11/'FS_Y (OLD)'!P31/'FS_Y (OLD)'!P226</f>
        <v/>
      </c>
      <c r="U8" s="216">
        <f>'FS_Y (OLD)'!Q11/'FS_Y (OLD)'!Q31/'FS_Y (OLD)'!Q226</f>
        <v/>
      </c>
      <c r="V8" s="216">
        <f>'FS_Y (OLD)'!R11/'FS_Y (OLD)'!R31/'FS_Y (OLD)'!R226</f>
        <v/>
      </c>
      <c r="W8" s="216">
        <f>'FS_Y (OLD)'!S11/'FS_Y (OLD)'!S31/'FS_Y (OLD)'!S226</f>
        <v/>
      </c>
      <c r="X8" s="202" t="n"/>
      <c r="Y8" s="202" t="n"/>
      <c r="BC8" s="197" t="n"/>
      <c r="BK8" s="197" t="n"/>
      <c r="BS8" s="197" t="n"/>
      <c r="CA8" s="197" t="n"/>
    </row>
    <row r="9">
      <c r="C9" s="208" t="inlineStr">
        <is>
          <t>Year-end Month</t>
        </is>
      </c>
      <c r="D9" s="218">
        <f>VLOOKUP(Summary!Y17,'bands_A-H_Avg'!C10:D22,2,FALSE)</f>
        <v/>
      </c>
      <c r="G9" s="195" t="inlineStr">
        <is>
          <t>EV Bridge</t>
        </is>
      </c>
      <c r="I9" s="217" t="n">
        <v>-1.598937534417272</v>
      </c>
      <c r="J9" s="217" t="n">
        <v>-1.513138574649227</v>
      </c>
      <c r="K9" s="216">
        <f>'FS_Y (OLD)'!G231/'FS_Y (OLD)'!G31/'FS_Y (OLD)'!G226</f>
        <v/>
      </c>
      <c r="L9" s="216">
        <f>'FS_Y (OLD)'!H231/'FS_Y (OLD)'!H31/'FS_Y (OLD)'!H226</f>
        <v/>
      </c>
      <c r="M9" s="216">
        <f>'FS_Y (OLD)'!I231/'FS_Y (OLD)'!I31/'FS_Y (OLD)'!I226</f>
        <v/>
      </c>
      <c r="N9" s="216">
        <f>'FS_Y (OLD)'!J231/'FS_Y (OLD)'!J31/'FS_Y (OLD)'!J226</f>
        <v/>
      </c>
      <c r="O9" s="216">
        <f>'FS_Y (OLD)'!K231/'FS_Y (OLD)'!K31/'FS_Y (OLD)'!K226</f>
        <v/>
      </c>
      <c r="P9" s="216">
        <f>'FS_Y (OLD)'!L231/'FS_Y (OLD)'!L31/'FS_Y (OLD)'!L226</f>
        <v/>
      </c>
      <c r="Q9" s="216">
        <f>'FS_Y (OLD)'!M231/'FS_Y (OLD)'!M31/'FS_Y (OLD)'!M226</f>
        <v/>
      </c>
      <c r="R9" s="216">
        <f>'FS_Y (OLD)'!N231/'FS_Y (OLD)'!N31/'FS_Y (OLD)'!N226</f>
        <v/>
      </c>
      <c r="S9" s="216">
        <f>'FS_Y (OLD)'!O231/'FS_Y (OLD)'!O31/'FS_Y (OLD)'!O226</f>
        <v/>
      </c>
      <c r="T9" s="216">
        <f>'FS_Y (OLD)'!P231/'FS_Y (OLD)'!P31/'FS_Y (OLD)'!P226</f>
        <v/>
      </c>
      <c r="U9" s="216">
        <f>'FS_Y (OLD)'!Q231/'FS_Y (OLD)'!Q31/'FS_Y (OLD)'!Q226</f>
        <v/>
      </c>
      <c r="V9" s="216">
        <f>'FS_Y (OLD)'!R231/'FS_Y (OLD)'!R31/'FS_Y (OLD)'!R226</f>
        <v/>
      </c>
      <c r="W9" s="216">
        <f>'FS_Y (OLD)'!S231/'FS_Y (OLD)'!S31/'FS_Y (OLD)'!S226</f>
        <v/>
      </c>
      <c r="X9" s="202" t="n"/>
      <c r="Y9" s="202" t="n"/>
      <c r="BC9" s="197" t="n"/>
      <c r="BK9" s="197" t="n"/>
      <c r="BS9" s="197" t="n"/>
      <c r="CA9" s="197" t="n"/>
    </row>
    <row r="10">
      <c r="C10" s="208" t="inlineStr">
        <is>
          <t>January</t>
        </is>
      </c>
      <c r="D10" s="195" t="n">
        <v>1</v>
      </c>
      <c r="G10" s="195" t="inlineStr">
        <is>
          <t>ROE</t>
        </is>
      </c>
      <c r="I10" s="963" t="n">
        <v>0.159</v>
      </c>
      <c r="J10" s="963" t="n">
        <v>0.139</v>
      </c>
      <c r="K10" s="964">
        <f>'FS_Y (OLD)'!G201</f>
        <v/>
      </c>
      <c r="L10" s="964">
        <f>'FS_Y (OLD)'!H201</f>
        <v/>
      </c>
      <c r="M10" s="964">
        <f>'FS_Y (OLD)'!I201</f>
        <v/>
      </c>
      <c r="N10" s="964">
        <f>'FS_Y (OLD)'!J201</f>
        <v/>
      </c>
      <c r="O10" s="964">
        <f>'FS_Y (OLD)'!K201</f>
        <v/>
      </c>
      <c r="P10" s="964">
        <f>'FS_Y (OLD)'!L201</f>
        <v/>
      </c>
      <c r="Q10" s="964">
        <f>'FS_Y (OLD)'!M201</f>
        <v/>
      </c>
      <c r="R10" s="964">
        <f>'FS_Y (OLD)'!N201</f>
        <v/>
      </c>
      <c r="S10" s="964">
        <f>'FS_Y (OLD)'!O201</f>
        <v/>
      </c>
      <c r="T10" s="964">
        <f>'FS_Y (OLD)'!P201</f>
        <v/>
      </c>
      <c r="U10" s="964">
        <f>'FS_Y (OLD)'!Q201</f>
        <v/>
      </c>
      <c r="V10" s="964">
        <f>'FS_Y (OLD)'!R201</f>
        <v/>
      </c>
      <c r="W10" s="964">
        <f>'FS_Y (OLD)'!S201</f>
        <v/>
      </c>
      <c r="X10" s="197" t="n"/>
      <c r="Y10" s="197" t="n"/>
      <c r="Z10" s="197" t="n"/>
      <c r="AA10" s="197" t="n"/>
      <c r="AB10" s="197" t="n"/>
      <c r="AC10" s="197" t="n"/>
      <c r="AD10" s="197" t="n"/>
      <c r="AE10" s="197" t="n"/>
      <c r="AF10" s="197" t="n"/>
      <c r="AG10" s="197" t="n"/>
      <c r="AH10" s="197" t="n"/>
      <c r="AI10" s="197" t="n"/>
      <c r="AJ10" s="197" t="n"/>
      <c r="AK10" s="197" t="n"/>
      <c r="AL10" s="197" t="n"/>
      <c r="AM10" s="197" t="n"/>
      <c r="AN10" s="197" t="n"/>
      <c r="AO10" s="197" t="n"/>
      <c r="AP10" s="197" t="n"/>
      <c r="AQ10" s="197" t="n"/>
      <c r="AR10" s="197" t="n"/>
      <c r="AS10" s="197" t="n"/>
      <c r="AT10" s="197" t="n"/>
      <c r="AU10" s="197" t="n"/>
      <c r="AV10" s="197" t="n"/>
      <c r="AW10" s="197" t="n"/>
      <c r="AX10" s="197" t="n"/>
      <c r="AY10" s="197" t="n"/>
      <c r="AZ10" s="197" t="n"/>
      <c r="BA10" s="197" t="n"/>
      <c r="BB10" s="197" t="n"/>
      <c r="BC10" s="197" t="n"/>
      <c r="BD10" s="197" t="n"/>
      <c r="BE10" s="197" t="n"/>
      <c r="BF10" s="197" t="n"/>
      <c r="BG10" s="197" t="n"/>
      <c r="BH10" s="197" t="n"/>
      <c r="BI10" s="197" t="n"/>
      <c r="BJ10" s="197" t="n"/>
      <c r="BK10" s="197" t="n"/>
      <c r="BL10" s="197" t="n"/>
      <c r="BM10" s="197" t="n"/>
      <c r="BN10" s="197" t="n"/>
      <c r="BO10" s="197" t="n"/>
      <c r="BP10" s="197" t="n"/>
      <c r="BQ10" s="197" t="n"/>
      <c r="BR10" s="197" t="n"/>
      <c r="BS10" s="197" t="n"/>
      <c r="BT10" s="197" t="n"/>
      <c r="BU10" s="197" t="n"/>
      <c r="BV10" s="197" t="n"/>
      <c r="BW10" s="197" t="n"/>
      <c r="BX10" s="197" t="n"/>
      <c r="BY10" s="197" t="n"/>
      <c r="BZ10" s="197" t="n"/>
      <c r="CA10" s="197" t="n"/>
      <c r="CB10" s="197" t="n"/>
      <c r="CC10" s="197" t="n"/>
      <c r="CD10" s="197" t="n"/>
      <c r="CE10" s="197" t="n"/>
      <c r="CF10" s="197" t="n"/>
      <c r="CG10" s="197" t="n"/>
      <c r="CH10" s="197" t="n"/>
      <c r="CI10" s="197" t="n"/>
      <c r="CJ10" s="197" t="n"/>
      <c r="CK10" s="197" t="n"/>
      <c r="CL10" s="197" t="n"/>
    </row>
    <row r="11">
      <c r="C11" s="208" t="n"/>
      <c r="D11" s="195" t="n"/>
      <c r="I11" s="213" t="n"/>
      <c r="J11" s="213" t="n"/>
      <c r="S11" s="197" t="n"/>
      <c r="T11" s="197" t="n"/>
      <c r="U11" s="197" t="n"/>
      <c r="V11" s="197" t="n"/>
      <c r="W11" s="197" t="n"/>
      <c r="X11" s="197" t="n"/>
      <c r="Y11" s="197" t="n"/>
      <c r="Z11" s="197" t="n"/>
      <c r="AA11" s="197" t="n"/>
      <c r="AB11" s="197" t="n"/>
      <c r="AC11" s="197" t="n"/>
      <c r="AD11" s="197" t="n"/>
      <c r="AE11" s="197" t="n"/>
      <c r="AF11" s="197" t="n"/>
      <c r="AG11" s="197" t="n"/>
      <c r="AH11" s="197" t="n"/>
      <c r="AI11" s="197" t="n"/>
      <c r="AJ11" s="197" t="n"/>
      <c r="AK11" s="197" t="n"/>
      <c r="AL11" s="197" t="n"/>
      <c r="AM11" s="197" t="n"/>
      <c r="AN11" s="197" t="n"/>
      <c r="AO11" s="197" t="n"/>
      <c r="AP11" s="197" t="n"/>
      <c r="AQ11" s="197" t="n"/>
      <c r="AR11" s="197" t="n"/>
      <c r="AS11" s="197" t="n"/>
      <c r="AT11" s="197" t="n"/>
      <c r="AU11" s="197" t="n"/>
      <c r="AV11" s="197" t="n"/>
      <c r="AW11" s="197" t="n"/>
      <c r="AX11" s="197" t="n"/>
      <c r="AY11" s="197" t="n"/>
      <c r="AZ11" s="197" t="n"/>
      <c r="BA11" s="197" t="n"/>
      <c r="BB11" s="197" t="n"/>
      <c r="BC11" s="197" t="n"/>
      <c r="BD11" s="197" t="n"/>
      <c r="BE11" s="197" t="n"/>
      <c r="BF11" s="197" t="n"/>
      <c r="BG11" s="197" t="n"/>
      <c r="BH11" s="197" t="n"/>
      <c r="BI11" s="197" t="n"/>
      <c r="BJ11" s="197" t="n"/>
      <c r="BK11" s="197" t="n"/>
      <c r="BL11" s="197" t="n"/>
      <c r="BM11" s="197" t="n"/>
      <c r="BN11" s="197" t="n"/>
      <c r="BO11" s="197" t="n"/>
      <c r="BP11" s="197" t="n"/>
      <c r="BQ11" s="197" t="n"/>
      <c r="BR11" s="197" t="n"/>
      <c r="BS11" s="197" t="n"/>
      <c r="BT11" s="197" t="n"/>
      <c r="BU11" s="197" t="n"/>
      <c r="BV11" s="197" t="n"/>
      <c r="BW11" s="197" t="n"/>
      <c r="BX11" s="197" t="n"/>
      <c r="BY11" s="197" t="n"/>
      <c r="BZ11" s="197" t="n"/>
      <c r="CA11" s="197" t="n"/>
      <c r="CB11" s="197" t="n"/>
      <c r="CC11" s="197" t="n"/>
      <c r="CD11" s="197" t="n"/>
      <c r="CE11" s="197" t="n"/>
      <c r="CF11" s="197" t="n"/>
      <c r="CG11" s="197" t="n"/>
      <c r="CH11" s="197" t="n"/>
      <c r="CI11" s="197" t="n"/>
      <c r="CJ11" s="197" t="n"/>
      <c r="CK11" s="197" t="n"/>
      <c r="CL11" s="197" t="n"/>
    </row>
    <row r="12">
      <c r="C12" s="208" t="inlineStr">
        <is>
          <t>February</t>
        </is>
      </c>
      <c r="D12" s="195" t="n">
        <v>2</v>
      </c>
    </row>
    <row r="13">
      <c r="C13" s="208" t="inlineStr">
        <is>
          <t>March</t>
        </is>
      </c>
      <c r="D13" s="195" t="n">
        <v>3</v>
      </c>
      <c r="T13" s="212" t="inlineStr">
        <is>
          <t>P/B vs. ROE</t>
        </is>
      </c>
      <c r="U13" s="212" t="n"/>
      <c r="V13" s="212" t="n"/>
      <c r="W13" s="212" t="n"/>
      <c r="X13" s="212" t="n"/>
      <c r="Y13" s="212" t="n"/>
      <c r="AB13" s="212" t="inlineStr">
        <is>
          <t>Price Bands - P/B</t>
        </is>
      </c>
      <c r="AC13" s="212" t="n"/>
      <c r="AD13" s="212" t="n"/>
      <c r="AE13" s="212" t="n"/>
      <c r="AF13" s="212" t="n"/>
      <c r="AG13" s="212" t="n"/>
      <c r="AJ13" s="212" t="inlineStr">
        <is>
          <t>Price Bands - P/E</t>
        </is>
      </c>
      <c r="AK13" s="212" t="n"/>
      <c r="AL13" s="212" t="n"/>
      <c r="AM13" s="212" t="n"/>
      <c r="AN13" s="212" t="n"/>
      <c r="AO13" s="212" t="n"/>
      <c r="AR13" s="212" t="inlineStr">
        <is>
          <t>Price Bands - EV/Sales</t>
        </is>
      </c>
      <c r="AS13" s="212" t="n"/>
      <c r="AT13" s="212" t="n"/>
      <c r="AU13" s="212" t="n"/>
      <c r="AV13" s="212" t="n"/>
      <c r="AW13" s="212" t="n"/>
      <c r="AZ13" s="212" t="inlineStr">
        <is>
          <t>Price Bands - EV/EBITDA</t>
        </is>
      </c>
      <c r="BA13" s="212" t="n"/>
      <c r="BB13" s="212" t="n"/>
      <c r="BC13" s="212" t="n"/>
      <c r="BD13" s="212" t="n"/>
      <c r="BE13" s="212" t="n"/>
      <c r="BH13" s="212" t="inlineStr">
        <is>
          <t>Multiple - 1-yr FWD P/B</t>
        </is>
      </c>
      <c r="BI13" s="212" t="n"/>
      <c r="BJ13" s="212" t="n"/>
      <c r="BK13" s="212" t="n"/>
      <c r="BL13" s="212" t="n"/>
      <c r="BM13" s="212" t="n"/>
      <c r="BP13" s="212" t="inlineStr">
        <is>
          <t>Multiple - 1-yr FWD P/E</t>
        </is>
      </c>
      <c r="BQ13" s="212" t="n"/>
      <c r="BR13" s="212" t="n"/>
      <c r="BS13" s="212" t="n"/>
      <c r="BT13" s="212" t="n"/>
      <c r="BU13" s="212" t="n"/>
      <c r="BX13" s="212" t="inlineStr">
        <is>
          <t>Multiple - 1-yr FWD EV/Sales</t>
        </is>
      </c>
      <c r="BY13" s="212" t="n"/>
      <c r="BZ13" s="212" t="n"/>
      <c r="CA13" s="212" t="n"/>
      <c r="CB13" s="212" t="n"/>
      <c r="CC13" s="212" t="n"/>
      <c r="CF13" s="212" t="inlineStr">
        <is>
          <t>Multiple - 1-yr FWD EV/EBITDA</t>
        </is>
      </c>
      <c r="CG13" s="212" t="n"/>
      <c r="CH13" s="212" t="n"/>
      <c r="CI13" s="212" t="n"/>
      <c r="CJ13" s="212" t="n"/>
      <c r="CK13" s="212" t="n"/>
    </row>
    <row r="14">
      <c r="C14" s="208" t="inlineStr">
        <is>
          <t>April</t>
        </is>
      </c>
      <c r="D14" s="195" t="n">
        <v>4</v>
      </c>
    </row>
    <row r="15">
      <c r="C15" s="208" t="inlineStr">
        <is>
          <t>May</t>
        </is>
      </c>
      <c r="D15" s="195" t="n">
        <v>5</v>
      </c>
    </row>
    <row r="16">
      <c r="C16" s="208" t="inlineStr">
        <is>
          <t>June</t>
        </is>
      </c>
      <c r="D16" s="195" t="n">
        <v>6</v>
      </c>
    </row>
    <row r="17" customFormat="1" s="195">
      <c r="C17" s="208" t="inlineStr">
        <is>
          <t>July</t>
        </is>
      </c>
      <c r="D17" s="195" t="n">
        <v>7</v>
      </c>
      <c r="E17" s="196" t="n"/>
      <c r="F17" s="196" t="n"/>
    </row>
    <row r="18" customFormat="1" s="195">
      <c r="C18" s="208" t="inlineStr">
        <is>
          <t>August</t>
        </is>
      </c>
      <c r="D18" s="195" t="n">
        <v>8</v>
      </c>
      <c r="E18" s="196" t="n"/>
      <c r="F18" s="196" t="n"/>
    </row>
    <row r="19" customFormat="1" s="195">
      <c r="C19" s="208" t="inlineStr">
        <is>
          <t>September</t>
        </is>
      </c>
      <c r="D19" s="195" t="n">
        <v>9</v>
      </c>
      <c r="E19" s="196" t="n"/>
      <c r="F19" s="196" t="n"/>
    </row>
    <row r="20" customFormat="1" s="195">
      <c r="C20" s="208" t="inlineStr">
        <is>
          <t>October</t>
        </is>
      </c>
      <c r="D20" s="195" t="n">
        <v>10</v>
      </c>
      <c r="E20" s="196" t="n"/>
      <c r="F20" s="196" t="n"/>
    </row>
    <row r="21" customFormat="1" s="195">
      <c r="C21" s="208" t="inlineStr">
        <is>
          <t>November</t>
        </is>
      </c>
      <c r="D21" s="195" t="n">
        <v>11</v>
      </c>
      <c r="E21" s="196" t="n"/>
      <c r="F21" s="196" t="n"/>
    </row>
    <row r="22" customFormat="1" s="195">
      <c r="C22" s="208" t="inlineStr">
        <is>
          <t>December</t>
        </is>
      </c>
      <c r="D22" s="195" t="n">
        <v>12</v>
      </c>
      <c r="E22" s="196" t="n"/>
      <c r="F22" s="196" t="n"/>
    </row>
    <row r="23" customFormat="1" s="195">
      <c r="C23" s="196" t="n"/>
      <c r="D23" s="196" t="n"/>
      <c r="E23" s="196" t="n"/>
      <c r="F23" s="196" t="n"/>
      <c r="H23" s="197" t="n"/>
      <c r="I23" s="197" t="n"/>
      <c r="J23" s="197" t="n"/>
      <c r="K23" s="197" t="n"/>
      <c r="L23" s="197" t="n"/>
    </row>
    <row r="24" customFormat="1" s="195">
      <c r="C24" s="196" t="n"/>
      <c r="D24" s="196" t="n"/>
      <c r="E24" s="196" t="n"/>
      <c r="F24" s="196" t="n"/>
      <c r="H24" s="197" t="n"/>
      <c r="I24" s="197" t="n"/>
      <c r="J24" s="197" t="n"/>
      <c r="K24" s="197" t="n"/>
      <c r="L24" s="197" t="n"/>
    </row>
    <row r="31">
      <c r="CO31" s="219" t="inlineStr">
        <is>
          <t>Weight</t>
        </is>
      </c>
    </row>
    <row r="32">
      <c r="CO32" s="973" t="n">
        <v>0.3</v>
      </c>
      <c r="CP32" s="974">
        <f>1-CO32</f>
        <v/>
      </c>
    </row>
    <row r="33" ht="16" customHeight="1">
      <c r="I33" s="211" t="inlineStr">
        <is>
          <t>1-year Forward Multiples (x)</t>
        </is>
      </c>
      <c r="J33" s="210" t="n"/>
      <c r="K33" s="210" t="n"/>
      <c r="L33" s="210" t="n"/>
      <c r="M33" s="211" t="inlineStr">
        <is>
          <t>1-year Forward Per Share Data</t>
        </is>
      </c>
      <c r="N33" s="210" t="n"/>
      <c r="O33" s="210" t="n"/>
      <c r="P33" s="210" t="n"/>
      <c r="Q33" s="208" t="inlineStr">
        <is>
          <t>Net Debt</t>
        </is>
      </c>
    </row>
    <row r="34">
      <c r="B34" s="204" t="inlineStr">
        <is>
          <t>FY -1</t>
        </is>
      </c>
      <c r="C34" s="204" t="inlineStr">
        <is>
          <t>FY - Y0</t>
        </is>
      </c>
      <c r="D34" s="204" t="inlineStr">
        <is>
          <t>FY +1</t>
        </is>
      </c>
      <c r="E34" s="203" t="inlineStr">
        <is>
          <t>Week</t>
        </is>
      </c>
      <c r="F34" s="203" t="inlineStr">
        <is>
          <t>Total</t>
        </is>
      </c>
      <c r="H34" s="359" t="inlineStr">
        <is>
          <t>Price</t>
        </is>
      </c>
      <c r="I34" s="208" t="inlineStr">
        <is>
          <t>P/B</t>
        </is>
      </c>
      <c r="J34" s="208" t="inlineStr">
        <is>
          <t>P/E</t>
        </is>
      </c>
      <c r="K34" s="208" t="inlineStr">
        <is>
          <t>EV/Sales</t>
        </is>
      </c>
      <c r="L34" s="208" t="inlineStr">
        <is>
          <t>EV/EBITDA</t>
        </is>
      </c>
      <c r="M34" s="208" t="inlineStr">
        <is>
          <t>Book</t>
        </is>
      </c>
      <c r="N34" s="208" t="inlineStr">
        <is>
          <t>Earnings</t>
        </is>
      </c>
      <c r="O34" s="208" t="inlineStr">
        <is>
          <t>Sales</t>
        </is>
      </c>
      <c r="P34" s="208" t="inlineStr">
        <is>
          <t>EBITDA</t>
        </is>
      </c>
      <c r="Q34" s="208" t="inlineStr">
        <is>
          <t>Per Share</t>
        </is>
      </c>
      <c r="U34" s="208" t="inlineStr">
        <is>
          <t>P/B</t>
        </is>
      </c>
      <c r="V34" s="208" t="inlineStr">
        <is>
          <t>ROE (RHS)</t>
        </is>
      </c>
      <c r="AC34" s="208">
        <f>$H34</f>
        <v/>
      </c>
      <c r="AD34" s="965" t="n">
        <v>0.7</v>
      </c>
      <c r="AE34" s="965">
        <f>AVERAGE(AD34,AF34)</f>
        <v/>
      </c>
      <c r="AF34" s="965">
        <f>AVERAGE(AD34,AH34)</f>
        <v/>
      </c>
      <c r="AG34" s="965">
        <f>AVERAGE(AF34,AH34)</f>
        <v/>
      </c>
      <c r="AH34" s="965" t="n">
        <v>4.2</v>
      </c>
      <c r="AK34" s="208">
        <f>$H34</f>
        <v/>
      </c>
      <c r="AL34" s="965" t="n">
        <v>8</v>
      </c>
      <c r="AM34" s="965">
        <f>AVERAGE(AL34,AN34)</f>
        <v/>
      </c>
      <c r="AN34" s="965">
        <f>AVERAGE(AL34,AP34)</f>
        <v/>
      </c>
      <c r="AO34" s="965">
        <f>AVERAGE(AN34,AP34)</f>
        <v/>
      </c>
      <c r="AP34" s="965" t="n">
        <v>33</v>
      </c>
      <c r="AS34" s="208">
        <f>$H34</f>
        <v/>
      </c>
      <c r="AT34" s="965" t="n">
        <v>0.2</v>
      </c>
      <c r="AU34" s="965">
        <f>AVERAGE(AT34,AV34)</f>
        <v/>
      </c>
      <c r="AV34" s="965">
        <f>AVERAGE(AT34,AX34)</f>
        <v/>
      </c>
      <c r="AW34" s="965">
        <f>AVERAGE(AV34,AX34)</f>
        <v/>
      </c>
      <c r="AX34" s="965" t="n">
        <v>1.5</v>
      </c>
      <c r="BA34" s="208">
        <f>$H34</f>
        <v/>
      </c>
      <c r="BB34" s="965" t="n">
        <v>3</v>
      </c>
      <c r="BC34" s="965">
        <f>AVERAGE(BB34,BD34)</f>
        <v/>
      </c>
      <c r="BD34" s="965">
        <f>AVERAGE(BB34,BF34)</f>
        <v/>
      </c>
      <c r="BE34" s="965">
        <f>AVERAGE(BD34,BF34)</f>
        <v/>
      </c>
      <c r="BF34" s="965" t="n">
        <v>20</v>
      </c>
      <c r="BI34" s="208" t="inlineStr">
        <is>
          <t>Multiple</t>
        </is>
      </c>
      <c r="BJ34" s="966" t="inlineStr">
        <is>
          <t>-2</t>
        </is>
      </c>
      <c r="BK34" s="966" t="inlineStr">
        <is>
          <t>-1</t>
        </is>
      </c>
      <c r="BL34" s="967" t="inlineStr">
        <is>
          <t>Mean</t>
        </is>
      </c>
      <c r="BM34" s="966" t="inlineStr">
        <is>
          <t>+1</t>
        </is>
      </c>
      <c r="BN34" s="966" t="inlineStr">
        <is>
          <t>+2</t>
        </is>
      </c>
      <c r="BQ34" s="208" t="inlineStr">
        <is>
          <t>Multiple</t>
        </is>
      </c>
      <c r="BR34" s="966" t="inlineStr">
        <is>
          <t>-2</t>
        </is>
      </c>
      <c r="BS34" s="966" t="inlineStr">
        <is>
          <t>-1</t>
        </is>
      </c>
      <c r="BT34" s="967" t="inlineStr">
        <is>
          <t>Mean</t>
        </is>
      </c>
      <c r="BU34" s="966" t="inlineStr">
        <is>
          <t>+1</t>
        </is>
      </c>
      <c r="BV34" s="966" t="inlineStr">
        <is>
          <t>+2</t>
        </is>
      </c>
      <c r="BY34" s="208" t="inlineStr">
        <is>
          <t>Multiple</t>
        </is>
      </c>
      <c r="BZ34" s="966" t="inlineStr">
        <is>
          <t>-2</t>
        </is>
      </c>
      <c r="CA34" s="966" t="inlineStr">
        <is>
          <t>-1</t>
        </is>
      </c>
      <c r="CB34" s="967" t="inlineStr">
        <is>
          <t>Mean</t>
        </is>
      </c>
      <c r="CC34" s="966" t="inlineStr">
        <is>
          <t>+1</t>
        </is>
      </c>
      <c r="CD34" s="966" t="inlineStr">
        <is>
          <t>+2</t>
        </is>
      </c>
      <c r="CG34" s="208" t="inlineStr">
        <is>
          <t>Multiple</t>
        </is>
      </c>
      <c r="CH34" s="966" t="inlineStr">
        <is>
          <t>-2</t>
        </is>
      </c>
      <c r="CI34" s="966" t="inlineStr">
        <is>
          <t>-1</t>
        </is>
      </c>
      <c r="CJ34" s="967" t="inlineStr">
        <is>
          <t>Mean</t>
        </is>
      </c>
      <c r="CK34" s="966" t="inlineStr">
        <is>
          <t>+1</t>
        </is>
      </c>
      <c r="CL34" s="966" t="inlineStr">
        <is>
          <t>+2</t>
        </is>
      </c>
      <c r="CO34" s="219" t="inlineStr">
        <is>
          <t>A-Share</t>
        </is>
      </c>
      <c r="CP34" s="219" t="inlineStr">
        <is>
          <t>H-Share</t>
        </is>
      </c>
    </row>
    <row r="35" hidden="1" ht="13.25" customHeight="1">
      <c r="B35" s="204" t="n"/>
      <c r="C35" s="204" t="n"/>
      <c r="D35" s="204" t="n"/>
      <c r="E35" s="203" t="n"/>
      <c r="F35" s="203" t="n"/>
      <c r="H35" s="360" t="n"/>
    </row>
    <row r="36" hidden="1" ht="13.25" customHeight="1">
      <c r="B36" s="204">
        <f>+C36-1</f>
        <v/>
      </c>
      <c r="C36" s="204">
        <f>IF('bands_A-H_Avg'!$D$9+1&gt;MONTH(G36),YEAR(G36),YEAR(G36)+1)</f>
        <v/>
      </c>
      <c r="D36" s="204">
        <f>+C36+1</f>
        <v/>
      </c>
      <c r="E36" s="203">
        <f>IF(C36&gt;C35,1,E35+1)</f>
        <v/>
      </c>
      <c r="F36" s="203">
        <f>COUNTIF(C:C,C36)</f>
        <v/>
      </c>
      <c r="G36" s="198">
        <f>+G37-7</f>
        <v/>
      </c>
      <c r="H36" s="361" t="n"/>
      <c r="I36" s="968" t="n"/>
      <c r="J36" s="968" t="n"/>
      <c r="K36" s="968" t="n"/>
      <c r="L36" s="968" t="n"/>
      <c r="M36" s="199" t="n"/>
      <c r="N36" s="199" t="n"/>
      <c r="O36" s="199" t="n"/>
      <c r="P36" s="199" t="n"/>
      <c r="Q36" s="199" t="n"/>
      <c r="T36" s="198" t="n"/>
      <c r="U36" s="199" t="n"/>
      <c r="V36" s="969" t="n"/>
      <c r="AB36" s="198" t="n"/>
      <c r="AC36" s="199" t="n"/>
      <c r="AD36" s="199" t="n"/>
      <c r="AE36" s="199" t="n"/>
      <c r="AF36" s="199" t="n"/>
      <c r="AG36" s="199" t="n"/>
      <c r="AH36" s="199" t="n"/>
      <c r="AJ36" s="198" t="n"/>
      <c r="AK36" s="199" t="n"/>
      <c r="AL36" s="199" t="n"/>
      <c r="AM36" s="199" t="n"/>
      <c r="AN36" s="199" t="n"/>
      <c r="AO36" s="199" t="n"/>
      <c r="AP36" s="199" t="n"/>
      <c r="AR36" s="198" t="n"/>
      <c r="AS36" s="199" t="n"/>
      <c r="AT36" s="199" t="n"/>
      <c r="AU36" s="199" t="n"/>
      <c r="AV36" s="199" t="n"/>
      <c r="AW36" s="199" t="n"/>
      <c r="AX36" s="199" t="n"/>
      <c r="AZ36" s="198" t="n"/>
      <c r="BA36" s="199" t="n"/>
      <c r="BB36" s="199" t="n"/>
      <c r="BC36" s="199" t="n"/>
      <c r="BD36" s="199" t="n"/>
      <c r="BE36" s="199" t="n"/>
      <c r="BF36" s="199" t="n"/>
      <c r="BH36" s="198" t="n"/>
      <c r="BI36" s="197" t="n"/>
      <c r="BJ36" s="197" t="n"/>
      <c r="BK36" s="197" t="n"/>
      <c r="BL36" s="197" t="n"/>
      <c r="BM36" s="197" t="n"/>
      <c r="BN36" s="197" t="n"/>
      <c r="BP36" s="198" t="n"/>
      <c r="BQ36" s="197" t="n"/>
      <c r="BR36" s="197" t="n"/>
      <c r="BS36" s="197" t="n"/>
      <c r="BT36" s="197" t="n"/>
      <c r="BU36" s="197" t="n"/>
      <c r="BV36" s="197" t="n"/>
      <c r="BX36" s="198" t="n"/>
      <c r="BY36" s="197" t="n"/>
      <c r="BZ36" s="197" t="n"/>
      <c r="CA36" s="197" t="n"/>
      <c r="CB36" s="197" t="n"/>
      <c r="CC36" s="197" t="n"/>
      <c r="CD36" s="197" t="n"/>
      <c r="CF36" s="198" t="n"/>
      <c r="CG36" s="197" t="n"/>
      <c r="CH36" s="197" t="n"/>
      <c r="CI36" s="197" t="n"/>
      <c r="CJ36" s="197" t="n"/>
      <c r="CK36" s="197" t="n"/>
      <c r="CL36" s="197" t="n"/>
    </row>
    <row r="37" hidden="1" ht="13.25" customHeight="1">
      <c r="B37" s="204">
        <f>+C37-1</f>
        <v/>
      </c>
      <c r="C37" s="204">
        <f>IF('bands_A-H_Avg'!$D$9+1&gt;MONTH(G37),YEAR(G37),YEAR(G37)+1)</f>
        <v/>
      </c>
      <c r="D37" s="204">
        <f>+C37+1</f>
        <v/>
      </c>
      <c r="E37" s="203">
        <f>IF(C37&gt;C36,1,E36+1)</f>
        <v/>
      </c>
      <c r="F37" s="203">
        <f>COUNTIF(C:C,C37)</f>
        <v/>
      </c>
      <c r="G37" s="198">
        <f>+G38-7</f>
        <v/>
      </c>
      <c r="H37" s="361" t="n"/>
      <c r="I37" s="968" t="n"/>
      <c r="J37" s="968" t="n"/>
      <c r="K37" s="968" t="n"/>
      <c r="L37" s="968" t="n"/>
      <c r="M37" s="199" t="n"/>
      <c r="N37" s="199" t="n"/>
      <c r="O37" s="199" t="n"/>
      <c r="P37" s="199" t="n"/>
      <c r="Q37" s="199" t="n"/>
      <c r="T37" s="198" t="n"/>
      <c r="U37" s="199" t="n"/>
      <c r="V37" s="969" t="n"/>
      <c r="AB37" s="198" t="n"/>
      <c r="AC37" s="199" t="n"/>
      <c r="AD37" s="199" t="n"/>
      <c r="AE37" s="199" t="n"/>
      <c r="AF37" s="199" t="n"/>
      <c r="AG37" s="199" t="n"/>
      <c r="AH37" s="199" t="n"/>
      <c r="AJ37" s="198" t="n"/>
      <c r="AK37" s="199" t="n"/>
      <c r="AL37" s="199" t="n"/>
      <c r="AM37" s="199" t="n"/>
      <c r="AN37" s="199" t="n"/>
      <c r="AO37" s="199" t="n"/>
      <c r="AP37" s="199" t="n"/>
      <c r="AR37" s="198" t="n"/>
      <c r="AS37" s="199" t="n"/>
      <c r="AT37" s="199" t="n"/>
      <c r="AU37" s="199" t="n"/>
      <c r="AV37" s="199" t="n"/>
      <c r="AW37" s="199" t="n"/>
      <c r="AX37" s="199" t="n"/>
      <c r="AZ37" s="198" t="n"/>
      <c r="BA37" s="199" t="n"/>
      <c r="BB37" s="199" t="n"/>
      <c r="BC37" s="199" t="n"/>
      <c r="BD37" s="199" t="n"/>
      <c r="BE37" s="199" t="n"/>
      <c r="BF37" s="199" t="n"/>
      <c r="BH37" s="198" t="n"/>
      <c r="BI37" s="197" t="n"/>
      <c r="BJ37" s="197" t="n"/>
      <c r="BK37" s="197" t="n"/>
      <c r="BL37" s="197" t="n"/>
      <c r="BM37" s="197" t="n"/>
      <c r="BN37" s="197" t="n"/>
      <c r="BP37" s="198" t="n"/>
      <c r="BQ37" s="197" t="n"/>
      <c r="BR37" s="197" t="n"/>
      <c r="BS37" s="197" t="n"/>
      <c r="BT37" s="197" t="n"/>
      <c r="BU37" s="197" t="n"/>
      <c r="BV37" s="197" t="n"/>
      <c r="BX37" s="198" t="n"/>
      <c r="BY37" s="197" t="n"/>
      <c r="BZ37" s="197" t="n"/>
      <c r="CA37" s="197" t="n"/>
      <c r="CB37" s="197" t="n"/>
      <c r="CC37" s="197" t="n"/>
      <c r="CD37" s="197" t="n"/>
      <c r="CF37" s="198" t="n"/>
      <c r="CG37" s="197" t="n"/>
      <c r="CH37" s="197" t="n"/>
      <c r="CI37" s="197" t="n"/>
      <c r="CJ37" s="197" t="n"/>
      <c r="CK37" s="197" t="n"/>
      <c r="CL37" s="197" t="n"/>
    </row>
    <row r="38" hidden="1" ht="13.25" customHeight="1">
      <c r="B38" s="204">
        <f>+C38-1</f>
        <v/>
      </c>
      <c r="C38" s="204">
        <f>IF('bands_A-H_Avg'!$D$9+1&gt;MONTH(G38),YEAR(G38),YEAR(G38)+1)</f>
        <v/>
      </c>
      <c r="D38" s="204">
        <f>+C38+1</f>
        <v/>
      </c>
      <c r="E38" s="203">
        <f>IF(C38&gt;C37,1,E37+1)</f>
        <v/>
      </c>
      <c r="F38" s="203">
        <f>COUNTIF(C:C,C38)</f>
        <v/>
      </c>
      <c r="G38" s="198">
        <f>+G39-7</f>
        <v/>
      </c>
      <c r="H38" s="361" t="n"/>
      <c r="I38" s="968" t="n"/>
      <c r="J38" s="968" t="n"/>
      <c r="K38" s="968" t="n"/>
      <c r="L38" s="968" t="n"/>
      <c r="M38" s="199" t="n"/>
      <c r="N38" s="199" t="n"/>
      <c r="O38" s="199" t="n"/>
      <c r="P38" s="199" t="n"/>
      <c r="Q38" s="199" t="n"/>
      <c r="T38" s="198" t="n"/>
      <c r="U38" s="199" t="n"/>
      <c r="V38" s="969" t="n"/>
      <c r="AB38" s="198" t="n"/>
      <c r="AC38" s="199" t="n"/>
      <c r="AD38" s="199" t="n"/>
      <c r="AE38" s="199" t="n"/>
      <c r="AF38" s="199" t="n"/>
      <c r="AG38" s="199" t="n"/>
      <c r="AH38" s="199" t="n"/>
      <c r="AJ38" s="198" t="n"/>
      <c r="AK38" s="199" t="n"/>
      <c r="AL38" s="199" t="n"/>
      <c r="AM38" s="199" t="n"/>
      <c r="AN38" s="199" t="n"/>
      <c r="AO38" s="199" t="n"/>
      <c r="AP38" s="199" t="n"/>
      <c r="AR38" s="198" t="n"/>
      <c r="AS38" s="199" t="n"/>
      <c r="AT38" s="199" t="n"/>
      <c r="AU38" s="199" t="n"/>
      <c r="AV38" s="199" t="n"/>
      <c r="AW38" s="199" t="n"/>
      <c r="AX38" s="199" t="n"/>
      <c r="AZ38" s="198" t="n"/>
      <c r="BA38" s="199" t="n"/>
      <c r="BB38" s="199" t="n"/>
      <c r="BC38" s="199" t="n"/>
      <c r="BD38" s="199" t="n"/>
      <c r="BE38" s="199" t="n"/>
      <c r="BF38" s="199" t="n"/>
      <c r="BH38" s="198" t="n"/>
      <c r="BI38" s="197" t="n"/>
      <c r="BJ38" s="197" t="n"/>
      <c r="BK38" s="197" t="n"/>
      <c r="BL38" s="197" t="n"/>
      <c r="BM38" s="197" t="n"/>
      <c r="BN38" s="197" t="n"/>
      <c r="BP38" s="198" t="n"/>
      <c r="BQ38" s="197" t="n"/>
      <c r="BR38" s="197" t="n"/>
      <c r="BS38" s="197" t="n"/>
      <c r="BT38" s="197" t="n"/>
      <c r="BU38" s="197" t="n"/>
      <c r="BV38" s="197" t="n"/>
      <c r="BX38" s="198" t="n"/>
      <c r="BY38" s="197" t="n"/>
      <c r="BZ38" s="197" t="n"/>
      <c r="CA38" s="197" t="n"/>
      <c r="CB38" s="197" t="n"/>
      <c r="CC38" s="197" t="n"/>
      <c r="CD38" s="197" t="n"/>
      <c r="CF38" s="198" t="n"/>
      <c r="CG38" s="197" t="n"/>
      <c r="CH38" s="197" t="n"/>
      <c r="CI38" s="197" t="n"/>
      <c r="CJ38" s="197" t="n"/>
      <c r="CK38" s="197" t="n"/>
      <c r="CL38" s="197" t="n"/>
    </row>
    <row r="39" hidden="1" ht="13.25" customHeight="1">
      <c r="B39" s="204">
        <f>+C39-1</f>
        <v/>
      </c>
      <c r="C39" s="204">
        <f>IF('bands_A-H_Avg'!$D$9+1&gt;MONTH(G39),YEAR(G39),YEAR(G39)+1)</f>
        <v/>
      </c>
      <c r="D39" s="204">
        <f>+C39+1</f>
        <v/>
      </c>
      <c r="E39" s="203">
        <f>IF(C39&gt;C38,1,E38+1)</f>
        <v/>
      </c>
      <c r="F39" s="203">
        <f>COUNTIF(C:C,C39)</f>
        <v/>
      </c>
      <c r="G39" s="198">
        <f>+G40-7</f>
        <v/>
      </c>
      <c r="H39" s="361" t="n"/>
      <c r="I39" s="968" t="n"/>
      <c r="J39" s="968" t="n"/>
      <c r="K39" s="968" t="n"/>
      <c r="L39" s="968" t="n"/>
      <c r="M39" s="199" t="n"/>
      <c r="N39" s="199" t="n"/>
      <c r="O39" s="199" t="n"/>
      <c r="P39" s="199" t="n"/>
      <c r="Q39" s="199" t="n"/>
      <c r="T39" s="198" t="n"/>
      <c r="U39" s="199" t="n"/>
      <c r="V39" s="969" t="n"/>
      <c r="AB39" s="198" t="n"/>
      <c r="AC39" s="199" t="n"/>
      <c r="AD39" s="199" t="n"/>
      <c r="AE39" s="199" t="n"/>
      <c r="AF39" s="199" t="n"/>
      <c r="AG39" s="199" t="n"/>
      <c r="AH39" s="199" t="n"/>
      <c r="AJ39" s="198" t="n"/>
      <c r="AK39" s="199" t="n"/>
      <c r="AL39" s="199" t="n"/>
      <c r="AM39" s="199" t="n"/>
      <c r="AN39" s="199" t="n"/>
      <c r="AO39" s="199" t="n"/>
      <c r="AP39" s="199" t="n"/>
      <c r="AR39" s="198" t="n"/>
      <c r="AS39" s="199" t="n"/>
      <c r="AT39" s="199" t="n"/>
      <c r="AU39" s="199" t="n"/>
      <c r="AV39" s="199" t="n"/>
      <c r="AW39" s="199" t="n"/>
      <c r="AX39" s="199" t="n"/>
      <c r="AZ39" s="198" t="n"/>
      <c r="BA39" s="199" t="n"/>
      <c r="BB39" s="199" t="n"/>
      <c r="BC39" s="199" t="n"/>
      <c r="BD39" s="199" t="n"/>
      <c r="BE39" s="199" t="n"/>
      <c r="BF39" s="199" t="n"/>
      <c r="BH39" s="198" t="n"/>
      <c r="BI39" s="197" t="n"/>
      <c r="BJ39" s="197" t="n"/>
      <c r="BK39" s="197" t="n"/>
      <c r="BL39" s="197" t="n"/>
      <c r="BM39" s="197" t="n"/>
      <c r="BN39" s="197" t="n"/>
      <c r="BP39" s="198" t="n"/>
      <c r="BQ39" s="197" t="n"/>
      <c r="BR39" s="197" t="n"/>
      <c r="BS39" s="197" t="n"/>
      <c r="BT39" s="197" t="n"/>
      <c r="BU39" s="197" t="n"/>
      <c r="BV39" s="197" t="n"/>
      <c r="BX39" s="198" t="n"/>
      <c r="BY39" s="197" t="n"/>
      <c r="BZ39" s="197" t="n"/>
      <c r="CA39" s="197" t="n"/>
      <c r="CB39" s="197" t="n"/>
      <c r="CC39" s="197" t="n"/>
      <c r="CD39" s="197" t="n"/>
      <c r="CF39" s="198" t="n"/>
      <c r="CG39" s="197" t="n"/>
      <c r="CH39" s="197" t="n"/>
      <c r="CI39" s="197" t="n"/>
      <c r="CJ39" s="197" t="n"/>
      <c r="CK39" s="197" t="n"/>
      <c r="CL39" s="197" t="n"/>
    </row>
    <row r="40" hidden="1" ht="13.25" customHeight="1">
      <c r="B40" s="204">
        <f>+C40-1</f>
        <v/>
      </c>
      <c r="C40" s="204">
        <f>IF('bands_A-H_Avg'!$D$9+1&gt;MONTH(G40),YEAR(G40),YEAR(G40)+1)</f>
        <v/>
      </c>
      <c r="D40" s="204">
        <f>+C40+1</f>
        <v/>
      </c>
      <c r="E40" s="203">
        <f>IF(C40&gt;C39,1,E39+1)</f>
        <v/>
      </c>
      <c r="F40" s="203">
        <f>COUNTIF(C:C,C40)</f>
        <v/>
      </c>
      <c r="G40" s="198">
        <f>+G41-7</f>
        <v/>
      </c>
      <c r="H40" s="361" t="n"/>
      <c r="I40" s="968" t="n"/>
      <c r="J40" s="968" t="n"/>
      <c r="K40" s="968" t="n"/>
      <c r="L40" s="968" t="n"/>
      <c r="M40" s="199" t="n"/>
      <c r="N40" s="199" t="n"/>
      <c r="O40" s="199" t="n"/>
      <c r="P40" s="199" t="n"/>
      <c r="Q40" s="199" t="n"/>
      <c r="T40" s="198" t="n"/>
      <c r="U40" s="199" t="n"/>
      <c r="V40" s="969" t="n"/>
      <c r="AB40" s="198" t="n"/>
      <c r="AC40" s="199" t="n"/>
      <c r="AD40" s="199" t="n"/>
      <c r="AE40" s="199" t="n"/>
      <c r="AF40" s="199" t="n"/>
      <c r="AG40" s="199" t="n"/>
      <c r="AH40" s="199" t="n"/>
      <c r="AJ40" s="198" t="n"/>
      <c r="AK40" s="199" t="n"/>
      <c r="AL40" s="199" t="n"/>
      <c r="AM40" s="199" t="n"/>
      <c r="AN40" s="199" t="n"/>
      <c r="AO40" s="199" t="n"/>
      <c r="AP40" s="199" t="n"/>
      <c r="AR40" s="198" t="n"/>
      <c r="AS40" s="199" t="n"/>
      <c r="AT40" s="199" t="n"/>
      <c r="AU40" s="199" t="n"/>
      <c r="AV40" s="199" t="n"/>
      <c r="AW40" s="199" t="n"/>
      <c r="AX40" s="199" t="n"/>
      <c r="AZ40" s="198" t="n"/>
      <c r="BA40" s="199" t="n"/>
      <c r="BB40" s="199" t="n"/>
      <c r="BC40" s="199" t="n"/>
      <c r="BD40" s="199" t="n"/>
      <c r="BE40" s="199" t="n"/>
      <c r="BF40" s="199" t="n"/>
      <c r="BH40" s="198" t="n"/>
      <c r="BI40" s="197" t="n"/>
      <c r="BJ40" s="197" t="n"/>
      <c r="BK40" s="197" t="n"/>
      <c r="BL40" s="197" t="n"/>
      <c r="BM40" s="197" t="n"/>
      <c r="BN40" s="197" t="n"/>
      <c r="BP40" s="198" t="n"/>
      <c r="BQ40" s="197" t="n"/>
      <c r="BR40" s="197" t="n"/>
      <c r="BS40" s="197" t="n"/>
      <c r="BT40" s="197" t="n"/>
      <c r="BU40" s="197" t="n"/>
      <c r="BV40" s="197" t="n"/>
      <c r="BX40" s="198" t="n"/>
      <c r="BY40" s="197" t="n"/>
      <c r="BZ40" s="197" t="n"/>
      <c r="CA40" s="197" t="n"/>
      <c r="CB40" s="197" t="n"/>
      <c r="CC40" s="197" t="n"/>
      <c r="CD40" s="197" t="n"/>
      <c r="CF40" s="198" t="n"/>
      <c r="CG40" s="197" t="n"/>
      <c r="CH40" s="197" t="n"/>
      <c r="CI40" s="197" t="n"/>
      <c r="CJ40" s="197" t="n"/>
      <c r="CK40" s="197" t="n"/>
      <c r="CL40" s="197" t="n"/>
    </row>
    <row r="41" hidden="1" ht="13.25" customHeight="1">
      <c r="B41" s="204">
        <f>+C41-1</f>
        <v/>
      </c>
      <c r="C41" s="204">
        <f>IF('bands_A-H_Avg'!$D$9+1&gt;MONTH(G41),YEAR(G41),YEAR(G41)+1)</f>
        <v/>
      </c>
      <c r="D41" s="204">
        <f>+C41+1</f>
        <v/>
      </c>
      <c r="E41" s="203">
        <f>IF(C41&gt;C40,1,E40+1)</f>
        <v/>
      </c>
      <c r="F41" s="203">
        <f>COUNTIF(C:C,C41)</f>
        <v/>
      </c>
      <c r="G41" s="198">
        <f>+G42-7</f>
        <v/>
      </c>
      <c r="H41" s="361" t="n"/>
      <c r="I41" s="968" t="n"/>
      <c r="J41" s="968" t="n"/>
      <c r="K41" s="968" t="n"/>
      <c r="L41" s="968" t="n"/>
      <c r="M41" s="199" t="n"/>
      <c r="N41" s="199" t="n"/>
      <c r="O41" s="199" t="n"/>
      <c r="P41" s="199" t="n"/>
      <c r="Q41" s="199" t="n"/>
      <c r="T41" s="198" t="n"/>
      <c r="U41" s="199" t="n"/>
      <c r="V41" s="969" t="n"/>
      <c r="AB41" s="198" t="n"/>
      <c r="AC41" s="199" t="n"/>
      <c r="AD41" s="199" t="n"/>
      <c r="AE41" s="199" t="n"/>
      <c r="AF41" s="199" t="n"/>
      <c r="AG41" s="199" t="n"/>
      <c r="AH41" s="199" t="n"/>
      <c r="AJ41" s="198" t="n"/>
      <c r="AK41" s="199" t="n"/>
      <c r="AL41" s="199" t="n"/>
      <c r="AM41" s="199" t="n"/>
      <c r="AN41" s="199" t="n"/>
      <c r="AO41" s="199" t="n"/>
      <c r="AP41" s="199" t="n"/>
      <c r="AR41" s="198" t="n"/>
      <c r="AS41" s="199" t="n"/>
      <c r="AT41" s="199" t="n"/>
      <c r="AU41" s="199" t="n"/>
      <c r="AV41" s="199" t="n"/>
      <c r="AW41" s="199" t="n"/>
      <c r="AX41" s="199" t="n"/>
      <c r="AZ41" s="198" t="n"/>
      <c r="BA41" s="199" t="n"/>
      <c r="BB41" s="199" t="n"/>
      <c r="BC41" s="199" t="n"/>
      <c r="BD41" s="199" t="n"/>
      <c r="BE41" s="199" t="n"/>
      <c r="BF41" s="199" t="n"/>
      <c r="BH41" s="198" t="n"/>
      <c r="BI41" s="197" t="n"/>
      <c r="BJ41" s="197" t="n"/>
      <c r="BK41" s="197" t="n"/>
      <c r="BL41" s="197" t="n"/>
      <c r="BM41" s="197" t="n"/>
      <c r="BN41" s="197" t="n"/>
      <c r="BP41" s="198" t="n"/>
      <c r="BQ41" s="197" t="n"/>
      <c r="BR41" s="197" t="n"/>
      <c r="BS41" s="197" t="n"/>
      <c r="BT41" s="197" t="n"/>
      <c r="BU41" s="197" t="n"/>
      <c r="BV41" s="197" t="n"/>
      <c r="BX41" s="198" t="n"/>
      <c r="BY41" s="197" t="n"/>
      <c r="BZ41" s="197" t="n"/>
      <c r="CA41" s="197" t="n"/>
      <c r="CB41" s="197" t="n"/>
      <c r="CC41" s="197" t="n"/>
      <c r="CD41" s="197" t="n"/>
      <c r="CF41" s="198" t="n"/>
      <c r="CG41" s="197" t="n"/>
      <c r="CH41" s="197" t="n"/>
      <c r="CI41" s="197" t="n"/>
      <c r="CJ41" s="197" t="n"/>
      <c r="CK41" s="197" t="n"/>
      <c r="CL41" s="197" t="n"/>
    </row>
    <row r="42" hidden="1" ht="13.25" customHeight="1">
      <c r="B42" s="204">
        <f>+C42-1</f>
        <v/>
      </c>
      <c r="C42" s="204">
        <f>IF('bands_A-H_Avg'!$D$9+1&gt;MONTH(G42),YEAR(G42),YEAR(G42)+1)</f>
        <v/>
      </c>
      <c r="D42" s="204">
        <f>+C42+1</f>
        <v/>
      </c>
      <c r="E42" s="203">
        <f>IF(C42&gt;C41,1,E41+1)</f>
        <v/>
      </c>
      <c r="F42" s="203">
        <f>COUNTIF(C:C,C42)</f>
        <v/>
      </c>
      <c r="G42" s="198">
        <f>+G43-7</f>
        <v/>
      </c>
      <c r="H42" s="361" t="n"/>
      <c r="I42" s="968" t="n"/>
      <c r="J42" s="968" t="n"/>
      <c r="K42" s="968" t="n"/>
      <c r="L42" s="968" t="n"/>
      <c r="M42" s="199" t="n"/>
      <c r="N42" s="199" t="n"/>
      <c r="O42" s="199" t="n"/>
      <c r="P42" s="199" t="n"/>
      <c r="Q42" s="199" t="n"/>
      <c r="T42" s="198" t="n"/>
      <c r="U42" s="199" t="n"/>
      <c r="V42" s="969" t="n"/>
      <c r="AB42" s="198" t="n"/>
      <c r="AC42" s="199" t="n"/>
      <c r="AD42" s="199" t="n"/>
      <c r="AE42" s="199" t="n"/>
      <c r="AF42" s="199" t="n"/>
      <c r="AG42" s="199" t="n"/>
      <c r="AH42" s="199" t="n"/>
      <c r="AJ42" s="198" t="n"/>
      <c r="AK42" s="199" t="n"/>
      <c r="AL42" s="199" t="n"/>
      <c r="AM42" s="199" t="n"/>
      <c r="AN42" s="199" t="n"/>
      <c r="AO42" s="199" t="n"/>
      <c r="AP42" s="199" t="n"/>
      <c r="AR42" s="198" t="n"/>
      <c r="AS42" s="199" t="n"/>
      <c r="AT42" s="199" t="n"/>
      <c r="AU42" s="199" t="n"/>
      <c r="AV42" s="199" t="n"/>
      <c r="AW42" s="199" t="n"/>
      <c r="AX42" s="199" t="n"/>
      <c r="AZ42" s="198" t="n"/>
      <c r="BA42" s="199" t="n"/>
      <c r="BB42" s="199" t="n"/>
      <c r="BC42" s="199" t="n"/>
      <c r="BD42" s="199" t="n"/>
      <c r="BE42" s="199" t="n"/>
      <c r="BF42" s="199" t="n"/>
      <c r="BH42" s="198" t="n"/>
      <c r="BI42" s="197" t="n"/>
      <c r="BJ42" s="197" t="n"/>
      <c r="BK42" s="197" t="n"/>
      <c r="BL42" s="197" t="n"/>
      <c r="BM42" s="197" t="n"/>
      <c r="BN42" s="197" t="n"/>
      <c r="BP42" s="198" t="n"/>
      <c r="BQ42" s="197" t="n"/>
      <c r="BR42" s="197" t="n"/>
      <c r="BS42" s="197" t="n"/>
      <c r="BT42" s="197" t="n"/>
      <c r="BU42" s="197" t="n"/>
      <c r="BV42" s="197" t="n"/>
      <c r="BX42" s="198" t="n"/>
      <c r="BY42" s="197" t="n"/>
      <c r="BZ42" s="197" t="n"/>
      <c r="CA42" s="197" t="n"/>
      <c r="CB42" s="197" t="n"/>
      <c r="CC42" s="197" t="n"/>
      <c r="CD42" s="197" t="n"/>
      <c r="CF42" s="198" t="n"/>
      <c r="CG42" s="197" t="n"/>
      <c r="CH42" s="197" t="n"/>
      <c r="CI42" s="197" t="n"/>
      <c r="CJ42" s="197" t="n"/>
      <c r="CK42" s="197" t="n"/>
      <c r="CL42" s="197" t="n"/>
    </row>
    <row r="43" hidden="1" ht="13.25" customHeight="1">
      <c r="B43" s="204">
        <f>+C43-1</f>
        <v/>
      </c>
      <c r="C43" s="204">
        <f>IF('bands_A-H_Avg'!$D$9+1&gt;MONTH(G43),YEAR(G43),YEAR(G43)+1)</f>
        <v/>
      </c>
      <c r="D43" s="204">
        <f>+C43+1</f>
        <v/>
      </c>
      <c r="E43" s="203">
        <f>IF(C43&gt;C42,1,E42+1)</f>
        <v/>
      </c>
      <c r="F43" s="203">
        <f>COUNTIF(C:C,C43)</f>
        <v/>
      </c>
      <c r="G43" s="198">
        <f>+G44-7</f>
        <v/>
      </c>
      <c r="H43" s="361" t="n"/>
      <c r="I43" s="968" t="n"/>
      <c r="J43" s="968" t="n"/>
      <c r="K43" s="968" t="n"/>
      <c r="L43" s="968" t="n"/>
      <c r="M43" s="199" t="n"/>
      <c r="N43" s="199" t="n"/>
      <c r="O43" s="199" t="n"/>
      <c r="P43" s="199" t="n"/>
      <c r="Q43" s="199" t="n"/>
      <c r="T43" s="198" t="n"/>
      <c r="U43" s="199" t="n"/>
      <c r="V43" s="969" t="n"/>
      <c r="AB43" s="198" t="n"/>
      <c r="AC43" s="199" t="n"/>
      <c r="AD43" s="199" t="n"/>
      <c r="AE43" s="199" t="n"/>
      <c r="AF43" s="199" t="n"/>
      <c r="AG43" s="199" t="n"/>
      <c r="AH43" s="199" t="n"/>
      <c r="AJ43" s="198" t="n"/>
      <c r="AK43" s="199" t="n"/>
      <c r="AL43" s="199" t="n"/>
      <c r="AM43" s="199" t="n"/>
      <c r="AN43" s="199" t="n"/>
      <c r="AO43" s="199" t="n"/>
      <c r="AP43" s="199" t="n"/>
      <c r="AR43" s="198" t="n"/>
      <c r="AS43" s="199" t="n"/>
      <c r="AT43" s="199" t="n"/>
      <c r="AU43" s="199" t="n"/>
      <c r="AV43" s="199" t="n"/>
      <c r="AW43" s="199" t="n"/>
      <c r="AX43" s="199" t="n"/>
      <c r="AZ43" s="198" t="n"/>
      <c r="BA43" s="199" t="n"/>
      <c r="BB43" s="199" t="n"/>
      <c r="BC43" s="199" t="n"/>
      <c r="BD43" s="199" t="n"/>
      <c r="BE43" s="199" t="n"/>
      <c r="BF43" s="199" t="n"/>
      <c r="BH43" s="198" t="n"/>
      <c r="BI43" s="197" t="n"/>
      <c r="BJ43" s="197" t="n"/>
      <c r="BK43" s="197" t="n"/>
      <c r="BL43" s="197" t="n"/>
      <c r="BM43" s="197" t="n"/>
      <c r="BN43" s="197" t="n"/>
      <c r="BP43" s="198" t="n"/>
      <c r="BQ43" s="197" t="n"/>
      <c r="BR43" s="197" t="n"/>
      <c r="BS43" s="197" t="n"/>
      <c r="BT43" s="197" t="n"/>
      <c r="BU43" s="197" t="n"/>
      <c r="BV43" s="197" t="n"/>
      <c r="BX43" s="198" t="n"/>
      <c r="BY43" s="197" t="n"/>
      <c r="BZ43" s="197" t="n"/>
      <c r="CA43" s="197" t="n"/>
      <c r="CB43" s="197" t="n"/>
      <c r="CC43" s="197" t="n"/>
      <c r="CD43" s="197" t="n"/>
      <c r="CF43" s="198" t="n"/>
      <c r="CG43" s="197" t="n"/>
      <c r="CH43" s="197" t="n"/>
      <c r="CI43" s="197" t="n"/>
      <c r="CJ43" s="197" t="n"/>
      <c r="CK43" s="197" t="n"/>
      <c r="CL43" s="197" t="n"/>
    </row>
    <row r="44" hidden="1" ht="13.25" customHeight="1">
      <c r="B44" s="204">
        <f>+C44-1</f>
        <v/>
      </c>
      <c r="C44" s="204">
        <f>IF('bands_A-H_Avg'!$D$9+1&gt;MONTH(G44),YEAR(G44),YEAR(G44)+1)</f>
        <v/>
      </c>
      <c r="D44" s="204">
        <f>+C44+1</f>
        <v/>
      </c>
      <c r="E44" s="203">
        <f>IF(C44&gt;C43,1,E43+1)</f>
        <v/>
      </c>
      <c r="F44" s="203">
        <f>COUNTIF(C:C,C44)</f>
        <v/>
      </c>
      <c r="G44" s="198">
        <f>+G45-7</f>
        <v/>
      </c>
      <c r="H44" s="361" t="n"/>
      <c r="I44" s="968" t="n"/>
      <c r="J44" s="968" t="n"/>
      <c r="K44" s="968" t="n"/>
      <c r="L44" s="968" t="n"/>
      <c r="M44" s="199" t="n"/>
      <c r="N44" s="199" t="n"/>
      <c r="O44" s="199" t="n"/>
      <c r="P44" s="199" t="n"/>
      <c r="Q44" s="199" t="n"/>
      <c r="T44" s="198" t="n"/>
      <c r="U44" s="199" t="n"/>
      <c r="V44" s="969" t="n"/>
      <c r="AB44" s="198" t="n"/>
      <c r="AC44" s="199" t="n"/>
      <c r="AD44" s="199" t="n"/>
      <c r="AE44" s="199" t="n"/>
      <c r="AF44" s="199" t="n"/>
      <c r="AG44" s="199" t="n"/>
      <c r="AH44" s="199" t="n"/>
      <c r="AJ44" s="198" t="n"/>
      <c r="AK44" s="199" t="n"/>
      <c r="AL44" s="199" t="n"/>
      <c r="AM44" s="199" t="n"/>
      <c r="AN44" s="199" t="n"/>
      <c r="AO44" s="199" t="n"/>
      <c r="AP44" s="199" t="n"/>
      <c r="AR44" s="198" t="n"/>
      <c r="AS44" s="199" t="n"/>
      <c r="AT44" s="199" t="n"/>
      <c r="AU44" s="199" t="n"/>
      <c r="AV44" s="199" t="n"/>
      <c r="AW44" s="199" t="n"/>
      <c r="AX44" s="199" t="n"/>
      <c r="AZ44" s="198" t="n"/>
      <c r="BA44" s="199" t="n"/>
      <c r="BB44" s="199" t="n"/>
      <c r="BC44" s="199" t="n"/>
      <c r="BD44" s="199" t="n"/>
      <c r="BE44" s="199" t="n"/>
      <c r="BF44" s="199" t="n"/>
      <c r="BH44" s="198" t="n"/>
      <c r="BI44" s="197" t="n"/>
      <c r="BJ44" s="197" t="n"/>
      <c r="BK44" s="197" t="n"/>
      <c r="BL44" s="197" t="n"/>
      <c r="BM44" s="197" t="n"/>
      <c r="BN44" s="197" t="n"/>
      <c r="BP44" s="198" t="n"/>
      <c r="BQ44" s="197" t="n"/>
      <c r="BR44" s="197" t="n"/>
      <c r="BS44" s="197" t="n"/>
      <c r="BT44" s="197" t="n"/>
      <c r="BU44" s="197" t="n"/>
      <c r="BV44" s="197" t="n"/>
      <c r="BX44" s="198" t="n"/>
      <c r="BY44" s="197" t="n"/>
      <c r="BZ44" s="197" t="n"/>
      <c r="CA44" s="197" t="n"/>
      <c r="CB44" s="197" t="n"/>
      <c r="CC44" s="197" t="n"/>
      <c r="CD44" s="197" t="n"/>
      <c r="CF44" s="198" t="n"/>
      <c r="CG44" s="197" t="n"/>
      <c r="CH44" s="197" t="n"/>
      <c r="CI44" s="197" t="n"/>
      <c r="CJ44" s="197" t="n"/>
      <c r="CK44" s="197" t="n"/>
      <c r="CL44" s="197" t="n"/>
    </row>
    <row r="45" hidden="1" ht="13.25" customHeight="1">
      <c r="B45" s="204">
        <f>+C45-1</f>
        <v/>
      </c>
      <c r="C45" s="204">
        <f>IF('bands_A-H_Avg'!$D$9+1&gt;MONTH(G45),YEAR(G45),YEAR(G45)+1)</f>
        <v/>
      </c>
      <c r="D45" s="204">
        <f>+C45+1</f>
        <v/>
      </c>
      <c r="E45" s="203">
        <f>IF(C45&gt;C44,1,E44+1)</f>
        <v/>
      </c>
      <c r="F45" s="203">
        <f>COUNTIF(C:C,C45)</f>
        <v/>
      </c>
      <c r="G45" s="198">
        <f>+G46-7</f>
        <v/>
      </c>
      <c r="H45" s="361" t="n"/>
      <c r="I45" s="968" t="n"/>
      <c r="J45" s="968" t="n"/>
      <c r="K45" s="968" t="n"/>
      <c r="L45" s="968" t="n"/>
      <c r="M45" s="199" t="n"/>
      <c r="N45" s="199" t="n"/>
      <c r="O45" s="199" t="n"/>
      <c r="P45" s="199" t="n"/>
      <c r="Q45" s="199" t="n"/>
      <c r="T45" s="198" t="n"/>
      <c r="U45" s="199" t="n"/>
      <c r="V45" s="969" t="n"/>
      <c r="AB45" s="198" t="n"/>
      <c r="AC45" s="199" t="n"/>
      <c r="AD45" s="199" t="n"/>
      <c r="AE45" s="199" t="n"/>
      <c r="AF45" s="199" t="n"/>
      <c r="AG45" s="199" t="n"/>
      <c r="AH45" s="199" t="n"/>
      <c r="AJ45" s="198" t="n"/>
      <c r="AK45" s="199" t="n"/>
      <c r="AL45" s="199" t="n"/>
      <c r="AM45" s="199" t="n"/>
      <c r="AN45" s="199" t="n"/>
      <c r="AO45" s="199" t="n"/>
      <c r="AP45" s="199" t="n"/>
      <c r="AR45" s="198" t="n"/>
      <c r="AS45" s="199" t="n"/>
      <c r="AT45" s="199" t="n"/>
      <c r="AU45" s="199" t="n"/>
      <c r="AV45" s="199" t="n"/>
      <c r="AW45" s="199" t="n"/>
      <c r="AX45" s="199" t="n"/>
      <c r="AZ45" s="198" t="n"/>
      <c r="BA45" s="199" t="n"/>
      <c r="BB45" s="199" t="n"/>
      <c r="BC45" s="199" t="n"/>
      <c r="BD45" s="199" t="n"/>
      <c r="BE45" s="199" t="n"/>
      <c r="BF45" s="199" t="n"/>
      <c r="BH45" s="198" t="n"/>
      <c r="BI45" s="197" t="n"/>
      <c r="BJ45" s="197" t="n"/>
      <c r="BK45" s="197" t="n"/>
      <c r="BL45" s="197" t="n"/>
      <c r="BM45" s="197" t="n"/>
      <c r="BN45" s="197" t="n"/>
      <c r="BP45" s="198" t="n"/>
      <c r="BQ45" s="197" t="n"/>
      <c r="BR45" s="197" t="n"/>
      <c r="BS45" s="197" t="n"/>
      <c r="BT45" s="197" t="n"/>
      <c r="BU45" s="197" t="n"/>
      <c r="BV45" s="197" t="n"/>
      <c r="BX45" s="198" t="n"/>
      <c r="BY45" s="197" t="n"/>
      <c r="BZ45" s="197" t="n"/>
      <c r="CA45" s="197" t="n"/>
      <c r="CB45" s="197" t="n"/>
      <c r="CC45" s="197" t="n"/>
      <c r="CD45" s="197" t="n"/>
      <c r="CF45" s="198" t="n"/>
      <c r="CG45" s="197" t="n"/>
      <c r="CH45" s="197" t="n"/>
      <c r="CI45" s="197" t="n"/>
      <c r="CJ45" s="197" t="n"/>
      <c r="CK45" s="197" t="n"/>
      <c r="CL45" s="197" t="n"/>
    </row>
    <row r="46" hidden="1" ht="13.25" customHeight="1">
      <c r="B46" s="204">
        <f>+C46-1</f>
        <v/>
      </c>
      <c r="C46" s="204">
        <f>IF('bands_A-H_Avg'!$D$9+1&gt;MONTH(G46),YEAR(G46),YEAR(G46)+1)</f>
        <v/>
      </c>
      <c r="D46" s="204">
        <f>+C46+1</f>
        <v/>
      </c>
      <c r="E46" s="203">
        <f>IF(C46&gt;C45,1,E45+1)</f>
        <v/>
      </c>
      <c r="F46" s="203">
        <f>COUNTIF(C:C,C46)</f>
        <v/>
      </c>
      <c r="G46" s="198">
        <f>+G47-7</f>
        <v/>
      </c>
      <c r="H46" s="361" t="n"/>
      <c r="I46" s="968" t="n"/>
      <c r="J46" s="968" t="n"/>
      <c r="K46" s="968" t="n"/>
      <c r="L46" s="968" t="n"/>
      <c r="M46" s="199" t="n"/>
      <c r="N46" s="199" t="n"/>
      <c r="O46" s="199" t="n"/>
      <c r="P46" s="199" t="n"/>
      <c r="Q46" s="199" t="n"/>
      <c r="T46" s="198" t="n"/>
      <c r="U46" s="199" t="n"/>
      <c r="V46" s="969" t="n"/>
      <c r="AB46" s="198" t="n"/>
      <c r="AC46" s="199" t="n"/>
      <c r="AD46" s="199" t="n"/>
      <c r="AE46" s="199" t="n"/>
      <c r="AF46" s="199" t="n"/>
      <c r="AG46" s="199" t="n"/>
      <c r="AH46" s="199" t="n"/>
      <c r="AJ46" s="198" t="n"/>
      <c r="AK46" s="199" t="n"/>
      <c r="AL46" s="199" t="n"/>
      <c r="AM46" s="199" t="n"/>
      <c r="AN46" s="199" t="n"/>
      <c r="AO46" s="199" t="n"/>
      <c r="AP46" s="199" t="n"/>
      <c r="AR46" s="198" t="n"/>
      <c r="AS46" s="199" t="n"/>
      <c r="AT46" s="199" t="n"/>
      <c r="AU46" s="199" t="n"/>
      <c r="AV46" s="199" t="n"/>
      <c r="AW46" s="199" t="n"/>
      <c r="AX46" s="199" t="n"/>
      <c r="AZ46" s="198" t="n"/>
      <c r="BA46" s="199" t="n"/>
      <c r="BB46" s="199" t="n"/>
      <c r="BC46" s="199" t="n"/>
      <c r="BD46" s="199" t="n"/>
      <c r="BE46" s="199" t="n"/>
      <c r="BF46" s="199" t="n"/>
      <c r="BH46" s="198" t="n"/>
      <c r="BI46" s="197" t="n"/>
      <c r="BJ46" s="197" t="n"/>
      <c r="BK46" s="197" t="n"/>
      <c r="BL46" s="197" t="n"/>
      <c r="BM46" s="197" t="n"/>
      <c r="BN46" s="197" t="n"/>
      <c r="BP46" s="198" t="n"/>
      <c r="BQ46" s="197" t="n"/>
      <c r="BR46" s="197" t="n"/>
      <c r="BS46" s="197" t="n"/>
      <c r="BT46" s="197" t="n"/>
      <c r="BU46" s="197" t="n"/>
      <c r="BV46" s="197" t="n"/>
      <c r="BX46" s="198" t="n"/>
      <c r="BY46" s="197" t="n"/>
      <c r="BZ46" s="197" t="n"/>
      <c r="CA46" s="197" t="n"/>
      <c r="CB46" s="197" t="n"/>
      <c r="CC46" s="197" t="n"/>
      <c r="CD46" s="197" t="n"/>
      <c r="CF46" s="198" t="n"/>
      <c r="CG46" s="197" t="n"/>
      <c r="CH46" s="197" t="n"/>
      <c r="CI46" s="197" t="n"/>
      <c r="CJ46" s="197" t="n"/>
      <c r="CK46" s="197" t="n"/>
      <c r="CL46" s="197" t="n"/>
    </row>
    <row r="47" hidden="1" ht="13.25" customHeight="1">
      <c r="B47" s="204">
        <f>+C47-1</f>
        <v/>
      </c>
      <c r="C47" s="204">
        <f>IF('bands_A-H_Avg'!$D$9+1&gt;MONTH(G47),YEAR(G47),YEAR(G47)+1)</f>
        <v/>
      </c>
      <c r="D47" s="204">
        <f>+C47+1</f>
        <v/>
      </c>
      <c r="E47" s="203">
        <f>IF(C47&gt;C46,1,E46+1)</f>
        <v/>
      </c>
      <c r="F47" s="203">
        <f>COUNTIF(C:C,C47)</f>
        <v/>
      </c>
      <c r="G47" s="198">
        <f>+G48-7</f>
        <v/>
      </c>
      <c r="H47" s="361" t="n"/>
      <c r="I47" s="968" t="n"/>
      <c r="J47" s="968" t="n"/>
      <c r="K47" s="968" t="n"/>
      <c r="L47" s="968" t="n"/>
      <c r="M47" s="199" t="n"/>
      <c r="N47" s="199" t="n"/>
      <c r="O47" s="199" t="n"/>
      <c r="P47" s="199" t="n"/>
      <c r="Q47" s="199" t="n"/>
      <c r="T47" s="198" t="n"/>
      <c r="U47" s="199" t="n"/>
      <c r="V47" s="969" t="n"/>
      <c r="AB47" s="198" t="n"/>
      <c r="AC47" s="199" t="n"/>
      <c r="AD47" s="199" t="n"/>
      <c r="AE47" s="199" t="n"/>
      <c r="AF47" s="199" t="n"/>
      <c r="AG47" s="199" t="n"/>
      <c r="AH47" s="199" t="n"/>
      <c r="AJ47" s="198" t="n"/>
      <c r="AK47" s="199" t="n"/>
      <c r="AL47" s="199" t="n"/>
      <c r="AM47" s="199" t="n"/>
      <c r="AN47" s="199" t="n"/>
      <c r="AO47" s="199" t="n"/>
      <c r="AP47" s="199" t="n"/>
      <c r="AR47" s="198" t="n"/>
      <c r="AS47" s="199" t="n"/>
      <c r="AT47" s="199" t="n"/>
      <c r="AU47" s="199" t="n"/>
      <c r="AV47" s="199" t="n"/>
      <c r="AW47" s="199" t="n"/>
      <c r="AX47" s="199" t="n"/>
      <c r="AZ47" s="198" t="n"/>
      <c r="BA47" s="199" t="n"/>
      <c r="BB47" s="199" t="n"/>
      <c r="BC47" s="199" t="n"/>
      <c r="BD47" s="199" t="n"/>
      <c r="BE47" s="199" t="n"/>
      <c r="BF47" s="199" t="n"/>
      <c r="BH47" s="198" t="n"/>
      <c r="BI47" s="197" t="n"/>
      <c r="BJ47" s="197" t="n"/>
      <c r="BK47" s="197" t="n"/>
      <c r="BL47" s="197" t="n"/>
      <c r="BM47" s="197" t="n"/>
      <c r="BN47" s="197" t="n"/>
      <c r="BP47" s="198" t="n"/>
      <c r="BQ47" s="197" t="n"/>
      <c r="BR47" s="197" t="n"/>
      <c r="BS47" s="197" t="n"/>
      <c r="BT47" s="197" t="n"/>
      <c r="BU47" s="197" t="n"/>
      <c r="BV47" s="197" t="n"/>
      <c r="BX47" s="198" t="n"/>
      <c r="BY47" s="197" t="n"/>
      <c r="BZ47" s="197" t="n"/>
      <c r="CA47" s="197" t="n"/>
      <c r="CB47" s="197" t="n"/>
      <c r="CC47" s="197" t="n"/>
      <c r="CD47" s="197" t="n"/>
      <c r="CF47" s="198" t="n"/>
      <c r="CG47" s="197" t="n"/>
      <c r="CH47" s="197" t="n"/>
      <c r="CI47" s="197" t="n"/>
      <c r="CJ47" s="197" t="n"/>
      <c r="CK47" s="197" t="n"/>
      <c r="CL47" s="197" t="n"/>
    </row>
    <row r="48" hidden="1" ht="13.25" customHeight="1">
      <c r="B48" s="204">
        <f>+C48-1</f>
        <v/>
      </c>
      <c r="C48" s="204">
        <f>IF('bands_A-H_Avg'!$D$9+1&gt;MONTH(G48),YEAR(G48),YEAR(G48)+1)</f>
        <v/>
      </c>
      <c r="D48" s="204">
        <f>+C48+1</f>
        <v/>
      </c>
      <c r="E48" s="203">
        <f>IF(C48&gt;C47,1,E47+1)</f>
        <v/>
      </c>
      <c r="F48" s="203">
        <f>COUNTIF(C:C,C48)</f>
        <v/>
      </c>
      <c r="G48" s="198">
        <f>+G49-7</f>
        <v/>
      </c>
      <c r="H48" s="361" t="n"/>
      <c r="I48" s="968" t="n"/>
      <c r="J48" s="968" t="n"/>
      <c r="K48" s="968" t="n"/>
      <c r="L48" s="968" t="n"/>
      <c r="M48" s="199" t="n"/>
      <c r="N48" s="199" t="n"/>
      <c r="O48" s="199" t="n"/>
      <c r="P48" s="199" t="n"/>
      <c r="Q48" s="199" t="n"/>
      <c r="T48" s="198" t="n"/>
      <c r="U48" s="199" t="n"/>
      <c r="V48" s="969" t="n"/>
      <c r="AB48" s="198" t="n"/>
      <c r="AC48" s="199" t="n"/>
      <c r="AD48" s="199" t="n"/>
      <c r="AE48" s="199" t="n"/>
      <c r="AF48" s="199" t="n"/>
      <c r="AG48" s="199" t="n"/>
      <c r="AH48" s="199" t="n"/>
      <c r="AJ48" s="198" t="n"/>
      <c r="AK48" s="199" t="n"/>
      <c r="AL48" s="199" t="n"/>
      <c r="AM48" s="199" t="n"/>
      <c r="AN48" s="199" t="n"/>
      <c r="AO48" s="199" t="n"/>
      <c r="AP48" s="199" t="n"/>
      <c r="AR48" s="198" t="n"/>
      <c r="AS48" s="199" t="n"/>
      <c r="AT48" s="199" t="n"/>
      <c r="AU48" s="199" t="n"/>
      <c r="AV48" s="199" t="n"/>
      <c r="AW48" s="199" t="n"/>
      <c r="AX48" s="199" t="n"/>
      <c r="AZ48" s="198" t="n"/>
      <c r="BA48" s="199" t="n"/>
      <c r="BB48" s="199" t="n"/>
      <c r="BC48" s="199" t="n"/>
      <c r="BD48" s="199" t="n"/>
      <c r="BE48" s="199" t="n"/>
      <c r="BF48" s="199" t="n"/>
      <c r="BH48" s="198" t="n"/>
      <c r="BI48" s="197" t="n"/>
      <c r="BJ48" s="197" t="n"/>
      <c r="BK48" s="197" t="n"/>
      <c r="BL48" s="197" t="n"/>
      <c r="BM48" s="197" t="n"/>
      <c r="BN48" s="197" t="n"/>
      <c r="BP48" s="198" t="n"/>
      <c r="BQ48" s="197" t="n"/>
      <c r="BR48" s="197" t="n"/>
      <c r="BS48" s="197" t="n"/>
      <c r="BT48" s="197" t="n"/>
      <c r="BU48" s="197" t="n"/>
      <c r="BV48" s="197" t="n"/>
      <c r="BX48" s="198" t="n"/>
      <c r="BY48" s="197" t="n"/>
      <c r="BZ48" s="197" t="n"/>
      <c r="CA48" s="197" t="n"/>
      <c r="CB48" s="197" t="n"/>
      <c r="CC48" s="197" t="n"/>
      <c r="CD48" s="197" t="n"/>
      <c r="CF48" s="198" t="n"/>
      <c r="CG48" s="197" t="n"/>
      <c r="CH48" s="197" t="n"/>
      <c r="CI48" s="197" t="n"/>
      <c r="CJ48" s="197" t="n"/>
      <c r="CK48" s="197" t="n"/>
      <c r="CL48" s="197" t="n"/>
    </row>
    <row r="49" hidden="1" ht="13.25" customHeight="1">
      <c r="B49" s="204">
        <f>+C49-1</f>
        <v/>
      </c>
      <c r="C49" s="204">
        <f>IF('bands_A-H_Avg'!$D$9+1&gt;MONTH(G49),YEAR(G49),YEAR(G49)+1)</f>
        <v/>
      </c>
      <c r="D49" s="204">
        <f>+C49+1</f>
        <v/>
      </c>
      <c r="E49" s="203">
        <f>IF(C49&gt;C48,1,E48+1)</f>
        <v/>
      </c>
      <c r="F49" s="203">
        <f>COUNTIF(C:C,C49)</f>
        <v/>
      </c>
      <c r="G49" s="198">
        <f>+G50-7</f>
        <v/>
      </c>
      <c r="H49" s="361" t="n"/>
      <c r="I49" s="968" t="n"/>
      <c r="J49" s="968" t="n"/>
      <c r="K49" s="968" t="n"/>
      <c r="L49" s="968" t="n"/>
      <c r="M49" s="199" t="n"/>
      <c r="N49" s="199" t="n"/>
      <c r="O49" s="199" t="n"/>
      <c r="P49" s="199" t="n"/>
      <c r="Q49" s="199" t="n"/>
      <c r="T49" s="198" t="n"/>
      <c r="U49" s="199" t="n"/>
      <c r="V49" s="969" t="n"/>
      <c r="AB49" s="198" t="n"/>
      <c r="AC49" s="199" t="n"/>
      <c r="AD49" s="199" t="n"/>
      <c r="AE49" s="199" t="n"/>
      <c r="AF49" s="199" t="n"/>
      <c r="AG49" s="199" t="n"/>
      <c r="AH49" s="199" t="n"/>
      <c r="AJ49" s="198" t="n"/>
      <c r="AK49" s="199" t="n"/>
      <c r="AL49" s="199" t="n"/>
      <c r="AM49" s="199" t="n"/>
      <c r="AN49" s="199" t="n"/>
      <c r="AO49" s="199" t="n"/>
      <c r="AP49" s="199" t="n"/>
      <c r="AR49" s="198" t="n"/>
      <c r="AS49" s="199" t="n"/>
      <c r="AT49" s="199" t="n"/>
      <c r="AU49" s="199" t="n"/>
      <c r="AV49" s="199" t="n"/>
      <c r="AW49" s="199" t="n"/>
      <c r="AX49" s="199" t="n"/>
      <c r="AZ49" s="198" t="n"/>
      <c r="BA49" s="199" t="n"/>
      <c r="BB49" s="199" t="n"/>
      <c r="BC49" s="199" t="n"/>
      <c r="BD49" s="199" t="n"/>
      <c r="BE49" s="199" t="n"/>
      <c r="BF49" s="199" t="n"/>
      <c r="BH49" s="198" t="n"/>
      <c r="BI49" s="197" t="n"/>
      <c r="BJ49" s="197" t="n"/>
      <c r="BK49" s="197" t="n"/>
      <c r="BL49" s="197" t="n"/>
      <c r="BM49" s="197" t="n"/>
      <c r="BN49" s="197" t="n"/>
      <c r="BP49" s="198" t="n"/>
      <c r="BQ49" s="197" t="n"/>
      <c r="BR49" s="197" t="n"/>
      <c r="BS49" s="197" t="n"/>
      <c r="BT49" s="197" t="n"/>
      <c r="BU49" s="197" t="n"/>
      <c r="BV49" s="197" t="n"/>
      <c r="BX49" s="198" t="n"/>
      <c r="BY49" s="197" t="n"/>
      <c r="BZ49" s="197" t="n"/>
      <c r="CA49" s="197" t="n"/>
      <c r="CB49" s="197" t="n"/>
      <c r="CC49" s="197" t="n"/>
      <c r="CD49" s="197" t="n"/>
      <c r="CF49" s="198" t="n"/>
      <c r="CG49" s="197" t="n"/>
      <c r="CH49" s="197" t="n"/>
      <c r="CI49" s="197" t="n"/>
      <c r="CJ49" s="197" t="n"/>
      <c r="CK49" s="197" t="n"/>
      <c r="CL49" s="197" t="n"/>
    </row>
    <row r="50" hidden="1" ht="13.25" customHeight="1">
      <c r="B50" s="204">
        <f>+C50-1</f>
        <v/>
      </c>
      <c r="C50" s="204">
        <f>IF('bands_A-H_Avg'!$D$9+1&gt;MONTH(G50),YEAR(G50),YEAR(G50)+1)</f>
        <v/>
      </c>
      <c r="D50" s="204">
        <f>+C50+1</f>
        <v/>
      </c>
      <c r="E50" s="203">
        <f>IF(C50&gt;C49,1,E49+1)</f>
        <v/>
      </c>
      <c r="F50" s="203">
        <f>COUNTIF(C:C,C50)</f>
        <v/>
      </c>
      <c r="G50" s="198">
        <f>+G51-7</f>
        <v/>
      </c>
      <c r="H50" s="361" t="n"/>
      <c r="I50" s="968" t="n"/>
      <c r="J50" s="968" t="n"/>
      <c r="K50" s="968" t="n"/>
      <c r="L50" s="968" t="n"/>
      <c r="M50" s="199" t="n"/>
      <c r="N50" s="199" t="n"/>
      <c r="O50" s="199" t="n"/>
      <c r="P50" s="199" t="n"/>
      <c r="Q50" s="199" t="n"/>
      <c r="T50" s="198" t="n"/>
      <c r="U50" s="199" t="n"/>
      <c r="V50" s="969" t="n"/>
      <c r="AB50" s="198" t="n"/>
      <c r="AC50" s="199" t="n"/>
      <c r="AD50" s="199" t="n"/>
      <c r="AE50" s="199" t="n"/>
      <c r="AF50" s="199" t="n"/>
      <c r="AG50" s="199" t="n"/>
      <c r="AH50" s="199" t="n"/>
      <c r="AJ50" s="198" t="n"/>
      <c r="AK50" s="199" t="n"/>
      <c r="AL50" s="199" t="n"/>
      <c r="AM50" s="199" t="n"/>
      <c r="AN50" s="199" t="n"/>
      <c r="AO50" s="199" t="n"/>
      <c r="AP50" s="199" t="n"/>
      <c r="AR50" s="198" t="n"/>
      <c r="AS50" s="199" t="n"/>
      <c r="AT50" s="199" t="n"/>
      <c r="AU50" s="199" t="n"/>
      <c r="AV50" s="199" t="n"/>
      <c r="AW50" s="199" t="n"/>
      <c r="AX50" s="199" t="n"/>
      <c r="AZ50" s="198" t="n"/>
      <c r="BA50" s="199" t="n"/>
      <c r="BB50" s="199" t="n"/>
      <c r="BC50" s="199" t="n"/>
      <c r="BD50" s="199" t="n"/>
      <c r="BE50" s="199" t="n"/>
      <c r="BF50" s="199" t="n"/>
      <c r="BH50" s="198" t="n"/>
      <c r="BI50" s="197" t="n"/>
      <c r="BJ50" s="197" t="n"/>
      <c r="BK50" s="197" t="n"/>
      <c r="BL50" s="197" t="n"/>
      <c r="BM50" s="197" t="n"/>
      <c r="BN50" s="197" t="n"/>
      <c r="BP50" s="198" t="n"/>
      <c r="BQ50" s="197" t="n"/>
      <c r="BR50" s="197" t="n"/>
      <c r="BS50" s="197" t="n"/>
      <c r="BT50" s="197" t="n"/>
      <c r="BU50" s="197" t="n"/>
      <c r="BV50" s="197" t="n"/>
      <c r="BX50" s="198" t="n"/>
      <c r="BY50" s="197" t="n"/>
      <c r="BZ50" s="197" t="n"/>
      <c r="CA50" s="197" t="n"/>
      <c r="CB50" s="197" t="n"/>
      <c r="CC50" s="197" t="n"/>
      <c r="CD50" s="197" t="n"/>
      <c r="CF50" s="198" t="n"/>
      <c r="CG50" s="197" t="n"/>
      <c r="CH50" s="197" t="n"/>
      <c r="CI50" s="197" t="n"/>
      <c r="CJ50" s="197" t="n"/>
      <c r="CK50" s="197" t="n"/>
      <c r="CL50" s="197" t="n"/>
    </row>
    <row r="51" hidden="1" ht="13.25" customHeight="1">
      <c r="B51" s="204">
        <f>+C51-1</f>
        <v/>
      </c>
      <c r="C51" s="204">
        <f>IF('bands_A-H_Avg'!$D$9+1&gt;MONTH(G51),YEAR(G51),YEAR(G51)+1)</f>
        <v/>
      </c>
      <c r="D51" s="204">
        <f>+C51+1</f>
        <v/>
      </c>
      <c r="E51" s="203">
        <f>IF(C51&gt;C50,1,E50+1)</f>
        <v/>
      </c>
      <c r="F51" s="203">
        <f>COUNTIF(C:C,C51)</f>
        <v/>
      </c>
      <c r="G51" s="198">
        <f>+G52-7</f>
        <v/>
      </c>
      <c r="H51" s="361" t="n"/>
      <c r="I51" s="968" t="n"/>
      <c r="J51" s="968" t="n"/>
      <c r="K51" s="968" t="n"/>
      <c r="L51" s="968" t="n"/>
      <c r="M51" s="199" t="n"/>
      <c r="N51" s="199" t="n"/>
      <c r="O51" s="199" t="n"/>
      <c r="P51" s="199" t="n"/>
      <c r="Q51" s="199" t="n"/>
      <c r="T51" s="198" t="n"/>
      <c r="U51" s="199" t="n"/>
      <c r="V51" s="969" t="n"/>
      <c r="AB51" s="198" t="n"/>
      <c r="AC51" s="199" t="n"/>
      <c r="AD51" s="199" t="n"/>
      <c r="AE51" s="199" t="n"/>
      <c r="AF51" s="199" t="n"/>
      <c r="AG51" s="199" t="n"/>
      <c r="AH51" s="199" t="n"/>
      <c r="AJ51" s="198" t="n"/>
      <c r="AK51" s="199" t="n"/>
      <c r="AL51" s="199" t="n"/>
      <c r="AM51" s="199" t="n"/>
      <c r="AN51" s="199" t="n"/>
      <c r="AO51" s="199" t="n"/>
      <c r="AP51" s="199" t="n"/>
      <c r="AR51" s="198" t="n"/>
      <c r="AS51" s="199" t="n"/>
      <c r="AT51" s="199" t="n"/>
      <c r="AU51" s="199" t="n"/>
      <c r="AV51" s="199" t="n"/>
      <c r="AW51" s="199" t="n"/>
      <c r="AX51" s="199" t="n"/>
      <c r="AZ51" s="198" t="n"/>
      <c r="BA51" s="199" t="n"/>
      <c r="BB51" s="199" t="n"/>
      <c r="BC51" s="199" t="n"/>
      <c r="BD51" s="199" t="n"/>
      <c r="BE51" s="199" t="n"/>
      <c r="BF51" s="199" t="n"/>
      <c r="BH51" s="198" t="n"/>
      <c r="BI51" s="197" t="n"/>
      <c r="BJ51" s="197" t="n"/>
      <c r="BK51" s="197" t="n"/>
      <c r="BL51" s="197" t="n"/>
      <c r="BM51" s="197" t="n"/>
      <c r="BN51" s="197" t="n"/>
      <c r="BP51" s="198" t="n"/>
      <c r="BQ51" s="197" t="n"/>
      <c r="BR51" s="197" t="n"/>
      <c r="BS51" s="197" t="n"/>
      <c r="BT51" s="197" t="n"/>
      <c r="BU51" s="197" t="n"/>
      <c r="BV51" s="197" t="n"/>
      <c r="BX51" s="198" t="n"/>
      <c r="BY51" s="197" t="n"/>
      <c r="BZ51" s="197" t="n"/>
      <c r="CA51" s="197" t="n"/>
      <c r="CB51" s="197" t="n"/>
      <c r="CC51" s="197" t="n"/>
      <c r="CD51" s="197" t="n"/>
      <c r="CF51" s="198" t="n"/>
      <c r="CG51" s="197" t="n"/>
      <c r="CH51" s="197" t="n"/>
      <c r="CI51" s="197" t="n"/>
      <c r="CJ51" s="197" t="n"/>
      <c r="CK51" s="197" t="n"/>
      <c r="CL51" s="197" t="n"/>
    </row>
    <row r="52" hidden="1" ht="13.25" customHeight="1">
      <c r="B52" s="204">
        <f>+C52-1</f>
        <v/>
      </c>
      <c r="C52" s="204">
        <f>IF('bands_A-H_Avg'!$D$9+1&gt;MONTH(G52),YEAR(G52),YEAR(G52)+1)</f>
        <v/>
      </c>
      <c r="D52" s="204">
        <f>+C52+1</f>
        <v/>
      </c>
      <c r="E52" s="203">
        <f>IF(C52&gt;C51,1,E51+1)</f>
        <v/>
      </c>
      <c r="F52" s="203">
        <f>COUNTIF(C:C,C52)</f>
        <v/>
      </c>
      <c r="G52" s="198">
        <f>+G53-7</f>
        <v/>
      </c>
      <c r="H52" s="361" t="n"/>
      <c r="I52" s="968" t="n"/>
      <c r="J52" s="968" t="n"/>
      <c r="K52" s="968" t="n"/>
      <c r="L52" s="968" t="n"/>
      <c r="M52" s="199" t="n"/>
      <c r="N52" s="199" t="n"/>
      <c r="O52" s="199" t="n"/>
      <c r="P52" s="199" t="n"/>
      <c r="Q52" s="199" t="n"/>
      <c r="T52" s="198" t="n"/>
      <c r="U52" s="199" t="n"/>
      <c r="V52" s="969" t="n"/>
      <c r="AB52" s="198" t="n"/>
      <c r="AC52" s="199" t="n"/>
      <c r="AD52" s="199" t="n"/>
      <c r="AE52" s="199" t="n"/>
      <c r="AF52" s="199" t="n"/>
      <c r="AG52" s="199" t="n"/>
      <c r="AH52" s="199" t="n"/>
      <c r="AJ52" s="198" t="n"/>
      <c r="AK52" s="199" t="n"/>
      <c r="AL52" s="199" t="n"/>
      <c r="AM52" s="199" t="n"/>
      <c r="AN52" s="199" t="n"/>
      <c r="AO52" s="199" t="n"/>
      <c r="AP52" s="199" t="n"/>
      <c r="AR52" s="198" t="n"/>
      <c r="AS52" s="199" t="n"/>
      <c r="AT52" s="199" t="n"/>
      <c r="AU52" s="199" t="n"/>
      <c r="AV52" s="199" t="n"/>
      <c r="AW52" s="199" t="n"/>
      <c r="AX52" s="199" t="n"/>
      <c r="AZ52" s="198" t="n"/>
      <c r="BA52" s="199" t="n"/>
      <c r="BB52" s="199" t="n"/>
      <c r="BC52" s="199" t="n"/>
      <c r="BD52" s="199" t="n"/>
      <c r="BE52" s="199" t="n"/>
      <c r="BF52" s="199" t="n"/>
      <c r="BH52" s="198" t="n"/>
      <c r="BI52" s="197" t="n"/>
      <c r="BJ52" s="197" t="n"/>
      <c r="BK52" s="197" t="n"/>
      <c r="BL52" s="197" t="n"/>
      <c r="BM52" s="197" t="n"/>
      <c r="BN52" s="197" t="n"/>
      <c r="BP52" s="198" t="n"/>
      <c r="BQ52" s="197" t="n"/>
      <c r="BR52" s="197" t="n"/>
      <c r="BS52" s="197" t="n"/>
      <c r="BT52" s="197" t="n"/>
      <c r="BU52" s="197" t="n"/>
      <c r="BV52" s="197" t="n"/>
      <c r="BX52" s="198" t="n"/>
      <c r="BY52" s="197" t="n"/>
      <c r="BZ52" s="197" t="n"/>
      <c r="CA52" s="197" t="n"/>
      <c r="CB52" s="197" t="n"/>
      <c r="CC52" s="197" t="n"/>
      <c r="CD52" s="197" t="n"/>
      <c r="CF52" s="198" t="n"/>
      <c r="CG52" s="197" t="n"/>
      <c r="CH52" s="197" t="n"/>
      <c r="CI52" s="197" t="n"/>
      <c r="CJ52" s="197" t="n"/>
      <c r="CK52" s="197" t="n"/>
      <c r="CL52" s="197" t="n"/>
    </row>
    <row r="53" ht="13.25" customHeight="1">
      <c r="B53" s="204">
        <f>+C53-1</f>
        <v/>
      </c>
      <c r="C53" s="204">
        <f>IF('bands_A-H_Avg'!$D$9+1&gt;MONTH(G53),YEAR(G53),YEAR(G53)+1)</f>
        <v/>
      </c>
      <c r="D53" s="204">
        <f>+C53+1</f>
        <v/>
      </c>
      <c r="E53" s="203">
        <f>IF(C53&gt;C52,1,E52+1)</f>
        <v/>
      </c>
      <c r="F53" s="203">
        <f>COUNTIF(C:C,C53)</f>
        <v/>
      </c>
      <c r="G53" s="198">
        <f>+G54-7</f>
        <v/>
      </c>
      <c r="H53" s="361">
        <f>IF(ISBLANK(CO53),CP53,SUMPRODUCT(CO$32:CP$32,CO53:CP53))</f>
        <v/>
      </c>
      <c r="I53" s="968">
        <f>H53/M53</f>
        <v/>
      </c>
      <c r="J53" s="968">
        <f>H53/N53</f>
        <v/>
      </c>
      <c r="K53" s="968">
        <f>(H53+Q53)/O53</f>
        <v/>
      </c>
      <c r="L53" s="968">
        <f>(H53+Q53)/P53</f>
        <v/>
      </c>
      <c r="M53" s="199">
        <f>HLOOKUP(C:C,$4:$10,3,FALSE)+((HLOOKUP(D:D,$4:$10,3,FALSE)-HLOOKUP(C:C,$4:$10,3,FALSE))*E53/F53)</f>
        <v/>
      </c>
      <c r="N53" s="199">
        <f>HLOOKUP(C:C,$4:$10,2,FALSE)+((HLOOKUP(D:D,$4:$10,2,FALSE)-HLOOKUP(C:C,$4:$10,2,FALSE))*E53/F53)</f>
        <v/>
      </c>
      <c r="O53" s="199">
        <f>HLOOKUP(C:C,$4:$10,5,FALSE)+((HLOOKUP(D:D,$4:$10,5,FALSE)-HLOOKUP(C:C,$4:$10,5,FALSE))*E53/F53)</f>
        <v/>
      </c>
      <c r="P53" s="199">
        <f>HLOOKUP(C:C,$4:$10,4,FALSE)+((HLOOKUP(D:D,$4:$10,4,FALSE)-HLOOKUP(C:C,$4:$10,4,FALSE))*E53/F53)</f>
        <v/>
      </c>
      <c r="Q53" s="199">
        <f>HLOOKUP(B:B,$4:$10,6,FALSE)+((HLOOKUP(C:C,$4:$10,6,FALSE)-HLOOKUP(B:B,$4:$10,6,FALSE))*E53/F53)</f>
        <v/>
      </c>
      <c r="T53" s="198">
        <f>$G53</f>
        <v/>
      </c>
      <c r="U53" s="199">
        <f>H53/(HLOOKUP(B:B,$4:$10,3,FALSE)+((HLOOKUP(C:C,$4:$10,3,FALSE)-HLOOKUP(B:B,$4:$10,3,FALSE))*E53/F53))</f>
        <v/>
      </c>
      <c r="V53" s="969">
        <f>HLOOKUP(B:B,$4:$10,7,FALSE)+((HLOOKUP(C:C,$4:$10,7,FALSE)-HLOOKUP(B:B,$4:$10,7,FALSE))*E53/F53)</f>
        <v/>
      </c>
      <c r="AB53" s="198">
        <f>$G53</f>
        <v/>
      </c>
      <c r="AC53" s="199">
        <f>$H53</f>
        <v/>
      </c>
      <c r="AD53" s="199">
        <f>$M53*AD$34</f>
        <v/>
      </c>
      <c r="AE53" s="199">
        <f>$M53*AE$34</f>
        <v/>
      </c>
      <c r="AF53" s="199">
        <f>$M53*AF$34</f>
        <v/>
      </c>
      <c r="AG53" s="199">
        <f>$M53*AG$34</f>
        <v/>
      </c>
      <c r="AH53" s="199">
        <f>$M53*AH$34</f>
        <v/>
      </c>
      <c r="AJ53" s="198">
        <f>$G53</f>
        <v/>
      </c>
      <c r="AK53" s="199">
        <f>$H53</f>
        <v/>
      </c>
      <c r="AL53" s="199">
        <f>$N53*AL$34</f>
        <v/>
      </c>
      <c r="AM53" s="199">
        <f>$N53*AM$34</f>
        <v/>
      </c>
      <c r="AN53" s="199">
        <f>$N53*AN$34</f>
        <v/>
      </c>
      <c r="AO53" s="199">
        <f>$N53*AO$34</f>
        <v/>
      </c>
      <c r="AP53" s="199">
        <f>$N53*AP$34</f>
        <v/>
      </c>
      <c r="AR53" s="198">
        <f>$G53</f>
        <v/>
      </c>
      <c r="AS53" s="199">
        <f>$H53</f>
        <v/>
      </c>
      <c r="AT53" s="199">
        <f>$O53*AT$34-$Q53</f>
        <v/>
      </c>
      <c r="AU53" s="199">
        <f>$O53*AU$34-$Q53</f>
        <v/>
      </c>
      <c r="AV53" s="199">
        <f>$O53*AV$34-$Q53</f>
        <v/>
      </c>
      <c r="AW53" s="199">
        <f>$O53*AW$34-$Q53</f>
        <v/>
      </c>
      <c r="AX53" s="199">
        <f>$O53*AX$34-$Q53</f>
        <v/>
      </c>
      <c r="AZ53" s="198">
        <f>$G53</f>
        <v/>
      </c>
      <c r="BA53" s="199">
        <f>$H53</f>
        <v/>
      </c>
      <c r="BB53" s="199">
        <f>$P53*BB$34-$Q53</f>
        <v/>
      </c>
      <c r="BC53" s="199">
        <f>$P53*BC$34-$Q53</f>
        <v/>
      </c>
      <c r="BD53" s="199">
        <f>$P53*BD$34-$Q53</f>
        <v/>
      </c>
      <c r="BE53" s="199">
        <f>$P53*BE$34-$Q53</f>
        <v/>
      </c>
      <c r="BF53" s="199">
        <f>$P53*BF$34-$Q53</f>
        <v/>
      </c>
      <c r="BH53" s="198">
        <f>$G53</f>
        <v/>
      </c>
      <c r="BI53" s="197">
        <f>$I53</f>
        <v/>
      </c>
      <c r="BJ53" s="197">
        <f>+BJ54</f>
        <v/>
      </c>
      <c r="BK53" s="197">
        <f>+BK54</f>
        <v/>
      </c>
      <c r="BL53" s="197">
        <f>+BL54</f>
        <v/>
      </c>
      <c r="BM53" s="197">
        <f>+BM54</f>
        <v/>
      </c>
      <c r="BN53" s="197">
        <f>+BN54</f>
        <v/>
      </c>
      <c r="BP53" s="198">
        <f>$G53</f>
        <v/>
      </c>
      <c r="BQ53" s="197">
        <f>$J53</f>
        <v/>
      </c>
      <c r="BR53" s="197">
        <f>+BR54</f>
        <v/>
      </c>
      <c r="BS53" s="197">
        <f>+BS54</f>
        <v/>
      </c>
      <c r="BT53" s="197">
        <f>+BT54</f>
        <v/>
      </c>
      <c r="BU53" s="197">
        <f>+BU54</f>
        <v/>
      </c>
      <c r="BV53" s="197">
        <f>+BV54</f>
        <v/>
      </c>
      <c r="BX53" s="198">
        <f>$G53</f>
        <v/>
      </c>
      <c r="BY53" s="197">
        <f>$K53</f>
        <v/>
      </c>
      <c r="BZ53" s="197">
        <f>+BZ54</f>
        <v/>
      </c>
      <c r="CA53" s="197">
        <f>+CA54</f>
        <v/>
      </c>
      <c r="CB53" s="197">
        <f>+CB54</f>
        <v/>
      </c>
      <c r="CC53" s="197">
        <f>+CC54</f>
        <v/>
      </c>
      <c r="CD53" s="197">
        <f>+CD54</f>
        <v/>
      </c>
      <c r="CF53" s="198">
        <f>$G53</f>
        <v/>
      </c>
      <c r="CG53" s="197">
        <f>$L53</f>
        <v/>
      </c>
      <c r="CH53" s="197">
        <f>+CH54</f>
        <v/>
      </c>
      <c r="CI53" s="197">
        <f>+CI54</f>
        <v/>
      </c>
      <c r="CJ53" s="197">
        <f>+CJ54</f>
        <v/>
      </c>
      <c r="CK53" s="197">
        <f>+CK54</f>
        <v/>
      </c>
      <c r="CL53" s="197">
        <f>+CL54</f>
        <v/>
      </c>
      <c r="CO53" s="199" t="n"/>
      <c r="CP53" s="199" t="n">
        <v>1.68</v>
      </c>
      <c r="CR53" s="199" t="inlineStr">
        <is>
          <t>#N/A N/A</t>
        </is>
      </c>
      <c r="CS53" s="970" t="n">
        <v>1.06183</v>
      </c>
    </row>
    <row r="54" ht="13.25" customHeight="1">
      <c r="B54" s="204">
        <f>+C54-1</f>
        <v/>
      </c>
      <c r="C54" s="204">
        <f>IF('bands_A-H_Avg'!$D$9+1&gt;MONTH(G54),YEAR(G54),YEAR(G54)+1)</f>
        <v/>
      </c>
      <c r="D54" s="204">
        <f>+C54+1</f>
        <v/>
      </c>
      <c r="E54" s="203">
        <f>IF(C54&gt;C53,1,E53+1)</f>
        <v/>
      </c>
      <c r="F54" s="203">
        <f>COUNTIF(C:C,C54)</f>
        <v/>
      </c>
      <c r="G54" s="198">
        <f>+G55-7</f>
        <v/>
      </c>
      <c r="H54" s="361">
        <f>IF(ISBLANK(CO54),CP54,SUMPRODUCT(CO$32:CP$32,CO54:CP54))</f>
        <v/>
      </c>
      <c r="I54" s="968">
        <f>H54/M54</f>
        <v/>
      </c>
      <c r="J54" s="968">
        <f>H54/N54</f>
        <v/>
      </c>
      <c r="K54" s="968">
        <f>(H54+Q54)/O54</f>
        <v/>
      </c>
      <c r="L54" s="968">
        <f>(H54+Q54)/P54</f>
        <v/>
      </c>
      <c r="M54" s="199">
        <f>HLOOKUP(C:C,$4:$10,3,FALSE)+((HLOOKUP(D:D,$4:$10,3,FALSE)-HLOOKUP(C:C,$4:$10,3,FALSE))*E54/F54)</f>
        <v/>
      </c>
      <c r="N54" s="199">
        <f>HLOOKUP(C:C,$4:$10,2,FALSE)+((HLOOKUP(D:D,$4:$10,2,FALSE)-HLOOKUP(C:C,$4:$10,2,FALSE))*E54/F54)</f>
        <v/>
      </c>
      <c r="O54" s="199">
        <f>HLOOKUP(C:C,$4:$10,5,FALSE)+((HLOOKUP(D:D,$4:$10,5,FALSE)-HLOOKUP(C:C,$4:$10,5,FALSE))*E54/F54)</f>
        <v/>
      </c>
      <c r="P54" s="199">
        <f>HLOOKUP(C:C,$4:$10,4,FALSE)+((HLOOKUP(D:D,$4:$10,4,FALSE)-HLOOKUP(C:C,$4:$10,4,FALSE))*E54/F54)</f>
        <v/>
      </c>
      <c r="Q54" s="199">
        <f>HLOOKUP(B:B,$4:$10,6,FALSE)+((HLOOKUP(C:C,$4:$10,6,FALSE)-HLOOKUP(B:B,$4:$10,6,FALSE))*E54/F54)</f>
        <v/>
      </c>
      <c r="T54" s="198">
        <f>$G54</f>
        <v/>
      </c>
      <c r="U54" s="199">
        <f>H54/(HLOOKUP(B:B,$4:$10,3,FALSE)+((HLOOKUP(C:C,$4:$10,3,FALSE)-HLOOKUP(B:B,$4:$10,3,FALSE))*E54/F54))</f>
        <v/>
      </c>
      <c r="V54" s="969">
        <f>HLOOKUP(B:B,$4:$10,7,FALSE)+((HLOOKUP(C:C,$4:$10,7,FALSE)-HLOOKUP(B:B,$4:$10,7,FALSE))*E54/F54)</f>
        <v/>
      </c>
      <c r="AB54" s="198">
        <f>$G54</f>
        <v/>
      </c>
      <c r="AC54" s="199">
        <f>$H54</f>
        <v/>
      </c>
      <c r="AD54" s="199">
        <f>$M54*AD$34</f>
        <v/>
      </c>
      <c r="AE54" s="199">
        <f>$M54*AE$34</f>
        <v/>
      </c>
      <c r="AF54" s="199">
        <f>$M54*AF$34</f>
        <v/>
      </c>
      <c r="AG54" s="199">
        <f>$M54*AG$34</f>
        <v/>
      </c>
      <c r="AH54" s="199">
        <f>$M54*AH$34</f>
        <v/>
      </c>
      <c r="AJ54" s="198">
        <f>$G54</f>
        <v/>
      </c>
      <c r="AK54" s="199">
        <f>$H54</f>
        <v/>
      </c>
      <c r="AL54" s="199">
        <f>$N54*AL$34</f>
        <v/>
      </c>
      <c r="AM54" s="199">
        <f>$N54*AM$34</f>
        <v/>
      </c>
      <c r="AN54" s="199">
        <f>$N54*AN$34</f>
        <v/>
      </c>
      <c r="AO54" s="199">
        <f>$N54*AO$34</f>
        <v/>
      </c>
      <c r="AP54" s="199">
        <f>$N54*AP$34</f>
        <v/>
      </c>
      <c r="AR54" s="198">
        <f>$G54</f>
        <v/>
      </c>
      <c r="AS54" s="199">
        <f>$H54</f>
        <v/>
      </c>
      <c r="AT54" s="199">
        <f>$O54*AT$34-$Q54</f>
        <v/>
      </c>
      <c r="AU54" s="199">
        <f>$O54*AU$34-$Q54</f>
        <v/>
      </c>
      <c r="AV54" s="199">
        <f>$O54*AV$34-$Q54</f>
        <v/>
      </c>
      <c r="AW54" s="199">
        <f>$O54*AW$34-$Q54</f>
        <v/>
      </c>
      <c r="AX54" s="199">
        <f>$O54*AX$34-$Q54</f>
        <v/>
      </c>
      <c r="AZ54" s="198">
        <f>$G54</f>
        <v/>
      </c>
      <c r="BA54" s="199">
        <f>$H54</f>
        <v/>
      </c>
      <c r="BB54" s="199">
        <f>$P54*BB$34-$Q54</f>
        <v/>
      </c>
      <c r="BC54" s="199">
        <f>$P54*BC$34-$Q54</f>
        <v/>
      </c>
      <c r="BD54" s="199">
        <f>$P54*BD$34-$Q54</f>
        <v/>
      </c>
      <c r="BE54" s="199">
        <f>$P54*BE$34-$Q54</f>
        <v/>
      </c>
      <c r="BF54" s="199">
        <f>$P54*BF$34-$Q54</f>
        <v/>
      </c>
      <c r="BH54" s="198">
        <f>$G54</f>
        <v/>
      </c>
      <c r="BI54" s="197">
        <f>$I54</f>
        <v/>
      </c>
      <c r="BJ54" s="197">
        <f>+BJ55</f>
        <v/>
      </c>
      <c r="BK54" s="197">
        <f>+BK55</f>
        <v/>
      </c>
      <c r="BL54" s="197">
        <f>+BL55</f>
        <v/>
      </c>
      <c r="BM54" s="197">
        <f>+BM55</f>
        <v/>
      </c>
      <c r="BN54" s="197">
        <f>+BN55</f>
        <v/>
      </c>
      <c r="BP54" s="198">
        <f>$G54</f>
        <v/>
      </c>
      <c r="BQ54" s="197">
        <f>$J54</f>
        <v/>
      </c>
      <c r="BR54" s="197">
        <f>+BR55</f>
        <v/>
      </c>
      <c r="BS54" s="197">
        <f>+BS55</f>
        <v/>
      </c>
      <c r="BT54" s="197">
        <f>+BT55</f>
        <v/>
      </c>
      <c r="BU54" s="197">
        <f>+BU55</f>
        <v/>
      </c>
      <c r="BV54" s="197">
        <f>+BV55</f>
        <v/>
      </c>
      <c r="BX54" s="198">
        <f>$G54</f>
        <v/>
      </c>
      <c r="BY54" s="197">
        <f>$K54</f>
        <v/>
      </c>
      <c r="BZ54" s="197">
        <f>+BZ55</f>
        <v/>
      </c>
      <c r="CA54" s="197">
        <f>+CA55</f>
        <v/>
      </c>
      <c r="CB54" s="197">
        <f>+CB55</f>
        <v/>
      </c>
      <c r="CC54" s="197">
        <f>+CC55</f>
        <v/>
      </c>
      <c r="CD54" s="197">
        <f>+CD55</f>
        <v/>
      </c>
      <c r="CF54" s="198">
        <f>$G54</f>
        <v/>
      </c>
      <c r="CG54" s="197">
        <f>$L54</f>
        <v/>
      </c>
      <c r="CH54" s="197">
        <f>+CH55</f>
        <v/>
      </c>
      <c r="CI54" s="197">
        <f>+CI55</f>
        <v/>
      </c>
      <c r="CJ54" s="197">
        <f>+CJ55</f>
        <v/>
      </c>
      <c r="CK54" s="197">
        <f>+CK55</f>
        <v/>
      </c>
      <c r="CL54" s="197">
        <f>+CL55</f>
        <v/>
      </c>
      <c r="CO54" s="199" t="n"/>
      <c r="CP54" s="199" t="n">
        <v>1.69</v>
      </c>
      <c r="CR54" s="199" t="inlineStr">
        <is>
          <t>#N/A N/A</t>
        </is>
      </c>
      <c r="CS54" s="970" t="n">
        <v>1.06221</v>
      </c>
    </row>
    <row r="55" ht="13.25" customHeight="1">
      <c r="B55" s="204">
        <f>+C55-1</f>
        <v/>
      </c>
      <c r="C55" s="204">
        <f>IF('bands_A-H_Avg'!$D$9+1&gt;MONTH(G55),YEAR(G55),YEAR(G55)+1)</f>
        <v/>
      </c>
      <c r="D55" s="204">
        <f>+C55+1</f>
        <v/>
      </c>
      <c r="E55" s="203">
        <f>IF(C55&gt;C54,1,E54+1)</f>
        <v/>
      </c>
      <c r="F55" s="203">
        <f>COUNTIF(C:C,C55)</f>
        <v/>
      </c>
      <c r="G55" s="198">
        <f>+G56-7</f>
        <v/>
      </c>
      <c r="H55" s="361">
        <f>IF(ISBLANK(CO55),CP55,SUMPRODUCT(CO$32:CP$32,CO55:CP55))</f>
        <v/>
      </c>
      <c r="I55" s="968">
        <f>H55/M55</f>
        <v/>
      </c>
      <c r="J55" s="968">
        <f>H55/N55</f>
        <v/>
      </c>
      <c r="K55" s="968">
        <f>(H55+Q55)/O55</f>
        <v/>
      </c>
      <c r="L55" s="968">
        <f>(H55+Q55)/P55</f>
        <v/>
      </c>
      <c r="M55" s="199">
        <f>HLOOKUP(C:C,$4:$10,3,FALSE)+((HLOOKUP(D:D,$4:$10,3,FALSE)-HLOOKUP(C:C,$4:$10,3,FALSE))*E55/F55)</f>
        <v/>
      </c>
      <c r="N55" s="199">
        <f>HLOOKUP(C:C,$4:$10,2,FALSE)+((HLOOKUP(D:D,$4:$10,2,FALSE)-HLOOKUP(C:C,$4:$10,2,FALSE))*E55/F55)</f>
        <v/>
      </c>
      <c r="O55" s="199">
        <f>HLOOKUP(C:C,$4:$10,5,FALSE)+((HLOOKUP(D:D,$4:$10,5,FALSE)-HLOOKUP(C:C,$4:$10,5,FALSE))*E55/F55)</f>
        <v/>
      </c>
      <c r="P55" s="199">
        <f>HLOOKUP(C:C,$4:$10,4,FALSE)+((HLOOKUP(D:D,$4:$10,4,FALSE)-HLOOKUP(C:C,$4:$10,4,FALSE))*E55/F55)</f>
        <v/>
      </c>
      <c r="Q55" s="199">
        <f>HLOOKUP(B:B,$4:$10,6,FALSE)+((HLOOKUP(C:C,$4:$10,6,FALSE)-HLOOKUP(B:B,$4:$10,6,FALSE))*E55/F55)</f>
        <v/>
      </c>
      <c r="T55" s="198">
        <f>$G55</f>
        <v/>
      </c>
      <c r="U55" s="199">
        <f>H55/(HLOOKUP(B:B,$4:$10,3,FALSE)+((HLOOKUP(C:C,$4:$10,3,FALSE)-HLOOKUP(B:B,$4:$10,3,FALSE))*E55/F55))</f>
        <v/>
      </c>
      <c r="V55" s="969">
        <f>HLOOKUP(B:B,$4:$10,7,FALSE)+((HLOOKUP(C:C,$4:$10,7,FALSE)-HLOOKUP(B:B,$4:$10,7,FALSE))*E55/F55)</f>
        <v/>
      </c>
      <c r="AB55" s="198">
        <f>$G55</f>
        <v/>
      </c>
      <c r="AC55" s="199">
        <f>$H55</f>
        <v/>
      </c>
      <c r="AD55" s="199">
        <f>$M55*AD$34</f>
        <v/>
      </c>
      <c r="AE55" s="199">
        <f>$M55*AE$34</f>
        <v/>
      </c>
      <c r="AF55" s="199">
        <f>$M55*AF$34</f>
        <v/>
      </c>
      <c r="AG55" s="199">
        <f>$M55*AG$34</f>
        <v/>
      </c>
      <c r="AH55" s="199">
        <f>$M55*AH$34</f>
        <v/>
      </c>
      <c r="AJ55" s="198">
        <f>$G55</f>
        <v/>
      </c>
      <c r="AK55" s="199">
        <f>$H55</f>
        <v/>
      </c>
      <c r="AL55" s="199">
        <f>$N55*AL$34</f>
        <v/>
      </c>
      <c r="AM55" s="199">
        <f>$N55*AM$34</f>
        <v/>
      </c>
      <c r="AN55" s="199">
        <f>$N55*AN$34</f>
        <v/>
      </c>
      <c r="AO55" s="199">
        <f>$N55*AO$34</f>
        <v/>
      </c>
      <c r="AP55" s="199">
        <f>$N55*AP$34</f>
        <v/>
      </c>
      <c r="AR55" s="198">
        <f>$G55</f>
        <v/>
      </c>
      <c r="AS55" s="199">
        <f>$H55</f>
        <v/>
      </c>
      <c r="AT55" s="199">
        <f>$O55*AT$34-$Q55</f>
        <v/>
      </c>
      <c r="AU55" s="199">
        <f>$O55*AU$34-$Q55</f>
        <v/>
      </c>
      <c r="AV55" s="199">
        <f>$O55*AV$34-$Q55</f>
        <v/>
      </c>
      <c r="AW55" s="199">
        <f>$O55*AW$34-$Q55</f>
        <v/>
      </c>
      <c r="AX55" s="199">
        <f>$O55*AX$34-$Q55</f>
        <v/>
      </c>
      <c r="AZ55" s="198">
        <f>$G55</f>
        <v/>
      </c>
      <c r="BA55" s="199">
        <f>$H55</f>
        <v/>
      </c>
      <c r="BB55" s="199">
        <f>$P55*BB$34-$Q55</f>
        <v/>
      </c>
      <c r="BC55" s="199">
        <f>$P55*BC$34-$Q55</f>
        <v/>
      </c>
      <c r="BD55" s="199">
        <f>$P55*BD$34-$Q55</f>
        <v/>
      </c>
      <c r="BE55" s="199">
        <f>$P55*BE$34-$Q55</f>
        <v/>
      </c>
      <c r="BF55" s="199">
        <f>$P55*BF$34-$Q55</f>
        <v/>
      </c>
      <c r="BH55" s="198">
        <f>$G55</f>
        <v/>
      </c>
      <c r="BI55" s="197">
        <f>$I55</f>
        <v/>
      </c>
      <c r="BJ55" s="197">
        <f>+BJ56</f>
        <v/>
      </c>
      <c r="BK55" s="197">
        <f>+BK56</f>
        <v/>
      </c>
      <c r="BL55" s="197">
        <f>+BL56</f>
        <v/>
      </c>
      <c r="BM55" s="197">
        <f>+BM56</f>
        <v/>
      </c>
      <c r="BN55" s="197">
        <f>+BN56</f>
        <v/>
      </c>
      <c r="BP55" s="198">
        <f>$G55</f>
        <v/>
      </c>
      <c r="BQ55" s="197">
        <f>$J55</f>
        <v/>
      </c>
      <c r="BR55" s="197">
        <f>+BR56</f>
        <v/>
      </c>
      <c r="BS55" s="197">
        <f>+BS56</f>
        <v/>
      </c>
      <c r="BT55" s="197">
        <f>+BT56</f>
        <v/>
      </c>
      <c r="BU55" s="197">
        <f>+BU56</f>
        <v/>
      </c>
      <c r="BV55" s="197">
        <f>+BV56</f>
        <v/>
      </c>
      <c r="BX55" s="198">
        <f>$G55</f>
        <v/>
      </c>
      <c r="BY55" s="197">
        <f>$K55</f>
        <v/>
      </c>
      <c r="BZ55" s="197">
        <f>+BZ56</f>
        <v/>
      </c>
      <c r="CA55" s="197">
        <f>+CA56</f>
        <v/>
      </c>
      <c r="CB55" s="197">
        <f>+CB56</f>
        <v/>
      </c>
      <c r="CC55" s="197">
        <f>+CC56</f>
        <v/>
      </c>
      <c r="CD55" s="197">
        <f>+CD56</f>
        <v/>
      </c>
      <c r="CF55" s="198">
        <f>$G55</f>
        <v/>
      </c>
      <c r="CG55" s="197">
        <f>$L55</f>
        <v/>
      </c>
      <c r="CH55" s="197">
        <f>+CH56</f>
        <v/>
      </c>
      <c r="CI55" s="197">
        <f>+CI56</f>
        <v/>
      </c>
      <c r="CJ55" s="197">
        <f>+CJ56</f>
        <v/>
      </c>
      <c r="CK55" s="197">
        <f>+CK56</f>
        <v/>
      </c>
      <c r="CL55" s="197">
        <f>+CL56</f>
        <v/>
      </c>
      <c r="CO55" s="199" t="n"/>
      <c r="CP55" s="199" t="n">
        <v>1.76</v>
      </c>
      <c r="CR55" s="199" t="inlineStr">
        <is>
          <t>#N/A N/A</t>
        </is>
      </c>
      <c r="CS55" s="970" t="n">
        <v>1.0613</v>
      </c>
    </row>
    <row r="56" ht="13.25" customHeight="1">
      <c r="B56" s="204">
        <f>+C56-1</f>
        <v/>
      </c>
      <c r="C56" s="204">
        <f>IF('bands_A-H_Avg'!$D$9+1&gt;MONTH(G56),YEAR(G56),YEAR(G56)+1)</f>
        <v/>
      </c>
      <c r="D56" s="204">
        <f>+C56+1</f>
        <v/>
      </c>
      <c r="E56" s="203">
        <f>IF(C56&gt;C55,1,E55+1)</f>
        <v/>
      </c>
      <c r="F56" s="203">
        <f>COUNTIF(C:C,C56)</f>
        <v/>
      </c>
      <c r="G56" s="198">
        <f>+G57-7</f>
        <v/>
      </c>
      <c r="H56" s="361">
        <f>IF(ISBLANK(CO56),CP56,SUMPRODUCT(CO$32:CP$32,CO56:CP56))</f>
        <v/>
      </c>
      <c r="I56" s="968">
        <f>H56/M56</f>
        <v/>
      </c>
      <c r="J56" s="968">
        <f>H56/N56</f>
        <v/>
      </c>
      <c r="K56" s="968">
        <f>(H56+Q56)/O56</f>
        <v/>
      </c>
      <c r="L56" s="968">
        <f>(H56+Q56)/P56</f>
        <v/>
      </c>
      <c r="M56" s="199">
        <f>HLOOKUP(C:C,$4:$10,3,FALSE)+((HLOOKUP(D:D,$4:$10,3,FALSE)-HLOOKUP(C:C,$4:$10,3,FALSE))*E56/F56)</f>
        <v/>
      </c>
      <c r="N56" s="199">
        <f>HLOOKUP(C:C,$4:$10,2,FALSE)+((HLOOKUP(D:D,$4:$10,2,FALSE)-HLOOKUP(C:C,$4:$10,2,FALSE))*E56/F56)</f>
        <v/>
      </c>
      <c r="O56" s="199">
        <f>HLOOKUP(C:C,$4:$10,5,FALSE)+((HLOOKUP(D:D,$4:$10,5,FALSE)-HLOOKUP(C:C,$4:$10,5,FALSE))*E56/F56)</f>
        <v/>
      </c>
      <c r="P56" s="199">
        <f>HLOOKUP(C:C,$4:$10,4,FALSE)+((HLOOKUP(D:D,$4:$10,4,FALSE)-HLOOKUP(C:C,$4:$10,4,FALSE))*E56/F56)</f>
        <v/>
      </c>
      <c r="Q56" s="199">
        <f>HLOOKUP(B:B,$4:$10,6,FALSE)+((HLOOKUP(C:C,$4:$10,6,FALSE)-HLOOKUP(B:B,$4:$10,6,FALSE))*E56/F56)</f>
        <v/>
      </c>
      <c r="T56" s="198">
        <f>$G56</f>
        <v/>
      </c>
      <c r="U56" s="199">
        <f>H56/(HLOOKUP(B:B,$4:$10,3,FALSE)+((HLOOKUP(C:C,$4:$10,3,FALSE)-HLOOKUP(B:B,$4:$10,3,FALSE))*E56/F56))</f>
        <v/>
      </c>
      <c r="V56" s="969">
        <f>HLOOKUP(B:B,$4:$10,7,FALSE)+((HLOOKUP(C:C,$4:$10,7,FALSE)-HLOOKUP(B:B,$4:$10,7,FALSE))*E56/F56)</f>
        <v/>
      </c>
      <c r="AB56" s="198">
        <f>$G56</f>
        <v/>
      </c>
      <c r="AC56" s="199">
        <f>$H56</f>
        <v/>
      </c>
      <c r="AD56" s="199">
        <f>$M56*AD$34</f>
        <v/>
      </c>
      <c r="AE56" s="199">
        <f>$M56*AE$34</f>
        <v/>
      </c>
      <c r="AF56" s="199">
        <f>$M56*AF$34</f>
        <v/>
      </c>
      <c r="AG56" s="199">
        <f>$M56*AG$34</f>
        <v/>
      </c>
      <c r="AH56" s="199">
        <f>$M56*AH$34</f>
        <v/>
      </c>
      <c r="AJ56" s="198">
        <f>$G56</f>
        <v/>
      </c>
      <c r="AK56" s="199">
        <f>$H56</f>
        <v/>
      </c>
      <c r="AL56" s="199">
        <f>$N56*AL$34</f>
        <v/>
      </c>
      <c r="AM56" s="199">
        <f>$N56*AM$34</f>
        <v/>
      </c>
      <c r="AN56" s="199">
        <f>$N56*AN$34</f>
        <v/>
      </c>
      <c r="AO56" s="199">
        <f>$N56*AO$34</f>
        <v/>
      </c>
      <c r="AP56" s="199">
        <f>$N56*AP$34</f>
        <v/>
      </c>
      <c r="AR56" s="198">
        <f>$G56</f>
        <v/>
      </c>
      <c r="AS56" s="199">
        <f>$H56</f>
        <v/>
      </c>
      <c r="AT56" s="199">
        <f>$O56*AT$34-$Q56</f>
        <v/>
      </c>
      <c r="AU56" s="199">
        <f>$O56*AU$34-$Q56</f>
        <v/>
      </c>
      <c r="AV56" s="199">
        <f>$O56*AV$34-$Q56</f>
        <v/>
      </c>
      <c r="AW56" s="199">
        <f>$O56*AW$34-$Q56</f>
        <v/>
      </c>
      <c r="AX56" s="199">
        <f>$O56*AX$34-$Q56</f>
        <v/>
      </c>
      <c r="AZ56" s="198">
        <f>$G56</f>
        <v/>
      </c>
      <c r="BA56" s="199">
        <f>$H56</f>
        <v/>
      </c>
      <c r="BB56" s="199">
        <f>$P56*BB$34-$Q56</f>
        <v/>
      </c>
      <c r="BC56" s="199">
        <f>$P56*BC$34-$Q56</f>
        <v/>
      </c>
      <c r="BD56" s="199">
        <f>$P56*BD$34-$Q56</f>
        <v/>
      </c>
      <c r="BE56" s="199">
        <f>$P56*BE$34-$Q56</f>
        <v/>
      </c>
      <c r="BF56" s="199">
        <f>$P56*BF$34-$Q56</f>
        <v/>
      </c>
      <c r="BH56" s="198">
        <f>$G56</f>
        <v/>
      </c>
      <c r="BI56" s="197">
        <f>$I56</f>
        <v/>
      </c>
      <c r="BJ56" s="197">
        <f>+BJ57</f>
        <v/>
      </c>
      <c r="BK56" s="197">
        <f>+BK57</f>
        <v/>
      </c>
      <c r="BL56" s="197">
        <f>+BL57</f>
        <v/>
      </c>
      <c r="BM56" s="197">
        <f>+BM57</f>
        <v/>
      </c>
      <c r="BN56" s="197">
        <f>+BN57</f>
        <v/>
      </c>
      <c r="BP56" s="198">
        <f>$G56</f>
        <v/>
      </c>
      <c r="BQ56" s="197">
        <f>$J56</f>
        <v/>
      </c>
      <c r="BR56" s="197">
        <f>+BR57</f>
        <v/>
      </c>
      <c r="BS56" s="197">
        <f>+BS57</f>
        <v/>
      </c>
      <c r="BT56" s="197">
        <f>+BT57</f>
        <v/>
      </c>
      <c r="BU56" s="197">
        <f>+BU57</f>
        <v/>
      </c>
      <c r="BV56" s="197">
        <f>+BV57</f>
        <v/>
      </c>
      <c r="BX56" s="198">
        <f>$G56</f>
        <v/>
      </c>
      <c r="BY56" s="197">
        <f>$K56</f>
        <v/>
      </c>
      <c r="BZ56" s="197">
        <f>+BZ57</f>
        <v/>
      </c>
      <c r="CA56" s="197">
        <f>+CA57</f>
        <v/>
      </c>
      <c r="CB56" s="197">
        <f>+CB57</f>
        <v/>
      </c>
      <c r="CC56" s="197">
        <f>+CC57</f>
        <v/>
      </c>
      <c r="CD56" s="197">
        <f>+CD57</f>
        <v/>
      </c>
      <c r="CF56" s="198">
        <f>$G56</f>
        <v/>
      </c>
      <c r="CG56" s="197">
        <f>$L56</f>
        <v/>
      </c>
      <c r="CH56" s="197">
        <f>+CH57</f>
        <v/>
      </c>
      <c r="CI56" s="197">
        <f>+CI57</f>
        <v/>
      </c>
      <c r="CJ56" s="197">
        <f>+CJ57</f>
        <v/>
      </c>
      <c r="CK56" s="197">
        <f>+CK57</f>
        <v/>
      </c>
      <c r="CL56" s="197">
        <f>+CL57</f>
        <v/>
      </c>
      <c r="CO56" s="199" t="n"/>
      <c r="CP56" s="199" t="n">
        <v>1.73</v>
      </c>
      <c r="CR56" s="199" t="inlineStr">
        <is>
          <t>#N/A N/A</t>
        </is>
      </c>
      <c r="CS56" s="970" t="n">
        <v>1.06223</v>
      </c>
    </row>
    <row r="57" ht="13.25" customHeight="1">
      <c r="B57" s="204">
        <f>+C57-1</f>
        <v/>
      </c>
      <c r="C57" s="204">
        <f>IF('bands_A-H_Avg'!$D$9+1&gt;MONTH(G57),YEAR(G57),YEAR(G57)+1)</f>
        <v/>
      </c>
      <c r="D57" s="204">
        <f>+C57+1</f>
        <v/>
      </c>
      <c r="E57" s="203">
        <f>IF(C57&gt;C56,1,E56+1)</f>
        <v/>
      </c>
      <c r="F57" s="203">
        <f>COUNTIF(C:C,C57)</f>
        <v/>
      </c>
      <c r="G57" s="198">
        <f>+G58-7</f>
        <v/>
      </c>
      <c r="H57" s="361">
        <f>IF(ISBLANK(CO57),CP57,SUMPRODUCT(CO$32:CP$32,CO57:CP57))</f>
        <v/>
      </c>
      <c r="I57" s="968">
        <f>H57/M57</f>
        <v/>
      </c>
      <c r="J57" s="968">
        <f>H57/N57</f>
        <v/>
      </c>
      <c r="K57" s="968">
        <f>(H57+Q57)/O57</f>
        <v/>
      </c>
      <c r="L57" s="968">
        <f>(H57+Q57)/P57</f>
        <v/>
      </c>
      <c r="M57" s="199">
        <f>HLOOKUP(C:C,$4:$10,3,FALSE)+((HLOOKUP(D:D,$4:$10,3,FALSE)-HLOOKUP(C:C,$4:$10,3,FALSE))*E57/F57)</f>
        <v/>
      </c>
      <c r="N57" s="199">
        <f>HLOOKUP(C:C,$4:$10,2,FALSE)+((HLOOKUP(D:D,$4:$10,2,FALSE)-HLOOKUP(C:C,$4:$10,2,FALSE))*E57/F57)</f>
        <v/>
      </c>
      <c r="O57" s="199">
        <f>HLOOKUP(C:C,$4:$10,5,FALSE)+((HLOOKUP(D:D,$4:$10,5,FALSE)-HLOOKUP(C:C,$4:$10,5,FALSE))*E57/F57)</f>
        <v/>
      </c>
      <c r="P57" s="199">
        <f>HLOOKUP(C:C,$4:$10,4,FALSE)+((HLOOKUP(D:D,$4:$10,4,FALSE)-HLOOKUP(C:C,$4:$10,4,FALSE))*E57/F57)</f>
        <v/>
      </c>
      <c r="Q57" s="199">
        <f>HLOOKUP(B:B,$4:$10,6,FALSE)+((HLOOKUP(C:C,$4:$10,6,FALSE)-HLOOKUP(B:B,$4:$10,6,FALSE))*E57/F57)</f>
        <v/>
      </c>
      <c r="T57" s="198">
        <f>$G57</f>
        <v/>
      </c>
      <c r="U57" s="199">
        <f>H57/(HLOOKUP(B:B,$4:$10,3,FALSE)+((HLOOKUP(C:C,$4:$10,3,FALSE)-HLOOKUP(B:B,$4:$10,3,FALSE))*E57/F57))</f>
        <v/>
      </c>
      <c r="V57" s="969">
        <f>HLOOKUP(B:B,$4:$10,7,FALSE)+((HLOOKUP(C:C,$4:$10,7,FALSE)-HLOOKUP(B:B,$4:$10,7,FALSE))*E57/F57)</f>
        <v/>
      </c>
      <c r="AB57" s="198">
        <f>$G57</f>
        <v/>
      </c>
      <c r="AC57" s="199">
        <f>$H57</f>
        <v/>
      </c>
      <c r="AD57" s="199">
        <f>$M57*AD$34</f>
        <v/>
      </c>
      <c r="AE57" s="199">
        <f>$M57*AE$34</f>
        <v/>
      </c>
      <c r="AF57" s="199">
        <f>$M57*AF$34</f>
        <v/>
      </c>
      <c r="AG57" s="199">
        <f>$M57*AG$34</f>
        <v/>
      </c>
      <c r="AH57" s="199">
        <f>$M57*AH$34</f>
        <v/>
      </c>
      <c r="AJ57" s="198">
        <f>$G57</f>
        <v/>
      </c>
      <c r="AK57" s="199">
        <f>$H57</f>
        <v/>
      </c>
      <c r="AL57" s="199">
        <f>$N57*AL$34</f>
        <v/>
      </c>
      <c r="AM57" s="199">
        <f>$N57*AM$34</f>
        <v/>
      </c>
      <c r="AN57" s="199">
        <f>$N57*AN$34</f>
        <v/>
      </c>
      <c r="AO57" s="199">
        <f>$N57*AO$34</f>
        <v/>
      </c>
      <c r="AP57" s="199">
        <f>$N57*AP$34</f>
        <v/>
      </c>
      <c r="AR57" s="198">
        <f>$G57</f>
        <v/>
      </c>
      <c r="AS57" s="199">
        <f>$H57</f>
        <v/>
      </c>
      <c r="AT57" s="199">
        <f>$O57*AT$34-$Q57</f>
        <v/>
      </c>
      <c r="AU57" s="199">
        <f>$O57*AU$34-$Q57</f>
        <v/>
      </c>
      <c r="AV57" s="199">
        <f>$O57*AV$34-$Q57</f>
        <v/>
      </c>
      <c r="AW57" s="199">
        <f>$O57*AW$34-$Q57</f>
        <v/>
      </c>
      <c r="AX57" s="199">
        <f>$O57*AX$34-$Q57</f>
        <v/>
      </c>
      <c r="AZ57" s="198">
        <f>$G57</f>
        <v/>
      </c>
      <c r="BA57" s="199">
        <f>$H57</f>
        <v/>
      </c>
      <c r="BB57" s="199">
        <f>$P57*BB$34-$Q57</f>
        <v/>
      </c>
      <c r="BC57" s="199">
        <f>$P57*BC$34-$Q57</f>
        <v/>
      </c>
      <c r="BD57" s="199">
        <f>$P57*BD$34-$Q57</f>
        <v/>
      </c>
      <c r="BE57" s="199">
        <f>$P57*BE$34-$Q57</f>
        <v/>
      </c>
      <c r="BF57" s="199">
        <f>$P57*BF$34-$Q57</f>
        <v/>
      </c>
      <c r="BH57" s="198">
        <f>$G57</f>
        <v/>
      </c>
      <c r="BI57" s="197">
        <f>$I57</f>
        <v/>
      </c>
      <c r="BJ57" s="197">
        <f>+BJ58</f>
        <v/>
      </c>
      <c r="BK57" s="197">
        <f>+BK58</f>
        <v/>
      </c>
      <c r="BL57" s="197">
        <f>+BL58</f>
        <v/>
      </c>
      <c r="BM57" s="197">
        <f>+BM58</f>
        <v/>
      </c>
      <c r="BN57" s="197">
        <f>+BN58</f>
        <v/>
      </c>
      <c r="BP57" s="198">
        <f>$G57</f>
        <v/>
      </c>
      <c r="BQ57" s="197">
        <f>$J57</f>
        <v/>
      </c>
      <c r="BR57" s="197">
        <f>+BR58</f>
        <v/>
      </c>
      <c r="BS57" s="197">
        <f>+BS58</f>
        <v/>
      </c>
      <c r="BT57" s="197">
        <f>+BT58</f>
        <v/>
      </c>
      <c r="BU57" s="197">
        <f>+BU58</f>
        <v/>
      </c>
      <c r="BV57" s="197">
        <f>+BV58</f>
        <v/>
      </c>
      <c r="BX57" s="198">
        <f>$G57</f>
        <v/>
      </c>
      <c r="BY57" s="197">
        <f>$K57</f>
        <v/>
      </c>
      <c r="BZ57" s="197">
        <f>+BZ58</f>
        <v/>
      </c>
      <c r="CA57" s="197">
        <f>+CA58</f>
        <v/>
      </c>
      <c r="CB57" s="197">
        <f>+CB58</f>
        <v/>
      </c>
      <c r="CC57" s="197">
        <f>+CC58</f>
        <v/>
      </c>
      <c r="CD57" s="197">
        <f>+CD58</f>
        <v/>
      </c>
      <c r="CF57" s="198">
        <f>$G57</f>
        <v/>
      </c>
      <c r="CG57" s="197">
        <f>$L57</f>
        <v/>
      </c>
      <c r="CH57" s="197">
        <f>+CH58</f>
        <v/>
      </c>
      <c r="CI57" s="197">
        <f>+CI58</f>
        <v/>
      </c>
      <c r="CJ57" s="197">
        <f>+CJ58</f>
        <v/>
      </c>
      <c r="CK57" s="197">
        <f>+CK58</f>
        <v/>
      </c>
      <c r="CL57" s="197">
        <f>+CL58</f>
        <v/>
      </c>
      <c r="CO57" s="199" t="n"/>
      <c r="CP57" s="199" t="n">
        <v>1.72</v>
      </c>
      <c r="CR57" s="199" t="inlineStr">
        <is>
          <t>#N/A N/A</t>
        </is>
      </c>
      <c r="CS57" s="970" t="n">
        <v>1.06404</v>
      </c>
    </row>
    <row r="58" ht="13.25" customHeight="1">
      <c r="B58" s="204">
        <f>+C58-1</f>
        <v/>
      </c>
      <c r="C58" s="204">
        <f>IF('bands_A-H_Avg'!$D$9+1&gt;MONTH(G58),YEAR(G58),YEAR(G58)+1)</f>
        <v/>
      </c>
      <c r="D58" s="204">
        <f>+C58+1</f>
        <v/>
      </c>
      <c r="E58" s="203">
        <f>IF(C58&gt;C57,1,E57+1)</f>
        <v/>
      </c>
      <c r="F58" s="203">
        <f>COUNTIF(C:C,C58)</f>
        <v/>
      </c>
      <c r="G58" s="198">
        <f>+G59-7</f>
        <v/>
      </c>
      <c r="H58" s="361">
        <f>IF(ISBLANK(CO58),CP58,SUMPRODUCT(CO$32:CP$32,CO58:CP58))</f>
        <v/>
      </c>
      <c r="I58" s="968">
        <f>H58/M58</f>
        <v/>
      </c>
      <c r="J58" s="968">
        <f>H58/N58</f>
        <v/>
      </c>
      <c r="K58" s="968">
        <f>(H58+Q58)/O58</f>
        <v/>
      </c>
      <c r="L58" s="968">
        <f>(H58+Q58)/P58</f>
        <v/>
      </c>
      <c r="M58" s="199">
        <f>HLOOKUP(C:C,$4:$10,3,FALSE)+((HLOOKUP(D:D,$4:$10,3,FALSE)-HLOOKUP(C:C,$4:$10,3,FALSE))*E58/F58)</f>
        <v/>
      </c>
      <c r="N58" s="199">
        <f>HLOOKUP(C:C,$4:$10,2,FALSE)+((HLOOKUP(D:D,$4:$10,2,FALSE)-HLOOKUP(C:C,$4:$10,2,FALSE))*E58/F58)</f>
        <v/>
      </c>
      <c r="O58" s="199">
        <f>HLOOKUP(C:C,$4:$10,5,FALSE)+((HLOOKUP(D:D,$4:$10,5,FALSE)-HLOOKUP(C:C,$4:$10,5,FALSE))*E58/F58)</f>
        <v/>
      </c>
      <c r="P58" s="199">
        <f>HLOOKUP(C:C,$4:$10,4,FALSE)+((HLOOKUP(D:D,$4:$10,4,FALSE)-HLOOKUP(C:C,$4:$10,4,FALSE))*E58/F58)</f>
        <v/>
      </c>
      <c r="Q58" s="199">
        <f>HLOOKUP(B:B,$4:$10,6,FALSE)+((HLOOKUP(C:C,$4:$10,6,FALSE)-HLOOKUP(B:B,$4:$10,6,FALSE))*E58/F58)</f>
        <v/>
      </c>
      <c r="T58" s="198">
        <f>$G58</f>
        <v/>
      </c>
      <c r="U58" s="199">
        <f>H58/(HLOOKUP(B:B,$4:$10,3,FALSE)+((HLOOKUP(C:C,$4:$10,3,FALSE)-HLOOKUP(B:B,$4:$10,3,FALSE))*E58/F58))</f>
        <v/>
      </c>
      <c r="V58" s="969">
        <f>HLOOKUP(B:B,$4:$10,7,FALSE)+((HLOOKUP(C:C,$4:$10,7,FALSE)-HLOOKUP(B:B,$4:$10,7,FALSE))*E58/F58)</f>
        <v/>
      </c>
      <c r="AB58" s="198">
        <f>$G58</f>
        <v/>
      </c>
      <c r="AC58" s="199">
        <f>$H58</f>
        <v/>
      </c>
      <c r="AD58" s="199">
        <f>$M58*AD$34</f>
        <v/>
      </c>
      <c r="AE58" s="199">
        <f>$M58*AE$34</f>
        <v/>
      </c>
      <c r="AF58" s="199">
        <f>$M58*AF$34</f>
        <v/>
      </c>
      <c r="AG58" s="199">
        <f>$M58*AG$34</f>
        <v/>
      </c>
      <c r="AH58" s="199">
        <f>$M58*AH$34</f>
        <v/>
      </c>
      <c r="AJ58" s="198">
        <f>$G58</f>
        <v/>
      </c>
      <c r="AK58" s="199">
        <f>$H58</f>
        <v/>
      </c>
      <c r="AL58" s="199">
        <f>$N58*AL$34</f>
        <v/>
      </c>
      <c r="AM58" s="199">
        <f>$N58*AM$34</f>
        <v/>
      </c>
      <c r="AN58" s="199">
        <f>$N58*AN$34</f>
        <v/>
      </c>
      <c r="AO58" s="199">
        <f>$N58*AO$34</f>
        <v/>
      </c>
      <c r="AP58" s="199">
        <f>$N58*AP$34</f>
        <v/>
      </c>
      <c r="AR58" s="198">
        <f>$G58</f>
        <v/>
      </c>
      <c r="AS58" s="199">
        <f>$H58</f>
        <v/>
      </c>
      <c r="AT58" s="199">
        <f>$O58*AT$34-$Q58</f>
        <v/>
      </c>
      <c r="AU58" s="199">
        <f>$O58*AU$34-$Q58</f>
        <v/>
      </c>
      <c r="AV58" s="199">
        <f>$O58*AV$34-$Q58</f>
        <v/>
      </c>
      <c r="AW58" s="199">
        <f>$O58*AW$34-$Q58</f>
        <v/>
      </c>
      <c r="AX58" s="199">
        <f>$O58*AX$34-$Q58</f>
        <v/>
      </c>
      <c r="AZ58" s="198">
        <f>$G58</f>
        <v/>
      </c>
      <c r="BA58" s="199">
        <f>$H58</f>
        <v/>
      </c>
      <c r="BB58" s="199">
        <f>$P58*BB$34-$Q58</f>
        <v/>
      </c>
      <c r="BC58" s="199">
        <f>$P58*BC$34-$Q58</f>
        <v/>
      </c>
      <c r="BD58" s="199">
        <f>$P58*BD$34-$Q58</f>
        <v/>
      </c>
      <c r="BE58" s="199">
        <f>$P58*BE$34-$Q58</f>
        <v/>
      </c>
      <c r="BF58" s="199">
        <f>$P58*BF$34-$Q58</f>
        <v/>
      </c>
      <c r="BH58" s="198">
        <f>$G58</f>
        <v/>
      </c>
      <c r="BI58" s="197">
        <f>$I58</f>
        <v/>
      </c>
      <c r="BJ58" s="197">
        <f>+BJ59</f>
        <v/>
      </c>
      <c r="BK58" s="197">
        <f>+BK59</f>
        <v/>
      </c>
      <c r="BL58" s="197">
        <f>+BL59</f>
        <v/>
      </c>
      <c r="BM58" s="197">
        <f>+BM59</f>
        <v/>
      </c>
      <c r="BN58" s="197">
        <f>+BN59</f>
        <v/>
      </c>
      <c r="BP58" s="198">
        <f>$G58</f>
        <v/>
      </c>
      <c r="BQ58" s="197">
        <f>$J58</f>
        <v/>
      </c>
      <c r="BR58" s="197">
        <f>+BR59</f>
        <v/>
      </c>
      <c r="BS58" s="197">
        <f>+BS59</f>
        <v/>
      </c>
      <c r="BT58" s="197">
        <f>+BT59</f>
        <v/>
      </c>
      <c r="BU58" s="197">
        <f>+BU59</f>
        <v/>
      </c>
      <c r="BV58" s="197">
        <f>+BV59</f>
        <v/>
      </c>
      <c r="BX58" s="198">
        <f>$G58</f>
        <v/>
      </c>
      <c r="BY58" s="197">
        <f>$K58</f>
        <v/>
      </c>
      <c r="BZ58" s="197">
        <f>+BZ59</f>
        <v/>
      </c>
      <c r="CA58" s="197">
        <f>+CA59</f>
        <v/>
      </c>
      <c r="CB58" s="197">
        <f>+CB59</f>
        <v/>
      </c>
      <c r="CC58" s="197">
        <f>+CC59</f>
        <v/>
      </c>
      <c r="CD58" s="197">
        <f>+CD59</f>
        <v/>
      </c>
      <c r="CF58" s="198">
        <f>$G58</f>
        <v/>
      </c>
      <c r="CG58" s="197">
        <f>$L58</f>
        <v/>
      </c>
      <c r="CH58" s="197">
        <f>+CH59</f>
        <v/>
      </c>
      <c r="CI58" s="197">
        <f>+CI59</f>
        <v/>
      </c>
      <c r="CJ58" s="197">
        <f>+CJ59</f>
        <v/>
      </c>
      <c r="CK58" s="197">
        <f>+CK59</f>
        <v/>
      </c>
      <c r="CL58" s="197">
        <f>+CL59</f>
        <v/>
      </c>
      <c r="CO58" s="199" t="n"/>
      <c r="CP58" s="199" t="n">
        <v>1.66</v>
      </c>
      <c r="CR58" s="199" t="inlineStr">
        <is>
          <t>#N/A N/A</t>
        </is>
      </c>
      <c r="CS58" s="970" t="n">
        <v>1.06343</v>
      </c>
    </row>
    <row r="59" ht="13.25" customHeight="1">
      <c r="B59" s="204">
        <f>+C59-1</f>
        <v/>
      </c>
      <c r="C59" s="204">
        <f>IF('bands_A-H_Avg'!$D$9+1&gt;MONTH(G59),YEAR(G59),YEAR(G59)+1)</f>
        <v/>
      </c>
      <c r="D59" s="204">
        <f>+C59+1</f>
        <v/>
      </c>
      <c r="E59" s="203">
        <f>IF(C59&gt;C58,1,E58+1)</f>
        <v/>
      </c>
      <c r="F59" s="203">
        <f>COUNTIF(C:C,C59)</f>
        <v/>
      </c>
      <c r="G59" s="198">
        <f>+G60-7</f>
        <v/>
      </c>
      <c r="H59" s="361">
        <f>IF(ISBLANK(CO59),CP59,SUMPRODUCT(CO$32:CP$32,CO59:CP59))</f>
        <v/>
      </c>
      <c r="I59" s="968">
        <f>H59/M59</f>
        <v/>
      </c>
      <c r="J59" s="968">
        <f>H59/N59</f>
        <v/>
      </c>
      <c r="K59" s="968">
        <f>(H59+Q59)/O59</f>
        <v/>
      </c>
      <c r="L59" s="968">
        <f>(H59+Q59)/P59</f>
        <v/>
      </c>
      <c r="M59" s="199">
        <f>HLOOKUP(C:C,$4:$10,3,FALSE)+((HLOOKUP(D:D,$4:$10,3,FALSE)-HLOOKUP(C:C,$4:$10,3,FALSE))*E59/F59)</f>
        <v/>
      </c>
      <c r="N59" s="199">
        <f>HLOOKUP(C:C,$4:$10,2,FALSE)+((HLOOKUP(D:D,$4:$10,2,FALSE)-HLOOKUP(C:C,$4:$10,2,FALSE))*E59/F59)</f>
        <v/>
      </c>
      <c r="O59" s="199">
        <f>HLOOKUP(C:C,$4:$10,5,FALSE)+((HLOOKUP(D:D,$4:$10,5,FALSE)-HLOOKUP(C:C,$4:$10,5,FALSE))*E59/F59)</f>
        <v/>
      </c>
      <c r="P59" s="199">
        <f>HLOOKUP(C:C,$4:$10,4,FALSE)+((HLOOKUP(D:D,$4:$10,4,FALSE)-HLOOKUP(C:C,$4:$10,4,FALSE))*E59/F59)</f>
        <v/>
      </c>
      <c r="Q59" s="199">
        <f>HLOOKUP(B:B,$4:$10,6,FALSE)+((HLOOKUP(C:C,$4:$10,6,FALSE)-HLOOKUP(B:B,$4:$10,6,FALSE))*E59/F59)</f>
        <v/>
      </c>
      <c r="T59" s="198">
        <f>$G59</f>
        <v/>
      </c>
      <c r="U59" s="199">
        <f>H59/(HLOOKUP(B:B,$4:$10,3,FALSE)+((HLOOKUP(C:C,$4:$10,3,FALSE)-HLOOKUP(B:B,$4:$10,3,FALSE))*E59/F59))</f>
        <v/>
      </c>
      <c r="V59" s="969">
        <f>HLOOKUP(B:B,$4:$10,7,FALSE)+((HLOOKUP(C:C,$4:$10,7,FALSE)-HLOOKUP(B:B,$4:$10,7,FALSE))*E59/F59)</f>
        <v/>
      </c>
      <c r="AB59" s="198">
        <f>$G59</f>
        <v/>
      </c>
      <c r="AC59" s="199">
        <f>$H59</f>
        <v/>
      </c>
      <c r="AD59" s="199">
        <f>$M59*AD$34</f>
        <v/>
      </c>
      <c r="AE59" s="199">
        <f>$M59*AE$34</f>
        <v/>
      </c>
      <c r="AF59" s="199">
        <f>$M59*AF$34</f>
        <v/>
      </c>
      <c r="AG59" s="199">
        <f>$M59*AG$34</f>
        <v/>
      </c>
      <c r="AH59" s="199">
        <f>$M59*AH$34</f>
        <v/>
      </c>
      <c r="AJ59" s="198">
        <f>$G59</f>
        <v/>
      </c>
      <c r="AK59" s="199">
        <f>$H59</f>
        <v/>
      </c>
      <c r="AL59" s="199">
        <f>$N59*AL$34</f>
        <v/>
      </c>
      <c r="AM59" s="199">
        <f>$N59*AM$34</f>
        <v/>
      </c>
      <c r="AN59" s="199">
        <f>$N59*AN$34</f>
        <v/>
      </c>
      <c r="AO59" s="199">
        <f>$N59*AO$34</f>
        <v/>
      </c>
      <c r="AP59" s="199">
        <f>$N59*AP$34</f>
        <v/>
      </c>
      <c r="AR59" s="198">
        <f>$G59</f>
        <v/>
      </c>
      <c r="AS59" s="199">
        <f>$H59</f>
        <v/>
      </c>
      <c r="AT59" s="199">
        <f>$O59*AT$34-$Q59</f>
        <v/>
      </c>
      <c r="AU59" s="199">
        <f>$O59*AU$34-$Q59</f>
        <v/>
      </c>
      <c r="AV59" s="199">
        <f>$O59*AV$34-$Q59</f>
        <v/>
      </c>
      <c r="AW59" s="199">
        <f>$O59*AW$34-$Q59</f>
        <v/>
      </c>
      <c r="AX59" s="199">
        <f>$O59*AX$34-$Q59</f>
        <v/>
      </c>
      <c r="AZ59" s="198">
        <f>$G59</f>
        <v/>
      </c>
      <c r="BA59" s="199">
        <f>$H59</f>
        <v/>
      </c>
      <c r="BB59" s="199">
        <f>$P59*BB$34-$Q59</f>
        <v/>
      </c>
      <c r="BC59" s="199">
        <f>$P59*BC$34-$Q59</f>
        <v/>
      </c>
      <c r="BD59" s="199">
        <f>$P59*BD$34-$Q59</f>
        <v/>
      </c>
      <c r="BE59" s="199">
        <f>$P59*BE$34-$Q59</f>
        <v/>
      </c>
      <c r="BF59" s="199">
        <f>$P59*BF$34-$Q59</f>
        <v/>
      </c>
      <c r="BH59" s="198">
        <f>$G59</f>
        <v/>
      </c>
      <c r="BI59" s="197">
        <f>$I59</f>
        <v/>
      </c>
      <c r="BJ59" s="197">
        <f>+BJ60</f>
        <v/>
      </c>
      <c r="BK59" s="197">
        <f>+BK60</f>
        <v/>
      </c>
      <c r="BL59" s="197">
        <f>+BL60</f>
        <v/>
      </c>
      <c r="BM59" s="197">
        <f>+BM60</f>
        <v/>
      </c>
      <c r="BN59" s="197">
        <f>+BN60</f>
        <v/>
      </c>
      <c r="BP59" s="198">
        <f>$G59</f>
        <v/>
      </c>
      <c r="BQ59" s="197">
        <f>$J59</f>
        <v/>
      </c>
      <c r="BR59" s="197">
        <f>+BR60</f>
        <v/>
      </c>
      <c r="BS59" s="197">
        <f>+BS60</f>
        <v/>
      </c>
      <c r="BT59" s="197">
        <f>+BT60</f>
        <v/>
      </c>
      <c r="BU59" s="197">
        <f>+BU60</f>
        <v/>
      </c>
      <c r="BV59" s="197">
        <f>+BV60</f>
        <v/>
      </c>
      <c r="BX59" s="198">
        <f>$G59</f>
        <v/>
      </c>
      <c r="BY59" s="197">
        <f>$K59</f>
        <v/>
      </c>
      <c r="BZ59" s="197">
        <f>+BZ60</f>
        <v/>
      </c>
      <c r="CA59" s="197">
        <f>+CA60</f>
        <v/>
      </c>
      <c r="CB59" s="197">
        <f>+CB60</f>
        <v/>
      </c>
      <c r="CC59" s="197">
        <f>+CC60</f>
        <v/>
      </c>
      <c r="CD59" s="197">
        <f>+CD60</f>
        <v/>
      </c>
      <c r="CF59" s="198">
        <f>$G59</f>
        <v/>
      </c>
      <c r="CG59" s="197">
        <f>$L59</f>
        <v/>
      </c>
      <c r="CH59" s="197">
        <f>+CH60</f>
        <v/>
      </c>
      <c r="CI59" s="197">
        <f>+CI60</f>
        <v/>
      </c>
      <c r="CJ59" s="197">
        <f>+CJ60</f>
        <v/>
      </c>
      <c r="CK59" s="197">
        <f>+CK60</f>
        <v/>
      </c>
      <c r="CL59" s="197">
        <f>+CL60</f>
        <v/>
      </c>
      <c r="CO59" s="199" t="n"/>
      <c r="CP59" s="199" t="n">
        <v>1.72</v>
      </c>
      <c r="CR59" s="199" t="inlineStr">
        <is>
          <t>#N/A N/A</t>
        </is>
      </c>
      <c r="CS59" s="970" t="n">
        <v>1.06392</v>
      </c>
    </row>
    <row r="60" ht="13.25" customHeight="1">
      <c r="B60" s="204">
        <f>+C60-1</f>
        <v/>
      </c>
      <c r="C60" s="204">
        <f>IF('bands_A-H_Avg'!$D$9+1&gt;MONTH(G60),YEAR(G60),YEAR(G60)+1)</f>
        <v/>
      </c>
      <c r="D60" s="204">
        <f>+C60+1</f>
        <v/>
      </c>
      <c r="E60" s="203">
        <f>IF(C60&gt;C59,1,E59+1)</f>
        <v/>
      </c>
      <c r="F60" s="203">
        <f>COUNTIF(C:C,C60)</f>
        <v/>
      </c>
      <c r="G60" s="198">
        <f>+G61-7</f>
        <v/>
      </c>
      <c r="H60" s="361">
        <f>IF(ISBLANK(CO60),CP60,SUMPRODUCT(CO$32:CP$32,CO60:CP60))</f>
        <v/>
      </c>
      <c r="I60" s="968">
        <f>H60/M60</f>
        <v/>
      </c>
      <c r="J60" s="968">
        <f>H60/N60</f>
        <v/>
      </c>
      <c r="K60" s="968">
        <f>(H60+Q60)/O60</f>
        <v/>
      </c>
      <c r="L60" s="968">
        <f>(H60+Q60)/P60</f>
        <v/>
      </c>
      <c r="M60" s="199">
        <f>HLOOKUP(C:C,$4:$10,3,FALSE)+((HLOOKUP(D:D,$4:$10,3,FALSE)-HLOOKUP(C:C,$4:$10,3,FALSE))*E60/F60)</f>
        <v/>
      </c>
      <c r="N60" s="199">
        <f>HLOOKUP(C:C,$4:$10,2,FALSE)+((HLOOKUP(D:D,$4:$10,2,FALSE)-HLOOKUP(C:C,$4:$10,2,FALSE))*E60/F60)</f>
        <v/>
      </c>
      <c r="O60" s="199">
        <f>HLOOKUP(C:C,$4:$10,5,FALSE)+((HLOOKUP(D:D,$4:$10,5,FALSE)-HLOOKUP(C:C,$4:$10,5,FALSE))*E60/F60)</f>
        <v/>
      </c>
      <c r="P60" s="199">
        <f>HLOOKUP(C:C,$4:$10,4,FALSE)+((HLOOKUP(D:D,$4:$10,4,FALSE)-HLOOKUP(C:C,$4:$10,4,FALSE))*E60/F60)</f>
        <v/>
      </c>
      <c r="Q60" s="199">
        <f>HLOOKUP(B:B,$4:$10,6,FALSE)+((HLOOKUP(C:C,$4:$10,6,FALSE)-HLOOKUP(B:B,$4:$10,6,FALSE))*E60/F60)</f>
        <v/>
      </c>
      <c r="T60" s="198">
        <f>$G60</f>
        <v/>
      </c>
      <c r="U60" s="199">
        <f>H60/(HLOOKUP(B:B,$4:$10,3,FALSE)+((HLOOKUP(C:C,$4:$10,3,FALSE)-HLOOKUP(B:B,$4:$10,3,FALSE))*E60/F60))</f>
        <v/>
      </c>
      <c r="V60" s="969">
        <f>HLOOKUP(B:B,$4:$10,7,FALSE)+((HLOOKUP(C:C,$4:$10,7,FALSE)-HLOOKUP(B:B,$4:$10,7,FALSE))*E60/F60)</f>
        <v/>
      </c>
      <c r="AB60" s="198">
        <f>$G60</f>
        <v/>
      </c>
      <c r="AC60" s="199">
        <f>$H60</f>
        <v/>
      </c>
      <c r="AD60" s="199">
        <f>$M60*AD$34</f>
        <v/>
      </c>
      <c r="AE60" s="199">
        <f>$M60*AE$34</f>
        <v/>
      </c>
      <c r="AF60" s="199">
        <f>$M60*AF$34</f>
        <v/>
      </c>
      <c r="AG60" s="199">
        <f>$M60*AG$34</f>
        <v/>
      </c>
      <c r="AH60" s="199">
        <f>$M60*AH$34</f>
        <v/>
      </c>
      <c r="AJ60" s="198">
        <f>$G60</f>
        <v/>
      </c>
      <c r="AK60" s="199">
        <f>$H60</f>
        <v/>
      </c>
      <c r="AL60" s="199">
        <f>$N60*AL$34</f>
        <v/>
      </c>
      <c r="AM60" s="199">
        <f>$N60*AM$34</f>
        <v/>
      </c>
      <c r="AN60" s="199">
        <f>$N60*AN$34</f>
        <v/>
      </c>
      <c r="AO60" s="199">
        <f>$N60*AO$34</f>
        <v/>
      </c>
      <c r="AP60" s="199">
        <f>$N60*AP$34</f>
        <v/>
      </c>
      <c r="AR60" s="198">
        <f>$G60</f>
        <v/>
      </c>
      <c r="AS60" s="199">
        <f>$H60</f>
        <v/>
      </c>
      <c r="AT60" s="199">
        <f>$O60*AT$34-$Q60</f>
        <v/>
      </c>
      <c r="AU60" s="199">
        <f>$O60*AU$34-$Q60</f>
        <v/>
      </c>
      <c r="AV60" s="199">
        <f>$O60*AV$34-$Q60</f>
        <v/>
      </c>
      <c r="AW60" s="199">
        <f>$O60*AW$34-$Q60</f>
        <v/>
      </c>
      <c r="AX60" s="199">
        <f>$O60*AX$34-$Q60</f>
        <v/>
      </c>
      <c r="AZ60" s="198">
        <f>$G60</f>
        <v/>
      </c>
      <c r="BA60" s="199">
        <f>$H60</f>
        <v/>
      </c>
      <c r="BB60" s="199">
        <f>$P60*BB$34-$Q60</f>
        <v/>
      </c>
      <c r="BC60" s="199">
        <f>$P60*BC$34-$Q60</f>
        <v/>
      </c>
      <c r="BD60" s="199">
        <f>$P60*BD$34-$Q60</f>
        <v/>
      </c>
      <c r="BE60" s="199">
        <f>$P60*BE$34-$Q60</f>
        <v/>
      </c>
      <c r="BF60" s="199">
        <f>$P60*BF$34-$Q60</f>
        <v/>
      </c>
      <c r="BH60" s="198">
        <f>$G60</f>
        <v/>
      </c>
      <c r="BI60" s="197">
        <f>$I60</f>
        <v/>
      </c>
      <c r="BJ60" s="197">
        <f>+BJ61</f>
        <v/>
      </c>
      <c r="BK60" s="197">
        <f>+BK61</f>
        <v/>
      </c>
      <c r="BL60" s="197">
        <f>+BL61</f>
        <v/>
      </c>
      <c r="BM60" s="197">
        <f>+BM61</f>
        <v/>
      </c>
      <c r="BN60" s="197">
        <f>+BN61</f>
        <v/>
      </c>
      <c r="BP60" s="198">
        <f>$G60</f>
        <v/>
      </c>
      <c r="BQ60" s="197">
        <f>$J60</f>
        <v/>
      </c>
      <c r="BR60" s="197">
        <f>+BR61</f>
        <v/>
      </c>
      <c r="BS60" s="197">
        <f>+BS61</f>
        <v/>
      </c>
      <c r="BT60" s="197">
        <f>+BT61</f>
        <v/>
      </c>
      <c r="BU60" s="197">
        <f>+BU61</f>
        <v/>
      </c>
      <c r="BV60" s="197">
        <f>+BV61</f>
        <v/>
      </c>
      <c r="BX60" s="198">
        <f>$G60</f>
        <v/>
      </c>
      <c r="BY60" s="197">
        <f>$K60</f>
        <v/>
      </c>
      <c r="BZ60" s="197">
        <f>+BZ61</f>
        <v/>
      </c>
      <c r="CA60" s="197">
        <f>+CA61</f>
        <v/>
      </c>
      <c r="CB60" s="197">
        <f>+CB61</f>
        <v/>
      </c>
      <c r="CC60" s="197">
        <f>+CC61</f>
        <v/>
      </c>
      <c r="CD60" s="197">
        <f>+CD61</f>
        <v/>
      </c>
      <c r="CF60" s="198">
        <f>$G60</f>
        <v/>
      </c>
      <c r="CG60" s="197">
        <f>$L60</f>
        <v/>
      </c>
      <c r="CH60" s="197">
        <f>+CH61</f>
        <v/>
      </c>
      <c r="CI60" s="197">
        <f>+CI61</f>
        <v/>
      </c>
      <c r="CJ60" s="197">
        <f>+CJ61</f>
        <v/>
      </c>
      <c r="CK60" s="197">
        <f>+CK61</f>
        <v/>
      </c>
      <c r="CL60" s="197">
        <f>+CL61</f>
        <v/>
      </c>
      <c r="CO60" s="199" t="n"/>
      <c r="CP60" s="199" t="n">
        <v>1.7</v>
      </c>
      <c r="CR60" s="199" t="inlineStr">
        <is>
          <t>#N/A N/A</t>
        </is>
      </c>
      <c r="CS60" s="970" t="n">
        <v>1.06451</v>
      </c>
    </row>
    <row r="61" ht="13.25" customHeight="1">
      <c r="B61" s="204">
        <f>+C61-1</f>
        <v/>
      </c>
      <c r="C61" s="204">
        <f>IF('bands_A-H_Avg'!$D$9+1&gt;MONTH(G61),YEAR(G61),YEAR(G61)+1)</f>
        <v/>
      </c>
      <c r="D61" s="204">
        <f>+C61+1</f>
        <v/>
      </c>
      <c r="E61" s="203">
        <f>IF(C61&gt;C60,1,E60+1)</f>
        <v/>
      </c>
      <c r="F61" s="203">
        <f>COUNTIF(C:C,C61)</f>
        <v/>
      </c>
      <c r="G61" s="198">
        <f>+G62-7</f>
        <v/>
      </c>
      <c r="H61" s="361">
        <f>IF(ISBLANK(CO61),CP61,SUMPRODUCT(CO$32:CP$32,CO61:CP61))</f>
        <v/>
      </c>
      <c r="I61" s="968">
        <f>H61/M61</f>
        <v/>
      </c>
      <c r="J61" s="968">
        <f>H61/N61</f>
        <v/>
      </c>
      <c r="K61" s="968">
        <f>(H61+Q61)/O61</f>
        <v/>
      </c>
      <c r="L61" s="968">
        <f>(H61+Q61)/P61</f>
        <v/>
      </c>
      <c r="M61" s="199">
        <f>HLOOKUP(C:C,$4:$10,3,FALSE)+((HLOOKUP(D:D,$4:$10,3,FALSE)-HLOOKUP(C:C,$4:$10,3,FALSE))*E61/F61)</f>
        <v/>
      </c>
      <c r="N61" s="199">
        <f>HLOOKUP(C:C,$4:$10,2,FALSE)+((HLOOKUP(D:D,$4:$10,2,FALSE)-HLOOKUP(C:C,$4:$10,2,FALSE))*E61/F61)</f>
        <v/>
      </c>
      <c r="O61" s="199">
        <f>HLOOKUP(C:C,$4:$10,5,FALSE)+((HLOOKUP(D:D,$4:$10,5,FALSE)-HLOOKUP(C:C,$4:$10,5,FALSE))*E61/F61)</f>
        <v/>
      </c>
      <c r="P61" s="199">
        <f>HLOOKUP(C:C,$4:$10,4,FALSE)+((HLOOKUP(D:D,$4:$10,4,FALSE)-HLOOKUP(C:C,$4:$10,4,FALSE))*E61/F61)</f>
        <v/>
      </c>
      <c r="Q61" s="199">
        <f>HLOOKUP(B:B,$4:$10,6,FALSE)+((HLOOKUP(C:C,$4:$10,6,FALSE)-HLOOKUP(B:B,$4:$10,6,FALSE))*E61/F61)</f>
        <v/>
      </c>
      <c r="T61" s="198">
        <f>$G61</f>
        <v/>
      </c>
      <c r="U61" s="199">
        <f>H61/(HLOOKUP(B:B,$4:$10,3,FALSE)+((HLOOKUP(C:C,$4:$10,3,FALSE)-HLOOKUP(B:B,$4:$10,3,FALSE))*E61/F61))</f>
        <v/>
      </c>
      <c r="V61" s="969">
        <f>HLOOKUP(B:B,$4:$10,7,FALSE)+((HLOOKUP(C:C,$4:$10,7,FALSE)-HLOOKUP(B:B,$4:$10,7,FALSE))*E61/F61)</f>
        <v/>
      </c>
      <c r="AB61" s="198">
        <f>$G61</f>
        <v/>
      </c>
      <c r="AC61" s="199">
        <f>$H61</f>
        <v/>
      </c>
      <c r="AD61" s="199">
        <f>$M61*AD$34</f>
        <v/>
      </c>
      <c r="AE61" s="199">
        <f>$M61*AE$34</f>
        <v/>
      </c>
      <c r="AF61" s="199">
        <f>$M61*AF$34</f>
        <v/>
      </c>
      <c r="AG61" s="199">
        <f>$M61*AG$34</f>
        <v/>
      </c>
      <c r="AH61" s="199">
        <f>$M61*AH$34</f>
        <v/>
      </c>
      <c r="AJ61" s="198">
        <f>$G61</f>
        <v/>
      </c>
      <c r="AK61" s="199">
        <f>$H61</f>
        <v/>
      </c>
      <c r="AL61" s="199">
        <f>$N61*AL$34</f>
        <v/>
      </c>
      <c r="AM61" s="199">
        <f>$N61*AM$34</f>
        <v/>
      </c>
      <c r="AN61" s="199">
        <f>$N61*AN$34</f>
        <v/>
      </c>
      <c r="AO61" s="199">
        <f>$N61*AO$34</f>
        <v/>
      </c>
      <c r="AP61" s="199">
        <f>$N61*AP$34</f>
        <v/>
      </c>
      <c r="AR61" s="198">
        <f>$G61</f>
        <v/>
      </c>
      <c r="AS61" s="199">
        <f>$H61</f>
        <v/>
      </c>
      <c r="AT61" s="199">
        <f>$O61*AT$34-$Q61</f>
        <v/>
      </c>
      <c r="AU61" s="199">
        <f>$O61*AU$34-$Q61</f>
        <v/>
      </c>
      <c r="AV61" s="199">
        <f>$O61*AV$34-$Q61</f>
        <v/>
      </c>
      <c r="AW61" s="199">
        <f>$O61*AW$34-$Q61</f>
        <v/>
      </c>
      <c r="AX61" s="199">
        <f>$O61*AX$34-$Q61</f>
        <v/>
      </c>
      <c r="AZ61" s="198">
        <f>$G61</f>
        <v/>
      </c>
      <c r="BA61" s="199">
        <f>$H61</f>
        <v/>
      </c>
      <c r="BB61" s="199">
        <f>$P61*BB$34-$Q61</f>
        <v/>
      </c>
      <c r="BC61" s="199">
        <f>$P61*BC$34-$Q61</f>
        <v/>
      </c>
      <c r="BD61" s="199">
        <f>$P61*BD$34-$Q61</f>
        <v/>
      </c>
      <c r="BE61" s="199">
        <f>$P61*BE$34-$Q61</f>
        <v/>
      </c>
      <c r="BF61" s="199">
        <f>$P61*BF$34-$Q61</f>
        <v/>
      </c>
      <c r="BH61" s="198">
        <f>$G61</f>
        <v/>
      </c>
      <c r="BI61" s="197">
        <f>$I61</f>
        <v/>
      </c>
      <c r="BJ61" s="197">
        <f>+BJ62</f>
        <v/>
      </c>
      <c r="BK61" s="197">
        <f>+BK62</f>
        <v/>
      </c>
      <c r="BL61" s="197">
        <f>+BL62</f>
        <v/>
      </c>
      <c r="BM61" s="197">
        <f>+BM62</f>
        <v/>
      </c>
      <c r="BN61" s="197">
        <f>+BN62</f>
        <v/>
      </c>
      <c r="BP61" s="198">
        <f>$G61</f>
        <v/>
      </c>
      <c r="BQ61" s="197">
        <f>$J61</f>
        <v/>
      </c>
      <c r="BR61" s="197">
        <f>+BR62</f>
        <v/>
      </c>
      <c r="BS61" s="197">
        <f>+BS62</f>
        <v/>
      </c>
      <c r="BT61" s="197">
        <f>+BT62</f>
        <v/>
      </c>
      <c r="BU61" s="197">
        <f>+BU62</f>
        <v/>
      </c>
      <c r="BV61" s="197">
        <f>+BV62</f>
        <v/>
      </c>
      <c r="BX61" s="198">
        <f>$G61</f>
        <v/>
      </c>
      <c r="BY61" s="197">
        <f>$K61</f>
        <v/>
      </c>
      <c r="BZ61" s="197">
        <f>+BZ62</f>
        <v/>
      </c>
      <c r="CA61" s="197">
        <f>+CA62</f>
        <v/>
      </c>
      <c r="CB61" s="197">
        <f>+CB62</f>
        <v/>
      </c>
      <c r="CC61" s="197">
        <f>+CC62</f>
        <v/>
      </c>
      <c r="CD61" s="197">
        <f>+CD62</f>
        <v/>
      </c>
      <c r="CF61" s="198">
        <f>$G61</f>
        <v/>
      </c>
      <c r="CG61" s="197">
        <f>$L61</f>
        <v/>
      </c>
      <c r="CH61" s="197">
        <f>+CH62</f>
        <v/>
      </c>
      <c r="CI61" s="197">
        <f>+CI62</f>
        <v/>
      </c>
      <c r="CJ61" s="197">
        <f>+CJ62</f>
        <v/>
      </c>
      <c r="CK61" s="197">
        <f>+CK62</f>
        <v/>
      </c>
      <c r="CL61" s="197">
        <f>+CL62</f>
        <v/>
      </c>
      <c r="CO61" s="199" t="n"/>
      <c r="CP61" s="199" t="n">
        <v>1.75</v>
      </c>
      <c r="CR61" s="199" t="inlineStr">
        <is>
          <t>#N/A N/A</t>
        </is>
      </c>
      <c r="CS61" s="970" t="n">
        <v>1.0648</v>
      </c>
    </row>
    <row r="62" ht="13.25" customHeight="1">
      <c r="B62" s="204">
        <f>+C62-1</f>
        <v/>
      </c>
      <c r="C62" s="204">
        <f>IF('bands_A-H_Avg'!$D$9+1&gt;MONTH(G62),YEAR(G62),YEAR(G62)+1)</f>
        <v/>
      </c>
      <c r="D62" s="204">
        <f>+C62+1</f>
        <v/>
      </c>
      <c r="E62" s="203">
        <f>IF(C62&gt;C61,1,E61+1)</f>
        <v/>
      </c>
      <c r="F62" s="203">
        <f>COUNTIF(C:C,C62)</f>
        <v/>
      </c>
      <c r="G62" s="198">
        <f>+G63-7</f>
        <v/>
      </c>
      <c r="H62" s="361">
        <f>IF(ISBLANK(CO62),CP62,SUMPRODUCT(CO$32:CP$32,CO62:CP62))</f>
        <v/>
      </c>
      <c r="I62" s="968">
        <f>H62/M62</f>
        <v/>
      </c>
      <c r="J62" s="968">
        <f>H62/N62</f>
        <v/>
      </c>
      <c r="K62" s="968">
        <f>(H62+Q62)/O62</f>
        <v/>
      </c>
      <c r="L62" s="968">
        <f>(H62+Q62)/P62</f>
        <v/>
      </c>
      <c r="M62" s="199">
        <f>HLOOKUP(C:C,$4:$10,3,FALSE)+((HLOOKUP(D:D,$4:$10,3,FALSE)-HLOOKUP(C:C,$4:$10,3,FALSE))*E62/F62)</f>
        <v/>
      </c>
      <c r="N62" s="199">
        <f>HLOOKUP(C:C,$4:$10,2,FALSE)+((HLOOKUP(D:D,$4:$10,2,FALSE)-HLOOKUP(C:C,$4:$10,2,FALSE))*E62/F62)</f>
        <v/>
      </c>
      <c r="O62" s="199">
        <f>HLOOKUP(C:C,$4:$10,5,FALSE)+((HLOOKUP(D:D,$4:$10,5,FALSE)-HLOOKUP(C:C,$4:$10,5,FALSE))*E62/F62)</f>
        <v/>
      </c>
      <c r="P62" s="199">
        <f>HLOOKUP(C:C,$4:$10,4,FALSE)+((HLOOKUP(D:D,$4:$10,4,FALSE)-HLOOKUP(C:C,$4:$10,4,FALSE))*E62/F62)</f>
        <v/>
      </c>
      <c r="Q62" s="199">
        <f>HLOOKUP(B:B,$4:$10,6,FALSE)+((HLOOKUP(C:C,$4:$10,6,FALSE)-HLOOKUP(B:B,$4:$10,6,FALSE))*E62/F62)</f>
        <v/>
      </c>
      <c r="T62" s="198">
        <f>$G62</f>
        <v/>
      </c>
      <c r="U62" s="199">
        <f>H62/(HLOOKUP(B:B,$4:$10,3,FALSE)+((HLOOKUP(C:C,$4:$10,3,FALSE)-HLOOKUP(B:B,$4:$10,3,FALSE))*E62/F62))</f>
        <v/>
      </c>
      <c r="V62" s="969">
        <f>HLOOKUP(B:B,$4:$10,7,FALSE)+((HLOOKUP(C:C,$4:$10,7,FALSE)-HLOOKUP(B:B,$4:$10,7,FALSE))*E62/F62)</f>
        <v/>
      </c>
      <c r="AB62" s="198">
        <f>$G62</f>
        <v/>
      </c>
      <c r="AC62" s="199">
        <f>$H62</f>
        <v/>
      </c>
      <c r="AD62" s="199">
        <f>$M62*AD$34</f>
        <v/>
      </c>
      <c r="AE62" s="199">
        <f>$M62*AE$34</f>
        <v/>
      </c>
      <c r="AF62" s="199">
        <f>$M62*AF$34</f>
        <v/>
      </c>
      <c r="AG62" s="199">
        <f>$M62*AG$34</f>
        <v/>
      </c>
      <c r="AH62" s="199">
        <f>$M62*AH$34</f>
        <v/>
      </c>
      <c r="AJ62" s="198">
        <f>$G62</f>
        <v/>
      </c>
      <c r="AK62" s="199">
        <f>$H62</f>
        <v/>
      </c>
      <c r="AL62" s="199">
        <f>$N62*AL$34</f>
        <v/>
      </c>
      <c r="AM62" s="199">
        <f>$N62*AM$34</f>
        <v/>
      </c>
      <c r="AN62" s="199">
        <f>$N62*AN$34</f>
        <v/>
      </c>
      <c r="AO62" s="199">
        <f>$N62*AO$34</f>
        <v/>
      </c>
      <c r="AP62" s="199">
        <f>$N62*AP$34</f>
        <v/>
      </c>
      <c r="AR62" s="198">
        <f>$G62</f>
        <v/>
      </c>
      <c r="AS62" s="199">
        <f>$H62</f>
        <v/>
      </c>
      <c r="AT62" s="199">
        <f>$O62*AT$34-$Q62</f>
        <v/>
      </c>
      <c r="AU62" s="199">
        <f>$O62*AU$34-$Q62</f>
        <v/>
      </c>
      <c r="AV62" s="199">
        <f>$O62*AV$34-$Q62</f>
        <v/>
      </c>
      <c r="AW62" s="199">
        <f>$O62*AW$34-$Q62</f>
        <v/>
      </c>
      <c r="AX62" s="199">
        <f>$O62*AX$34-$Q62</f>
        <v/>
      </c>
      <c r="AZ62" s="198">
        <f>$G62</f>
        <v/>
      </c>
      <c r="BA62" s="199">
        <f>$H62</f>
        <v/>
      </c>
      <c r="BB62" s="199">
        <f>$P62*BB$34-$Q62</f>
        <v/>
      </c>
      <c r="BC62" s="199">
        <f>$P62*BC$34-$Q62</f>
        <v/>
      </c>
      <c r="BD62" s="199">
        <f>$P62*BD$34-$Q62</f>
        <v/>
      </c>
      <c r="BE62" s="199">
        <f>$P62*BE$34-$Q62</f>
        <v/>
      </c>
      <c r="BF62" s="199">
        <f>$P62*BF$34-$Q62</f>
        <v/>
      </c>
      <c r="BH62" s="198">
        <f>$G62</f>
        <v/>
      </c>
      <c r="BI62" s="197">
        <f>$I62</f>
        <v/>
      </c>
      <c r="BJ62" s="197">
        <f>+BJ63</f>
        <v/>
      </c>
      <c r="BK62" s="197">
        <f>+BK63</f>
        <v/>
      </c>
      <c r="BL62" s="197">
        <f>+BL63</f>
        <v/>
      </c>
      <c r="BM62" s="197">
        <f>+BM63</f>
        <v/>
      </c>
      <c r="BN62" s="197">
        <f>+BN63</f>
        <v/>
      </c>
      <c r="BP62" s="198">
        <f>$G62</f>
        <v/>
      </c>
      <c r="BQ62" s="197">
        <f>$J62</f>
        <v/>
      </c>
      <c r="BR62" s="197">
        <f>+BR63</f>
        <v/>
      </c>
      <c r="BS62" s="197">
        <f>+BS63</f>
        <v/>
      </c>
      <c r="BT62" s="197">
        <f>+BT63</f>
        <v/>
      </c>
      <c r="BU62" s="197">
        <f>+BU63</f>
        <v/>
      </c>
      <c r="BV62" s="197">
        <f>+BV63</f>
        <v/>
      </c>
      <c r="BX62" s="198">
        <f>$G62</f>
        <v/>
      </c>
      <c r="BY62" s="197">
        <f>$K62</f>
        <v/>
      </c>
      <c r="BZ62" s="197">
        <f>+BZ63</f>
        <v/>
      </c>
      <c r="CA62" s="197">
        <f>+CA63</f>
        <v/>
      </c>
      <c r="CB62" s="197">
        <f>+CB63</f>
        <v/>
      </c>
      <c r="CC62" s="197">
        <f>+CC63</f>
        <v/>
      </c>
      <c r="CD62" s="197">
        <f>+CD63</f>
        <v/>
      </c>
      <c r="CF62" s="198">
        <f>$G62</f>
        <v/>
      </c>
      <c r="CG62" s="197">
        <f>$L62</f>
        <v/>
      </c>
      <c r="CH62" s="197">
        <f>+CH63</f>
        <v/>
      </c>
      <c r="CI62" s="197">
        <f>+CI63</f>
        <v/>
      </c>
      <c r="CJ62" s="197">
        <f>+CJ63</f>
        <v/>
      </c>
      <c r="CK62" s="197">
        <f>+CK63</f>
        <v/>
      </c>
      <c r="CL62" s="197">
        <f>+CL63</f>
        <v/>
      </c>
      <c r="CO62" s="199" t="n"/>
      <c r="CP62" s="199" t="n">
        <v>1.76</v>
      </c>
      <c r="CR62" s="199" t="inlineStr">
        <is>
          <t>#N/A N/A</t>
        </is>
      </c>
      <c r="CS62" s="970" t="n">
        <v>1.06483</v>
      </c>
    </row>
    <row r="63" ht="13.25" customHeight="1">
      <c r="B63" s="204">
        <f>+C63-1</f>
        <v/>
      </c>
      <c r="C63" s="204">
        <f>IF('bands_A-H_Avg'!$D$9+1&gt;MONTH(G63),YEAR(G63),YEAR(G63)+1)</f>
        <v/>
      </c>
      <c r="D63" s="204">
        <f>+C63+1</f>
        <v/>
      </c>
      <c r="E63" s="203">
        <f>IF(C63&gt;C62,1,E62+1)</f>
        <v/>
      </c>
      <c r="F63" s="203">
        <f>COUNTIF(C:C,C63)</f>
        <v/>
      </c>
      <c r="G63" s="198">
        <f>+G64-7</f>
        <v/>
      </c>
      <c r="H63" s="361">
        <f>IF(ISBLANK(CO63),CP63,SUMPRODUCT(CO$32:CP$32,CO63:CP63))</f>
        <v/>
      </c>
      <c r="I63" s="968">
        <f>H63/M63</f>
        <v/>
      </c>
      <c r="J63" s="968">
        <f>H63/N63</f>
        <v/>
      </c>
      <c r="K63" s="968">
        <f>(H63+Q63)/O63</f>
        <v/>
      </c>
      <c r="L63" s="968">
        <f>(H63+Q63)/P63</f>
        <v/>
      </c>
      <c r="M63" s="199">
        <f>HLOOKUP(C:C,$4:$10,3,FALSE)+((HLOOKUP(D:D,$4:$10,3,FALSE)-HLOOKUP(C:C,$4:$10,3,FALSE))*E63/F63)</f>
        <v/>
      </c>
      <c r="N63" s="199">
        <f>HLOOKUP(C:C,$4:$10,2,FALSE)+((HLOOKUP(D:D,$4:$10,2,FALSE)-HLOOKUP(C:C,$4:$10,2,FALSE))*E63/F63)</f>
        <v/>
      </c>
      <c r="O63" s="199">
        <f>HLOOKUP(C:C,$4:$10,5,FALSE)+((HLOOKUP(D:D,$4:$10,5,FALSE)-HLOOKUP(C:C,$4:$10,5,FALSE))*E63/F63)</f>
        <v/>
      </c>
      <c r="P63" s="199">
        <f>HLOOKUP(C:C,$4:$10,4,FALSE)+((HLOOKUP(D:D,$4:$10,4,FALSE)-HLOOKUP(C:C,$4:$10,4,FALSE))*E63/F63)</f>
        <v/>
      </c>
      <c r="Q63" s="199">
        <f>HLOOKUP(B:B,$4:$10,6,FALSE)+((HLOOKUP(C:C,$4:$10,6,FALSE)-HLOOKUP(B:B,$4:$10,6,FALSE))*E63/F63)</f>
        <v/>
      </c>
      <c r="T63" s="198">
        <f>$G63</f>
        <v/>
      </c>
      <c r="U63" s="199">
        <f>H63/(HLOOKUP(B:B,$4:$10,3,FALSE)+((HLOOKUP(C:C,$4:$10,3,FALSE)-HLOOKUP(B:B,$4:$10,3,FALSE))*E63/F63))</f>
        <v/>
      </c>
      <c r="V63" s="969">
        <f>HLOOKUP(B:B,$4:$10,7,FALSE)+((HLOOKUP(C:C,$4:$10,7,FALSE)-HLOOKUP(B:B,$4:$10,7,FALSE))*E63/F63)</f>
        <v/>
      </c>
      <c r="AB63" s="198">
        <f>$G63</f>
        <v/>
      </c>
      <c r="AC63" s="199">
        <f>$H63</f>
        <v/>
      </c>
      <c r="AD63" s="199">
        <f>$M63*AD$34</f>
        <v/>
      </c>
      <c r="AE63" s="199">
        <f>$M63*AE$34</f>
        <v/>
      </c>
      <c r="AF63" s="199">
        <f>$M63*AF$34</f>
        <v/>
      </c>
      <c r="AG63" s="199">
        <f>$M63*AG$34</f>
        <v/>
      </c>
      <c r="AH63" s="199">
        <f>$M63*AH$34</f>
        <v/>
      </c>
      <c r="AJ63" s="198">
        <f>$G63</f>
        <v/>
      </c>
      <c r="AK63" s="199">
        <f>$H63</f>
        <v/>
      </c>
      <c r="AL63" s="199">
        <f>$N63*AL$34</f>
        <v/>
      </c>
      <c r="AM63" s="199">
        <f>$N63*AM$34</f>
        <v/>
      </c>
      <c r="AN63" s="199">
        <f>$N63*AN$34</f>
        <v/>
      </c>
      <c r="AO63" s="199">
        <f>$N63*AO$34</f>
        <v/>
      </c>
      <c r="AP63" s="199">
        <f>$N63*AP$34</f>
        <v/>
      </c>
      <c r="AR63" s="198">
        <f>$G63</f>
        <v/>
      </c>
      <c r="AS63" s="199">
        <f>$H63</f>
        <v/>
      </c>
      <c r="AT63" s="199">
        <f>$O63*AT$34-$Q63</f>
        <v/>
      </c>
      <c r="AU63" s="199">
        <f>$O63*AU$34-$Q63</f>
        <v/>
      </c>
      <c r="AV63" s="199">
        <f>$O63*AV$34-$Q63</f>
        <v/>
      </c>
      <c r="AW63" s="199">
        <f>$O63*AW$34-$Q63</f>
        <v/>
      </c>
      <c r="AX63" s="199">
        <f>$O63*AX$34-$Q63</f>
        <v/>
      </c>
      <c r="AZ63" s="198">
        <f>$G63</f>
        <v/>
      </c>
      <c r="BA63" s="199">
        <f>$H63</f>
        <v/>
      </c>
      <c r="BB63" s="199">
        <f>$P63*BB$34-$Q63</f>
        <v/>
      </c>
      <c r="BC63" s="199">
        <f>$P63*BC$34-$Q63</f>
        <v/>
      </c>
      <c r="BD63" s="199">
        <f>$P63*BD$34-$Q63</f>
        <v/>
      </c>
      <c r="BE63" s="199">
        <f>$P63*BE$34-$Q63</f>
        <v/>
      </c>
      <c r="BF63" s="199">
        <f>$P63*BF$34-$Q63</f>
        <v/>
      </c>
      <c r="BH63" s="198">
        <f>$G63</f>
        <v/>
      </c>
      <c r="BI63" s="197">
        <f>$I63</f>
        <v/>
      </c>
      <c r="BJ63" s="197">
        <f>+BJ64</f>
        <v/>
      </c>
      <c r="BK63" s="197">
        <f>+BK64</f>
        <v/>
      </c>
      <c r="BL63" s="197">
        <f>+BL64</f>
        <v/>
      </c>
      <c r="BM63" s="197">
        <f>+BM64</f>
        <v/>
      </c>
      <c r="BN63" s="197">
        <f>+BN64</f>
        <v/>
      </c>
      <c r="BP63" s="198">
        <f>$G63</f>
        <v/>
      </c>
      <c r="BQ63" s="197">
        <f>$J63</f>
        <v/>
      </c>
      <c r="BR63" s="197">
        <f>+BR64</f>
        <v/>
      </c>
      <c r="BS63" s="197">
        <f>+BS64</f>
        <v/>
      </c>
      <c r="BT63" s="197">
        <f>+BT64</f>
        <v/>
      </c>
      <c r="BU63" s="197">
        <f>+BU64</f>
        <v/>
      </c>
      <c r="BV63" s="197">
        <f>+BV64</f>
        <v/>
      </c>
      <c r="BX63" s="198">
        <f>$G63</f>
        <v/>
      </c>
      <c r="BY63" s="197">
        <f>$K63</f>
        <v/>
      </c>
      <c r="BZ63" s="197">
        <f>+BZ64</f>
        <v/>
      </c>
      <c r="CA63" s="197">
        <f>+CA64</f>
        <v/>
      </c>
      <c r="CB63" s="197">
        <f>+CB64</f>
        <v/>
      </c>
      <c r="CC63" s="197">
        <f>+CC64</f>
        <v/>
      </c>
      <c r="CD63" s="197">
        <f>+CD64</f>
        <v/>
      </c>
      <c r="CF63" s="198">
        <f>$G63</f>
        <v/>
      </c>
      <c r="CG63" s="197">
        <f>$L63</f>
        <v/>
      </c>
      <c r="CH63" s="197">
        <f>+CH64</f>
        <v/>
      </c>
      <c r="CI63" s="197">
        <f>+CI64</f>
        <v/>
      </c>
      <c r="CJ63" s="197">
        <f>+CJ64</f>
        <v/>
      </c>
      <c r="CK63" s="197">
        <f>+CK64</f>
        <v/>
      </c>
      <c r="CL63" s="197">
        <f>+CL64</f>
        <v/>
      </c>
      <c r="CO63" s="199" t="n"/>
      <c r="CP63" s="199" t="n">
        <v>1.86</v>
      </c>
      <c r="CR63" s="199" t="inlineStr">
        <is>
          <t>#N/A N/A</t>
        </is>
      </c>
      <c r="CS63" s="970" t="n">
        <v>1.06458</v>
      </c>
    </row>
    <row r="64" ht="13.25" customHeight="1">
      <c r="B64" s="204">
        <f>+C64-1</f>
        <v/>
      </c>
      <c r="C64" s="204">
        <f>IF('bands_A-H_Avg'!$D$9+1&gt;MONTH(G64),YEAR(G64),YEAR(G64)+1)</f>
        <v/>
      </c>
      <c r="D64" s="204">
        <f>+C64+1</f>
        <v/>
      </c>
      <c r="E64" s="203">
        <f>IF(C64&gt;C63,1,E63+1)</f>
        <v/>
      </c>
      <c r="F64" s="203">
        <f>COUNTIF(C:C,C64)</f>
        <v/>
      </c>
      <c r="G64" s="198">
        <f>+G65-7</f>
        <v/>
      </c>
      <c r="H64" s="361">
        <f>IF(ISBLANK(CO64),CP64,SUMPRODUCT(CO$32:CP$32,CO64:CP64))</f>
        <v/>
      </c>
      <c r="I64" s="968">
        <f>H64/M64</f>
        <v/>
      </c>
      <c r="J64" s="968">
        <f>H64/N64</f>
        <v/>
      </c>
      <c r="K64" s="968">
        <f>(H64+Q64)/O64</f>
        <v/>
      </c>
      <c r="L64" s="968">
        <f>(H64+Q64)/P64</f>
        <v/>
      </c>
      <c r="M64" s="199">
        <f>HLOOKUP(C:C,$4:$10,3,FALSE)+((HLOOKUP(D:D,$4:$10,3,FALSE)-HLOOKUP(C:C,$4:$10,3,FALSE))*E64/F64)</f>
        <v/>
      </c>
      <c r="N64" s="199">
        <f>HLOOKUP(C:C,$4:$10,2,FALSE)+((HLOOKUP(D:D,$4:$10,2,FALSE)-HLOOKUP(C:C,$4:$10,2,FALSE))*E64/F64)</f>
        <v/>
      </c>
      <c r="O64" s="199">
        <f>HLOOKUP(C:C,$4:$10,5,FALSE)+((HLOOKUP(D:D,$4:$10,5,FALSE)-HLOOKUP(C:C,$4:$10,5,FALSE))*E64/F64)</f>
        <v/>
      </c>
      <c r="P64" s="199">
        <f>HLOOKUP(C:C,$4:$10,4,FALSE)+((HLOOKUP(D:D,$4:$10,4,FALSE)-HLOOKUP(C:C,$4:$10,4,FALSE))*E64/F64)</f>
        <v/>
      </c>
      <c r="Q64" s="199">
        <f>HLOOKUP(B:B,$4:$10,6,FALSE)+((HLOOKUP(C:C,$4:$10,6,FALSE)-HLOOKUP(B:B,$4:$10,6,FALSE))*E64/F64)</f>
        <v/>
      </c>
      <c r="T64" s="198">
        <f>$G64</f>
        <v/>
      </c>
      <c r="U64" s="199">
        <f>H64/(HLOOKUP(B:B,$4:$10,3,FALSE)+((HLOOKUP(C:C,$4:$10,3,FALSE)-HLOOKUP(B:B,$4:$10,3,FALSE))*E64/F64))</f>
        <v/>
      </c>
      <c r="V64" s="969">
        <f>HLOOKUP(B:B,$4:$10,7,FALSE)+((HLOOKUP(C:C,$4:$10,7,FALSE)-HLOOKUP(B:B,$4:$10,7,FALSE))*E64/F64)</f>
        <v/>
      </c>
      <c r="AB64" s="198">
        <f>$G64</f>
        <v/>
      </c>
      <c r="AC64" s="199">
        <f>$H64</f>
        <v/>
      </c>
      <c r="AD64" s="199">
        <f>$M64*AD$34</f>
        <v/>
      </c>
      <c r="AE64" s="199">
        <f>$M64*AE$34</f>
        <v/>
      </c>
      <c r="AF64" s="199">
        <f>$M64*AF$34</f>
        <v/>
      </c>
      <c r="AG64" s="199">
        <f>$M64*AG$34</f>
        <v/>
      </c>
      <c r="AH64" s="199">
        <f>$M64*AH$34</f>
        <v/>
      </c>
      <c r="AJ64" s="198">
        <f>$G64</f>
        <v/>
      </c>
      <c r="AK64" s="199">
        <f>$H64</f>
        <v/>
      </c>
      <c r="AL64" s="199">
        <f>$N64*AL$34</f>
        <v/>
      </c>
      <c r="AM64" s="199">
        <f>$N64*AM$34</f>
        <v/>
      </c>
      <c r="AN64" s="199">
        <f>$N64*AN$34</f>
        <v/>
      </c>
      <c r="AO64" s="199">
        <f>$N64*AO$34</f>
        <v/>
      </c>
      <c r="AP64" s="199">
        <f>$N64*AP$34</f>
        <v/>
      </c>
      <c r="AR64" s="198">
        <f>$G64</f>
        <v/>
      </c>
      <c r="AS64" s="199">
        <f>$H64</f>
        <v/>
      </c>
      <c r="AT64" s="199">
        <f>$O64*AT$34-$Q64</f>
        <v/>
      </c>
      <c r="AU64" s="199">
        <f>$O64*AU$34-$Q64</f>
        <v/>
      </c>
      <c r="AV64" s="199">
        <f>$O64*AV$34-$Q64</f>
        <v/>
      </c>
      <c r="AW64" s="199">
        <f>$O64*AW$34-$Q64</f>
        <v/>
      </c>
      <c r="AX64" s="199">
        <f>$O64*AX$34-$Q64</f>
        <v/>
      </c>
      <c r="AZ64" s="198">
        <f>$G64</f>
        <v/>
      </c>
      <c r="BA64" s="199">
        <f>$H64</f>
        <v/>
      </c>
      <c r="BB64" s="199">
        <f>$P64*BB$34-$Q64</f>
        <v/>
      </c>
      <c r="BC64" s="199">
        <f>$P64*BC$34-$Q64</f>
        <v/>
      </c>
      <c r="BD64" s="199">
        <f>$P64*BD$34-$Q64</f>
        <v/>
      </c>
      <c r="BE64" s="199">
        <f>$P64*BE$34-$Q64</f>
        <v/>
      </c>
      <c r="BF64" s="199">
        <f>$P64*BF$34-$Q64</f>
        <v/>
      </c>
      <c r="BH64" s="198">
        <f>$G64</f>
        <v/>
      </c>
      <c r="BI64" s="197">
        <f>$I64</f>
        <v/>
      </c>
      <c r="BJ64" s="197">
        <f>+BJ65</f>
        <v/>
      </c>
      <c r="BK64" s="197">
        <f>+BK65</f>
        <v/>
      </c>
      <c r="BL64" s="197">
        <f>+BL65</f>
        <v/>
      </c>
      <c r="BM64" s="197">
        <f>+BM65</f>
        <v/>
      </c>
      <c r="BN64" s="197">
        <f>+BN65</f>
        <v/>
      </c>
      <c r="BP64" s="198">
        <f>$G64</f>
        <v/>
      </c>
      <c r="BQ64" s="197">
        <f>$J64</f>
        <v/>
      </c>
      <c r="BR64" s="197">
        <f>+BR65</f>
        <v/>
      </c>
      <c r="BS64" s="197">
        <f>+BS65</f>
        <v/>
      </c>
      <c r="BT64" s="197">
        <f>+BT65</f>
        <v/>
      </c>
      <c r="BU64" s="197">
        <f>+BU65</f>
        <v/>
      </c>
      <c r="BV64" s="197">
        <f>+BV65</f>
        <v/>
      </c>
      <c r="BX64" s="198">
        <f>$G64</f>
        <v/>
      </c>
      <c r="BY64" s="197">
        <f>$K64</f>
        <v/>
      </c>
      <c r="BZ64" s="197">
        <f>+BZ65</f>
        <v/>
      </c>
      <c r="CA64" s="197">
        <f>+CA65</f>
        <v/>
      </c>
      <c r="CB64" s="197">
        <f>+CB65</f>
        <v/>
      </c>
      <c r="CC64" s="197">
        <f>+CC65</f>
        <v/>
      </c>
      <c r="CD64" s="197">
        <f>+CD65</f>
        <v/>
      </c>
      <c r="CF64" s="198">
        <f>$G64</f>
        <v/>
      </c>
      <c r="CG64" s="197">
        <f>$L64</f>
        <v/>
      </c>
      <c r="CH64" s="197">
        <f>+CH65</f>
        <v/>
      </c>
      <c r="CI64" s="197">
        <f>+CI65</f>
        <v/>
      </c>
      <c r="CJ64" s="197">
        <f>+CJ65</f>
        <v/>
      </c>
      <c r="CK64" s="197">
        <f>+CK65</f>
        <v/>
      </c>
      <c r="CL64" s="197">
        <f>+CL65</f>
        <v/>
      </c>
      <c r="CO64" s="199" t="n"/>
      <c r="CP64" s="199" t="n">
        <v>1.92</v>
      </c>
      <c r="CR64" s="199" t="inlineStr">
        <is>
          <t>#N/A N/A</t>
        </is>
      </c>
      <c r="CS64" s="970" t="n">
        <v>1.06434</v>
      </c>
    </row>
    <row r="65" ht="13.25" customHeight="1">
      <c r="B65" s="204">
        <f>+C65-1</f>
        <v/>
      </c>
      <c r="C65" s="204">
        <f>IF('bands_A-H_Avg'!$D$9+1&gt;MONTH(G65),YEAR(G65),YEAR(G65)+1)</f>
        <v/>
      </c>
      <c r="D65" s="204">
        <f>+C65+1</f>
        <v/>
      </c>
      <c r="E65" s="203">
        <f>IF(C65&gt;C64,1,E64+1)</f>
        <v/>
      </c>
      <c r="F65" s="203">
        <f>COUNTIF(C:C,C65)</f>
        <v/>
      </c>
      <c r="G65" s="198">
        <f>+G66-7</f>
        <v/>
      </c>
      <c r="H65" s="361">
        <f>IF(ISBLANK(CO65),CP65,SUMPRODUCT(CO$32:CP$32,CO65:CP65))</f>
        <v/>
      </c>
      <c r="I65" s="968">
        <f>H65/M65</f>
        <v/>
      </c>
      <c r="J65" s="968">
        <f>H65/N65</f>
        <v/>
      </c>
      <c r="K65" s="968">
        <f>(H65+Q65)/O65</f>
        <v/>
      </c>
      <c r="L65" s="968">
        <f>(H65+Q65)/P65</f>
        <v/>
      </c>
      <c r="M65" s="199">
        <f>HLOOKUP(C:C,$4:$10,3,FALSE)+((HLOOKUP(D:D,$4:$10,3,FALSE)-HLOOKUP(C:C,$4:$10,3,FALSE))*E65/F65)</f>
        <v/>
      </c>
      <c r="N65" s="199">
        <f>HLOOKUP(C:C,$4:$10,2,FALSE)+((HLOOKUP(D:D,$4:$10,2,FALSE)-HLOOKUP(C:C,$4:$10,2,FALSE))*E65/F65)</f>
        <v/>
      </c>
      <c r="O65" s="199">
        <f>HLOOKUP(C:C,$4:$10,5,FALSE)+((HLOOKUP(D:D,$4:$10,5,FALSE)-HLOOKUP(C:C,$4:$10,5,FALSE))*E65/F65)</f>
        <v/>
      </c>
      <c r="P65" s="199">
        <f>HLOOKUP(C:C,$4:$10,4,FALSE)+((HLOOKUP(D:D,$4:$10,4,FALSE)-HLOOKUP(C:C,$4:$10,4,FALSE))*E65/F65)</f>
        <v/>
      </c>
      <c r="Q65" s="199">
        <f>HLOOKUP(B:B,$4:$10,6,FALSE)+((HLOOKUP(C:C,$4:$10,6,FALSE)-HLOOKUP(B:B,$4:$10,6,FALSE))*E65/F65)</f>
        <v/>
      </c>
      <c r="T65" s="198">
        <f>$G65</f>
        <v/>
      </c>
      <c r="U65" s="199">
        <f>H65/(HLOOKUP(B:B,$4:$10,3,FALSE)+((HLOOKUP(C:C,$4:$10,3,FALSE)-HLOOKUP(B:B,$4:$10,3,FALSE))*E65/F65))</f>
        <v/>
      </c>
      <c r="V65" s="969">
        <f>HLOOKUP(B:B,$4:$10,7,FALSE)+((HLOOKUP(C:C,$4:$10,7,FALSE)-HLOOKUP(B:B,$4:$10,7,FALSE))*E65/F65)</f>
        <v/>
      </c>
      <c r="AB65" s="198">
        <f>$G65</f>
        <v/>
      </c>
      <c r="AC65" s="199">
        <f>$H65</f>
        <v/>
      </c>
      <c r="AD65" s="199">
        <f>$M65*AD$34</f>
        <v/>
      </c>
      <c r="AE65" s="199">
        <f>$M65*AE$34</f>
        <v/>
      </c>
      <c r="AF65" s="199">
        <f>$M65*AF$34</f>
        <v/>
      </c>
      <c r="AG65" s="199">
        <f>$M65*AG$34</f>
        <v/>
      </c>
      <c r="AH65" s="199">
        <f>$M65*AH$34</f>
        <v/>
      </c>
      <c r="AJ65" s="198">
        <f>$G65</f>
        <v/>
      </c>
      <c r="AK65" s="199">
        <f>$H65</f>
        <v/>
      </c>
      <c r="AL65" s="199">
        <f>$N65*AL$34</f>
        <v/>
      </c>
      <c r="AM65" s="199">
        <f>$N65*AM$34</f>
        <v/>
      </c>
      <c r="AN65" s="199">
        <f>$N65*AN$34</f>
        <v/>
      </c>
      <c r="AO65" s="199">
        <f>$N65*AO$34</f>
        <v/>
      </c>
      <c r="AP65" s="199">
        <f>$N65*AP$34</f>
        <v/>
      </c>
      <c r="AR65" s="198">
        <f>$G65</f>
        <v/>
      </c>
      <c r="AS65" s="199">
        <f>$H65</f>
        <v/>
      </c>
      <c r="AT65" s="199">
        <f>$O65*AT$34-$Q65</f>
        <v/>
      </c>
      <c r="AU65" s="199">
        <f>$O65*AU$34-$Q65</f>
        <v/>
      </c>
      <c r="AV65" s="199">
        <f>$O65*AV$34-$Q65</f>
        <v/>
      </c>
      <c r="AW65" s="199">
        <f>$O65*AW$34-$Q65</f>
        <v/>
      </c>
      <c r="AX65" s="199">
        <f>$O65*AX$34-$Q65</f>
        <v/>
      </c>
      <c r="AZ65" s="198">
        <f>$G65</f>
        <v/>
      </c>
      <c r="BA65" s="199">
        <f>$H65</f>
        <v/>
      </c>
      <c r="BB65" s="199">
        <f>$P65*BB$34-$Q65</f>
        <v/>
      </c>
      <c r="BC65" s="199">
        <f>$P65*BC$34-$Q65</f>
        <v/>
      </c>
      <c r="BD65" s="199">
        <f>$P65*BD$34-$Q65</f>
        <v/>
      </c>
      <c r="BE65" s="199">
        <f>$P65*BE$34-$Q65</f>
        <v/>
      </c>
      <c r="BF65" s="199">
        <f>$P65*BF$34-$Q65</f>
        <v/>
      </c>
      <c r="BH65" s="198">
        <f>$G65</f>
        <v/>
      </c>
      <c r="BI65" s="197">
        <f>$I65</f>
        <v/>
      </c>
      <c r="BJ65" s="197">
        <f>+BJ66</f>
        <v/>
      </c>
      <c r="BK65" s="197">
        <f>+BK66</f>
        <v/>
      </c>
      <c r="BL65" s="197">
        <f>+BL66</f>
        <v/>
      </c>
      <c r="BM65" s="197">
        <f>+BM66</f>
        <v/>
      </c>
      <c r="BN65" s="197">
        <f>+BN66</f>
        <v/>
      </c>
      <c r="BP65" s="198">
        <f>$G65</f>
        <v/>
      </c>
      <c r="BQ65" s="197">
        <f>$J65</f>
        <v/>
      </c>
      <c r="BR65" s="197">
        <f>+BR66</f>
        <v/>
      </c>
      <c r="BS65" s="197">
        <f>+BS66</f>
        <v/>
      </c>
      <c r="BT65" s="197">
        <f>+BT66</f>
        <v/>
      </c>
      <c r="BU65" s="197">
        <f>+BU66</f>
        <v/>
      </c>
      <c r="BV65" s="197">
        <f>+BV66</f>
        <v/>
      </c>
      <c r="BX65" s="198">
        <f>$G65</f>
        <v/>
      </c>
      <c r="BY65" s="197">
        <f>$K65</f>
        <v/>
      </c>
      <c r="BZ65" s="197">
        <f>+BZ66</f>
        <v/>
      </c>
      <c r="CA65" s="197">
        <f>+CA66</f>
        <v/>
      </c>
      <c r="CB65" s="197">
        <f>+CB66</f>
        <v/>
      </c>
      <c r="CC65" s="197">
        <f>+CC66</f>
        <v/>
      </c>
      <c r="CD65" s="197">
        <f>+CD66</f>
        <v/>
      </c>
      <c r="CF65" s="198">
        <f>$G65</f>
        <v/>
      </c>
      <c r="CG65" s="197">
        <f>$L65</f>
        <v/>
      </c>
      <c r="CH65" s="197">
        <f>+CH66</f>
        <v/>
      </c>
      <c r="CI65" s="197">
        <f>+CI66</f>
        <v/>
      </c>
      <c r="CJ65" s="197">
        <f>+CJ66</f>
        <v/>
      </c>
      <c r="CK65" s="197">
        <f>+CK66</f>
        <v/>
      </c>
      <c r="CL65" s="197">
        <f>+CL66</f>
        <v/>
      </c>
      <c r="CO65" s="199" t="n"/>
      <c r="CP65" s="199" t="n">
        <v>1.85</v>
      </c>
      <c r="CR65" s="199" t="inlineStr">
        <is>
          <t>#N/A N/A</t>
        </is>
      </c>
      <c r="CS65" s="970" t="n">
        <v>1.04395</v>
      </c>
    </row>
    <row r="66" ht="13.25" customHeight="1">
      <c r="B66" s="204">
        <f>+C66-1</f>
        <v/>
      </c>
      <c r="C66" s="204">
        <f>IF('bands_A-H_Avg'!$D$9+1&gt;MONTH(G66),YEAR(G66),YEAR(G66)+1)</f>
        <v/>
      </c>
      <c r="D66" s="204">
        <f>+C66+1</f>
        <v/>
      </c>
      <c r="E66" s="203">
        <f>IF(C66&gt;C65,1,E65+1)</f>
        <v/>
      </c>
      <c r="F66" s="203">
        <f>COUNTIF(C:C,C66)</f>
        <v/>
      </c>
      <c r="G66" s="198">
        <f>+G67-7</f>
        <v/>
      </c>
      <c r="H66" s="361">
        <f>IF(ISBLANK(CO66),CP66,SUMPRODUCT(CO$32:CP$32,CO66:CP66))</f>
        <v/>
      </c>
      <c r="I66" s="968">
        <f>H66/M66</f>
        <v/>
      </c>
      <c r="J66" s="968">
        <f>H66/N66</f>
        <v/>
      </c>
      <c r="K66" s="968">
        <f>(H66+Q66)/O66</f>
        <v/>
      </c>
      <c r="L66" s="968">
        <f>(H66+Q66)/P66</f>
        <v/>
      </c>
      <c r="M66" s="199">
        <f>HLOOKUP(C:C,$4:$10,3,FALSE)+((HLOOKUP(D:D,$4:$10,3,FALSE)-HLOOKUP(C:C,$4:$10,3,FALSE))*E66/F66)</f>
        <v/>
      </c>
      <c r="N66" s="199">
        <f>HLOOKUP(C:C,$4:$10,2,FALSE)+((HLOOKUP(D:D,$4:$10,2,FALSE)-HLOOKUP(C:C,$4:$10,2,FALSE))*E66/F66)</f>
        <v/>
      </c>
      <c r="O66" s="199">
        <f>HLOOKUP(C:C,$4:$10,5,FALSE)+((HLOOKUP(D:D,$4:$10,5,FALSE)-HLOOKUP(C:C,$4:$10,5,FALSE))*E66/F66)</f>
        <v/>
      </c>
      <c r="P66" s="199">
        <f>HLOOKUP(C:C,$4:$10,4,FALSE)+((HLOOKUP(D:D,$4:$10,4,FALSE)-HLOOKUP(C:C,$4:$10,4,FALSE))*E66/F66)</f>
        <v/>
      </c>
      <c r="Q66" s="199">
        <f>HLOOKUP(B:B,$4:$10,6,FALSE)+((HLOOKUP(C:C,$4:$10,6,FALSE)-HLOOKUP(B:B,$4:$10,6,FALSE))*E66/F66)</f>
        <v/>
      </c>
      <c r="T66" s="198">
        <f>$G66</f>
        <v/>
      </c>
      <c r="U66" s="199">
        <f>H66/(HLOOKUP(B:B,$4:$10,3,FALSE)+((HLOOKUP(C:C,$4:$10,3,FALSE)-HLOOKUP(B:B,$4:$10,3,FALSE))*E66/F66))</f>
        <v/>
      </c>
      <c r="V66" s="969">
        <f>HLOOKUP(B:B,$4:$10,7,FALSE)+((HLOOKUP(C:C,$4:$10,7,FALSE)-HLOOKUP(B:B,$4:$10,7,FALSE))*E66/F66)</f>
        <v/>
      </c>
      <c r="AB66" s="198">
        <f>$G66</f>
        <v/>
      </c>
      <c r="AC66" s="199">
        <f>$H66</f>
        <v/>
      </c>
      <c r="AD66" s="199">
        <f>$M66*AD$34</f>
        <v/>
      </c>
      <c r="AE66" s="199">
        <f>$M66*AE$34</f>
        <v/>
      </c>
      <c r="AF66" s="199">
        <f>$M66*AF$34</f>
        <v/>
      </c>
      <c r="AG66" s="199">
        <f>$M66*AG$34</f>
        <v/>
      </c>
      <c r="AH66" s="199">
        <f>$M66*AH$34</f>
        <v/>
      </c>
      <c r="AJ66" s="198">
        <f>$G66</f>
        <v/>
      </c>
      <c r="AK66" s="199">
        <f>$H66</f>
        <v/>
      </c>
      <c r="AL66" s="199">
        <f>$N66*AL$34</f>
        <v/>
      </c>
      <c r="AM66" s="199">
        <f>$N66*AM$34</f>
        <v/>
      </c>
      <c r="AN66" s="199">
        <f>$N66*AN$34</f>
        <v/>
      </c>
      <c r="AO66" s="199">
        <f>$N66*AO$34</f>
        <v/>
      </c>
      <c r="AP66" s="199">
        <f>$N66*AP$34</f>
        <v/>
      </c>
      <c r="AR66" s="198">
        <f>$G66</f>
        <v/>
      </c>
      <c r="AS66" s="199">
        <f>$H66</f>
        <v/>
      </c>
      <c r="AT66" s="199">
        <f>$O66*AT$34-$Q66</f>
        <v/>
      </c>
      <c r="AU66" s="199">
        <f>$O66*AU$34-$Q66</f>
        <v/>
      </c>
      <c r="AV66" s="199">
        <f>$O66*AV$34-$Q66</f>
        <v/>
      </c>
      <c r="AW66" s="199">
        <f>$O66*AW$34-$Q66</f>
        <v/>
      </c>
      <c r="AX66" s="199">
        <f>$O66*AX$34-$Q66</f>
        <v/>
      </c>
      <c r="AZ66" s="198">
        <f>$G66</f>
        <v/>
      </c>
      <c r="BA66" s="199">
        <f>$H66</f>
        <v/>
      </c>
      <c r="BB66" s="199">
        <f>$P66*BB$34-$Q66</f>
        <v/>
      </c>
      <c r="BC66" s="199">
        <f>$P66*BC$34-$Q66</f>
        <v/>
      </c>
      <c r="BD66" s="199">
        <f>$P66*BD$34-$Q66</f>
        <v/>
      </c>
      <c r="BE66" s="199">
        <f>$P66*BE$34-$Q66</f>
        <v/>
      </c>
      <c r="BF66" s="199">
        <f>$P66*BF$34-$Q66</f>
        <v/>
      </c>
      <c r="BH66" s="198">
        <f>$G66</f>
        <v/>
      </c>
      <c r="BI66" s="197">
        <f>$I66</f>
        <v/>
      </c>
      <c r="BJ66" s="197">
        <f>+BJ67</f>
        <v/>
      </c>
      <c r="BK66" s="197">
        <f>+BK67</f>
        <v/>
      </c>
      <c r="BL66" s="197">
        <f>+BL67</f>
        <v/>
      </c>
      <c r="BM66" s="197">
        <f>+BM67</f>
        <v/>
      </c>
      <c r="BN66" s="197">
        <f>+BN67</f>
        <v/>
      </c>
      <c r="BP66" s="198">
        <f>$G66</f>
        <v/>
      </c>
      <c r="BQ66" s="197">
        <f>$J66</f>
        <v/>
      </c>
      <c r="BR66" s="197">
        <f>+BR67</f>
        <v/>
      </c>
      <c r="BS66" s="197">
        <f>+BS67</f>
        <v/>
      </c>
      <c r="BT66" s="197">
        <f>+BT67</f>
        <v/>
      </c>
      <c r="BU66" s="197">
        <f>+BU67</f>
        <v/>
      </c>
      <c r="BV66" s="197">
        <f>+BV67</f>
        <v/>
      </c>
      <c r="BX66" s="198">
        <f>$G66</f>
        <v/>
      </c>
      <c r="BY66" s="197">
        <f>$K66</f>
        <v/>
      </c>
      <c r="BZ66" s="197">
        <f>+BZ67</f>
        <v/>
      </c>
      <c r="CA66" s="197">
        <f>+CA67</f>
        <v/>
      </c>
      <c r="CB66" s="197">
        <f>+CB67</f>
        <v/>
      </c>
      <c r="CC66" s="197">
        <f>+CC67</f>
        <v/>
      </c>
      <c r="CD66" s="197">
        <f>+CD67</f>
        <v/>
      </c>
      <c r="CF66" s="198">
        <f>$G66</f>
        <v/>
      </c>
      <c r="CG66" s="197">
        <f>$L66</f>
        <v/>
      </c>
      <c r="CH66" s="197">
        <f>+CH67</f>
        <v/>
      </c>
      <c r="CI66" s="197">
        <f>+CI67</f>
        <v/>
      </c>
      <c r="CJ66" s="197">
        <f>+CJ67</f>
        <v/>
      </c>
      <c r="CK66" s="197">
        <f>+CK67</f>
        <v/>
      </c>
      <c r="CL66" s="197">
        <f>+CL67</f>
        <v/>
      </c>
      <c r="CO66" s="199" t="n"/>
      <c r="CP66" s="199" t="n">
        <v>1.94</v>
      </c>
      <c r="CR66" s="199" t="inlineStr">
        <is>
          <t>#N/A N/A</t>
        </is>
      </c>
      <c r="CS66" s="970" t="n">
        <v>1.04269</v>
      </c>
    </row>
    <row r="67" ht="13.25" customHeight="1">
      <c r="B67" s="204">
        <f>+C67-1</f>
        <v/>
      </c>
      <c r="C67" s="204">
        <f>IF('bands_A-H_Avg'!$D$9+1&gt;MONTH(G67),YEAR(G67),YEAR(G67)+1)</f>
        <v/>
      </c>
      <c r="D67" s="204">
        <f>+C67+1</f>
        <v/>
      </c>
      <c r="E67" s="203">
        <f>IF(C67&gt;C66,1,E66+1)</f>
        <v/>
      </c>
      <c r="F67" s="203">
        <f>COUNTIF(C:C,C67)</f>
        <v/>
      </c>
      <c r="G67" s="198">
        <f>+G68-7</f>
        <v/>
      </c>
      <c r="H67" s="361">
        <f>IF(ISBLANK(CO67),CP67,SUMPRODUCT(CO$32:CP$32,CO67:CP67))</f>
        <v/>
      </c>
      <c r="I67" s="968">
        <f>H67/M67</f>
        <v/>
      </c>
      <c r="J67" s="968">
        <f>H67/N67</f>
        <v/>
      </c>
      <c r="K67" s="968">
        <f>(H67+Q67)/O67</f>
        <v/>
      </c>
      <c r="L67" s="968">
        <f>(H67+Q67)/P67</f>
        <v/>
      </c>
      <c r="M67" s="199">
        <f>HLOOKUP(C:C,$4:$10,3,FALSE)+((HLOOKUP(D:D,$4:$10,3,FALSE)-HLOOKUP(C:C,$4:$10,3,FALSE))*E67/F67)</f>
        <v/>
      </c>
      <c r="N67" s="199">
        <f>HLOOKUP(C:C,$4:$10,2,FALSE)+((HLOOKUP(D:D,$4:$10,2,FALSE)-HLOOKUP(C:C,$4:$10,2,FALSE))*E67/F67)</f>
        <v/>
      </c>
      <c r="O67" s="199">
        <f>HLOOKUP(C:C,$4:$10,5,FALSE)+((HLOOKUP(D:D,$4:$10,5,FALSE)-HLOOKUP(C:C,$4:$10,5,FALSE))*E67/F67)</f>
        <v/>
      </c>
      <c r="P67" s="199">
        <f>HLOOKUP(C:C,$4:$10,4,FALSE)+((HLOOKUP(D:D,$4:$10,4,FALSE)-HLOOKUP(C:C,$4:$10,4,FALSE))*E67/F67)</f>
        <v/>
      </c>
      <c r="Q67" s="199">
        <f>HLOOKUP(B:B,$4:$10,6,FALSE)+((HLOOKUP(C:C,$4:$10,6,FALSE)-HLOOKUP(B:B,$4:$10,6,FALSE))*E67/F67)</f>
        <v/>
      </c>
      <c r="T67" s="198">
        <f>$G67</f>
        <v/>
      </c>
      <c r="U67" s="199">
        <f>H67/(HLOOKUP(B:B,$4:$10,3,FALSE)+((HLOOKUP(C:C,$4:$10,3,FALSE)-HLOOKUP(B:B,$4:$10,3,FALSE))*E67/F67))</f>
        <v/>
      </c>
      <c r="V67" s="969">
        <f>HLOOKUP(B:B,$4:$10,7,FALSE)+((HLOOKUP(C:C,$4:$10,7,FALSE)-HLOOKUP(B:B,$4:$10,7,FALSE))*E67/F67)</f>
        <v/>
      </c>
      <c r="AB67" s="198">
        <f>$G67</f>
        <v/>
      </c>
      <c r="AC67" s="199">
        <f>$H67</f>
        <v/>
      </c>
      <c r="AD67" s="199">
        <f>$M67*AD$34</f>
        <v/>
      </c>
      <c r="AE67" s="199">
        <f>$M67*AE$34</f>
        <v/>
      </c>
      <c r="AF67" s="199">
        <f>$M67*AF$34</f>
        <v/>
      </c>
      <c r="AG67" s="199">
        <f>$M67*AG$34</f>
        <v/>
      </c>
      <c r="AH67" s="199">
        <f>$M67*AH$34</f>
        <v/>
      </c>
      <c r="AJ67" s="198">
        <f>$G67</f>
        <v/>
      </c>
      <c r="AK67" s="199">
        <f>$H67</f>
        <v/>
      </c>
      <c r="AL67" s="199">
        <f>$N67*AL$34</f>
        <v/>
      </c>
      <c r="AM67" s="199">
        <f>$N67*AM$34</f>
        <v/>
      </c>
      <c r="AN67" s="199">
        <f>$N67*AN$34</f>
        <v/>
      </c>
      <c r="AO67" s="199">
        <f>$N67*AO$34</f>
        <v/>
      </c>
      <c r="AP67" s="199">
        <f>$N67*AP$34</f>
        <v/>
      </c>
      <c r="AR67" s="198">
        <f>$G67</f>
        <v/>
      </c>
      <c r="AS67" s="199">
        <f>$H67</f>
        <v/>
      </c>
      <c r="AT67" s="199">
        <f>$O67*AT$34-$Q67</f>
        <v/>
      </c>
      <c r="AU67" s="199">
        <f>$O67*AU$34-$Q67</f>
        <v/>
      </c>
      <c r="AV67" s="199">
        <f>$O67*AV$34-$Q67</f>
        <v/>
      </c>
      <c r="AW67" s="199">
        <f>$O67*AW$34-$Q67</f>
        <v/>
      </c>
      <c r="AX67" s="199">
        <f>$O67*AX$34-$Q67</f>
        <v/>
      </c>
      <c r="AZ67" s="198">
        <f>$G67</f>
        <v/>
      </c>
      <c r="BA67" s="199">
        <f>$H67</f>
        <v/>
      </c>
      <c r="BB67" s="199">
        <f>$P67*BB$34-$Q67</f>
        <v/>
      </c>
      <c r="BC67" s="199">
        <f>$P67*BC$34-$Q67</f>
        <v/>
      </c>
      <c r="BD67" s="199">
        <f>$P67*BD$34-$Q67</f>
        <v/>
      </c>
      <c r="BE67" s="199">
        <f>$P67*BE$34-$Q67</f>
        <v/>
      </c>
      <c r="BF67" s="199">
        <f>$P67*BF$34-$Q67</f>
        <v/>
      </c>
      <c r="BH67" s="198">
        <f>$G67</f>
        <v/>
      </c>
      <c r="BI67" s="197">
        <f>$I67</f>
        <v/>
      </c>
      <c r="BJ67" s="197">
        <f>+BJ68</f>
        <v/>
      </c>
      <c r="BK67" s="197">
        <f>+BK68</f>
        <v/>
      </c>
      <c r="BL67" s="197">
        <f>+BL68</f>
        <v/>
      </c>
      <c r="BM67" s="197">
        <f>+BM68</f>
        <v/>
      </c>
      <c r="BN67" s="197">
        <f>+BN68</f>
        <v/>
      </c>
      <c r="BP67" s="198">
        <f>$G67</f>
        <v/>
      </c>
      <c r="BQ67" s="197">
        <f>$J67</f>
        <v/>
      </c>
      <c r="BR67" s="197">
        <f>+BR68</f>
        <v/>
      </c>
      <c r="BS67" s="197">
        <f>+BS68</f>
        <v/>
      </c>
      <c r="BT67" s="197">
        <f>+BT68</f>
        <v/>
      </c>
      <c r="BU67" s="197">
        <f>+BU68</f>
        <v/>
      </c>
      <c r="BV67" s="197">
        <f>+BV68</f>
        <v/>
      </c>
      <c r="BX67" s="198">
        <f>$G67</f>
        <v/>
      </c>
      <c r="BY67" s="197">
        <f>$K67</f>
        <v/>
      </c>
      <c r="BZ67" s="197">
        <f>+BZ68</f>
        <v/>
      </c>
      <c r="CA67" s="197">
        <f>+CA68</f>
        <v/>
      </c>
      <c r="CB67" s="197">
        <f>+CB68</f>
        <v/>
      </c>
      <c r="CC67" s="197">
        <f>+CC68</f>
        <v/>
      </c>
      <c r="CD67" s="197">
        <f>+CD68</f>
        <v/>
      </c>
      <c r="CF67" s="198">
        <f>$G67</f>
        <v/>
      </c>
      <c r="CG67" s="197">
        <f>$L67</f>
        <v/>
      </c>
      <c r="CH67" s="197">
        <f>+CH68</f>
        <v/>
      </c>
      <c r="CI67" s="197">
        <f>+CI68</f>
        <v/>
      </c>
      <c r="CJ67" s="197">
        <f>+CJ68</f>
        <v/>
      </c>
      <c r="CK67" s="197">
        <f>+CK68</f>
        <v/>
      </c>
      <c r="CL67" s="197">
        <f>+CL68</f>
        <v/>
      </c>
      <c r="CO67" s="199" t="n"/>
      <c r="CP67" s="199" t="n">
        <v>2.025</v>
      </c>
      <c r="CR67" s="199" t="inlineStr">
        <is>
          <t>#N/A N/A</t>
        </is>
      </c>
      <c r="CS67" s="970" t="n">
        <v>1.04277</v>
      </c>
    </row>
    <row r="68" ht="13.25" customHeight="1">
      <c r="B68" s="204">
        <f>+C68-1</f>
        <v/>
      </c>
      <c r="C68" s="204">
        <f>IF('bands_A-H_Avg'!$D$9+1&gt;MONTH(G68),YEAR(G68),YEAR(G68)+1)</f>
        <v/>
      </c>
      <c r="D68" s="204">
        <f>+C68+1</f>
        <v/>
      </c>
      <c r="E68" s="203">
        <f>IF(C68&gt;C67,1,E67+1)</f>
        <v/>
      </c>
      <c r="F68" s="203">
        <f>COUNTIF(C:C,C68)</f>
        <v/>
      </c>
      <c r="G68" s="198">
        <f>+G69-7</f>
        <v/>
      </c>
      <c r="H68" s="361">
        <f>IF(ISBLANK(CO68),CP68,SUMPRODUCT(CO$32:CP$32,CO68:CP68))</f>
        <v/>
      </c>
      <c r="I68" s="968">
        <f>H68/M68</f>
        <v/>
      </c>
      <c r="J68" s="968">
        <f>H68/N68</f>
        <v/>
      </c>
      <c r="K68" s="968">
        <f>(H68+Q68)/O68</f>
        <v/>
      </c>
      <c r="L68" s="968">
        <f>(H68+Q68)/P68</f>
        <v/>
      </c>
      <c r="M68" s="199">
        <f>HLOOKUP(C:C,$4:$10,3,FALSE)+((HLOOKUP(D:D,$4:$10,3,FALSE)-HLOOKUP(C:C,$4:$10,3,FALSE))*E68/F68)</f>
        <v/>
      </c>
      <c r="N68" s="199">
        <f>HLOOKUP(C:C,$4:$10,2,FALSE)+((HLOOKUP(D:D,$4:$10,2,FALSE)-HLOOKUP(C:C,$4:$10,2,FALSE))*E68/F68)</f>
        <v/>
      </c>
      <c r="O68" s="199">
        <f>HLOOKUP(C:C,$4:$10,5,FALSE)+((HLOOKUP(D:D,$4:$10,5,FALSE)-HLOOKUP(C:C,$4:$10,5,FALSE))*E68/F68)</f>
        <v/>
      </c>
      <c r="P68" s="199">
        <f>HLOOKUP(C:C,$4:$10,4,FALSE)+((HLOOKUP(D:D,$4:$10,4,FALSE)-HLOOKUP(C:C,$4:$10,4,FALSE))*E68/F68)</f>
        <v/>
      </c>
      <c r="Q68" s="199">
        <f>HLOOKUP(B:B,$4:$10,6,FALSE)+((HLOOKUP(C:C,$4:$10,6,FALSE)-HLOOKUP(B:B,$4:$10,6,FALSE))*E68/F68)</f>
        <v/>
      </c>
      <c r="T68" s="198">
        <f>$G68</f>
        <v/>
      </c>
      <c r="U68" s="199">
        <f>H68/(HLOOKUP(B:B,$4:$10,3,FALSE)+((HLOOKUP(C:C,$4:$10,3,FALSE)-HLOOKUP(B:B,$4:$10,3,FALSE))*E68/F68))</f>
        <v/>
      </c>
      <c r="V68" s="969">
        <f>HLOOKUP(B:B,$4:$10,7,FALSE)+((HLOOKUP(C:C,$4:$10,7,FALSE)-HLOOKUP(B:B,$4:$10,7,FALSE))*E68/F68)</f>
        <v/>
      </c>
      <c r="AB68" s="198">
        <f>$G68</f>
        <v/>
      </c>
      <c r="AC68" s="199">
        <f>$H68</f>
        <v/>
      </c>
      <c r="AD68" s="199">
        <f>$M68*AD$34</f>
        <v/>
      </c>
      <c r="AE68" s="199">
        <f>$M68*AE$34</f>
        <v/>
      </c>
      <c r="AF68" s="199">
        <f>$M68*AF$34</f>
        <v/>
      </c>
      <c r="AG68" s="199">
        <f>$M68*AG$34</f>
        <v/>
      </c>
      <c r="AH68" s="199">
        <f>$M68*AH$34</f>
        <v/>
      </c>
      <c r="AJ68" s="198">
        <f>$G68</f>
        <v/>
      </c>
      <c r="AK68" s="199">
        <f>$H68</f>
        <v/>
      </c>
      <c r="AL68" s="199">
        <f>$N68*AL$34</f>
        <v/>
      </c>
      <c r="AM68" s="199">
        <f>$N68*AM$34</f>
        <v/>
      </c>
      <c r="AN68" s="199">
        <f>$N68*AN$34</f>
        <v/>
      </c>
      <c r="AO68" s="199">
        <f>$N68*AO$34</f>
        <v/>
      </c>
      <c r="AP68" s="199">
        <f>$N68*AP$34</f>
        <v/>
      </c>
      <c r="AR68" s="198">
        <f>$G68</f>
        <v/>
      </c>
      <c r="AS68" s="199">
        <f>$H68</f>
        <v/>
      </c>
      <c r="AT68" s="199">
        <f>$O68*AT$34-$Q68</f>
        <v/>
      </c>
      <c r="AU68" s="199">
        <f>$O68*AU$34-$Q68</f>
        <v/>
      </c>
      <c r="AV68" s="199">
        <f>$O68*AV$34-$Q68</f>
        <v/>
      </c>
      <c r="AW68" s="199">
        <f>$O68*AW$34-$Q68</f>
        <v/>
      </c>
      <c r="AX68" s="199">
        <f>$O68*AX$34-$Q68</f>
        <v/>
      </c>
      <c r="AZ68" s="198">
        <f>$G68</f>
        <v/>
      </c>
      <c r="BA68" s="199">
        <f>$H68</f>
        <v/>
      </c>
      <c r="BB68" s="199">
        <f>$P68*BB$34-$Q68</f>
        <v/>
      </c>
      <c r="BC68" s="199">
        <f>$P68*BC$34-$Q68</f>
        <v/>
      </c>
      <c r="BD68" s="199">
        <f>$P68*BD$34-$Q68</f>
        <v/>
      </c>
      <c r="BE68" s="199">
        <f>$P68*BE$34-$Q68</f>
        <v/>
      </c>
      <c r="BF68" s="199">
        <f>$P68*BF$34-$Q68</f>
        <v/>
      </c>
      <c r="BH68" s="198">
        <f>$G68</f>
        <v/>
      </c>
      <c r="BI68" s="197">
        <f>$I68</f>
        <v/>
      </c>
      <c r="BJ68" s="197">
        <f>+BJ69</f>
        <v/>
      </c>
      <c r="BK68" s="197">
        <f>+BK69</f>
        <v/>
      </c>
      <c r="BL68" s="197">
        <f>+BL69</f>
        <v/>
      </c>
      <c r="BM68" s="197">
        <f>+BM69</f>
        <v/>
      </c>
      <c r="BN68" s="197">
        <f>+BN69</f>
        <v/>
      </c>
      <c r="BP68" s="198">
        <f>$G68</f>
        <v/>
      </c>
      <c r="BQ68" s="197">
        <f>$J68</f>
        <v/>
      </c>
      <c r="BR68" s="197">
        <f>+BR69</f>
        <v/>
      </c>
      <c r="BS68" s="197">
        <f>+BS69</f>
        <v/>
      </c>
      <c r="BT68" s="197">
        <f>+BT69</f>
        <v/>
      </c>
      <c r="BU68" s="197">
        <f>+BU69</f>
        <v/>
      </c>
      <c r="BV68" s="197">
        <f>+BV69</f>
        <v/>
      </c>
      <c r="BX68" s="198">
        <f>$G68</f>
        <v/>
      </c>
      <c r="BY68" s="197">
        <f>$K68</f>
        <v/>
      </c>
      <c r="BZ68" s="197">
        <f>+BZ69</f>
        <v/>
      </c>
      <c r="CA68" s="197">
        <f>+CA69</f>
        <v/>
      </c>
      <c r="CB68" s="197">
        <f>+CB69</f>
        <v/>
      </c>
      <c r="CC68" s="197">
        <f>+CC69</f>
        <v/>
      </c>
      <c r="CD68" s="197">
        <f>+CD69</f>
        <v/>
      </c>
      <c r="CF68" s="198">
        <f>$G68</f>
        <v/>
      </c>
      <c r="CG68" s="197">
        <f>$L68</f>
        <v/>
      </c>
      <c r="CH68" s="197">
        <f>+CH69</f>
        <v/>
      </c>
      <c r="CI68" s="197">
        <f>+CI69</f>
        <v/>
      </c>
      <c r="CJ68" s="197">
        <f>+CJ69</f>
        <v/>
      </c>
      <c r="CK68" s="197">
        <f>+CK69</f>
        <v/>
      </c>
      <c r="CL68" s="197">
        <f>+CL69</f>
        <v/>
      </c>
      <c r="CO68" s="199" t="n"/>
      <c r="CP68" s="199" t="n">
        <v>2.2</v>
      </c>
      <c r="CR68" s="199" t="inlineStr">
        <is>
          <t>#N/A N/A</t>
        </is>
      </c>
      <c r="CS68" s="970" t="n">
        <v>1.04231</v>
      </c>
    </row>
    <row r="69" ht="13.25" customHeight="1">
      <c r="B69" s="204">
        <f>+C69-1</f>
        <v/>
      </c>
      <c r="C69" s="204">
        <f>IF('bands_A-H_Avg'!$D$9+1&gt;MONTH(G69),YEAR(G69),YEAR(G69)+1)</f>
        <v/>
      </c>
      <c r="D69" s="204">
        <f>+C69+1</f>
        <v/>
      </c>
      <c r="E69" s="203">
        <f>IF(C69&gt;C68,1,E68+1)</f>
        <v/>
      </c>
      <c r="F69" s="203">
        <f>COUNTIF(C:C,C69)</f>
        <v/>
      </c>
      <c r="G69" s="198">
        <f>+G70-7</f>
        <v/>
      </c>
      <c r="H69" s="361">
        <f>IF(ISBLANK(CO69),CP69,SUMPRODUCT(CO$32:CP$32,CO69:CP69))</f>
        <v/>
      </c>
      <c r="I69" s="968">
        <f>H69/M69</f>
        <v/>
      </c>
      <c r="J69" s="968">
        <f>H69/N69</f>
        <v/>
      </c>
      <c r="K69" s="968">
        <f>(H69+Q69)/O69</f>
        <v/>
      </c>
      <c r="L69" s="968">
        <f>(H69+Q69)/P69</f>
        <v/>
      </c>
      <c r="M69" s="199">
        <f>HLOOKUP(C:C,$4:$10,3,FALSE)+((HLOOKUP(D:D,$4:$10,3,FALSE)-HLOOKUP(C:C,$4:$10,3,FALSE))*E69/F69)</f>
        <v/>
      </c>
      <c r="N69" s="199">
        <f>HLOOKUP(C:C,$4:$10,2,FALSE)+((HLOOKUP(D:D,$4:$10,2,FALSE)-HLOOKUP(C:C,$4:$10,2,FALSE))*E69/F69)</f>
        <v/>
      </c>
      <c r="O69" s="199">
        <f>HLOOKUP(C:C,$4:$10,5,FALSE)+((HLOOKUP(D:D,$4:$10,5,FALSE)-HLOOKUP(C:C,$4:$10,5,FALSE))*E69/F69)</f>
        <v/>
      </c>
      <c r="P69" s="199">
        <f>HLOOKUP(C:C,$4:$10,4,FALSE)+((HLOOKUP(D:D,$4:$10,4,FALSE)-HLOOKUP(C:C,$4:$10,4,FALSE))*E69/F69)</f>
        <v/>
      </c>
      <c r="Q69" s="199">
        <f>HLOOKUP(B:B,$4:$10,6,FALSE)+((HLOOKUP(C:C,$4:$10,6,FALSE)-HLOOKUP(B:B,$4:$10,6,FALSE))*E69/F69)</f>
        <v/>
      </c>
      <c r="T69" s="198">
        <f>$G69</f>
        <v/>
      </c>
      <c r="U69" s="199">
        <f>H69/(HLOOKUP(B:B,$4:$10,3,FALSE)+((HLOOKUP(C:C,$4:$10,3,FALSE)-HLOOKUP(B:B,$4:$10,3,FALSE))*E69/F69))</f>
        <v/>
      </c>
      <c r="V69" s="969">
        <f>HLOOKUP(B:B,$4:$10,7,FALSE)+((HLOOKUP(C:C,$4:$10,7,FALSE)-HLOOKUP(B:B,$4:$10,7,FALSE))*E69/F69)</f>
        <v/>
      </c>
      <c r="AB69" s="198">
        <f>$G69</f>
        <v/>
      </c>
      <c r="AC69" s="199">
        <f>$H69</f>
        <v/>
      </c>
      <c r="AD69" s="199">
        <f>$M69*AD$34</f>
        <v/>
      </c>
      <c r="AE69" s="199">
        <f>$M69*AE$34</f>
        <v/>
      </c>
      <c r="AF69" s="199">
        <f>$M69*AF$34</f>
        <v/>
      </c>
      <c r="AG69" s="199">
        <f>$M69*AG$34</f>
        <v/>
      </c>
      <c r="AH69" s="199">
        <f>$M69*AH$34</f>
        <v/>
      </c>
      <c r="AJ69" s="198">
        <f>$G69</f>
        <v/>
      </c>
      <c r="AK69" s="199">
        <f>$H69</f>
        <v/>
      </c>
      <c r="AL69" s="199">
        <f>$N69*AL$34</f>
        <v/>
      </c>
      <c r="AM69" s="199">
        <f>$N69*AM$34</f>
        <v/>
      </c>
      <c r="AN69" s="199">
        <f>$N69*AN$34</f>
        <v/>
      </c>
      <c r="AO69" s="199">
        <f>$N69*AO$34</f>
        <v/>
      </c>
      <c r="AP69" s="199">
        <f>$N69*AP$34</f>
        <v/>
      </c>
      <c r="AR69" s="198">
        <f>$G69</f>
        <v/>
      </c>
      <c r="AS69" s="199">
        <f>$H69</f>
        <v/>
      </c>
      <c r="AT69" s="199">
        <f>$O69*AT$34-$Q69</f>
        <v/>
      </c>
      <c r="AU69" s="199">
        <f>$O69*AU$34-$Q69</f>
        <v/>
      </c>
      <c r="AV69" s="199">
        <f>$O69*AV$34-$Q69</f>
        <v/>
      </c>
      <c r="AW69" s="199">
        <f>$O69*AW$34-$Q69</f>
        <v/>
      </c>
      <c r="AX69" s="199">
        <f>$O69*AX$34-$Q69</f>
        <v/>
      </c>
      <c r="AZ69" s="198">
        <f>$G69</f>
        <v/>
      </c>
      <c r="BA69" s="199">
        <f>$H69</f>
        <v/>
      </c>
      <c r="BB69" s="199">
        <f>$P69*BB$34-$Q69</f>
        <v/>
      </c>
      <c r="BC69" s="199">
        <f>$P69*BC$34-$Q69</f>
        <v/>
      </c>
      <c r="BD69" s="199">
        <f>$P69*BD$34-$Q69</f>
        <v/>
      </c>
      <c r="BE69" s="199">
        <f>$P69*BE$34-$Q69</f>
        <v/>
      </c>
      <c r="BF69" s="199">
        <f>$P69*BF$34-$Q69</f>
        <v/>
      </c>
      <c r="BH69" s="198">
        <f>$G69</f>
        <v/>
      </c>
      <c r="BI69" s="197">
        <f>$I69</f>
        <v/>
      </c>
      <c r="BJ69" s="197">
        <f>+BJ70</f>
        <v/>
      </c>
      <c r="BK69" s="197">
        <f>+BK70</f>
        <v/>
      </c>
      <c r="BL69" s="197">
        <f>+BL70</f>
        <v/>
      </c>
      <c r="BM69" s="197">
        <f>+BM70</f>
        <v/>
      </c>
      <c r="BN69" s="197">
        <f>+BN70</f>
        <v/>
      </c>
      <c r="BP69" s="198">
        <f>$G69</f>
        <v/>
      </c>
      <c r="BQ69" s="197">
        <f>$J69</f>
        <v/>
      </c>
      <c r="BR69" s="197">
        <f>+BR70</f>
        <v/>
      </c>
      <c r="BS69" s="197">
        <f>+BS70</f>
        <v/>
      </c>
      <c r="BT69" s="197">
        <f>+BT70</f>
        <v/>
      </c>
      <c r="BU69" s="197">
        <f>+BU70</f>
        <v/>
      </c>
      <c r="BV69" s="197">
        <f>+BV70</f>
        <v/>
      </c>
      <c r="BX69" s="198">
        <f>$G69</f>
        <v/>
      </c>
      <c r="BY69" s="197">
        <f>$K69</f>
        <v/>
      </c>
      <c r="BZ69" s="197">
        <f>+BZ70</f>
        <v/>
      </c>
      <c r="CA69" s="197">
        <f>+CA70</f>
        <v/>
      </c>
      <c r="CB69" s="197">
        <f>+CB70</f>
        <v/>
      </c>
      <c r="CC69" s="197">
        <f>+CC70</f>
        <v/>
      </c>
      <c r="CD69" s="197">
        <f>+CD70</f>
        <v/>
      </c>
      <c r="CF69" s="198">
        <f>$G69</f>
        <v/>
      </c>
      <c r="CG69" s="197">
        <f>$L69</f>
        <v/>
      </c>
      <c r="CH69" s="197">
        <f>+CH70</f>
        <v/>
      </c>
      <c r="CI69" s="197">
        <f>+CI70</f>
        <v/>
      </c>
      <c r="CJ69" s="197">
        <f>+CJ70</f>
        <v/>
      </c>
      <c r="CK69" s="197">
        <f>+CK70</f>
        <v/>
      </c>
      <c r="CL69" s="197">
        <f>+CL70</f>
        <v/>
      </c>
      <c r="CO69" s="199" t="n"/>
      <c r="CP69" s="199" t="n">
        <v>2.325</v>
      </c>
      <c r="CR69" s="199" t="inlineStr">
        <is>
          <t>#N/A N/A</t>
        </is>
      </c>
      <c r="CS69" s="970" t="n">
        <v>1.04291</v>
      </c>
    </row>
    <row r="70" ht="13.25" customHeight="1">
      <c r="B70" s="204">
        <f>+C70-1</f>
        <v/>
      </c>
      <c r="C70" s="204">
        <f>IF('bands_A-H_Avg'!$D$9+1&gt;MONTH(G70),YEAR(G70),YEAR(G70)+1)</f>
        <v/>
      </c>
      <c r="D70" s="204">
        <f>+C70+1</f>
        <v/>
      </c>
      <c r="E70" s="203">
        <f>IF(C70&gt;C69,1,E69+1)</f>
        <v/>
      </c>
      <c r="F70" s="203">
        <f>COUNTIF(C:C,C70)</f>
        <v/>
      </c>
      <c r="G70" s="198">
        <f>+G71-7</f>
        <v/>
      </c>
      <c r="H70" s="361">
        <f>IF(ISBLANK(CO70),CP70,SUMPRODUCT(CO$32:CP$32,CO70:CP70))</f>
        <v/>
      </c>
      <c r="I70" s="968">
        <f>H70/M70</f>
        <v/>
      </c>
      <c r="J70" s="968">
        <f>H70/N70</f>
        <v/>
      </c>
      <c r="K70" s="968">
        <f>(H70+Q70)/O70</f>
        <v/>
      </c>
      <c r="L70" s="968">
        <f>(H70+Q70)/P70</f>
        <v/>
      </c>
      <c r="M70" s="199">
        <f>HLOOKUP(C:C,$4:$10,3,FALSE)+((HLOOKUP(D:D,$4:$10,3,FALSE)-HLOOKUP(C:C,$4:$10,3,FALSE))*E70/F70)</f>
        <v/>
      </c>
      <c r="N70" s="199">
        <f>HLOOKUP(C:C,$4:$10,2,FALSE)+((HLOOKUP(D:D,$4:$10,2,FALSE)-HLOOKUP(C:C,$4:$10,2,FALSE))*E70/F70)</f>
        <v/>
      </c>
      <c r="O70" s="199">
        <f>HLOOKUP(C:C,$4:$10,5,FALSE)+((HLOOKUP(D:D,$4:$10,5,FALSE)-HLOOKUP(C:C,$4:$10,5,FALSE))*E70/F70)</f>
        <v/>
      </c>
      <c r="P70" s="199">
        <f>HLOOKUP(C:C,$4:$10,4,FALSE)+((HLOOKUP(D:D,$4:$10,4,FALSE)-HLOOKUP(C:C,$4:$10,4,FALSE))*E70/F70)</f>
        <v/>
      </c>
      <c r="Q70" s="199">
        <f>HLOOKUP(B:B,$4:$10,6,FALSE)+((HLOOKUP(C:C,$4:$10,6,FALSE)-HLOOKUP(B:B,$4:$10,6,FALSE))*E70/F70)</f>
        <v/>
      </c>
      <c r="T70" s="198">
        <f>$G70</f>
        <v/>
      </c>
      <c r="U70" s="199">
        <f>H70/(HLOOKUP(B:B,$4:$10,3,FALSE)+((HLOOKUP(C:C,$4:$10,3,FALSE)-HLOOKUP(B:B,$4:$10,3,FALSE))*E70/F70))</f>
        <v/>
      </c>
      <c r="V70" s="969">
        <f>HLOOKUP(B:B,$4:$10,7,FALSE)+((HLOOKUP(C:C,$4:$10,7,FALSE)-HLOOKUP(B:B,$4:$10,7,FALSE))*E70/F70)</f>
        <v/>
      </c>
      <c r="AB70" s="198">
        <f>$G70</f>
        <v/>
      </c>
      <c r="AC70" s="199">
        <f>$H70</f>
        <v/>
      </c>
      <c r="AD70" s="199">
        <f>$M70*AD$34</f>
        <v/>
      </c>
      <c r="AE70" s="199">
        <f>$M70*AE$34</f>
        <v/>
      </c>
      <c r="AF70" s="199">
        <f>$M70*AF$34</f>
        <v/>
      </c>
      <c r="AG70" s="199">
        <f>$M70*AG$34</f>
        <v/>
      </c>
      <c r="AH70" s="199">
        <f>$M70*AH$34</f>
        <v/>
      </c>
      <c r="AJ70" s="198">
        <f>$G70</f>
        <v/>
      </c>
      <c r="AK70" s="199">
        <f>$H70</f>
        <v/>
      </c>
      <c r="AL70" s="199">
        <f>$N70*AL$34</f>
        <v/>
      </c>
      <c r="AM70" s="199">
        <f>$N70*AM$34</f>
        <v/>
      </c>
      <c r="AN70" s="199">
        <f>$N70*AN$34</f>
        <v/>
      </c>
      <c r="AO70" s="199">
        <f>$N70*AO$34</f>
        <v/>
      </c>
      <c r="AP70" s="199">
        <f>$N70*AP$34</f>
        <v/>
      </c>
      <c r="AR70" s="198">
        <f>$G70</f>
        <v/>
      </c>
      <c r="AS70" s="199">
        <f>$H70</f>
        <v/>
      </c>
      <c r="AT70" s="199">
        <f>$O70*AT$34-$Q70</f>
        <v/>
      </c>
      <c r="AU70" s="199">
        <f>$O70*AU$34-$Q70</f>
        <v/>
      </c>
      <c r="AV70" s="199">
        <f>$O70*AV$34-$Q70</f>
        <v/>
      </c>
      <c r="AW70" s="199">
        <f>$O70*AW$34-$Q70</f>
        <v/>
      </c>
      <c r="AX70" s="199">
        <f>$O70*AX$34-$Q70</f>
        <v/>
      </c>
      <c r="AZ70" s="198">
        <f>$G70</f>
        <v/>
      </c>
      <c r="BA70" s="199">
        <f>$H70</f>
        <v/>
      </c>
      <c r="BB70" s="199">
        <f>$P70*BB$34-$Q70</f>
        <v/>
      </c>
      <c r="BC70" s="199">
        <f>$P70*BC$34-$Q70</f>
        <v/>
      </c>
      <c r="BD70" s="199">
        <f>$P70*BD$34-$Q70</f>
        <v/>
      </c>
      <c r="BE70" s="199">
        <f>$P70*BE$34-$Q70</f>
        <v/>
      </c>
      <c r="BF70" s="199">
        <f>$P70*BF$34-$Q70</f>
        <v/>
      </c>
      <c r="BH70" s="198">
        <f>$G70</f>
        <v/>
      </c>
      <c r="BI70" s="197">
        <f>$I70</f>
        <v/>
      </c>
      <c r="BJ70" s="197">
        <f>+BJ71</f>
        <v/>
      </c>
      <c r="BK70" s="197">
        <f>+BK71</f>
        <v/>
      </c>
      <c r="BL70" s="197">
        <f>+BL71</f>
        <v/>
      </c>
      <c r="BM70" s="197">
        <f>+BM71</f>
        <v/>
      </c>
      <c r="BN70" s="197">
        <f>+BN71</f>
        <v/>
      </c>
      <c r="BP70" s="198">
        <f>$G70</f>
        <v/>
      </c>
      <c r="BQ70" s="197">
        <f>$J70</f>
        <v/>
      </c>
      <c r="BR70" s="197">
        <f>+BR71</f>
        <v/>
      </c>
      <c r="BS70" s="197">
        <f>+BS71</f>
        <v/>
      </c>
      <c r="BT70" s="197">
        <f>+BT71</f>
        <v/>
      </c>
      <c r="BU70" s="197">
        <f>+BU71</f>
        <v/>
      </c>
      <c r="BV70" s="197">
        <f>+BV71</f>
        <v/>
      </c>
      <c r="BX70" s="198">
        <f>$G70</f>
        <v/>
      </c>
      <c r="BY70" s="197">
        <f>$K70</f>
        <v/>
      </c>
      <c r="BZ70" s="197">
        <f>+BZ71</f>
        <v/>
      </c>
      <c r="CA70" s="197">
        <f>+CA71</f>
        <v/>
      </c>
      <c r="CB70" s="197">
        <f>+CB71</f>
        <v/>
      </c>
      <c r="CC70" s="197">
        <f>+CC71</f>
        <v/>
      </c>
      <c r="CD70" s="197">
        <f>+CD71</f>
        <v/>
      </c>
      <c r="CF70" s="198">
        <f>$G70</f>
        <v/>
      </c>
      <c r="CG70" s="197">
        <f>$L70</f>
        <v/>
      </c>
      <c r="CH70" s="197">
        <f>+CH71</f>
        <v/>
      </c>
      <c r="CI70" s="197">
        <f>+CI71</f>
        <v/>
      </c>
      <c r="CJ70" s="197">
        <f>+CJ71</f>
        <v/>
      </c>
      <c r="CK70" s="197">
        <f>+CK71</f>
        <v/>
      </c>
      <c r="CL70" s="197">
        <f>+CL71</f>
        <v/>
      </c>
      <c r="CO70" s="199" t="n"/>
      <c r="CP70" s="199" t="n">
        <v>2.375</v>
      </c>
      <c r="CR70" s="199" t="inlineStr">
        <is>
          <t>#N/A N/A</t>
        </is>
      </c>
      <c r="CS70" s="970" t="n">
        <v>1.04217</v>
      </c>
    </row>
    <row r="71" ht="13.25" customHeight="1">
      <c r="B71" s="204">
        <f>+C71-1</f>
        <v/>
      </c>
      <c r="C71" s="204">
        <f>IF('bands_A-H_Avg'!$D$9+1&gt;MONTH(G71),YEAR(G71),YEAR(G71)+1)</f>
        <v/>
      </c>
      <c r="D71" s="204">
        <f>+C71+1</f>
        <v/>
      </c>
      <c r="E71" s="203">
        <f>IF(C71&gt;C70,1,E70+1)</f>
        <v/>
      </c>
      <c r="F71" s="203">
        <f>COUNTIF(C:C,C71)</f>
        <v/>
      </c>
      <c r="G71" s="198">
        <f>+G72-7</f>
        <v/>
      </c>
      <c r="H71" s="361">
        <f>IF(ISBLANK(CO71),CP71,SUMPRODUCT(CO$32:CP$32,CO71:CP71))</f>
        <v/>
      </c>
      <c r="I71" s="968">
        <f>H71/M71</f>
        <v/>
      </c>
      <c r="J71" s="968">
        <f>H71/N71</f>
        <v/>
      </c>
      <c r="K71" s="968">
        <f>(H71+Q71)/O71</f>
        <v/>
      </c>
      <c r="L71" s="968">
        <f>(H71+Q71)/P71</f>
        <v/>
      </c>
      <c r="M71" s="199">
        <f>HLOOKUP(C:C,$4:$10,3,FALSE)+((HLOOKUP(D:D,$4:$10,3,FALSE)-HLOOKUP(C:C,$4:$10,3,FALSE))*E71/F71)</f>
        <v/>
      </c>
      <c r="N71" s="199">
        <f>HLOOKUP(C:C,$4:$10,2,FALSE)+((HLOOKUP(D:D,$4:$10,2,FALSE)-HLOOKUP(C:C,$4:$10,2,FALSE))*E71/F71)</f>
        <v/>
      </c>
      <c r="O71" s="199">
        <f>HLOOKUP(C:C,$4:$10,5,FALSE)+((HLOOKUP(D:D,$4:$10,5,FALSE)-HLOOKUP(C:C,$4:$10,5,FALSE))*E71/F71)</f>
        <v/>
      </c>
      <c r="P71" s="199">
        <f>HLOOKUP(C:C,$4:$10,4,FALSE)+((HLOOKUP(D:D,$4:$10,4,FALSE)-HLOOKUP(C:C,$4:$10,4,FALSE))*E71/F71)</f>
        <v/>
      </c>
      <c r="Q71" s="199">
        <f>HLOOKUP(B:B,$4:$10,6,FALSE)+((HLOOKUP(C:C,$4:$10,6,FALSE)-HLOOKUP(B:B,$4:$10,6,FALSE))*E71/F71)</f>
        <v/>
      </c>
      <c r="T71" s="198">
        <f>$G71</f>
        <v/>
      </c>
      <c r="U71" s="199">
        <f>H71/(HLOOKUP(B:B,$4:$10,3,FALSE)+((HLOOKUP(C:C,$4:$10,3,FALSE)-HLOOKUP(B:B,$4:$10,3,FALSE))*E71/F71))</f>
        <v/>
      </c>
      <c r="V71" s="969">
        <f>HLOOKUP(B:B,$4:$10,7,FALSE)+((HLOOKUP(C:C,$4:$10,7,FALSE)-HLOOKUP(B:B,$4:$10,7,FALSE))*E71/F71)</f>
        <v/>
      </c>
      <c r="AB71" s="198">
        <f>$G71</f>
        <v/>
      </c>
      <c r="AC71" s="199">
        <f>$H71</f>
        <v/>
      </c>
      <c r="AD71" s="199">
        <f>$M71*AD$34</f>
        <v/>
      </c>
      <c r="AE71" s="199">
        <f>$M71*AE$34</f>
        <v/>
      </c>
      <c r="AF71" s="199">
        <f>$M71*AF$34</f>
        <v/>
      </c>
      <c r="AG71" s="199">
        <f>$M71*AG$34</f>
        <v/>
      </c>
      <c r="AH71" s="199">
        <f>$M71*AH$34</f>
        <v/>
      </c>
      <c r="AJ71" s="198">
        <f>$G71</f>
        <v/>
      </c>
      <c r="AK71" s="199">
        <f>$H71</f>
        <v/>
      </c>
      <c r="AL71" s="199">
        <f>$N71*AL$34</f>
        <v/>
      </c>
      <c r="AM71" s="199">
        <f>$N71*AM$34</f>
        <v/>
      </c>
      <c r="AN71" s="199">
        <f>$N71*AN$34</f>
        <v/>
      </c>
      <c r="AO71" s="199">
        <f>$N71*AO$34</f>
        <v/>
      </c>
      <c r="AP71" s="199">
        <f>$N71*AP$34</f>
        <v/>
      </c>
      <c r="AR71" s="198">
        <f>$G71</f>
        <v/>
      </c>
      <c r="AS71" s="199">
        <f>$H71</f>
        <v/>
      </c>
      <c r="AT71" s="199">
        <f>$O71*AT$34-$Q71</f>
        <v/>
      </c>
      <c r="AU71" s="199">
        <f>$O71*AU$34-$Q71</f>
        <v/>
      </c>
      <c r="AV71" s="199">
        <f>$O71*AV$34-$Q71</f>
        <v/>
      </c>
      <c r="AW71" s="199">
        <f>$O71*AW$34-$Q71</f>
        <v/>
      </c>
      <c r="AX71" s="199">
        <f>$O71*AX$34-$Q71</f>
        <v/>
      </c>
      <c r="AZ71" s="198">
        <f>$G71</f>
        <v/>
      </c>
      <c r="BA71" s="199">
        <f>$H71</f>
        <v/>
      </c>
      <c r="BB71" s="199">
        <f>$P71*BB$34-$Q71</f>
        <v/>
      </c>
      <c r="BC71" s="199">
        <f>$P71*BC$34-$Q71</f>
        <v/>
      </c>
      <c r="BD71" s="199">
        <f>$P71*BD$34-$Q71</f>
        <v/>
      </c>
      <c r="BE71" s="199">
        <f>$P71*BE$34-$Q71</f>
        <v/>
      </c>
      <c r="BF71" s="199">
        <f>$P71*BF$34-$Q71</f>
        <v/>
      </c>
      <c r="BH71" s="198">
        <f>$G71</f>
        <v/>
      </c>
      <c r="BI71" s="197">
        <f>$I71</f>
        <v/>
      </c>
      <c r="BJ71" s="197">
        <f>+BJ72</f>
        <v/>
      </c>
      <c r="BK71" s="197">
        <f>+BK72</f>
        <v/>
      </c>
      <c r="BL71" s="197">
        <f>+BL72</f>
        <v/>
      </c>
      <c r="BM71" s="197">
        <f>+BM72</f>
        <v/>
      </c>
      <c r="BN71" s="197">
        <f>+BN72</f>
        <v/>
      </c>
      <c r="BP71" s="198">
        <f>$G71</f>
        <v/>
      </c>
      <c r="BQ71" s="197">
        <f>$J71</f>
        <v/>
      </c>
      <c r="BR71" s="197">
        <f>+BR72</f>
        <v/>
      </c>
      <c r="BS71" s="197">
        <f>+BS72</f>
        <v/>
      </c>
      <c r="BT71" s="197">
        <f>+BT72</f>
        <v/>
      </c>
      <c r="BU71" s="197">
        <f>+BU72</f>
        <v/>
      </c>
      <c r="BV71" s="197">
        <f>+BV72</f>
        <v/>
      </c>
      <c r="BX71" s="198">
        <f>$G71</f>
        <v/>
      </c>
      <c r="BY71" s="197">
        <f>$K71</f>
        <v/>
      </c>
      <c r="BZ71" s="197">
        <f>+BZ72</f>
        <v/>
      </c>
      <c r="CA71" s="197">
        <f>+CA72</f>
        <v/>
      </c>
      <c r="CB71" s="197">
        <f>+CB72</f>
        <v/>
      </c>
      <c r="CC71" s="197">
        <f>+CC72</f>
        <v/>
      </c>
      <c r="CD71" s="197">
        <f>+CD72</f>
        <v/>
      </c>
      <c r="CF71" s="198">
        <f>$G71</f>
        <v/>
      </c>
      <c r="CG71" s="197">
        <f>$L71</f>
        <v/>
      </c>
      <c r="CH71" s="197">
        <f>+CH72</f>
        <v/>
      </c>
      <c r="CI71" s="197">
        <f>+CI72</f>
        <v/>
      </c>
      <c r="CJ71" s="197">
        <f>+CJ72</f>
        <v/>
      </c>
      <c r="CK71" s="197">
        <f>+CK72</f>
        <v/>
      </c>
      <c r="CL71" s="197">
        <f>+CL72</f>
        <v/>
      </c>
      <c r="CO71" s="199" t="n"/>
      <c r="CP71" s="199" t="n">
        <v>2.375</v>
      </c>
      <c r="CR71" s="199" t="inlineStr">
        <is>
          <t>#N/A N/A</t>
        </is>
      </c>
      <c r="CS71" s="970" t="n">
        <v>1.04206</v>
      </c>
    </row>
    <row r="72" ht="13.25" customHeight="1">
      <c r="B72" s="204">
        <f>+C72-1</f>
        <v/>
      </c>
      <c r="C72" s="204">
        <f>IF('bands_A-H_Avg'!$D$9+1&gt;MONTH(G72),YEAR(G72),YEAR(G72)+1)</f>
        <v/>
      </c>
      <c r="D72" s="204">
        <f>+C72+1</f>
        <v/>
      </c>
      <c r="E72" s="203">
        <f>IF(C72&gt;C71,1,E71+1)</f>
        <v/>
      </c>
      <c r="F72" s="203">
        <f>COUNTIF(C:C,C72)</f>
        <v/>
      </c>
      <c r="G72" s="198">
        <f>+G73-7</f>
        <v/>
      </c>
      <c r="H72" s="361">
        <f>IF(ISBLANK(CO72),CP72,SUMPRODUCT(CO$32:CP$32,CO72:CP72))</f>
        <v/>
      </c>
      <c r="I72" s="968">
        <f>H72/M72</f>
        <v/>
      </c>
      <c r="J72" s="968">
        <f>H72/N72</f>
        <v/>
      </c>
      <c r="K72" s="968">
        <f>(H72+Q72)/O72</f>
        <v/>
      </c>
      <c r="L72" s="968">
        <f>(H72+Q72)/P72</f>
        <v/>
      </c>
      <c r="M72" s="199">
        <f>HLOOKUP(C:C,$4:$10,3,FALSE)+((HLOOKUP(D:D,$4:$10,3,FALSE)-HLOOKUP(C:C,$4:$10,3,FALSE))*E72/F72)</f>
        <v/>
      </c>
      <c r="N72" s="199">
        <f>HLOOKUP(C:C,$4:$10,2,FALSE)+((HLOOKUP(D:D,$4:$10,2,FALSE)-HLOOKUP(C:C,$4:$10,2,FALSE))*E72/F72)</f>
        <v/>
      </c>
      <c r="O72" s="199">
        <f>HLOOKUP(C:C,$4:$10,5,FALSE)+((HLOOKUP(D:D,$4:$10,5,FALSE)-HLOOKUP(C:C,$4:$10,5,FALSE))*E72/F72)</f>
        <v/>
      </c>
      <c r="P72" s="199">
        <f>HLOOKUP(C:C,$4:$10,4,FALSE)+((HLOOKUP(D:D,$4:$10,4,FALSE)-HLOOKUP(C:C,$4:$10,4,FALSE))*E72/F72)</f>
        <v/>
      </c>
      <c r="Q72" s="199">
        <f>HLOOKUP(B:B,$4:$10,6,FALSE)+((HLOOKUP(C:C,$4:$10,6,FALSE)-HLOOKUP(B:B,$4:$10,6,FALSE))*E72/F72)</f>
        <v/>
      </c>
      <c r="T72" s="198">
        <f>$G72</f>
        <v/>
      </c>
      <c r="U72" s="199">
        <f>H72/(HLOOKUP(B:B,$4:$10,3,FALSE)+((HLOOKUP(C:C,$4:$10,3,FALSE)-HLOOKUP(B:B,$4:$10,3,FALSE))*E72/F72))</f>
        <v/>
      </c>
      <c r="V72" s="969">
        <f>HLOOKUP(B:B,$4:$10,7,FALSE)+((HLOOKUP(C:C,$4:$10,7,FALSE)-HLOOKUP(B:B,$4:$10,7,FALSE))*E72/F72)</f>
        <v/>
      </c>
      <c r="AB72" s="198">
        <f>$G72</f>
        <v/>
      </c>
      <c r="AC72" s="199">
        <f>$H72</f>
        <v/>
      </c>
      <c r="AD72" s="199">
        <f>$M72*AD$34</f>
        <v/>
      </c>
      <c r="AE72" s="199">
        <f>$M72*AE$34</f>
        <v/>
      </c>
      <c r="AF72" s="199">
        <f>$M72*AF$34</f>
        <v/>
      </c>
      <c r="AG72" s="199">
        <f>$M72*AG$34</f>
        <v/>
      </c>
      <c r="AH72" s="199">
        <f>$M72*AH$34</f>
        <v/>
      </c>
      <c r="AJ72" s="198">
        <f>$G72</f>
        <v/>
      </c>
      <c r="AK72" s="199">
        <f>$H72</f>
        <v/>
      </c>
      <c r="AL72" s="199">
        <f>$N72*AL$34</f>
        <v/>
      </c>
      <c r="AM72" s="199">
        <f>$N72*AM$34</f>
        <v/>
      </c>
      <c r="AN72" s="199">
        <f>$N72*AN$34</f>
        <v/>
      </c>
      <c r="AO72" s="199">
        <f>$N72*AO$34</f>
        <v/>
      </c>
      <c r="AP72" s="199">
        <f>$N72*AP$34</f>
        <v/>
      </c>
      <c r="AR72" s="198">
        <f>$G72</f>
        <v/>
      </c>
      <c r="AS72" s="199">
        <f>$H72</f>
        <v/>
      </c>
      <c r="AT72" s="199">
        <f>$O72*AT$34-$Q72</f>
        <v/>
      </c>
      <c r="AU72" s="199">
        <f>$O72*AU$34-$Q72</f>
        <v/>
      </c>
      <c r="AV72" s="199">
        <f>$O72*AV$34-$Q72</f>
        <v/>
      </c>
      <c r="AW72" s="199">
        <f>$O72*AW$34-$Q72</f>
        <v/>
      </c>
      <c r="AX72" s="199">
        <f>$O72*AX$34-$Q72</f>
        <v/>
      </c>
      <c r="AZ72" s="198">
        <f>$G72</f>
        <v/>
      </c>
      <c r="BA72" s="199">
        <f>$H72</f>
        <v/>
      </c>
      <c r="BB72" s="199">
        <f>$P72*BB$34-$Q72</f>
        <v/>
      </c>
      <c r="BC72" s="199">
        <f>$P72*BC$34-$Q72</f>
        <v/>
      </c>
      <c r="BD72" s="199">
        <f>$P72*BD$34-$Q72</f>
        <v/>
      </c>
      <c r="BE72" s="199">
        <f>$P72*BE$34-$Q72</f>
        <v/>
      </c>
      <c r="BF72" s="199">
        <f>$P72*BF$34-$Q72</f>
        <v/>
      </c>
      <c r="BH72" s="198">
        <f>$G72</f>
        <v/>
      </c>
      <c r="BI72" s="197">
        <f>$I72</f>
        <v/>
      </c>
      <c r="BJ72" s="197">
        <f>+BJ73</f>
        <v/>
      </c>
      <c r="BK72" s="197">
        <f>+BK73</f>
        <v/>
      </c>
      <c r="BL72" s="197">
        <f>+BL73</f>
        <v/>
      </c>
      <c r="BM72" s="197">
        <f>+BM73</f>
        <v/>
      </c>
      <c r="BN72" s="197">
        <f>+BN73</f>
        <v/>
      </c>
      <c r="BP72" s="198">
        <f>$G72</f>
        <v/>
      </c>
      <c r="BQ72" s="197">
        <f>$J72</f>
        <v/>
      </c>
      <c r="BR72" s="197">
        <f>+BR73</f>
        <v/>
      </c>
      <c r="BS72" s="197">
        <f>+BS73</f>
        <v/>
      </c>
      <c r="BT72" s="197">
        <f>+BT73</f>
        <v/>
      </c>
      <c r="BU72" s="197">
        <f>+BU73</f>
        <v/>
      </c>
      <c r="BV72" s="197">
        <f>+BV73</f>
        <v/>
      </c>
      <c r="BX72" s="198">
        <f>$G72</f>
        <v/>
      </c>
      <c r="BY72" s="197">
        <f>$K72</f>
        <v/>
      </c>
      <c r="BZ72" s="197">
        <f>+BZ73</f>
        <v/>
      </c>
      <c r="CA72" s="197">
        <f>+CA73</f>
        <v/>
      </c>
      <c r="CB72" s="197">
        <f>+CB73</f>
        <v/>
      </c>
      <c r="CC72" s="197">
        <f>+CC73</f>
        <v/>
      </c>
      <c r="CD72" s="197">
        <f>+CD73</f>
        <v/>
      </c>
      <c r="CF72" s="198">
        <f>$G72</f>
        <v/>
      </c>
      <c r="CG72" s="197">
        <f>$L72</f>
        <v/>
      </c>
      <c r="CH72" s="197">
        <f>+CH73</f>
        <v/>
      </c>
      <c r="CI72" s="197">
        <f>+CI73</f>
        <v/>
      </c>
      <c r="CJ72" s="197">
        <f>+CJ73</f>
        <v/>
      </c>
      <c r="CK72" s="197">
        <f>+CK73</f>
        <v/>
      </c>
      <c r="CL72" s="197">
        <f>+CL73</f>
        <v/>
      </c>
      <c r="CO72" s="199" t="n"/>
      <c r="CP72" s="199" t="n">
        <v>2.35</v>
      </c>
      <c r="CR72" s="199" t="inlineStr">
        <is>
          <t>#N/A N/A</t>
        </is>
      </c>
      <c r="CS72" s="970" t="n">
        <v>1.04278</v>
      </c>
    </row>
    <row r="73" ht="13.25" customHeight="1">
      <c r="B73" s="204">
        <f>+C73-1</f>
        <v/>
      </c>
      <c r="C73" s="204">
        <f>IF('bands_A-H_Avg'!$D$9+1&gt;MONTH(G73),YEAR(G73),YEAR(G73)+1)</f>
        <v/>
      </c>
      <c r="D73" s="204">
        <f>+C73+1</f>
        <v/>
      </c>
      <c r="E73" s="203">
        <f>IF(C73&gt;C72,1,E72+1)</f>
        <v/>
      </c>
      <c r="F73" s="203">
        <f>COUNTIF(C:C,C73)</f>
        <v/>
      </c>
      <c r="G73" s="198">
        <f>+G74-7</f>
        <v/>
      </c>
      <c r="H73" s="361">
        <f>IF(ISBLANK(CO73),CP73,SUMPRODUCT(CO$32:CP$32,CO73:CP73))</f>
        <v/>
      </c>
      <c r="I73" s="968">
        <f>H73/M73</f>
        <v/>
      </c>
      <c r="J73" s="968">
        <f>H73/N73</f>
        <v/>
      </c>
      <c r="K73" s="968">
        <f>(H73+Q73)/O73</f>
        <v/>
      </c>
      <c r="L73" s="968">
        <f>(H73+Q73)/P73</f>
        <v/>
      </c>
      <c r="M73" s="199">
        <f>HLOOKUP(C:C,$4:$10,3,FALSE)+((HLOOKUP(D:D,$4:$10,3,FALSE)-HLOOKUP(C:C,$4:$10,3,FALSE))*E73/F73)</f>
        <v/>
      </c>
      <c r="N73" s="199">
        <f>HLOOKUP(C:C,$4:$10,2,FALSE)+((HLOOKUP(D:D,$4:$10,2,FALSE)-HLOOKUP(C:C,$4:$10,2,FALSE))*E73/F73)</f>
        <v/>
      </c>
      <c r="O73" s="199">
        <f>HLOOKUP(C:C,$4:$10,5,FALSE)+((HLOOKUP(D:D,$4:$10,5,FALSE)-HLOOKUP(C:C,$4:$10,5,FALSE))*E73/F73)</f>
        <v/>
      </c>
      <c r="P73" s="199">
        <f>HLOOKUP(C:C,$4:$10,4,FALSE)+((HLOOKUP(D:D,$4:$10,4,FALSE)-HLOOKUP(C:C,$4:$10,4,FALSE))*E73/F73)</f>
        <v/>
      </c>
      <c r="Q73" s="199">
        <f>HLOOKUP(B:B,$4:$10,6,FALSE)+((HLOOKUP(C:C,$4:$10,6,FALSE)-HLOOKUP(B:B,$4:$10,6,FALSE))*E73/F73)</f>
        <v/>
      </c>
      <c r="T73" s="198">
        <f>$G73</f>
        <v/>
      </c>
      <c r="U73" s="199">
        <f>H73/(HLOOKUP(B:B,$4:$10,3,FALSE)+((HLOOKUP(C:C,$4:$10,3,FALSE)-HLOOKUP(B:B,$4:$10,3,FALSE))*E73/F73))</f>
        <v/>
      </c>
      <c r="V73" s="969">
        <f>HLOOKUP(B:B,$4:$10,7,FALSE)+((HLOOKUP(C:C,$4:$10,7,FALSE)-HLOOKUP(B:B,$4:$10,7,FALSE))*E73/F73)</f>
        <v/>
      </c>
      <c r="AB73" s="198">
        <f>$G73</f>
        <v/>
      </c>
      <c r="AC73" s="199">
        <f>$H73</f>
        <v/>
      </c>
      <c r="AD73" s="199">
        <f>$M73*AD$34</f>
        <v/>
      </c>
      <c r="AE73" s="199">
        <f>$M73*AE$34</f>
        <v/>
      </c>
      <c r="AF73" s="199">
        <f>$M73*AF$34</f>
        <v/>
      </c>
      <c r="AG73" s="199">
        <f>$M73*AG$34</f>
        <v/>
      </c>
      <c r="AH73" s="199">
        <f>$M73*AH$34</f>
        <v/>
      </c>
      <c r="AJ73" s="198">
        <f>$G73</f>
        <v/>
      </c>
      <c r="AK73" s="199">
        <f>$H73</f>
        <v/>
      </c>
      <c r="AL73" s="199">
        <f>$N73*AL$34</f>
        <v/>
      </c>
      <c r="AM73" s="199">
        <f>$N73*AM$34</f>
        <v/>
      </c>
      <c r="AN73" s="199">
        <f>$N73*AN$34</f>
        <v/>
      </c>
      <c r="AO73" s="199">
        <f>$N73*AO$34</f>
        <v/>
      </c>
      <c r="AP73" s="199">
        <f>$N73*AP$34</f>
        <v/>
      </c>
      <c r="AR73" s="198">
        <f>$G73</f>
        <v/>
      </c>
      <c r="AS73" s="199">
        <f>$H73</f>
        <v/>
      </c>
      <c r="AT73" s="199">
        <f>$O73*AT$34-$Q73</f>
        <v/>
      </c>
      <c r="AU73" s="199">
        <f>$O73*AU$34-$Q73</f>
        <v/>
      </c>
      <c r="AV73" s="199">
        <f>$O73*AV$34-$Q73</f>
        <v/>
      </c>
      <c r="AW73" s="199">
        <f>$O73*AW$34-$Q73</f>
        <v/>
      </c>
      <c r="AX73" s="199">
        <f>$O73*AX$34-$Q73</f>
        <v/>
      </c>
      <c r="AZ73" s="198">
        <f>$G73</f>
        <v/>
      </c>
      <c r="BA73" s="199">
        <f>$H73</f>
        <v/>
      </c>
      <c r="BB73" s="199">
        <f>$P73*BB$34-$Q73</f>
        <v/>
      </c>
      <c r="BC73" s="199">
        <f>$P73*BC$34-$Q73</f>
        <v/>
      </c>
      <c r="BD73" s="199">
        <f>$P73*BD$34-$Q73</f>
        <v/>
      </c>
      <c r="BE73" s="199">
        <f>$P73*BE$34-$Q73</f>
        <v/>
      </c>
      <c r="BF73" s="199">
        <f>$P73*BF$34-$Q73</f>
        <v/>
      </c>
      <c r="BH73" s="198">
        <f>$G73</f>
        <v/>
      </c>
      <c r="BI73" s="197">
        <f>$I73</f>
        <v/>
      </c>
      <c r="BJ73" s="197">
        <f>+BJ74</f>
        <v/>
      </c>
      <c r="BK73" s="197">
        <f>+BK74</f>
        <v/>
      </c>
      <c r="BL73" s="197">
        <f>+BL74</f>
        <v/>
      </c>
      <c r="BM73" s="197">
        <f>+BM74</f>
        <v/>
      </c>
      <c r="BN73" s="197">
        <f>+BN74</f>
        <v/>
      </c>
      <c r="BP73" s="198">
        <f>$G73</f>
        <v/>
      </c>
      <c r="BQ73" s="197">
        <f>$J73</f>
        <v/>
      </c>
      <c r="BR73" s="197">
        <f>+BR74</f>
        <v/>
      </c>
      <c r="BS73" s="197">
        <f>+BS74</f>
        <v/>
      </c>
      <c r="BT73" s="197">
        <f>+BT74</f>
        <v/>
      </c>
      <c r="BU73" s="197">
        <f>+BU74</f>
        <v/>
      </c>
      <c r="BV73" s="197">
        <f>+BV74</f>
        <v/>
      </c>
      <c r="BX73" s="198">
        <f>$G73</f>
        <v/>
      </c>
      <c r="BY73" s="197">
        <f>$K73</f>
        <v/>
      </c>
      <c r="BZ73" s="197">
        <f>+BZ74</f>
        <v/>
      </c>
      <c r="CA73" s="197">
        <f>+CA74</f>
        <v/>
      </c>
      <c r="CB73" s="197">
        <f>+CB74</f>
        <v/>
      </c>
      <c r="CC73" s="197">
        <f>+CC74</f>
        <v/>
      </c>
      <c r="CD73" s="197">
        <f>+CD74</f>
        <v/>
      </c>
      <c r="CF73" s="198">
        <f>$G73</f>
        <v/>
      </c>
      <c r="CG73" s="197">
        <f>$L73</f>
        <v/>
      </c>
      <c r="CH73" s="197">
        <f>+CH74</f>
        <v/>
      </c>
      <c r="CI73" s="197">
        <f>+CI74</f>
        <v/>
      </c>
      <c r="CJ73" s="197">
        <f>+CJ74</f>
        <v/>
      </c>
      <c r="CK73" s="197">
        <f>+CK74</f>
        <v/>
      </c>
      <c r="CL73" s="197">
        <f>+CL74</f>
        <v/>
      </c>
      <c r="CO73" s="199" t="n"/>
      <c r="CP73" s="199" t="n">
        <v>2.2</v>
      </c>
      <c r="CR73" s="199" t="inlineStr">
        <is>
          <t>#N/A N/A</t>
        </is>
      </c>
      <c r="CS73" s="970" t="n">
        <v>1.04202</v>
      </c>
    </row>
    <row r="74" ht="13.25" customHeight="1">
      <c r="B74" s="204">
        <f>+C74-1</f>
        <v/>
      </c>
      <c r="C74" s="204">
        <f>IF('bands_A-H_Avg'!$D$9+1&gt;MONTH(G74),YEAR(G74),YEAR(G74)+1)</f>
        <v/>
      </c>
      <c r="D74" s="204">
        <f>+C74+1</f>
        <v/>
      </c>
      <c r="E74" s="203">
        <f>IF(C74&gt;C73,1,E73+1)</f>
        <v/>
      </c>
      <c r="F74" s="203">
        <f>COUNTIF(C:C,C74)</f>
        <v/>
      </c>
      <c r="G74" s="198">
        <f>+G75-7</f>
        <v/>
      </c>
      <c r="H74" s="361">
        <f>IF(ISBLANK(CO74),CP74,SUMPRODUCT(CO$32:CP$32,CO74:CP74))</f>
        <v/>
      </c>
      <c r="I74" s="968">
        <f>H74/M74</f>
        <v/>
      </c>
      <c r="J74" s="968">
        <f>H74/N74</f>
        <v/>
      </c>
      <c r="K74" s="968">
        <f>(H74+Q74)/O74</f>
        <v/>
      </c>
      <c r="L74" s="968">
        <f>(H74+Q74)/P74</f>
        <v/>
      </c>
      <c r="M74" s="199">
        <f>HLOOKUP(C:C,$4:$10,3,FALSE)+((HLOOKUP(D:D,$4:$10,3,FALSE)-HLOOKUP(C:C,$4:$10,3,FALSE))*E74/F74)</f>
        <v/>
      </c>
      <c r="N74" s="199">
        <f>HLOOKUP(C:C,$4:$10,2,FALSE)+((HLOOKUP(D:D,$4:$10,2,FALSE)-HLOOKUP(C:C,$4:$10,2,FALSE))*E74/F74)</f>
        <v/>
      </c>
      <c r="O74" s="199">
        <f>HLOOKUP(C:C,$4:$10,5,FALSE)+((HLOOKUP(D:D,$4:$10,5,FALSE)-HLOOKUP(C:C,$4:$10,5,FALSE))*E74/F74)</f>
        <v/>
      </c>
      <c r="P74" s="199">
        <f>HLOOKUP(C:C,$4:$10,4,FALSE)+((HLOOKUP(D:D,$4:$10,4,FALSE)-HLOOKUP(C:C,$4:$10,4,FALSE))*E74/F74)</f>
        <v/>
      </c>
      <c r="Q74" s="199">
        <f>HLOOKUP(B:B,$4:$10,6,FALSE)+((HLOOKUP(C:C,$4:$10,6,FALSE)-HLOOKUP(B:B,$4:$10,6,FALSE))*E74/F74)</f>
        <v/>
      </c>
      <c r="T74" s="198">
        <f>$G74</f>
        <v/>
      </c>
      <c r="U74" s="199">
        <f>H74/(HLOOKUP(B:B,$4:$10,3,FALSE)+((HLOOKUP(C:C,$4:$10,3,FALSE)-HLOOKUP(B:B,$4:$10,3,FALSE))*E74/F74))</f>
        <v/>
      </c>
      <c r="V74" s="969">
        <f>HLOOKUP(B:B,$4:$10,7,FALSE)+((HLOOKUP(C:C,$4:$10,7,FALSE)-HLOOKUP(B:B,$4:$10,7,FALSE))*E74/F74)</f>
        <v/>
      </c>
      <c r="AB74" s="198">
        <f>$G74</f>
        <v/>
      </c>
      <c r="AC74" s="199">
        <f>$H74</f>
        <v/>
      </c>
      <c r="AD74" s="199">
        <f>$M74*AD$34</f>
        <v/>
      </c>
      <c r="AE74" s="199">
        <f>$M74*AE$34</f>
        <v/>
      </c>
      <c r="AF74" s="199">
        <f>$M74*AF$34</f>
        <v/>
      </c>
      <c r="AG74" s="199">
        <f>$M74*AG$34</f>
        <v/>
      </c>
      <c r="AH74" s="199">
        <f>$M74*AH$34</f>
        <v/>
      </c>
      <c r="AJ74" s="198">
        <f>$G74</f>
        <v/>
      </c>
      <c r="AK74" s="199">
        <f>$H74</f>
        <v/>
      </c>
      <c r="AL74" s="199">
        <f>$N74*AL$34</f>
        <v/>
      </c>
      <c r="AM74" s="199">
        <f>$N74*AM$34</f>
        <v/>
      </c>
      <c r="AN74" s="199">
        <f>$N74*AN$34</f>
        <v/>
      </c>
      <c r="AO74" s="199">
        <f>$N74*AO$34</f>
        <v/>
      </c>
      <c r="AP74" s="199">
        <f>$N74*AP$34</f>
        <v/>
      </c>
      <c r="AR74" s="198">
        <f>$G74</f>
        <v/>
      </c>
      <c r="AS74" s="199">
        <f>$H74</f>
        <v/>
      </c>
      <c r="AT74" s="199">
        <f>$O74*AT$34-$Q74</f>
        <v/>
      </c>
      <c r="AU74" s="199">
        <f>$O74*AU$34-$Q74</f>
        <v/>
      </c>
      <c r="AV74" s="199">
        <f>$O74*AV$34-$Q74</f>
        <v/>
      </c>
      <c r="AW74" s="199">
        <f>$O74*AW$34-$Q74</f>
        <v/>
      </c>
      <c r="AX74" s="199">
        <f>$O74*AX$34-$Q74</f>
        <v/>
      </c>
      <c r="AZ74" s="198">
        <f>$G74</f>
        <v/>
      </c>
      <c r="BA74" s="199">
        <f>$H74</f>
        <v/>
      </c>
      <c r="BB74" s="199">
        <f>$P74*BB$34-$Q74</f>
        <v/>
      </c>
      <c r="BC74" s="199">
        <f>$P74*BC$34-$Q74</f>
        <v/>
      </c>
      <c r="BD74" s="199">
        <f>$P74*BD$34-$Q74</f>
        <v/>
      </c>
      <c r="BE74" s="199">
        <f>$P74*BE$34-$Q74</f>
        <v/>
      </c>
      <c r="BF74" s="199">
        <f>$P74*BF$34-$Q74</f>
        <v/>
      </c>
      <c r="BH74" s="198">
        <f>$G74</f>
        <v/>
      </c>
      <c r="BI74" s="197">
        <f>$I74</f>
        <v/>
      </c>
      <c r="BJ74" s="197">
        <f>+BJ75</f>
        <v/>
      </c>
      <c r="BK74" s="197">
        <f>+BK75</f>
        <v/>
      </c>
      <c r="BL74" s="197">
        <f>+BL75</f>
        <v/>
      </c>
      <c r="BM74" s="197">
        <f>+BM75</f>
        <v/>
      </c>
      <c r="BN74" s="197">
        <f>+BN75</f>
        <v/>
      </c>
      <c r="BP74" s="198">
        <f>$G74</f>
        <v/>
      </c>
      <c r="BQ74" s="197">
        <f>$J74</f>
        <v/>
      </c>
      <c r="BR74" s="197">
        <f>+BR75</f>
        <v/>
      </c>
      <c r="BS74" s="197">
        <f>+BS75</f>
        <v/>
      </c>
      <c r="BT74" s="197">
        <f>+BT75</f>
        <v/>
      </c>
      <c r="BU74" s="197">
        <f>+BU75</f>
        <v/>
      </c>
      <c r="BV74" s="197">
        <f>+BV75</f>
        <v/>
      </c>
      <c r="BX74" s="198">
        <f>$G74</f>
        <v/>
      </c>
      <c r="BY74" s="197">
        <f>$K74</f>
        <v/>
      </c>
      <c r="BZ74" s="197">
        <f>+BZ75</f>
        <v/>
      </c>
      <c r="CA74" s="197">
        <f>+CA75</f>
        <v/>
      </c>
      <c r="CB74" s="197">
        <f>+CB75</f>
        <v/>
      </c>
      <c r="CC74" s="197">
        <f>+CC75</f>
        <v/>
      </c>
      <c r="CD74" s="197">
        <f>+CD75</f>
        <v/>
      </c>
      <c r="CF74" s="198">
        <f>$G74</f>
        <v/>
      </c>
      <c r="CG74" s="197">
        <f>$L74</f>
        <v/>
      </c>
      <c r="CH74" s="197">
        <f>+CH75</f>
        <v/>
      </c>
      <c r="CI74" s="197">
        <f>+CI75</f>
        <v/>
      </c>
      <c r="CJ74" s="197">
        <f>+CJ75</f>
        <v/>
      </c>
      <c r="CK74" s="197">
        <f>+CK75</f>
        <v/>
      </c>
      <c r="CL74" s="197">
        <f>+CL75</f>
        <v/>
      </c>
      <c r="CO74" s="199" t="n"/>
      <c r="CP74" s="199" t="n">
        <v>2.35</v>
      </c>
      <c r="CR74" s="199" t="inlineStr">
        <is>
          <t>#N/A N/A</t>
        </is>
      </c>
      <c r="CS74" s="970" t="n">
        <v>1.04272</v>
      </c>
    </row>
    <row r="75" ht="13.25" customHeight="1">
      <c r="B75" s="204">
        <f>+C75-1</f>
        <v/>
      </c>
      <c r="C75" s="204">
        <f>IF('bands_A-H_Avg'!$D$9+1&gt;MONTH(G75),YEAR(G75),YEAR(G75)+1)</f>
        <v/>
      </c>
      <c r="D75" s="204">
        <f>+C75+1</f>
        <v/>
      </c>
      <c r="E75" s="203">
        <f>IF(C75&gt;C74,1,E74+1)</f>
        <v/>
      </c>
      <c r="F75" s="203">
        <f>COUNTIF(C:C,C75)</f>
        <v/>
      </c>
      <c r="G75" s="198">
        <f>+G76-7</f>
        <v/>
      </c>
      <c r="H75" s="361">
        <f>IF(ISBLANK(CO75),CP75,SUMPRODUCT(CO$32:CP$32,CO75:CP75))</f>
        <v/>
      </c>
      <c r="I75" s="968">
        <f>H75/M75</f>
        <v/>
      </c>
      <c r="J75" s="968">
        <f>H75/N75</f>
        <v/>
      </c>
      <c r="K75" s="968">
        <f>(H75+Q75)/O75</f>
        <v/>
      </c>
      <c r="L75" s="968">
        <f>(H75+Q75)/P75</f>
        <v/>
      </c>
      <c r="M75" s="199">
        <f>HLOOKUP(C:C,$4:$10,3,FALSE)+((HLOOKUP(D:D,$4:$10,3,FALSE)-HLOOKUP(C:C,$4:$10,3,FALSE))*E75/F75)</f>
        <v/>
      </c>
      <c r="N75" s="199">
        <f>HLOOKUP(C:C,$4:$10,2,FALSE)+((HLOOKUP(D:D,$4:$10,2,FALSE)-HLOOKUP(C:C,$4:$10,2,FALSE))*E75/F75)</f>
        <v/>
      </c>
      <c r="O75" s="199">
        <f>HLOOKUP(C:C,$4:$10,5,FALSE)+((HLOOKUP(D:D,$4:$10,5,FALSE)-HLOOKUP(C:C,$4:$10,5,FALSE))*E75/F75)</f>
        <v/>
      </c>
      <c r="P75" s="199">
        <f>HLOOKUP(C:C,$4:$10,4,FALSE)+((HLOOKUP(D:D,$4:$10,4,FALSE)-HLOOKUP(C:C,$4:$10,4,FALSE))*E75/F75)</f>
        <v/>
      </c>
      <c r="Q75" s="199">
        <f>HLOOKUP(B:B,$4:$10,6,FALSE)+((HLOOKUP(C:C,$4:$10,6,FALSE)-HLOOKUP(B:B,$4:$10,6,FALSE))*E75/F75)</f>
        <v/>
      </c>
      <c r="T75" s="198">
        <f>$G75</f>
        <v/>
      </c>
      <c r="U75" s="199">
        <f>H75/(HLOOKUP(B:B,$4:$10,3,FALSE)+((HLOOKUP(C:C,$4:$10,3,FALSE)-HLOOKUP(B:B,$4:$10,3,FALSE))*E75/F75))</f>
        <v/>
      </c>
      <c r="V75" s="969">
        <f>HLOOKUP(B:B,$4:$10,7,FALSE)+((HLOOKUP(C:C,$4:$10,7,FALSE)-HLOOKUP(B:B,$4:$10,7,FALSE))*E75/F75)</f>
        <v/>
      </c>
      <c r="AB75" s="198">
        <f>$G75</f>
        <v/>
      </c>
      <c r="AC75" s="199">
        <f>$H75</f>
        <v/>
      </c>
      <c r="AD75" s="199">
        <f>$M75*AD$34</f>
        <v/>
      </c>
      <c r="AE75" s="199">
        <f>$M75*AE$34</f>
        <v/>
      </c>
      <c r="AF75" s="199">
        <f>$M75*AF$34</f>
        <v/>
      </c>
      <c r="AG75" s="199">
        <f>$M75*AG$34</f>
        <v/>
      </c>
      <c r="AH75" s="199">
        <f>$M75*AH$34</f>
        <v/>
      </c>
      <c r="AJ75" s="198">
        <f>$G75</f>
        <v/>
      </c>
      <c r="AK75" s="199">
        <f>$H75</f>
        <v/>
      </c>
      <c r="AL75" s="199">
        <f>$N75*AL$34</f>
        <v/>
      </c>
      <c r="AM75" s="199">
        <f>$N75*AM$34</f>
        <v/>
      </c>
      <c r="AN75" s="199">
        <f>$N75*AN$34</f>
        <v/>
      </c>
      <c r="AO75" s="199">
        <f>$N75*AO$34</f>
        <v/>
      </c>
      <c r="AP75" s="199">
        <f>$N75*AP$34</f>
        <v/>
      </c>
      <c r="AR75" s="198">
        <f>$G75</f>
        <v/>
      </c>
      <c r="AS75" s="199">
        <f>$H75</f>
        <v/>
      </c>
      <c r="AT75" s="199">
        <f>$O75*AT$34-$Q75</f>
        <v/>
      </c>
      <c r="AU75" s="199">
        <f>$O75*AU$34-$Q75</f>
        <v/>
      </c>
      <c r="AV75" s="199">
        <f>$O75*AV$34-$Q75</f>
        <v/>
      </c>
      <c r="AW75" s="199">
        <f>$O75*AW$34-$Q75</f>
        <v/>
      </c>
      <c r="AX75" s="199">
        <f>$O75*AX$34-$Q75</f>
        <v/>
      </c>
      <c r="AZ75" s="198">
        <f>$G75</f>
        <v/>
      </c>
      <c r="BA75" s="199">
        <f>$H75</f>
        <v/>
      </c>
      <c r="BB75" s="199">
        <f>$P75*BB$34-$Q75</f>
        <v/>
      </c>
      <c r="BC75" s="199">
        <f>$P75*BC$34-$Q75</f>
        <v/>
      </c>
      <c r="BD75" s="199">
        <f>$P75*BD$34-$Q75</f>
        <v/>
      </c>
      <c r="BE75" s="199">
        <f>$P75*BE$34-$Q75</f>
        <v/>
      </c>
      <c r="BF75" s="199">
        <f>$P75*BF$34-$Q75</f>
        <v/>
      </c>
      <c r="BH75" s="198">
        <f>$G75</f>
        <v/>
      </c>
      <c r="BI75" s="197">
        <f>$I75</f>
        <v/>
      </c>
      <c r="BJ75" s="197">
        <f>+BJ76</f>
        <v/>
      </c>
      <c r="BK75" s="197">
        <f>+BK76</f>
        <v/>
      </c>
      <c r="BL75" s="197">
        <f>+BL76</f>
        <v/>
      </c>
      <c r="BM75" s="197">
        <f>+BM76</f>
        <v/>
      </c>
      <c r="BN75" s="197">
        <f>+BN76</f>
        <v/>
      </c>
      <c r="BP75" s="198">
        <f>$G75</f>
        <v/>
      </c>
      <c r="BQ75" s="197">
        <f>$J75</f>
        <v/>
      </c>
      <c r="BR75" s="197">
        <f>+BR76</f>
        <v/>
      </c>
      <c r="BS75" s="197">
        <f>+BS76</f>
        <v/>
      </c>
      <c r="BT75" s="197">
        <f>+BT76</f>
        <v/>
      </c>
      <c r="BU75" s="197">
        <f>+BU76</f>
        <v/>
      </c>
      <c r="BV75" s="197">
        <f>+BV76</f>
        <v/>
      </c>
      <c r="BX75" s="198">
        <f>$G75</f>
        <v/>
      </c>
      <c r="BY75" s="197">
        <f>$K75</f>
        <v/>
      </c>
      <c r="BZ75" s="197">
        <f>+BZ76</f>
        <v/>
      </c>
      <c r="CA75" s="197">
        <f>+CA76</f>
        <v/>
      </c>
      <c r="CB75" s="197">
        <f>+CB76</f>
        <v/>
      </c>
      <c r="CC75" s="197">
        <f>+CC76</f>
        <v/>
      </c>
      <c r="CD75" s="197">
        <f>+CD76</f>
        <v/>
      </c>
      <c r="CF75" s="198">
        <f>$G75</f>
        <v/>
      </c>
      <c r="CG75" s="197">
        <f>$L75</f>
        <v/>
      </c>
      <c r="CH75" s="197">
        <f>+CH76</f>
        <v/>
      </c>
      <c r="CI75" s="197">
        <f>+CI76</f>
        <v/>
      </c>
      <c r="CJ75" s="197">
        <f>+CJ76</f>
        <v/>
      </c>
      <c r="CK75" s="197">
        <f>+CK76</f>
        <v/>
      </c>
      <c r="CL75" s="197">
        <f>+CL76</f>
        <v/>
      </c>
      <c r="CO75" s="199" t="n"/>
      <c r="CP75" s="199" t="n">
        <v>2.625</v>
      </c>
      <c r="CR75" s="199" t="inlineStr">
        <is>
          <t>#N/A N/A</t>
        </is>
      </c>
      <c r="CS75" s="970" t="n">
        <v>1.04307</v>
      </c>
    </row>
    <row r="76" ht="13.25" customHeight="1">
      <c r="B76" s="204">
        <f>+C76-1</f>
        <v/>
      </c>
      <c r="C76" s="204">
        <f>IF('bands_A-H_Avg'!$D$9+1&gt;MONTH(G76),YEAR(G76),YEAR(G76)+1)</f>
        <v/>
      </c>
      <c r="D76" s="204">
        <f>+C76+1</f>
        <v/>
      </c>
      <c r="E76" s="203">
        <f>IF(C76&gt;C75,1,E75+1)</f>
        <v/>
      </c>
      <c r="F76" s="203">
        <f>COUNTIF(C:C,C76)</f>
        <v/>
      </c>
      <c r="G76" s="198">
        <f>+G77-7</f>
        <v/>
      </c>
      <c r="H76" s="361">
        <f>IF(ISBLANK(CO76),CP76,SUMPRODUCT(CO$32:CP$32,CO76:CP76))</f>
        <v/>
      </c>
      <c r="I76" s="968">
        <f>H76/M76</f>
        <v/>
      </c>
      <c r="J76" s="968">
        <f>H76/N76</f>
        <v/>
      </c>
      <c r="K76" s="968">
        <f>(H76+Q76)/O76</f>
        <v/>
      </c>
      <c r="L76" s="968">
        <f>(H76+Q76)/P76</f>
        <v/>
      </c>
      <c r="M76" s="199">
        <f>HLOOKUP(C:C,$4:$10,3,FALSE)+((HLOOKUP(D:D,$4:$10,3,FALSE)-HLOOKUP(C:C,$4:$10,3,FALSE))*E76/F76)</f>
        <v/>
      </c>
      <c r="N76" s="199">
        <f>HLOOKUP(C:C,$4:$10,2,FALSE)+((HLOOKUP(D:D,$4:$10,2,FALSE)-HLOOKUP(C:C,$4:$10,2,FALSE))*E76/F76)</f>
        <v/>
      </c>
      <c r="O76" s="199">
        <f>HLOOKUP(C:C,$4:$10,5,FALSE)+((HLOOKUP(D:D,$4:$10,5,FALSE)-HLOOKUP(C:C,$4:$10,5,FALSE))*E76/F76)</f>
        <v/>
      </c>
      <c r="P76" s="199">
        <f>HLOOKUP(C:C,$4:$10,4,FALSE)+((HLOOKUP(D:D,$4:$10,4,FALSE)-HLOOKUP(C:C,$4:$10,4,FALSE))*E76/F76)</f>
        <v/>
      </c>
      <c r="Q76" s="199">
        <f>HLOOKUP(B:B,$4:$10,6,FALSE)+((HLOOKUP(C:C,$4:$10,6,FALSE)-HLOOKUP(B:B,$4:$10,6,FALSE))*E76/F76)</f>
        <v/>
      </c>
      <c r="T76" s="198">
        <f>$G76</f>
        <v/>
      </c>
      <c r="U76" s="199">
        <f>H76/(HLOOKUP(B:B,$4:$10,3,FALSE)+((HLOOKUP(C:C,$4:$10,3,FALSE)-HLOOKUP(B:B,$4:$10,3,FALSE))*E76/F76))</f>
        <v/>
      </c>
      <c r="V76" s="969">
        <f>HLOOKUP(B:B,$4:$10,7,FALSE)+((HLOOKUP(C:C,$4:$10,7,FALSE)-HLOOKUP(B:B,$4:$10,7,FALSE))*E76/F76)</f>
        <v/>
      </c>
      <c r="AB76" s="198">
        <f>$G76</f>
        <v/>
      </c>
      <c r="AC76" s="199">
        <f>$H76</f>
        <v/>
      </c>
      <c r="AD76" s="199">
        <f>$M76*AD$34</f>
        <v/>
      </c>
      <c r="AE76" s="199">
        <f>$M76*AE$34</f>
        <v/>
      </c>
      <c r="AF76" s="199">
        <f>$M76*AF$34</f>
        <v/>
      </c>
      <c r="AG76" s="199">
        <f>$M76*AG$34</f>
        <v/>
      </c>
      <c r="AH76" s="199">
        <f>$M76*AH$34</f>
        <v/>
      </c>
      <c r="AJ76" s="198">
        <f>$G76</f>
        <v/>
      </c>
      <c r="AK76" s="199">
        <f>$H76</f>
        <v/>
      </c>
      <c r="AL76" s="199">
        <f>$N76*AL$34</f>
        <v/>
      </c>
      <c r="AM76" s="199">
        <f>$N76*AM$34</f>
        <v/>
      </c>
      <c r="AN76" s="199">
        <f>$N76*AN$34</f>
        <v/>
      </c>
      <c r="AO76" s="199">
        <f>$N76*AO$34</f>
        <v/>
      </c>
      <c r="AP76" s="199">
        <f>$N76*AP$34</f>
        <v/>
      </c>
      <c r="AR76" s="198">
        <f>$G76</f>
        <v/>
      </c>
      <c r="AS76" s="199">
        <f>$H76</f>
        <v/>
      </c>
      <c r="AT76" s="199">
        <f>$O76*AT$34-$Q76</f>
        <v/>
      </c>
      <c r="AU76" s="199">
        <f>$O76*AU$34-$Q76</f>
        <v/>
      </c>
      <c r="AV76" s="199">
        <f>$O76*AV$34-$Q76</f>
        <v/>
      </c>
      <c r="AW76" s="199">
        <f>$O76*AW$34-$Q76</f>
        <v/>
      </c>
      <c r="AX76" s="199">
        <f>$O76*AX$34-$Q76</f>
        <v/>
      </c>
      <c r="AZ76" s="198">
        <f>$G76</f>
        <v/>
      </c>
      <c r="BA76" s="199">
        <f>$H76</f>
        <v/>
      </c>
      <c r="BB76" s="199">
        <f>$P76*BB$34-$Q76</f>
        <v/>
      </c>
      <c r="BC76" s="199">
        <f>$P76*BC$34-$Q76</f>
        <v/>
      </c>
      <c r="BD76" s="199">
        <f>$P76*BD$34-$Q76</f>
        <v/>
      </c>
      <c r="BE76" s="199">
        <f>$P76*BE$34-$Q76</f>
        <v/>
      </c>
      <c r="BF76" s="199">
        <f>$P76*BF$34-$Q76</f>
        <v/>
      </c>
      <c r="BH76" s="198">
        <f>$G76</f>
        <v/>
      </c>
      <c r="BI76" s="197">
        <f>$I76</f>
        <v/>
      </c>
      <c r="BJ76" s="197">
        <f>+BJ77</f>
        <v/>
      </c>
      <c r="BK76" s="197">
        <f>+BK77</f>
        <v/>
      </c>
      <c r="BL76" s="197">
        <f>+BL77</f>
        <v/>
      </c>
      <c r="BM76" s="197">
        <f>+BM77</f>
        <v/>
      </c>
      <c r="BN76" s="197">
        <f>+BN77</f>
        <v/>
      </c>
      <c r="BP76" s="198">
        <f>$G76</f>
        <v/>
      </c>
      <c r="BQ76" s="197">
        <f>$J76</f>
        <v/>
      </c>
      <c r="BR76" s="197">
        <f>+BR77</f>
        <v/>
      </c>
      <c r="BS76" s="197">
        <f>+BS77</f>
        <v/>
      </c>
      <c r="BT76" s="197">
        <f>+BT77</f>
        <v/>
      </c>
      <c r="BU76" s="197">
        <f>+BU77</f>
        <v/>
      </c>
      <c r="BV76" s="197">
        <f>+BV77</f>
        <v/>
      </c>
      <c r="BX76" s="198">
        <f>$G76</f>
        <v/>
      </c>
      <c r="BY76" s="197">
        <f>$K76</f>
        <v/>
      </c>
      <c r="BZ76" s="197">
        <f>+BZ77</f>
        <v/>
      </c>
      <c r="CA76" s="197">
        <f>+CA77</f>
        <v/>
      </c>
      <c r="CB76" s="197">
        <f>+CB77</f>
        <v/>
      </c>
      <c r="CC76" s="197">
        <f>+CC77</f>
        <v/>
      </c>
      <c r="CD76" s="197">
        <f>+CD77</f>
        <v/>
      </c>
      <c r="CF76" s="198">
        <f>$G76</f>
        <v/>
      </c>
      <c r="CG76" s="197">
        <f>$L76</f>
        <v/>
      </c>
      <c r="CH76" s="197">
        <f>+CH77</f>
        <v/>
      </c>
      <c r="CI76" s="197">
        <f>+CI77</f>
        <v/>
      </c>
      <c r="CJ76" s="197">
        <f>+CJ77</f>
        <v/>
      </c>
      <c r="CK76" s="197">
        <f>+CK77</f>
        <v/>
      </c>
      <c r="CL76" s="197">
        <f>+CL77</f>
        <v/>
      </c>
      <c r="CO76" s="199" t="n"/>
      <c r="CP76" s="199" t="n">
        <v>2.575</v>
      </c>
      <c r="CR76" s="199" t="inlineStr">
        <is>
          <t>#N/A N/A</t>
        </is>
      </c>
      <c r="CS76" s="970" t="n">
        <v>1.04355</v>
      </c>
    </row>
    <row r="77" ht="13.25" customHeight="1">
      <c r="B77" s="204">
        <f>+C77-1</f>
        <v/>
      </c>
      <c r="C77" s="204">
        <f>IF('bands_A-H_Avg'!$D$9+1&gt;MONTH(G77),YEAR(G77),YEAR(G77)+1)</f>
        <v/>
      </c>
      <c r="D77" s="204">
        <f>+C77+1</f>
        <v/>
      </c>
      <c r="E77" s="203">
        <f>IF(C77&gt;C76,1,E76+1)</f>
        <v/>
      </c>
      <c r="F77" s="203">
        <f>COUNTIF(C:C,C77)</f>
        <v/>
      </c>
      <c r="G77" s="198">
        <f>+G78-7</f>
        <v/>
      </c>
      <c r="H77" s="361">
        <f>IF(ISBLANK(CO77),CP77,SUMPRODUCT(CO$32:CP$32,CO77:CP77))</f>
        <v/>
      </c>
      <c r="I77" s="968">
        <f>H77/M77</f>
        <v/>
      </c>
      <c r="J77" s="968">
        <f>H77/N77</f>
        <v/>
      </c>
      <c r="K77" s="968">
        <f>(H77+Q77)/O77</f>
        <v/>
      </c>
      <c r="L77" s="968">
        <f>(H77+Q77)/P77</f>
        <v/>
      </c>
      <c r="M77" s="199">
        <f>HLOOKUP(C:C,$4:$10,3,FALSE)+((HLOOKUP(D:D,$4:$10,3,FALSE)-HLOOKUP(C:C,$4:$10,3,FALSE))*E77/F77)</f>
        <v/>
      </c>
      <c r="N77" s="199">
        <f>HLOOKUP(C:C,$4:$10,2,FALSE)+((HLOOKUP(D:D,$4:$10,2,FALSE)-HLOOKUP(C:C,$4:$10,2,FALSE))*E77/F77)</f>
        <v/>
      </c>
      <c r="O77" s="199">
        <f>HLOOKUP(C:C,$4:$10,5,FALSE)+((HLOOKUP(D:D,$4:$10,5,FALSE)-HLOOKUP(C:C,$4:$10,5,FALSE))*E77/F77)</f>
        <v/>
      </c>
      <c r="P77" s="199">
        <f>HLOOKUP(C:C,$4:$10,4,FALSE)+((HLOOKUP(D:D,$4:$10,4,FALSE)-HLOOKUP(C:C,$4:$10,4,FALSE))*E77/F77)</f>
        <v/>
      </c>
      <c r="Q77" s="199">
        <f>HLOOKUP(B:B,$4:$10,6,FALSE)+((HLOOKUP(C:C,$4:$10,6,FALSE)-HLOOKUP(B:B,$4:$10,6,FALSE))*E77/F77)</f>
        <v/>
      </c>
      <c r="T77" s="198">
        <f>$G77</f>
        <v/>
      </c>
      <c r="U77" s="199">
        <f>H77/(HLOOKUP(B:B,$4:$10,3,FALSE)+((HLOOKUP(C:C,$4:$10,3,FALSE)-HLOOKUP(B:B,$4:$10,3,FALSE))*E77/F77))</f>
        <v/>
      </c>
      <c r="V77" s="969">
        <f>HLOOKUP(B:B,$4:$10,7,FALSE)+((HLOOKUP(C:C,$4:$10,7,FALSE)-HLOOKUP(B:B,$4:$10,7,FALSE))*E77/F77)</f>
        <v/>
      </c>
      <c r="AB77" s="198">
        <f>$G77</f>
        <v/>
      </c>
      <c r="AC77" s="199">
        <f>$H77</f>
        <v/>
      </c>
      <c r="AD77" s="199">
        <f>$M77*AD$34</f>
        <v/>
      </c>
      <c r="AE77" s="199">
        <f>$M77*AE$34</f>
        <v/>
      </c>
      <c r="AF77" s="199">
        <f>$M77*AF$34</f>
        <v/>
      </c>
      <c r="AG77" s="199">
        <f>$M77*AG$34</f>
        <v/>
      </c>
      <c r="AH77" s="199">
        <f>$M77*AH$34</f>
        <v/>
      </c>
      <c r="AJ77" s="198">
        <f>$G77</f>
        <v/>
      </c>
      <c r="AK77" s="199">
        <f>$H77</f>
        <v/>
      </c>
      <c r="AL77" s="199">
        <f>$N77*AL$34</f>
        <v/>
      </c>
      <c r="AM77" s="199">
        <f>$N77*AM$34</f>
        <v/>
      </c>
      <c r="AN77" s="199">
        <f>$N77*AN$34</f>
        <v/>
      </c>
      <c r="AO77" s="199">
        <f>$N77*AO$34</f>
        <v/>
      </c>
      <c r="AP77" s="199">
        <f>$N77*AP$34</f>
        <v/>
      </c>
      <c r="AR77" s="198">
        <f>$G77</f>
        <v/>
      </c>
      <c r="AS77" s="199">
        <f>$H77</f>
        <v/>
      </c>
      <c r="AT77" s="199">
        <f>$O77*AT$34-$Q77</f>
        <v/>
      </c>
      <c r="AU77" s="199">
        <f>$O77*AU$34-$Q77</f>
        <v/>
      </c>
      <c r="AV77" s="199">
        <f>$O77*AV$34-$Q77</f>
        <v/>
      </c>
      <c r="AW77" s="199">
        <f>$O77*AW$34-$Q77</f>
        <v/>
      </c>
      <c r="AX77" s="199">
        <f>$O77*AX$34-$Q77</f>
        <v/>
      </c>
      <c r="AZ77" s="198">
        <f>$G77</f>
        <v/>
      </c>
      <c r="BA77" s="199">
        <f>$H77</f>
        <v/>
      </c>
      <c r="BB77" s="199">
        <f>$P77*BB$34-$Q77</f>
        <v/>
      </c>
      <c r="BC77" s="199">
        <f>$P77*BC$34-$Q77</f>
        <v/>
      </c>
      <c r="BD77" s="199">
        <f>$P77*BD$34-$Q77</f>
        <v/>
      </c>
      <c r="BE77" s="199">
        <f>$P77*BE$34-$Q77</f>
        <v/>
      </c>
      <c r="BF77" s="199">
        <f>$P77*BF$34-$Q77</f>
        <v/>
      </c>
      <c r="BH77" s="198">
        <f>$G77</f>
        <v/>
      </c>
      <c r="BI77" s="197">
        <f>$I77</f>
        <v/>
      </c>
      <c r="BJ77" s="197">
        <f>+BJ78</f>
        <v/>
      </c>
      <c r="BK77" s="197">
        <f>+BK78</f>
        <v/>
      </c>
      <c r="BL77" s="197">
        <f>+BL78</f>
        <v/>
      </c>
      <c r="BM77" s="197">
        <f>+BM78</f>
        <v/>
      </c>
      <c r="BN77" s="197">
        <f>+BN78</f>
        <v/>
      </c>
      <c r="BP77" s="198">
        <f>$G77</f>
        <v/>
      </c>
      <c r="BQ77" s="197">
        <f>$J77</f>
        <v/>
      </c>
      <c r="BR77" s="197">
        <f>+BR78</f>
        <v/>
      </c>
      <c r="BS77" s="197">
        <f>+BS78</f>
        <v/>
      </c>
      <c r="BT77" s="197">
        <f>+BT78</f>
        <v/>
      </c>
      <c r="BU77" s="197">
        <f>+BU78</f>
        <v/>
      </c>
      <c r="BV77" s="197">
        <f>+BV78</f>
        <v/>
      </c>
      <c r="BX77" s="198">
        <f>$G77</f>
        <v/>
      </c>
      <c r="BY77" s="197">
        <f>$K77</f>
        <v/>
      </c>
      <c r="BZ77" s="197">
        <f>+BZ78</f>
        <v/>
      </c>
      <c r="CA77" s="197">
        <f>+CA78</f>
        <v/>
      </c>
      <c r="CB77" s="197">
        <f>+CB78</f>
        <v/>
      </c>
      <c r="CC77" s="197">
        <f>+CC78</f>
        <v/>
      </c>
      <c r="CD77" s="197">
        <f>+CD78</f>
        <v/>
      </c>
      <c r="CF77" s="198">
        <f>$G77</f>
        <v/>
      </c>
      <c r="CG77" s="197">
        <f>$L77</f>
        <v/>
      </c>
      <c r="CH77" s="197">
        <f>+CH78</f>
        <v/>
      </c>
      <c r="CI77" s="197">
        <f>+CI78</f>
        <v/>
      </c>
      <c r="CJ77" s="197">
        <f>+CJ78</f>
        <v/>
      </c>
      <c r="CK77" s="197">
        <f>+CK78</f>
        <v/>
      </c>
      <c r="CL77" s="197">
        <f>+CL78</f>
        <v/>
      </c>
      <c r="CO77" s="199" t="n"/>
      <c r="CP77" s="199" t="n">
        <v>2.6</v>
      </c>
      <c r="CR77" s="199" t="inlineStr">
        <is>
          <t>#N/A N/A</t>
        </is>
      </c>
      <c r="CS77" s="970" t="n">
        <v>1.0429</v>
      </c>
    </row>
    <row r="78" ht="13.25" customHeight="1">
      <c r="B78" s="204">
        <f>+C78-1</f>
        <v/>
      </c>
      <c r="C78" s="204">
        <f>IF('bands_A-H_Avg'!$D$9+1&gt;MONTH(G78),YEAR(G78),YEAR(G78)+1)</f>
        <v/>
      </c>
      <c r="D78" s="204">
        <f>+C78+1</f>
        <v/>
      </c>
      <c r="E78" s="203">
        <f>IF(C78&gt;C77,1,E77+1)</f>
        <v/>
      </c>
      <c r="F78" s="203">
        <f>COUNTIF(C:C,C78)</f>
        <v/>
      </c>
      <c r="G78" s="198">
        <f>+G79-7</f>
        <v/>
      </c>
      <c r="H78" s="361">
        <f>IF(ISBLANK(CO78),CP78,SUMPRODUCT(CO$32:CP$32,CO78:CP78))</f>
        <v/>
      </c>
      <c r="I78" s="968">
        <f>H78/M78</f>
        <v/>
      </c>
      <c r="J78" s="968">
        <f>H78/N78</f>
        <v/>
      </c>
      <c r="K78" s="968">
        <f>(H78+Q78)/O78</f>
        <v/>
      </c>
      <c r="L78" s="968">
        <f>(H78+Q78)/P78</f>
        <v/>
      </c>
      <c r="M78" s="199">
        <f>HLOOKUP(C:C,$4:$10,3,FALSE)+((HLOOKUP(D:D,$4:$10,3,FALSE)-HLOOKUP(C:C,$4:$10,3,FALSE))*E78/F78)</f>
        <v/>
      </c>
      <c r="N78" s="199">
        <f>HLOOKUP(C:C,$4:$10,2,FALSE)+((HLOOKUP(D:D,$4:$10,2,FALSE)-HLOOKUP(C:C,$4:$10,2,FALSE))*E78/F78)</f>
        <v/>
      </c>
      <c r="O78" s="199">
        <f>HLOOKUP(C:C,$4:$10,5,FALSE)+((HLOOKUP(D:D,$4:$10,5,FALSE)-HLOOKUP(C:C,$4:$10,5,FALSE))*E78/F78)</f>
        <v/>
      </c>
      <c r="P78" s="199">
        <f>HLOOKUP(C:C,$4:$10,4,FALSE)+((HLOOKUP(D:D,$4:$10,4,FALSE)-HLOOKUP(C:C,$4:$10,4,FALSE))*E78/F78)</f>
        <v/>
      </c>
      <c r="Q78" s="199">
        <f>HLOOKUP(B:B,$4:$10,6,FALSE)+((HLOOKUP(C:C,$4:$10,6,FALSE)-HLOOKUP(B:B,$4:$10,6,FALSE))*E78/F78)</f>
        <v/>
      </c>
      <c r="T78" s="198">
        <f>$G78</f>
        <v/>
      </c>
      <c r="U78" s="199">
        <f>H78/(HLOOKUP(B:B,$4:$10,3,FALSE)+((HLOOKUP(C:C,$4:$10,3,FALSE)-HLOOKUP(B:B,$4:$10,3,FALSE))*E78/F78))</f>
        <v/>
      </c>
      <c r="V78" s="969">
        <f>HLOOKUP(B:B,$4:$10,7,FALSE)+((HLOOKUP(C:C,$4:$10,7,FALSE)-HLOOKUP(B:B,$4:$10,7,FALSE))*E78/F78)</f>
        <v/>
      </c>
      <c r="AB78" s="198">
        <f>$G78</f>
        <v/>
      </c>
      <c r="AC78" s="199">
        <f>$H78</f>
        <v/>
      </c>
      <c r="AD78" s="199">
        <f>$M78*AD$34</f>
        <v/>
      </c>
      <c r="AE78" s="199">
        <f>$M78*AE$34</f>
        <v/>
      </c>
      <c r="AF78" s="199">
        <f>$M78*AF$34</f>
        <v/>
      </c>
      <c r="AG78" s="199">
        <f>$M78*AG$34</f>
        <v/>
      </c>
      <c r="AH78" s="199">
        <f>$M78*AH$34</f>
        <v/>
      </c>
      <c r="AJ78" s="198">
        <f>$G78</f>
        <v/>
      </c>
      <c r="AK78" s="199">
        <f>$H78</f>
        <v/>
      </c>
      <c r="AL78" s="199">
        <f>$N78*AL$34</f>
        <v/>
      </c>
      <c r="AM78" s="199">
        <f>$N78*AM$34</f>
        <v/>
      </c>
      <c r="AN78" s="199">
        <f>$N78*AN$34</f>
        <v/>
      </c>
      <c r="AO78" s="199">
        <f>$N78*AO$34</f>
        <v/>
      </c>
      <c r="AP78" s="199">
        <f>$N78*AP$34</f>
        <v/>
      </c>
      <c r="AR78" s="198">
        <f>$G78</f>
        <v/>
      </c>
      <c r="AS78" s="199">
        <f>$H78</f>
        <v/>
      </c>
      <c r="AT78" s="199">
        <f>$O78*AT$34-$Q78</f>
        <v/>
      </c>
      <c r="AU78" s="199">
        <f>$O78*AU$34-$Q78</f>
        <v/>
      </c>
      <c r="AV78" s="199">
        <f>$O78*AV$34-$Q78</f>
        <v/>
      </c>
      <c r="AW78" s="199">
        <f>$O78*AW$34-$Q78</f>
        <v/>
      </c>
      <c r="AX78" s="199">
        <f>$O78*AX$34-$Q78</f>
        <v/>
      </c>
      <c r="AZ78" s="198">
        <f>$G78</f>
        <v/>
      </c>
      <c r="BA78" s="199">
        <f>$H78</f>
        <v/>
      </c>
      <c r="BB78" s="199">
        <f>$P78*BB$34-$Q78</f>
        <v/>
      </c>
      <c r="BC78" s="199">
        <f>$P78*BC$34-$Q78</f>
        <v/>
      </c>
      <c r="BD78" s="199">
        <f>$P78*BD$34-$Q78</f>
        <v/>
      </c>
      <c r="BE78" s="199">
        <f>$P78*BE$34-$Q78</f>
        <v/>
      </c>
      <c r="BF78" s="199">
        <f>$P78*BF$34-$Q78</f>
        <v/>
      </c>
      <c r="BH78" s="198">
        <f>$G78</f>
        <v/>
      </c>
      <c r="BI78" s="197">
        <f>$I78</f>
        <v/>
      </c>
      <c r="BJ78" s="197">
        <f>+BJ79</f>
        <v/>
      </c>
      <c r="BK78" s="197">
        <f>+BK79</f>
        <v/>
      </c>
      <c r="BL78" s="197">
        <f>+BL79</f>
        <v/>
      </c>
      <c r="BM78" s="197">
        <f>+BM79</f>
        <v/>
      </c>
      <c r="BN78" s="197">
        <f>+BN79</f>
        <v/>
      </c>
      <c r="BP78" s="198">
        <f>$G78</f>
        <v/>
      </c>
      <c r="BQ78" s="197">
        <f>$J78</f>
        <v/>
      </c>
      <c r="BR78" s="197">
        <f>+BR79</f>
        <v/>
      </c>
      <c r="BS78" s="197">
        <f>+BS79</f>
        <v/>
      </c>
      <c r="BT78" s="197">
        <f>+BT79</f>
        <v/>
      </c>
      <c r="BU78" s="197">
        <f>+BU79</f>
        <v/>
      </c>
      <c r="BV78" s="197">
        <f>+BV79</f>
        <v/>
      </c>
      <c r="BX78" s="198">
        <f>$G78</f>
        <v/>
      </c>
      <c r="BY78" s="197">
        <f>$K78</f>
        <v/>
      </c>
      <c r="BZ78" s="197">
        <f>+BZ79</f>
        <v/>
      </c>
      <c r="CA78" s="197">
        <f>+CA79</f>
        <v/>
      </c>
      <c r="CB78" s="197">
        <f>+CB79</f>
        <v/>
      </c>
      <c r="CC78" s="197">
        <f>+CC79</f>
        <v/>
      </c>
      <c r="CD78" s="197">
        <f>+CD79</f>
        <v/>
      </c>
      <c r="CF78" s="198">
        <f>$G78</f>
        <v/>
      </c>
      <c r="CG78" s="197">
        <f>$L78</f>
        <v/>
      </c>
      <c r="CH78" s="197">
        <f>+CH79</f>
        <v/>
      </c>
      <c r="CI78" s="197">
        <f>+CI79</f>
        <v/>
      </c>
      <c r="CJ78" s="197">
        <f>+CJ79</f>
        <v/>
      </c>
      <c r="CK78" s="197">
        <f>+CK79</f>
        <v/>
      </c>
      <c r="CL78" s="197">
        <f>+CL79</f>
        <v/>
      </c>
      <c r="CO78" s="199" t="n"/>
      <c r="CP78" s="199" t="n">
        <v>2.525</v>
      </c>
      <c r="CR78" s="199" t="inlineStr">
        <is>
          <t>#N/A N/A</t>
        </is>
      </c>
      <c r="CS78" s="970" t="n">
        <v>1.04323</v>
      </c>
    </row>
    <row r="79" ht="13.25" customHeight="1">
      <c r="B79" s="204">
        <f>+C79-1</f>
        <v/>
      </c>
      <c r="C79" s="204">
        <f>IF('bands_A-H_Avg'!$D$9+1&gt;MONTH(G79),YEAR(G79),YEAR(G79)+1)</f>
        <v/>
      </c>
      <c r="D79" s="204">
        <f>+C79+1</f>
        <v/>
      </c>
      <c r="E79" s="203">
        <f>IF(C79&gt;C78,1,E78+1)</f>
        <v/>
      </c>
      <c r="F79" s="203">
        <f>COUNTIF(C:C,C79)</f>
        <v/>
      </c>
      <c r="G79" s="198">
        <f>+G80-7</f>
        <v/>
      </c>
      <c r="H79" s="361">
        <f>IF(ISBLANK(CO79),CP79,SUMPRODUCT(CO$32:CP$32,CO79:CP79))</f>
        <v/>
      </c>
      <c r="I79" s="968">
        <f>H79/M79</f>
        <v/>
      </c>
      <c r="J79" s="968">
        <f>H79/N79</f>
        <v/>
      </c>
      <c r="K79" s="968">
        <f>(H79+Q79)/O79</f>
        <v/>
      </c>
      <c r="L79" s="968">
        <f>(H79+Q79)/P79</f>
        <v/>
      </c>
      <c r="M79" s="199">
        <f>HLOOKUP(C:C,$4:$10,3,FALSE)+((HLOOKUP(D:D,$4:$10,3,FALSE)-HLOOKUP(C:C,$4:$10,3,FALSE))*E79/F79)</f>
        <v/>
      </c>
      <c r="N79" s="199">
        <f>HLOOKUP(C:C,$4:$10,2,FALSE)+((HLOOKUP(D:D,$4:$10,2,FALSE)-HLOOKUP(C:C,$4:$10,2,FALSE))*E79/F79)</f>
        <v/>
      </c>
      <c r="O79" s="199">
        <f>HLOOKUP(C:C,$4:$10,5,FALSE)+((HLOOKUP(D:D,$4:$10,5,FALSE)-HLOOKUP(C:C,$4:$10,5,FALSE))*E79/F79)</f>
        <v/>
      </c>
      <c r="P79" s="199">
        <f>HLOOKUP(C:C,$4:$10,4,FALSE)+((HLOOKUP(D:D,$4:$10,4,FALSE)-HLOOKUP(C:C,$4:$10,4,FALSE))*E79/F79)</f>
        <v/>
      </c>
      <c r="Q79" s="199">
        <f>HLOOKUP(B:B,$4:$10,6,FALSE)+((HLOOKUP(C:C,$4:$10,6,FALSE)-HLOOKUP(B:B,$4:$10,6,FALSE))*E79/F79)</f>
        <v/>
      </c>
      <c r="T79" s="198">
        <f>$G79</f>
        <v/>
      </c>
      <c r="U79" s="199">
        <f>H79/(HLOOKUP(B:B,$4:$10,3,FALSE)+((HLOOKUP(C:C,$4:$10,3,FALSE)-HLOOKUP(B:B,$4:$10,3,FALSE))*E79/F79))</f>
        <v/>
      </c>
      <c r="V79" s="969">
        <f>HLOOKUP(B:B,$4:$10,7,FALSE)+((HLOOKUP(C:C,$4:$10,7,FALSE)-HLOOKUP(B:B,$4:$10,7,FALSE))*E79/F79)</f>
        <v/>
      </c>
      <c r="AB79" s="198">
        <f>$G79</f>
        <v/>
      </c>
      <c r="AC79" s="199">
        <f>$H79</f>
        <v/>
      </c>
      <c r="AD79" s="199">
        <f>$M79*AD$34</f>
        <v/>
      </c>
      <c r="AE79" s="199">
        <f>$M79*AE$34</f>
        <v/>
      </c>
      <c r="AF79" s="199">
        <f>$M79*AF$34</f>
        <v/>
      </c>
      <c r="AG79" s="199">
        <f>$M79*AG$34</f>
        <v/>
      </c>
      <c r="AH79" s="199">
        <f>$M79*AH$34</f>
        <v/>
      </c>
      <c r="AJ79" s="198">
        <f>$G79</f>
        <v/>
      </c>
      <c r="AK79" s="199">
        <f>$H79</f>
        <v/>
      </c>
      <c r="AL79" s="199">
        <f>$N79*AL$34</f>
        <v/>
      </c>
      <c r="AM79" s="199">
        <f>$N79*AM$34</f>
        <v/>
      </c>
      <c r="AN79" s="199">
        <f>$N79*AN$34</f>
        <v/>
      </c>
      <c r="AO79" s="199">
        <f>$N79*AO$34</f>
        <v/>
      </c>
      <c r="AP79" s="199">
        <f>$N79*AP$34</f>
        <v/>
      </c>
      <c r="AR79" s="198">
        <f>$G79</f>
        <v/>
      </c>
      <c r="AS79" s="199">
        <f>$H79</f>
        <v/>
      </c>
      <c r="AT79" s="199">
        <f>$O79*AT$34-$Q79</f>
        <v/>
      </c>
      <c r="AU79" s="199">
        <f>$O79*AU$34-$Q79</f>
        <v/>
      </c>
      <c r="AV79" s="199">
        <f>$O79*AV$34-$Q79</f>
        <v/>
      </c>
      <c r="AW79" s="199">
        <f>$O79*AW$34-$Q79</f>
        <v/>
      </c>
      <c r="AX79" s="199">
        <f>$O79*AX$34-$Q79</f>
        <v/>
      </c>
      <c r="AZ79" s="198">
        <f>$G79</f>
        <v/>
      </c>
      <c r="BA79" s="199">
        <f>$H79</f>
        <v/>
      </c>
      <c r="BB79" s="199">
        <f>$P79*BB$34-$Q79</f>
        <v/>
      </c>
      <c r="BC79" s="199">
        <f>$P79*BC$34-$Q79</f>
        <v/>
      </c>
      <c r="BD79" s="199">
        <f>$P79*BD$34-$Q79</f>
        <v/>
      </c>
      <c r="BE79" s="199">
        <f>$P79*BE$34-$Q79</f>
        <v/>
      </c>
      <c r="BF79" s="199">
        <f>$P79*BF$34-$Q79</f>
        <v/>
      </c>
      <c r="BH79" s="198">
        <f>$G79</f>
        <v/>
      </c>
      <c r="BI79" s="197">
        <f>$I79</f>
        <v/>
      </c>
      <c r="BJ79" s="197">
        <f>+BJ80</f>
        <v/>
      </c>
      <c r="BK79" s="197">
        <f>+BK80</f>
        <v/>
      </c>
      <c r="BL79" s="197">
        <f>+BL80</f>
        <v/>
      </c>
      <c r="BM79" s="197">
        <f>+BM80</f>
        <v/>
      </c>
      <c r="BN79" s="197">
        <f>+BN80</f>
        <v/>
      </c>
      <c r="BP79" s="198">
        <f>$G79</f>
        <v/>
      </c>
      <c r="BQ79" s="197">
        <f>$J79</f>
        <v/>
      </c>
      <c r="BR79" s="197">
        <f>+BR80</f>
        <v/>
      </c>
      <c r="BS79" s="197">
        <f>+BS80</f>
        <v/>
      </c>
      <c r="BT79" s="197">
        <f>+BT80</f>
        <v/>
      </c>
      <c r="BU79" s="197">
        <f>+BU80</f>
        <v/>
      </c>
      <c r="BV79" s="197">
        <f>+BV80</f>
        <v/>
      </c>
      <c r="BX79" s="198">
        <f>$G79</f>
        <v/>
      </c>
      <c r="BY79" s="197">
        <f>$K79</f>
        <v/>
      </c>
      <c r="BZ79" s="197">
        <f>+BZ80</f>
        <v/>
      </c>
      <c r="CA79" s="197">
        <f>+CA80</f>
        <v/>
      </c>
      <c r="CB79" s="197">
        <f>+CB80</f>
        <v/>
      </c>
      <c r="CC79" s="197">
        <f>+CC80</f>
        <v/>
      </c>
      <c r="CD79" s="197">
        <f>+CD80</f>
        <v/>
      </c>
      <c r="CF79" s="198">
        <f>$G79</f>
        <v/>
      </c>
      <c r="CG79" s="197">
        <f>$L79</f>
        <v/>
      </c>
      <c r="CH79" s="197">
        <f>+CH80</f>
        <v/>
      </c>
      <c r="CI79" s="197">
        <f>+CI80</f>
        <v/>
      </c>
      <c r="CJ79" s="197">
        <f>+CJ80</f>
        <v/>
      </c>
      <c r="CK79" s="197">
        <f>+CK80</f>
        <v/>
      </c>
      <c r="CL79" s="197">
        <f>+CL80</f>
        <v/>
      </c>
      <c r="CO79" s="199" t="n"/>
      <c r="CP79" s="199" t="n">
        <v>2.45</v>
      </c>
      <c r="CR79" s="199" t="inlineStr">
        <is>
          <t>#N/A N/A</t>
        </is>
      </c>
      <c r="CS79" s="970" t="n">
        <v>1.04261</v>
      </c>
    </row>
    <row r="80" ht="13.25" customHeight="1">
      <c r="B80" s="204">
        <f>+C80-1</f>
        <v/>
      </c>
      <c r="C80" s="204">
        <f>IF('bands_A-H_Avg'!$D$9+1&gt;MONTH(G80),YEAR(G80),YEAR(G80)+1)</f>
        <v/>
      </c>
      <c r="D80" s="204">
        <f>+C80+1</f>
        <v/>
      </c>
      <c r="E80" s="203">
        <f>IF(C80&gt;C79,1,E79+1)</f>
        <v/>
      </c>
      <c r="F80" s="203">
        <f>COUNTIF(C:C,C80)</f>
        <v/>
      </c>
      <c r="G80" s="198">
        <f>+G81-7</f>
        <v/>
      </c>
      <c r="H80" s="361">
        <f>IF(ISBLANK(CO80),CP80,SUMPRODUCT(CO$32:CP$32,CO80:CP80))</f>
        <v/>
      </c>
      <c r="I80" s="968">
        <f>H80/M80</f>
        <v/>
      </c>
      <c r="J80" s="968">
        <f>H80/N80</f>
        <v/>
      </c>
      <c r="K80" s="968">
        <f>(H80+Q80)/O80</f>
        <v/>
      </c>
      <c r="L80" s="968">
        <f>(H80+Q80)/P80</f>
        <v/>
      </c>
      <c r="M80" s="199">
        <f>HLOOKUP(C:C,$4:$10,3,FALSE)+((HLOOKUP(D:D,$4:$10,3,FALSE)-HLOOKUP(C:C,$4:$10,3,FALSE))*E80/F80)</f>
        <v/>
      </c>
      <c r="N80" s="199">
        <f>HLOOKUP(C:C,$4:$10,2,FALSE)+((HLOOKUP(D:D,$4:$10,2,FALSE)-HLOOKUP(C:C,$4:$10,2,FALSE))*E80/F80)</f>
        <v/>
      </c>
      <c r="O80" s="199">
        <f>HLOOKUP(C:C,$4:$10,5,FALSE)+((HLOOKUP(D:D,$4:$10,5,FALSE)-HLOOKUP(C:C,$4:$10,5,FALSE))*E80/F80)</f>
        <v/>
      </c>
      <c r="P80" s="199">
        <f>HLOOKUP(C:C,$4:$10,4,FALSE)+((HLOOKUP(D:D,$4:$10,4,FALSE)-HLOOKUP(C:C,$4:$10,4,FALSE))*E80/F80)</f>
        <v/>
      </c>
      <c r="Q80" s="199">
        <f>HLOOKUP(B:B,$4:$10,6,FALSE)+((HLOOKUP(C:C,$4:$10,6,FALSE)-HLOOKUP(B:B,$4:$10,6,FALSE))*E80/F80)</f>
        <v/>
      </c>
      <c r="T80" s="198">
        <f>$G80</f>
        <v/>
      </c>
      <c r="U80" s="199">
        <f>H80/(HLOOKUP(B:B,$4:$10,3,FALSE)+((HLOOKUP(C:C,$4:$10,3,FALSE)-HLOOKUP(B:B,$4:$10,3,FALSE))*E80/F80))</f>
        <v/>
      </c>
      <c r="V80" s="969">
        <f>HLOOKUP(B:B,$4:$10,7,FALSE)+((HLOOKUP(C:C,$4:$10,7,FALSE)-HLOOKUP(B:B,$4:$10,7,FALSE))*E80/F80)</f>
        <v/>
      </c>
      <c r="AB80" s="198">
        <f>$G80</f>
        <v/>
      </c>
      <c r="AC80" s="199">
        <f>$H80</f>
        <v/>
      </c>
      <c r="AD80" s="199">
        <f>$M80*AD$34</f>
        <v/>
      </c>
      <c r="AE80" s="199">
        <f>$M80*AE$34</f>
        <v/>
      </c>
      <c r="AF80" s="199">
        <f>$M80*AF$34</f>
        <v/>
      </c>
      <c r="AG80" s="199">
        <f>$M80*AG$34</f>
        <v/>
      </c>
      <c r="AH80" s="199">
        <f>$M80*AH$34</f>
        <v/>
      </c>
      <c r="AJ80" s="198">
        <f>$G80</f>
        <v/>
      </c>
      <c r="AK80" s="199">
        <f>$H80</f>
        <v/>
      </c>
      <c r="AL80" s="199">
        <f>$N80*AL$34</f>
        <v/>
      </c>
      <c r="AM80" s="199">
        <f>$N80*AM$34</f>
        <v/>
      </c>
      <c r="AN80" s="199">
        <f>$N80*AN$34</f>
        <v/>
      </c>
      <c r="AO80" s="199">
        <f>$N80*AO$34</f>
        <v/>
      </c>
      <c r="AP80" s="199">
        <f>$N80*AP$34</f>
        <v/>
      </c>
      <c r="AR80" s="198">
        <f>$G80</f>
        <v/>
      </c>
      <c r="AS80" s="199">
        <f>$H80</f>
        <v/>
      </c>
      <c r="AT80" s="199">
        <f>$O80*AT$34-$Q80</f>
        <v/>
      </c>
      <c r="AU80" s="199">
        <f>$O80*AU$34-$Q80</f>
        <v/>
      </c>
      <c r="AV80" s="199">
        <f>$O80*AV$34-$Q80</f>
        <v/>
      </c>
      <c r="AW80" s="199">
        <f>$O80*AW$34-$Q80</f>
        <v/>
      </c>
      <c r="AX80" s="199">
        <f>$O80*AX$34-$Q80</f>
        <v/>
      </c>
      <c r="AZ80" s="198">
        <f>$G80</f>
        <v/>
      </c>
      <c r="BA80" s="199">
        <f>$H80</f>
        <v/>
      </c>
      <c r="BB80" s="199">
        <f>$P80*BB$34-$Q80</f>
        <v/>
      </c>
      <c r="BC80" s="199">
        <f>$P80*BC$34-$Q80</f>
        <v/>
      </c>
      <c r="BD80" s="199">
        <f>$P80*BD$34-$Q80</f>
        <v/>
      </c>
      <c r="BE80" s="199">
        <f>$P80*BE$34-$Q80</f>
        <v/>
      </c>
      <c r="BF80" s="199">
        <f>$P80*BF$34-$Q80</f>
        <v/>
      </c>
      <c r="BH80" s="198">
        <f>$G80</f>
        <v/>
      </c>
      <c r="BI80" s="197">
        <f>$I80</f>
        <v/>
      </c>
      <c r="BJ80" s="197">
        <f>+BJ81</f>
        <v/>
      </c>
      <c r="BK80" s="197">
        <f>+BK81</f>
        <v/>
      </c>
      <c r="BL80" s="197">
        <f>+BL81</f>
        <v/>
      </c>
      <c r="BM80" s="197">
        <f>+BM81</f>
        <v/>
      </c>
      <c r="BN80" s="197">
        <f>+BN81</f>
        <v/>
      </c>
      <c r="BP80" s="198">
        <f>$G80</f>
        <v/>
      </c>
      <c r="BQ80" s="197">
        <f>$J80</f>
        <v/>
      </c>
      <c r="BR80" s="197">
        <f>+BR81</f>
        <v/>
      </c>
      <c r="BS80" s="197">
        <f>+BS81</f>
        <v/>
      </c>
      <c r="BT80" s="197">
        <f>+BT81</f>
        <v/>
      </c>
      <c r="BU80" s="197">
        <f>+BU81</f>
        <v/>
      </c>
      <c r="BV80" s="197">
        <f>+BV81</f>
        <v/>
      </c>
      <c r="BX80" s="198">
        <f>$G80</f>
        <v/>
      </c>
      <c r="BY80" s="197">
        <f>$K80</f>
        <v/>
      </c>
      <c r="BZ80" s="197">
        <f>+BZ81</f>
        <v/>
      </c>
      <c r="CA80" s="197">
        <f>+CA81</f>
        <v/>
      </c>
      <c r="CB80" s="197">
        <f>+CB81</f>
        <v/>
      </c>
      <c r="CC80" s="197">
        <f>+CC81</f>
        <v/>
      </c>
      <c r="CD80" s="197">
        <f>+CD81</f>
        <v/>
      </c>
      <c r="CF80" s="198">
        <f>$G80</f>
        <v/>
      </c>
      <c r="CG80" s="197">
        <f>$L80</f>
        <v/>
      </c>
      <c r="CH80" s="197">
        <f>+CH81</f>
        <v/>
      </c>
      <c r="CI80" s="197">
        <f>+CI81</f>
        <v/>
      </c>
      <c r="CJ80" s="197">
        <f>+CJ81</f>
        <v/>
      </c>
      <c r="CK80" s="197">
        <f>+CK81</f>
        <v/>
      </c>
      <c r="CL80" s="197">
        <f>+CL81</f>
        <v/>
      </c>
      <c r="CO80" s="199" t="n"/>
      <c r="CP80" s="199" t="n">
        <v>2.6</v>
      </c>
      <c r="CR80" s="199" t="inlineStr">
        <is>
          <t>#N/A N/A</t>
        </is>
      </c>
      <c r="CS80" s="970" t="n">
        <v>1.04287</v>
      </c>
    </row>
    <row r="81" ht="13.25" customHeight="1">
      <c r="B81" s="204">
        <f>+C81-1</f>
        <v/>
      </c>
      <c r="C81" s="204">
        <f>IF('bands_A-H_Avg'!$D$9+1&gt;MONTH(G81),YEAR(G81),YEAR(G81)+1)</f>
        <v/>
      </c>
      <c r="D81" s="204">
        <f>+C81+1</f>
        <v/>
      </c>
      <c r="E81" s="203">
        <f>IF(C81&gt;C80,1,E80+1)</f>
        <v/>
      </c>
      <c r="F81" s="203">
        <f>COUNTIF(C:C,C81)</f>
        <v/>
      </c>
      <c r="G81" s="198">
        <f>+G82-7</f>
        <v/>
      </c>
      <c r="H81" s="361">
        <f>IF(ISBLANK(CO81),CP81,SUMPRODUCT(CO$32:CP$32,CO81:CP81))</f>
        <v/>
      </c>
      <c r="I81" s="968">
        <f>H81/M81</f>
        <v/>
      </c>
      <c r="J81" s="968">
        <f>H81/N81</f>
        <v/>
      </c>
      <c r="K81" s="968">
        <f>(H81+Q81)/O81</f>
        <v/>
      </c>
      <c r="L81" s="968">
        <f>(H81+Q81)/P81</f>
        <v/>
      </c>
      <c r="M81" s="199">
        <f>HLOOKUP(C:C,$4:$10,3,FALSE)+((HLOOKUP(D:D,$4:$10,3,FALSE)-HLOOKUP(C:C,$4:$10,3,FALSE))*E81/F81)</f>
        <v/>
      </c>
      <c r="N81" s="199">
        <f>HLOOKUP(C:C,$4:$10,2,FALSE)+((HLOOKUP(D:D,$4:$10,2,FALSE)-HLOOKUP(C:C,$4:$10,2,FALSE))*E81/F81)</f>
        <v/>
      </c>
      <c r="O81" s="199">
        <f>HLOOKUP(C:C,$4:$10,5,FALSE)+((HLOOKUP(D:D,$4:$10,5,FALSE)-HLOOKUP(C:C,$4:$10,5,FALSE))*E81/F81)</f>
        <v/>
      </c>
      <c r="P81" s="199">
        <f>HLOOKUP(C:C,$4:$10,4,FALSE)+((HLOOKUP(D:D,$4:$10,4,FALSE)-HLOOKUP(C:C,$4:$10,4,FALSE))*E81/F81)</f>
        <v/>
      </c>
      <c r="Q81" s="199">
        <f>HLOOKUP(B:B,$4:$10,6,FALSE)+((HLOOKUP(C:C,$4:$10,6,FALSE)-HLOOKUP(B:B,$4:$10,6,FALSE))*E81/F81)</f>
        <v/>
      </c>
      <c r="T81" s="198">
        <f>$G81</f>
        <v/>
      </c>
      <c r="U81" s="199">
        <f>H81/(HLOOKUP(B:B,$4:$10,3,FALSE)+((HLOOKUP(C:C,$4:$10,3,FALSE)-HLOOKUP(B:B,$4:$10,3,FALSE))*E81/F81))</f>
        <v/>
      </c>
      <c r="V81" s="969">
        <f>HLOOKUP(B:B,$4:$10,7,FALSE)+((HLOOKUP(C:C,$4:$10,7,FALSE)-HLOOKUP(B:B,$4:$10,7,FALSE))*E81/F81)</f>
        <v/>
      </c>
      <c r="AB81" s="198">
        <f>$G81</f>
        <v/>
      </c>
      <c r="AC81" s="199">
        <f>$H81</f>
        <v/>
      </c>
      <c r="AD81" s="199">
        <f>$M81*AD$34</f>
        <v/>
      </c>
      <c r="AE81" s="199">
        <f>$M81*AE$34</f>
        <v/>
      </c>
      <c r="AF81" s="199">
        <f>$M81*AF$34</f>
        <v/>
      </c>
      <c r="AG81" s="199">
        <f>$M81*AG$34</f>
        <v/>
      </c>
      <c r="AH81" s="199">
        <f>$M81*AH$34</f>
        <v/>
      </c>
      <c r="AJ81" s="198">
        <f>$G81</f>
        <v/>
      </c>
      <c r="AK81" s="199">
        <f>$H81</f>
        <v/>
      </c>
      <c r="AL81" s="199">
        <f>$N81*AL$34</f>
        <v/>
      </c>
      <c r="AM81" s="199">
        <f>$N81*AM$34</f>
        <v/>
      </c>
      <c r="AN81" s="199">
        <f>$N81*AN$34</f>
        <v/>
      </c>
      <c r="AO81" s="199">
        <f>$N81*AO$34</f>
        <v/>
      </c>
      <c r="AP81" s="199">
        <f>$N81*AP$34</f>
        <v/>
      </c>
      <c r="AR81" s="198">
        <f>$G81</f>
        <v/>
      </c>
      <c r="AS81" s="199">
        <f>$H81</f>
        <v/>
      </c>
      <c r="AT81" s="199">
        <f>$O81*AT$34-$Q81</f>
        <v/>
      </c>
      <c r="AU81" s="199">
        <f>$O81*AU$34-$Q81</f>
        <v/>
      </c>
      <c r="AV81" s="199">
        <f>$O81*AV$34-$Q81</f>
        <v/>
      </c>
      <c r="AW81" s="199">
        <f>$O81*AW$34-$Q81</f>
        <v/>
      </c>
      <c r="AX81" s="199">
        <f>$O81*AX$34-$Q81</f>
        <v/>
      </c>
      <c r="AZ81" s="198">
        <f>$G81</f>
        <v/>
      </c>
      <c r="BA81" s="199">
        <f>$H81</f>
        <v/>
      </c>
      <c r="BB81" s="199">
        <f>$P81*BB$34-$Q81</f>
        <v/>
      </c>
      <c r="BC81" s="199">
        <f>$P81*BC$34-$Q81</f>
        <v/>
      </c>
      <c r="BD81" s="199">
        <f>$P81*BD$34-$Q81</f>
        <v/>
      </c>
      <c r="BE81" s="199">
        <f>$P81*BE$34-$Q81</f>
        <v/>
      </c>
      <c r="BF81" s="199">
        <f>$P81*BF$34-$Q81</f>
        <v/>
      </c>
      <c r="BH81" s="198">
        <f>$G81</f>
        <v/>
      </c>
      <c r="BI81" s="197">
        <f>$I81</f>
        <v/>
      </c>
      <c r="BJ81" s="197">
        <f>+BJ82</f>
        <v/>
      </c>
      <c r="BK81" s="197">
        <f>+BK82</f>
        <v/>
      </c>
      <c r="BL81" s="197">
        <f>+BL82</f>
        <v/>
      </c>
      <c r="BM81" s="197">
        <f>+BM82</f>
        <v/>
      </c>
      <c r="BN81" s="197">
        <f>+BN82</f>
        <v/>
      </c>
      <c r="BP81" s="198">
        <f>$G81</f>
        <v/>
      </c>
      <c r="BQ81" s="197">
        <f>$J81</f>
        <v/>
      </c>
      <c r="BR81" s="197">
        <f>+BR82</f>
        <v/>
      </c>
      <c r="BS81" s="197">
        <f>+BS82</f>
        <v/>
      </c>
      <c r="BT81" s="197">
        <f>+BT82</f>
        <v/>
      </c>
      <c r="BU81" s="197">
        <f>+BU82</f>
        <v/>
      </c>
      <c r="BV81" s="197">
        <f>+BV82</f>
        <v/>
      </c>
      <c r="BX81" s="198">
        <f>$G81</f>
        <v/>
      </c>
      <c r="BY81" s="197">
        <f>$K81</f>
        <v/>
      </c>
      <c r="BZ81" s="197">
        <f>+BZ82</f>
        <v/>
      </c>
      <c r="CA81" s="197">
        <f>+CA82</f>
        <v/>
      </c>
      <c r="CB81" s="197">
        <f>+CB82</f>
        <v/>
      </c>
      <c r="CC81" s="197">
        <f>+CC82</f>
        <v/>
      </c>
      <c r="CD81" s="197">
        <f>+CD82</f>
        <v/>
      </c>
      <c r="CF81" s="198">
        <f>$G81</f>
        <v/>
      </c>
      <c r="CG81" s="197">
        <f>$L81</f>
        <v/>
      </c>
      <c r="CH81" s="197">
        <f>+CH82</f>
        <v/>
      </c>
      <c r="CI81" s="197">
        <f>+CI82</f>
        <v/>
      </c>
      <c r="CJ81" s="197">
        <f>+CJ82</f>
        <v/>
      </c>
      <c r="CK81" s="197">
        <f>+CK82</f>
        <v/>
      </c>
      <c r="CL81" s="197">
        <f>+CL82</f>
        <v/>
      </c>
      <c r="CO81" s="199" t="n"/>
      <c r="CP81" s="199" t="n">
        <v>2.6</v>
      </c>
      <c r="CR81" s="199" t="inlineStr">
        <is>
          <t>#N/A N/A</t>
        </is>
      </c>
      <c r="CS81" s="970" t="n">
        <v>1.04254</v>
      </c>
    </row>
    <row r="82">
      <c r="B82" s="204">
        <f>+C82-1</f>
        <v/>
      </c>
      <c r="C82" s="204">
        <f>IF('bands_A-H_Avg'!$D$9+1&gt;MONTH(G82),YEAR(G82),YEAR(G82)+1)</f>
        <v/>
      </c>
      <c r="D82" s="204">
        <f>+C82+1</f>
        <v/>
      </c>
      <c r="E82" s="203">
        <f>IF(C82&gt;C81,1,E81+1)</f>
        <v/>
      </c>
      <c r="F82" s="203">
        <f>COUNTIF(C:C,C82)</f>
        <v/>
      </c>
      <c r="G82" s="198">
        <f>+G83-7</f>
        <v/>
      </c>
      <c r="H82" s="361">
        <f>IF(ISBLANK(CO82),CP82,SUMPRODUCT(CO$32:CP$32,CO82:CP82))</f>
        <v/>
      </c>
      <c r="I82" s="968">
        <f>H82/M82</f>
        <v/>
      </c>
      <c r="J82" s="968">
        <f>H82/N82</f>
        <v/>
      </c>
      <c r="K82" s="968">
        <f>(H82+Q82)/O82</f>
        <v/>
      </c>
      <c r="L82" s="968">
        <f>(H82+Q82)/P82</f>
        <v/>
      </c>
      <c r="M82" s="199">
        <f>HLOOKUP(C:C,$4:$10,3,FALSE)+((HLOOKUP(D:D,$4:$10,3,FALSE)-HLOOKUP(C:C,$4:$10,3,FALSE))*E82/F82)</f>
        <v/>
      </c>
      <c r="N82" s="199">
        <f>HLOOKUP(C:C,$4:$10,2,FALSE)+((HLOOKUP(D:D,$4:$10,2,FALSE)-HLOOKUP(C:C,$4:$10,2,FALSE))*E82/F82)</f>
        <v/>
      </c>
      <c r="O82" s="199">
        <f>HLOOKUP(C:C,$4:$10,5,FALSE)+((HLOOKUP(D:D,$4:$10,5,FALSE)-HLOOKUP(C:C,$4:$10,5,FALSE))*E82/F82)</f>
        <v/>
      </c>
      <c r="P82" s="199">
        <f>HLOOKUP(C:C,$4:$10,4,FALSE)+((HLOOKUP(D:D,$4:$10,4,FALSE)-HLOOKUP(C:C,$4:$10,4,FALSE))*E82/F82)</f>
        <v/>
      </c>
      <c r="Q82" s="199">
        <f>HLOOKUP(B:B,$4:$10,6,FALSE)+((HLOOKUP(C:C,$4:$10,6,FALSE)-HLOOKUP(B:B,$4:$10,6,FALSE))*E82/F82)</f>
        <v/>
      </c>
      <c r="T82" s="198">
        <f>$G82</f>
        <v/>
      </c>
      <c r="U82" s="199">
        <f>H82/(HLOOKUP(B:B,$4:$10,3,FALSE)+((HLOOKUP(C:C,$4:$10,3,FALSE)-HLOOKUP(B:B,$4:$10,3,FALSE))*E82/F82))</f>
        <v/>
      </c>
      <c r="V82" s="969">
        <f>HLOOKUP(B:B,$4:$10,7,FALSE)+((HLOOKUP(C:C,$4:$10,7,FALSE)-HLOOKUP(B:B,$4:$10,7,FALSE))*E82/F82)</f>
        <v/>
      </c>
      <c r="AB82" s="198">
        <f>$G82</f>
        <v/>
      </c>
      <c r="AC82" s="199">
        <f>$H82</f>
        <v/>
      </c>
      <c r="AD82" s="199">
        <f>$M82*AD$34</f>
        <v/>
      </c>
      <c r="AE82" s="199">
        <f>$M82*AE$34</f>
        <v/>
      </c>
      <c r="AF82" s="199">
        <f>$M82*AF$34</f>
        <v/>
      </c>
      <c r="AG82" s="199">
        <f>$M82*AG$34</f>
        <v/>
      </c>
      <c r="AH82" s="199">
        <f>$M82*AH$34</f>
        <v/>
      </c>
      <c r="AJ82" s="198">
        <f>$G82</f>
        <v/>
      </c>
      <c r="AK82" s="199">
        <f>$H82</f>
        <v/>
      </c>
      <c r="AL82" s="199">
        <f>$N82*AL$34</f>
        <v/>
      </c>
      <c r="AM82" s="199">
        <f>$N82*AM$34</f>
        <v/>
      </c>
      <c r="AN82" s="199">
        <f>$N82*AN$34</f>
        <v/>
      </c>
      <c r="AO82" s="199">
        <f>$N82*AO$34</f>
        <v/>
      </c>
      <c r="AP82" s="199">
        <f>$N82*AP$34</f>
        <v/>
      </c>
      <c r="AR82" s="198">
        <f>$G82</f>
        <v/>
      </c>
      <c r="AS82" s="199">
        <f>$H82</f>
        <v/>
      </c>
      <c r="AT82" s="199">
        <f>$O82*AT$34-$Q82</f>
        <v/>
      </c>
      <c r="AU82" s="199">
        <f>$O82*AU$34-$Q82</f>
        <v/>
      </c>
      <c r="AV82" s="199">
        <f>$O82*AV$34-$Q82</f>
        <v/>
      </c>
      <c r="AW82" s="199">
        <f>$O82*AW$34-$Q82</f>
        <v/>
      </c>
      <c r="AX82" s="199">
        <f>$O82*AX$34-$Q82</f>
        <v/>
      </c>
      <c r="AZ82" s="198">
        <f>$G82</f>
        <v/>
      </c>
      <c r="BA82" s="199">
        <f>$H82</f>
        <v/>
      </c>
      <c r="BB82" s="199">
        <f>$P82*BB$34-$Q82</f>
        <v/>
      </c>
      <c r="BC82" s="199">
        <f>$P82*BC$34-$Q82</f>
        <v/>
      </c>
      <c r="BD82" s="199">
        <f>$P82*BD$34-$Q82</f>
        <v/>
      </c>
      <c r="BE82" s="199">
        <f>$P82*BE$34-$Q82</f>
        <v/>
      </c>
      <c r="BF82" s="199">
        <f>$P82*BF$34-$Q82</f>
        <v/>
      </c>
      <c r="BH82" s="198">
        <f>$G82</f>
        <v/>
      </c>
      <c r="BI82" s="197">
        <f>$I82</f>
        <v/>
      </c>
      <c r="BJ82" s="197">
        <f>+BJ83</f>
        <v/>
      </c>
      <c r="BK82" s="197">
        <f>+BK83</f>
        <v/>
      </c>
      <c r="BL82" s="197">
        <f>+BL83</f>
        <v/>
      </c>
      <c r="BM82" s="197">
        <f>+BM83</f>
        <v/>
      </c>
      <c r="BN82" s="197">
        <f>+BN83</f>
        <v/>
      </c>
      <c r="BP82" s="198">
        <f>$G82</f>
        <v/>
      </c>
      <c r="BQ82" s="197">
        <f>$J82</f>
        <v/>
      </c>
      <c r="BR82" s="197">
        <f>+BR83</f>
        <v/>
      </c>
      <c r="BS82" s="197">
        <f>+BS83</f>
        <v/>
      </c>
      <c r="BT82" s="197">
        <f>+BT83</f>
        <v/>
      </c>
      <c r="BU82" s="197">
        <f>+BU83</f>
        <v/>
      </c>
      <c r="BV82" s="197">
        <f>+BV83</f>
        <v/>
      </c>
      <c r="BX82" s="198">
        <f>$G82</f>
        <v/>
      </c>
      <c r="BY82" s="197">
        <f>$K82</f>
        <v/>
      </c>
      <c r="BZ82" s="197">
        <f>+BZ83</f>
        <v/>
      </c>
      <c r="CA82" s="197">
        <f>+CA83</f>
        <v/>
      </c>
      <c r="CB82" s="197">
        <f>+CB83</f>
        <v/>
      </c>
      <c r="CC82" s="197">
        <f>+CC83</f>
        <v/>
      </c>
      <c r="CD82" s="197">
        <f>+CD83</f>
        <v/>
      </c>
      <c r="CF82" s="198">
        <f>$G82</f>
        <v/>
      </c>
      <c r="CG82" s="197">
        <f>$L82</f>
        <v/>
      </c>
      <c r="CH82" s="197">
        <f>+CH83</f>
        <v/>
      </c>
      <c r="CI82" s="197">
        <f>+CI83</f>
        <v/>
      </c>
      <c r="CJ82" s="197">
        <f>+CJ83</f>
        <v/>
      </c>
      <c r="CK82" s="197">
        <f>+CK83</f>
        <v/>
      </c>
      <c r="CL82" s="197">
        <f>+CL83</f>
        <v/>
      </c>
      <c r="CO82" s="199" t="n"/>
      <c r="CP82" s="199" t="n">
        <v>2.55</v>
      </c>
      <c r="CR82" s="199" t="inlineStr">
        <is>
          <t>#N/A N/A</t>
        </is>
      </c>
      <c r="CS82" s="970" t="n">
        <v>1.04258</v>
      </c>
    </row>
    <row r="83">
      <c r="B83" s="204">
        <f>+C83-1</f>
        <v/>
      </c>
      <c r="C83" s="204">
        <f>IF('bands_A-H_Avg'!$D$9+1&gt;MONTH(G83),YEAR(G83),YEAR(G83)+1)</f>
        <v/>
      </c>
      <c r="D83" s="204">
        <f>+C83+1</f>
        <v/>
      </c>
      <c r="E83" s="203">
        <f>IF(C83&gt;C82,1,E82+1)</f>
        <v/>
      </c>
      <c r="F83" s="203">
        <f>COUNTIF(C:C,C83)</f>
        <v/>
      </c>
      <c r="G83" s="198">
        <f>+G84-7</f>
        <v/>
      </c>
      <c r="H83" s="361">
        <f>IF(ISBLANK(CO83),CP83,SUMPRODUCT(CO$32:CP$32,CO83:CP83))</f>
        <v/>
      </c>
      <c r="I83" s="968">
        <f>H83/M83</f>
        <v/>
      </c>
      <c r="J83" s="968">
        <f>H83/N83</f>
        <v/>
      </c>
      <c r="K83" s="968">
        <f>(H83+Q83)/O83</f>
        <v/>
      </c>
      <c r="L83" s="968">
        <f>(H83+Q83)/P83</f>
        <v/>
      </c>
      <c r="M83" s="199">
        <f>HLOOKUP(C:C,$4:$10,3,FALSE)+((HLOOKUP(D:D,$4:$10,3,FALSE)-HLOOKUP(C:C,$4:$10,3,FALSE))*E83/F83)</f>
        <v/>
      </c>
      <c r="N83" s="199">
        <f>HLOOKUP(C:C,$4:$10,2,FALSE)+((HLOOKUP(D:D,$4:$10,2,FALSE)-HLOOKUP(C:C,$4:$10,2,FALSE))*E83/F83)</f>
        <v/>
      </c>
      <c r="O83" s="199">
        <f>HLOOKUP(C:C,$4:$10,5,FALSE)+((HLOOKUP(D:D,$4:$10,5,FALSE)-HLOOKUP(C:C,$4:$10,5,FALSE))*E83/F83)</f>
        <v/>
      </c>
      <c r="P83" s="199">
        <f>HLOOKUP(C:C,$4:$10,4,FALSE)+((HLOOKUP(D:D,$4:$10,4,FALSE)-HLOOKUP(C:C,$4:$10,4,FALSE))*E83/F83)</f>
        <v/>
      </c>
      <c r="Q83" s="199">
        <f>HLOOKUP(B:B,$4:$10,6,FALSE)+((HLOOKUP(C:C,$4:$10,6,FALSE)-HLOOKUP(B:B,$4:$10,6,FALSE))*E83/F83)</f>
        <v/>
      </c>
      <c r="T83" s="198">
        <f>$G83</f>
        <v/>
      </c>
      <c r="U83" s="199">
        <f>H83/(HLOOKUP(B:B,$4:$10,3,FALSE)+((HLOOKUP(C:C,$4:$10,3,FALSE)-HLOOKUP(B:B,$4:$10,3,FALSE))*E83/F83))</f>
        <v/>
      </c>
      <c r="V83" s="969">
        <f>HLOOKUP(B:B,$4:$10,7,FALSE)+((HLOOKUP(C:C,$4:$10,7,FALSE)-HLOOKUP(B:B,$4:$10,7,FALSE))*E83/F83)</f>
        <v/>
      </c>
      <c r="AB83" s="198">
        <f>$G83</f>
        <v/>
      </c>
      <c r="AC83" s="199">
        <f>$H83</f>
        <v/>
      </c>
      <c r="AD83" s="199">
        <f>$M83*AD$34</f>
        <v/>
      </c>
      <c r="AE83" s="199">
        <f>$M83*AE$34</f>
        <v/>
      </c>
      <c r="AF83" s="199">
        <f>$M83*AF$34</f>
        <v/>
      </c>
      <c r="AG83" s="199">
        <f>$M83*AG$34</f>
        <v/>
      </c>
      <c r="AH83" s="199">
        <f>$M83*AH$34</f>
        <v/>
      </c>
      <c r="AJ83" s="198">
        <f>$G83</f>
        <v/>
      </c>
      <c r="AK83" s="199">
        <f>$H83</f>
        <v/>
      </c>
      <c r="AL83" s="199">
        <f>$N83*AL$34</f>
        <v/>
      </c>
      <c r="AM83" s="199">
        <f>$N83*AM$34</f>
        <v/>
      </c>
      <c r="AN83" s="199">
        <f>$N83*AN$34</f>
        <v/>
      </c>
      <c r="AO83" s="199">
        <f>$N83*AO$34</f>
        <v/>
      </c>
      <c r="AP83" s="199">
        <f>$N83*AP$34</f>
        <v/>
      </c>
      <c r="AR83" s="198">
        <f>$G83</f>
        <v/>
      </c>
      <c r="AS83" s="199">
        <f>$H83</f>
        <v/>
      </c>
      <c r="AT83" s="199">
        <f>$O83*AT$34-$Q83</f>
        <v/>
      </c>
      <c r="AU83" s="199">
        <f>$O83*AU$34-$Q83</f>
        <v/>
      </c>
      <c r="AV83" s="199">
        <f>$O83*AV$34-$Q83</f>
        <v/>
      </c>
      <c r="AW83" s="199">
        <f>$O83*AW$34-$Q83</f>
        <v/>
      </c>
      <c r="AX83" s="199">
        <f>$O83*AX$34-$Q83</f>
        <v/>
      </c>
      <c r="AZ83" s="198">
        <f>$G83</f>
        <v/>
      </c>
      <c r="BA83" s="199">
        <f>$H83</f>
        <v/>
      </c>
      <c r="BB83" s="199">
        <f>$P83*BB$34-$Q83</f>
        <v/>
      </c>
      <c r="BC83" s="199">
        <f>$P83*BC$34-$Q83</f>
        <v/>
      </c>
      <c r="BD83" s="199">
        <f>$P83*BD$34-$Q83</f>
        <v/>
      </c>
      <c r="BE83" s="199">
        <f>$P83*BE$34-$Q83</f>
        <v/>
      </c>
      <c r="BF83" s="199">
        <f>$P83*BF$34-$Q83</f>
        <v/>
      </c>
      <c r="BH83" s="198">
        <f>$G83</f>
        <v/>
      </c>
      <c r="BI83" s="197">
        <f>$I83</f>
        <v/>
      </c>
      <c r="BJ83" s="197">
        <f>+BJ84</f>
        <v/>
      </c>
      <c r="BK83" s="197">
        <f>+BK84</f>
        <v/>
      </c>
      <c r="BL83" s="197">
        <f>+BL84</f>
        <v/>
      </c>
      <c r="BM83" s="197">
        <f>+BM84</f>
        <v/>
      </c>
      <c r="BN83" s="197">
        <f>+BN84</f>
        <v/>
      </c>
      <c r="BP83" s="198">
        <f>$G83</f>
        <v/>
      </c>
      <c r="BQ83" s="197">
        <f>$J83</f>
        <v/>
      </c>
      <c r="BR83" s="197">
        <f>+BR84</f>
        <v/>
      </c>
      <c r="BS83" s="197">
        <f>+BS84</f>
        <v/>
      </c>
      <c r="BT83" s="197">
        <f>+BT84</f>
        <v/>
      </c>
      <c r="BU83" s="197">
        <f>+BU84</f>
        <v/>
      </c>
      <c r="BV83" s="197">
        <f>+BV84</f>
        <v/>
      </c>
      <c r="BX83" s="198">
        <f>$G83</f>
        <v/>
      </c>
      <c r="BY83" s="197">
        <f>$K83</f>
        <v/>
      </c>
      <c r="BZ83" s="197">
        <f>+BZ84</f>
        <v/>
      </c>
      <c r="CA83" s="197">
        <f>+CA84</f>
        <v/>
      </c>
      <c r="CB83" s="197">
        <f>+CB84</f>
        <v/>
      </c>
      <c r="CC83" s="197">
        <f>+CC84</f>
        <v/>
      </c>
      <c r="CD83" s="197">
        <f>+CD84</f>
        <v/>
      </c>
      <c r="CF83" s="198">
        <f>$G83</f>
        <v/>
      </c>
      <c r="CG83" s="197">
        <f>$L83</f>
        <v/>
      </c>
      <c r="CH83" s="197">
        <f>+CH84</f>
        <v/>
      </c>
      <c r="CI83" s="197">
        <f>+CI84</f>
        <v/>
      </c>
      <c r="CJ83" s="197">
        <f>+CJ84</f>
        <v/>
      </c>
      <c r="CK83" s="197">
        <f>+CK84</f>
        <v/>
      </c>
      <c r="CL83" s="197">
        <f>+CL84</f>
        <v/>
      </c>
      <c r="CO83" s="199" t="n"/>
      <c r="CP83" s="199" t="n">
        <v>2.525</v>
      </c>
      <c r="CR83" s="199" t="inlineStr">
        <is>
          <t>#N/A N/A</t>
        </is>
      </c>
      <c r="CS83" s="970" t="n">
        <v>1.0422</v>
      </c>
    </row>
    <row r="84">
      <c r="B84" s="204">
        <f>+C84-1</f>
        <v/>
      </c>
      <c r="C84" s="204">
        <f>IF('bands_A-H_Avg'!$D$9+1&gt;MONTH(G84),YEAR(G84),YEAR(G84)+1)</f>
        <v/>
      </c>
      <c r="D84" s="204">
        <f>+C84+1</f>
        <v/>
      </c>
      <c r="E84" s="203">
        <f>IF(C84&gt;C83,1,E83+1)</f>
        <v/>
      </c>
      <c r="F84" s="203">
        <f>COUNTIF(C:C,C84)</f>
        <v/>
      </c>
      <c r="G84" s="198">
        <f>+G85-7</f>
        <v/>
      </c>
      <c r="H84" s="361">
        <f>IF(ISBLANK(CO84),CP84,SUMPRODUCT(CO$32:CP$32,CO84:CP84))</f>
        <v/>
      </c>
      <c r="I84" s="968">
        <f>H84/M84</f>
        <v/>
      </c>
      <c r="J84" s="968">
        <f>H84/N84</f>
        <v/>
      </c>
      <c r="K84" s="968">
        <f>(H84+Q84)/O84</f>
        <v/>
      </c>
      <c r="L84" s="968">
        <f>(H84+Q84)/P84</f>
        <v/>
      </c>
      <c r="M84" s="199">
        <f>HLOOKUP(C:C,$4:$10,3,FALSE)+((HLOOKUP(D:D,$4:$10,3,FALSE)-HLOOKUP(C:C,$4:$10,3,FALSE))*E84/F84)</f>
        <v/>
      </c>
      <c r="N84" s="199">
        <f>HLOOKUP(C:C,$4:$10,2,FALSE)+((HLOOKUP(D:D,$4:$10,2,FALSE)-HLOOKUP(C:C,$4:$10,2,FALSE))*E84/F84)</f>
        <v/>
      </c>
      <c r="O84" s="199">
        <f>HLOOKUP(C:C,$4:$10,5,FALSE)+((HLOOKUP(D:D,$4:$10,5,FALSE)-HLOOKUP(C:C,$4:$10,5,FALSE))*E84/F84)</f>
        <v/>
      </c>
      <c r="P84" s="199">
        <f>HLOOKUP(C:C,$4:$10,4,FALSE)+((HLOOKUP(D:D,$4:$10,4,FALSE)-HLOOKUP(C:C,$4:$10,4,FALSE))*E84/F84)</f>
        <v/>
      </c>
      <c r="Q84" s="199">
        <f>HLOOKUP(B:B,$4:$10,6,FALSE)+((HLOOKUP(C:C,$4:$10,6,FALSE)-HLOOKUP(B:B,$4:$10,6,FALSE))*E84/F84)</f>
        <v/>
      </c>
      <c r="T84" s="198">
        <f>$G84</f>
        <v/>
      </c>
      <c r="U84" s="199">
        <f>H84/(HLOOKUP(B:B,$4:$10,3,FALSE)+((HLOOKUP(C:C,$4:$10,3,FALSE)-HLOOKUP(B:B,$4:$10,3,FALSE))*E84/F84))</f>
        <v/>
      </c>
      <c r="V84" s="969">
        <f>HLOOKUP(B:B,$4:$10,7,FALSE)+((HLOOKUP(C:C,$4:$10,7,FALSE)-HLOOKUP(B:B,$4:$10,7,FALSE))*E84/F84)</f>
        <v/>
      </c>
      <c r="AB84" s="198">
        <f>$G84</f>
        <v/>
      </c>
      <c r="AC84" s="199">
        <f>$H84</f>
        <v/>
      </c>
      <c r="AD84" s="199">
        <f>$M84*AD$34</f>
        <v/>
      </c>
      <c r="AE84" s="199">
        <f>$M84*AE$34</f>
        <v/>
      </c>
      <c r="AF84" s="199">
        <f>$M84*AF$34</f>
        <v/>
      </c>
      <c r="AG84" s="199">
        <f>$M84*AG$34</f>
        <v/>
      </c>
      <c r="AH84" s="199">
        <f>$M84*AH$34</f>
        <v/>
      </c>
      <c r="AJ84" s="198">
        <f>$G84</f>
        <v/>
      </c>
      <c r="AK84" s="199">
        <f>$H84</f>
        <v/>
      </c>
      <c r="AL84" s="199">
        <f>$N84*AL$34</f>
        <v/>
      </c>
      <c r="AM84" s="199">
        <f>$N84*AM$34</f>
        <v/>
      </c>
      <c r="AN84" s="199">
        <f>$N84*AN$34</f>
        <v/>
      </c>
      <c r="AO84" s="199">
        <f>$N84*AO$34</f>
        <v/>
      </c>
      <c r="AP84" s="199">
        <f>$N84*AP$34</f>
        <v/>
      </c>
      <c r="AR84" s="198">
        <f>$G84</f>
        <v/>
      </c>
      <c r="AS84" s="199">
        <f>$H84</f>
        <v/>
      </c>
      <c r="AT84" s="199">
        <f>$O84*AT$34-$Q84</f>
        <v/>
      </c>
      <c r="AU84" s="199">
        <f>$O84*AU$34-$Q84</f>
        <v/>
      </c>
      <c r="AV84" s="199">
        <f>$O84*AV$34-$Q84</f>
        <v/>
      </c>
      <c r="AW84" s="199">
        <f>$O84*AW$34-$Q84</f>
        <v/>
      </c>
      <c r="AX84" s="199">
        <f>$O84*AX$34-$Q84</f>
        <v/>
      </c>
      <c r="AZ84" s="198">
        <f>$G84</f>
        <v/>
      </c>
      <c r="BA84" s="199">
        <f>$H84</f>
        <v/>
      </c>
      <c r="BB84" s="199">
        <f>$P84*BB$34-$Q84</f>
        <v/>
      </c>
      <c r="BC84" s="199">
        <f>$P84*BC$34-$Q84</f>
        <v/>
      </c>
      <c r="BD84" s="199">
        <f>$P84*BD$34-$Q84</f>
        <v/>
      </c>
      <c r="BE84" s="199">
        <f>$P84*BE$34-$Q84</f>
        <v/>
      </c>
      <c r="BF84" s="199">
        <f>$P84*BF$34-$Q84</f>
        <v/>
      </c>
      <c r="BH84" s="198">
        <f>$G84</f>
        <v/>
      </c>
      <c r="BI84" s="197">
        <f>$I84</f>
        <v/>
      </c>
      <c r="BJ84" s="197">
        <f>+BJ85</f>
        <v/>
      </c>
      <c r="BK84" s="197">
        <f>+BK85</f>
        <v/>
      </c>
      <c r="BL84" s="197">
        <f>+BL85</f>
        <v/>
      </c>
      <c r="BM84" s="197">
        <f>+BM85</f>
        <v/>
      </c>
      <c r="BN84" s="197">
        <f>+BN85</f>
        <v/>
      </c>
      <c r="BP84" s="198">
        <f>$G84</f>
        <v/>
      </c>
      <c r="BQ84" s="197">
        <f>$J84</f>
        <v/>
      </c>
      <c r="BR84" s="197">
        <f>+BR85</f>
        <v/>
      </c>
      <c r="BS84" s="197">
        <f>+BS85</f>
        <v/>
      </c>
      <c r="BT84" s="197">
        <f>+BT85</f>
        <v/>
      </c>
      <c r="BU84" s="197">
        <f>+BU85</f>
        <v/>
      </c>
      <c r="BV84" s="197">
        <f>+BV85</f>
        <v/>
      </c>
      <c r="BX84" s="198">
        <f>$G84</f>
        <v/>
      </c>
      <c r="BY84" s="197">
        <f>$K84</f>
        <v/>
      </c>
      <c r="BZ84" s="197">
        <f>+BZ85</f>
        <v/>
      </c>
      <c r="CA84" s="197">
        <f>+CA85</f>
        <v/>
      </c>
      <c r="CB84" s="197">
        <f>+CB85</f>
        <v/>
      </c>
      <c r="CC84" s="197">
        <f>+CC85</f>
        <v/>
      </c>
      <c r="CD84" s="197">
        <f>+CD85</f>
        <v/>
      </c>
      <c r="CF84" s="198">
        <f>$G84</f>
        <v/>
      </c>
      <c r="CG84" s="197">
        <f>$L84</f>
        <v/>
      </c>
      <c r="CH84" s="197">
        <f>+CH85</f>
        <v/>
      </c>
      <c r="CI84" s="197">
        <f>+CI85</f>
        <v/>
      </c>
      <c r="CJ84" s="197">
        <f>+CJ85</f>
        <v/>
      </c>
      <c r="CK84" s="197">
        <f>+CK85</f>
        <v/>
      </c>
      <c r="CL84" s="197">
        <f>+CL85</f>
        <v/>
      </c>
      <c r="CO84" s="199" t="n"/>
      <c r="CP84" s="199" t="n">
        <v>2.525</v>
      </c>
      <c r="CR84" s="199" t="inlineStr">
        <is>
          <t>#N/A N/A</t>
        </is>
      </c>
      <c r="CS84" s="970" t="n">
        <v>1.04208</v>
      </c>
    </row>
    <row r="85">
      <c r="B85" s="204">
        <f>+C85-1</f>
        <v/>
      </c>
      <c r="C85" s="204">
        <f>IF('bands_A-H_Avg'!$D$9+1&gt;MONTH(G85),YEAR(G85),YEAR(G85)+1)</f>
        <v/>
      </c>
      <c r="D85" s="204">
        <f>+C85+1</f>
        <v/>
      </c>
      <c r="E85" s="203">
        <f>IF(C85&gt;C84,1,E84+1)</f>
        <v/>
      </c>
      <c r="F85" s="203">
        <f>COUNTIF(C:C,C85)</f>
        <v/>
      </c>
      <c r="G85" s="198">
        <f>+G86-7</f>
        <v/>
      </c>
      <c r="H85" s="361">
        <f>IF(ISBLANK(CO85),CP85,SUMPRODUCT(CO$32:CP$32,CO85:CP85))</f>
        <v/>
      </c>
      <c r="I85" s="968">
        <f>H85/M85</f>
        <v/>
      </c>
      <c r="J85" s="968">
        <f>H85/N85</f>
        <v/>
      </c>
      <c r="K85" s="968">
        <f>(H85+Q85)/O85</f>
        <v/>
      </c>
      <c r="L85" s="968">
        <f>(H85+Q85)/P85</f>
        <v/>
      </c>
      <c r="M85" s="199">
        <f>HLOOKUP(C:C,$4:$10,3,FALSE)+((HLOOKUP(D:D,$4:$10,3,FALSE)-HLOOKUP(C:C,$4:$10,3,FALSE))*E85/F85)</f>
        <v/>
      </c>
      <c r="N85" s="199">
        <f>HLOOKUP(C:C,$4:$10,2,FALSE)+((HLOOKUP(D:D,$4:$10,2,FALSE)-HLOOKUP(C:C,$4:$10,2,FALSE))*E85/F85)</f>
        <v/>
      </c>
      <c r="O85" s="199">
        <f>HLOOKUP(C:C,$4:$10,5,FALSE)+((HLOOKUP(D:D,$4:$10,5,FALSE)-HLOOKUP(C:C,$4:$10,5,FALSE))*E85/F85)</f>
        <v/>
      </c>
      <c r="P85" s="199">
        <f>HLOOKUP(C:C,$4:$10,4,FALSE)+((HLOOKUP(D:D,$4:$10,4,FALSE)-HLOOKUP(C:C,$4:$10,4,FALSE))*E85/F85)</f>
        <v/>
      </c>
      <c r="Q85" s="199">
        <f>HLOOKUP(B:B,$4:$10,6,FALSE)+((HLOOKUP(C:C,$4:$10,6,FALSE)-HLOOKUP(B:B,$4:$10,6,FALSE))*E85/F85)</f>
        <v/>
      </c>
      <c r="T85" s="198">
        <f>$G85</f>
        <v/>
      </c>
      <c r="U85" s="199">
        <f>H85/(HLOOKUP(B:B,$4:$10,3,FALSE)+((HLOOKUP(C:C,$4:$10,3,FALSE)-HLOOKUP(B:B,$4:$10,3,FALSE))*E85/F85))</f>
        <v/>
      </c>
      <c r="V85" s="969">
        <f>HLOOKUP(B:B,$4:$10,7,FALSE)+((HLOOKUP(C:C,$4:$10,7,FALSE)-HLOOKUP(B:B,$4:$10,7,FALSE))*E85/F85)</f>
        <v/>
      </c>
      <c r="AB85" s="198">
        <f>$G85</f>
        <v/>
      </c>
      <c r="AC85" s="199">
        <f>$H85</f>
        <v/>
      </c>
      <c r="AD85" s="199">
        <f>$M85*AD$34</f>
        <v/>
      </c>
      <c r="AE85" s="199">
        <f>$M85*AE$34</f>
        <v/>
      </c>
      <c r="AF85" s="199">
        <f>$M85*AF$34</f>
        <v/>
      </c>
      <c r="AG85" s="199">
        <f>$M85*AG$34</f>
        <v/>
      </c>
      <c r="AH85" s="199">
        <f>$M85*AH$34</f>
        <v/>
      </c>
      <c r="AJ85" s="198">
        <f>$G85</f>
        <v/>
      </c>
      <c r="AK85" s="199">
        <f>$H85</f>
        <v/>
      </c>
      <c r="AL85" s="199">
        <f>$N85*AL$34</f>
        <v/>
      </c>
      <c r="AM85" s="199">
        <f>$N85*AM$34</f>
        <v/>
      </c>
      <c r="AN85" s="199">
        <f>$N85*AN$34</f>
        <v/>
      </c>
      <c r="AO85" s="199">
        <f>$N85*AO$34</f>
        <v/>
      </c>
      <c r="AP85" s="199">
        <f>$N85*AP$34</f>
        <v/>
      </c>
      <c r="AR85" s="198">
        <f>$G85</f>
        <v/>
      </c>
      <c r="AS85" s="199">
        <f>$H85</f>
        <v/>
      </c>
      <c r="AT85" s="199">
        <f>$O85*AT$34-$Q85</f>
        <v/>
      </c>
      <c r="AU85" s="199">
        <f>$O85*AU$34-$Q85</f>
        <v/>
      </c>
      <c r="AV85" s="199">
        <f>$O85*AV$34-$Q85</f>
        <v/>
      </c>
      <c r="AW85" s="199">
        <f>$O85*AW$34-$Q85</f>
        <v/>
      </c>
      <c r="AX85" s="199">
        <f>$O85*AX$34-$Q85</f>
        <v/>
      </c>
      <c r="AZ85" s="198">
        <f>$G85</f>
        <v/>
      </c>
      <c r="BA85" s="199">
        <f>$H85</f>
        <v/>
      </c>
      <c r="BB85" s="199">
        <f>$P85*BB$34-$Q85</f>
        <v/>
      </c>
      <c r="BC85" s="199">
        <f>$P85*BC$34-$Q85</f>
        <v/>
      </c>
      <c r="BD85" s="199">
        <f>$P85*BD$34-$Q85</f>
        <v/>
      </c>
      <c r="BE85" s="199">
        <f>$P85*BE$34-$Q85</f>
        <v/>
      </c>
      <c r="BF85" s="199">
        <f>$P85*BF$34-$Q85</f>
        <v/>
      </c>
      <c r="BH85" s="198">
        <f>$G85</f>
        <v/>
      </c>
      <c r="BI85" s="197">
        <f>$I85</f>
        <v/>
      </c>
      <c r="BJ85" s="197">
        <f>+BJ86</f>
        <v/>
      </c>
      <c r="BK85" s="197">
        <f>+BK86</f>
        <v/>
      </c>
      <c r="BL85" s="197">
        <f>+BL86</f>
        <v/>
      </c>
      <c r="BM85" s="197">
        <f>+BM86</f>
        <v/>
      </c>
      <c r="BN85" s="197">
        <f>+BN86</f>
        <v/>
      </c>
      <c r="BP85" s="198">
        <f>$G85</f>
        <v/>
      </c>
      <c r="BQ85" s="197">
        <f>$J85</f>
        <v/>
      </c>
      <c r="BR85" s="197">
        <f>+BR86</f>
        <v/>
      </c>
      <c r="BS85" s="197">
        <f>+BS86</f>
        <v/>
      </c>
      <c r="BT85" s="197">
        <f>+BT86</f>
        <v/>
      </c>
      <c r="BU85" s="197">
        <f>+BU86</f>
        <v/>
      </c>
      <c r="BV85" s="197">
        <f>+BV86</f>
        <v/>
      </c>
      <c r="BX85" s="198">
        <f>$G85</f>
        <v/>
      </c>
      <c r="BY85" s="197">
        <f>$K85</f>
        <v/>
      </c>
      <c r="BZ85" s="197">
        <f>+BZ86</f>
        <v/>
      </c>
      <c r="CA85" s="197">
        <f>+CA86</f>
        <v/>
      </c>
      <c r="CB85" s="197">
        <f>+CB86</f>
        <v/>
      </c>
      <c r="CC85" s="197">
        <f>+CC86</f>
        <v/>
      </c>
      <c r="CD85" s="197">
        <f>+CD86</f>
        <v/>
      </c>
      <c r="CF85" s="198">
        <f>$G85</f>
        <v/>
      </c>
      <c r="CG85" s="197">
        <f>$L85</f>
        <v/>
      </c>
      <c r="CH85" s="197">
        <f>+CH86</f>
        <v/>
      </c>
      <c r="CI85" s="197">
        <f>+CI86</f>
        <v/>
      </c>
      <c r="CJ85" s="197">
        <f>+CJ86</f>
        <v/>
      </c>
      <c r="CK85" s="197">
        <f>+CK86</f>
        <v/>
      </c>
      <c r="CL85" s="197">
        <f>+CL86</f>
        <v/>
      </c>
      <c r="CO85" s="199" t="n"/>
      <c r="CP85" s="199" t="n">
        <v>2.45</v>
      </c>
      <c r="CR85" s="199" t="inlineStr">
        <is>
          <t>#N/A N/A</t>
        </is>
      </c>
      <c r="CS85" s="970" t="n">
        <v>1.04155</v>
      </c>
    </row>
    <row r="86">
      <c r="B86" s="204">
        <f>+C86-1</f>
        <v/>
      </c>
      <c r="C86" s="204">
        <f>IF('bands_A-H_Avg'!$D$9+1&gt;MONTH(G86),YEAR(G86),YEAR(G86)+1)</f>
        <v/>
      </c>
      <c r="D86" s="204">
        <f>+C86+1</f>
        <v/>
      </c>
      <c r="E86" s="203">
        <f>IF(C86&gt;C85,1,E85+1)</f>
        <v/>
      </c>
      <c r="F86" s="203">
        <f>COUNTIF(C:C,C86)</f>
        <v/>
      </c>
      <c r="G86" s="198">
        <f>+G87-7</f>
        <v/>
      </c>
      <c r="H86" s="361">
        <f>IF(ISBLANK(CO86),CP86,SUMPRODUCT(CO$32:CP$32,CO86:CP86))</f>
        <v/>
      </c>
      <c r="I86" s="968">
        <f>H86/M86</f>
        <v/>
      </c>
      <c r="J86" s="968">
        <f>H86/N86</f>
        <v/>
      </c>
      <c r="K86" s="968">
        <f>(H86+Q86)/O86</f>
        <v/>
      </c>
      <c r="L86" s="968">
        <f>(H86+Q86)/P86</f>
        <v/>
      </c>
      <c r="M86" s="199">
        <f>HLOOKUP(C:C,$4:$10,3,FALSE)+((HLOOKUP(D:D,$4:$10,3,FALSE)-HLOOKUP(C:C,$4:$10,3,FALSE))*E86/F86)</f>
        <v/>
      </c>
      <c r="N86" s="199">
        <f>HLOOKUP(C:C,$4:$10,2,FALSE)+((HLOOKUP(D:D,$4:$10,2,FALSE)-HLOOKUP(C:C,$4:$10,2,FALSE))*E86/F86)</f>
        <v/>
      </c>
      <c r="O86" s="199">
        <f>HLOOKUP(C:C,$4:$10,5,FALSE)+((HLOOKUP(D:D,$4:$10,5,FALSE)-HLOOKUP(C:C,$4:$10,5,FALSE))*E86/F86)</f>
        <v/>
      </c>
      <c r="P86" s="199">
        <f>HLOOKUP(C:C,$4:$10,4,FALSE)+((HLOOKUP(D:D,$4:$10,4,FALSE)-HLOOKUP(C:C,$4:$10,4,FALSE))*E86/F86)</f>
        <v/>
      </c>
      <c r="Q86" s="199">
        <f>HLOOKUP(B:B,$4:$10,6,FALSE)+((HLOOKUP(C:C,$4:$10,6,FALSE)-HLOOKUP(B:B,$4:$10,6,FALSE))*E86/F86)</f>
        <v/>
      </c>
      <c r="T86" s="198">
        <f>$G86</f>
        <v/>
      </c>
      <c r="U86" s="199">
        <f>H86/(HLOOKUP(B:B,$4:$10,3,FALSE)+((HLOOKUP(C:C,$4:$10,3,FALSE)-HLOOKUP(B:B,$4:$10,3,FALSE))*E86/F86))</f>
        <v/>
      </c>
      <c r="V86" s="969">
        <f>HLOOKUP(B:B,$4:$10,7,FALSE)+((HLOOKUP(C:C,$4:$10,7,FALSE)-HLOOKUP(B:B,$4:$10,7,FALSE))*E86/F86)</f>
        <v/>
      </c>
      <c r="AB86" s="198">
        <f>$G86</f>
        <v/>
      </c>
      <c r="AC86" s="199">
        <f>$H86</f>
        <v/>
      </c>
      <c r="AD86" s="199">
        <f>$M86*AD$34</f>
        <v/>
      </c>
      <c r="AE86" s="199">
        <f>$M86*AE$34</f>
        <v/>
      </c>
      <c r="AF86" s="199">
        <f>$M86*AF$34</f>
        <v/>
      </c>
      <c r="AG86" s="199">
        <f>$M86*AG$34</f>
        <v/>
      </c>
      <c r="AH86" s="199">
        <f>$M86*AH$34</f>
        <v/>
      </c>
      <c r="AJ86" s="198">
        <f>$G86</f>
        <v/>
      </c>
      <c r="AK86" s="199">
        <f>$H86</f>
        <v/>
      </c>
      <c r="AL86" s="199">
        <f>$N86*AL$34</f>
        <v/>
      </c>
      <c r="AM86" s="199">
        <f>$N86*AM$34</f>
        <v/>
      </c>
      <c r="AN86" s="199">
        <f>$N86*AN$34</f>
        <v/>
      </c>
      <c r="AO86" s="199">
        <f>$N86*AO$34</f>
        <v/>
      </c>
      <c r="AP86" s="199">
        <f>$N86*AP$34</f>
        <v/>
      </c>
      <c r="AR86" s="198">
        <f>$G86</f>
        <v/>
      </c>
      <c r="AS86" s="199">
        <f>$H86</f>
        <v/>
      </c>
      <c r="AT86" s="199">
        <f>$O86*AT$34-$Q86</f>
        <v/>
      </c>
      <c r="AU86" s="199">
        <f>$O86*AU$34-$Q86</f>
        <v/>
      </c>
      <c r="AV86" s="199">
        <f>$O86*AV$34-$Q86</f>
        <v/>
      </c>
      <c r="AW86" s="199">
        <f>$O86*AW$34-$Q86</f>
        <v/>
      </c>
      <c r="AX86" s="199">
        <f>$O86*AX$34-$Q86</f>
        <v/>
      </c>
      <c r="AZ86" s="198">
        <f>$G86</f>
        <v/>
      </c>
      <c r="BA86" s="199">
        <f>$H86</f>
        <v/>
      </c>
      <c r="BB86" s="199">
        <f>$P86*BB$34-$Q86</f>
        <v/>
      </c>
      <c r="BC86" s="199">
        <f>$P86*BC$34-$Q86</f>
        <v/>
      </c>
      <c r="BD86" s="199">
        <f>$P86*BD$34-$Q86</f>
        <v/>
      </c>
      <c r="BE86" s="199">
        <f>$P86*BE$34-$Q86</f>
        <v/>
      </c>
      <c r="BF86" s="199">
        <f>$P86*BF$34-$Q86</f>
        <v/>
      </c>
      <c r="BH86" s="198">
        <f>$G86</f>
        <v/>
      </c>
      <c r="BI86" s="197">
        <f>$I86</f>
        <v/>
      </c>
      <c r="BJ86" s="197">
        <f>+BJ87</f>
        <v/>
      </c>
      <c r="BK86" s="197">
        <f>+BK87</f>
        <v/>
      </c>
      <c r="BL86" s="197">
        <f>+BL87</f>
        <v/>
      </c>
      <c r="BM86" s="197">
        <f>+BM87</f>
        <v/>
      </c>
      <c r="BN86" s="197">
        <f>+BN87</f>
        <v/>
      </c>
      <c r="BP86" s="198">
        <f>$G86</f>
        <v/>
      </c>
      <c r="BQ86" s="197">
        <f>$J86</f>
        <v/>
      </c>
      <c r="BR86" s="197">
        <f>+BR87</f>
        <v/>
      </c>
      <c r="BS86" s="197">
        <f>+BS87</f>
        <v/>
      </c>
      <c r="BT86" s="197">
        <f>+BT87</f>
        <v/>
      </c>
      <c r="BU86" s="197">
        <f>+BU87</f>
        <v/>
      </c>
      <c r="BV86" s="197">
        <f>+BV87</f>
        <v/>
      </c>
      <c r="BX86" s="198">
        <f>$G86</f>
        <v/>
      </c>
      <c r="BY86" s="197">
        <f>$K86</f>
        <v/>
      </c>
      <c r="BZ86" s="197">
        <f>+BZ87</f>
        <v/>
      </c>
      <c r="CA86" s="197">
        <f>+CA87</f>
        <v/>
      </c>
      <c r="CB86" s="197">
        <f>+CB87</f>
        <v/>
      </c>
      <c r="CC86" s="197">
        <f>+CC87</f>
        <v/>
      </c>
      <c r="CD86" s="197">
        <f>+CD87</f>
        <v/>
      </c>
      <c r="CF86" s="198">
        <f>$G86</f>
        <v/>
      </c>
      <c r="CG86" s="197">
        <f>$L86</f>
        <v/>
      </c>
      <c r="CH86" s="197">
        <f>+CH87</f>
        <v/>
      </c>
      <c r="CI86" s="197">
        <f>+CI87</f>
        <v/>
      </c>
      <c r="CJ86" s="197">
        <f>+CJ87</f>
        <v/>
      </c>
      <c r="CK86" s="197">
        <f>+CK87</f>
        <v/>
      </c>
      <c r="CL86" s="197">
        <f>+CL87</f>
        <v/>
      </c>
      <c r="CO86" s="199" t="n"/>
      <c r="CP86" s="199" t="n">
        <v>2.675</v>
      </c>
      <c r="CR86" s="199" t="inlineStr">
        <is>
          <t>#N/A N/A</t>
        </is>
      </c>
      <c r="CS86" s="970" t="n">
        <v>1.04144</v>
      </c>
    </row>
    <row r="87">
      <c r="B87" s="204">
        <f>+C87-1</f>
        <v/>
      </c>
      <c r="C87" s="204">
        <f>IF('bands_A-H_Avg'!$D$9+1&gt;MONTH(G87),YEAR(G87),YEAR(G87)+1)</f>
        <v/>
      </c>
      <c r="D87" s="204">
        <f>+C87+1</f>
        <v/>
      </c>
      <c r="E87" s="203">
        <f>IF(C87&gt;C86,1,E86+1)</f>
        <v/>
      </c>
      <c r="F87" s="203">
        <f>COUNTIF(C:C,C87)</f>
        <v/>
      </c>
      <c r="G87" s="198">
        <f>+G88-7</f>
        <v/>
      </c>
      <c r="H87" s="361">
        <f>IF(ISBLANK(CO87),CP87,SUMPRODUCT(CO$32:CP$32,CO87:CP87))</f>
        <v/>
      </c>
      <c r="I87" s="968">
        <f>H87/M87</f>
        <v/>
      </c>
      <c r="J87" s="968">
        <f>H87/N87</f>
        <v/>
      </c>
      <c r="K87" s="968">
        <f>(H87+Q87)/O87</f>
        <v/>
      </c>
      <c r="L87" s="968">
        <f>(H87+Q87)/P87</f>
        <v/>
      </c>
      <c r="M87" s="199">
        <f>HLOOKUP(C:C,$4:$10,3,FALSE)+((HLOOKUP(D:D,$4:$10,3,FALSE)-HLOOKUP(C:C,$4:$10,3,FALSE))*E87/F87)</f>
        <v/>
      </c>
      <c r="N87" s="199">
        <f>HLOOKUP(C:C,$4:$10,2,FALSE)+((HLOOKUP(D:D,$4:$10,2,FALSE)-HLOOKUP(C:C,$4:$10,2,FALSE))*E87/F87)</f>
        <v/>
      </c>
      <c r="O87" s="199">
        <f>HLOOKUP(C:C,$4:$10,5,FALSE)+((HLOOKUP(D:D,$4:$10,5,FALSE)-HLOOKUP(C:C,$4:$10,5,FALSE))*E87/F87)</f>
        <v/>
      </c>
      <c r="P87" s="199">
        <f>HLOOKUP(C:C,$4:$10,4,FALSE)+((HLOOKUP(D:D,$4:$10,4,FALSE)-HLOOKUP(C:C,$4:$10,4,FALSE))*E87/F87)</f>
        <v/>
      </c>
      <c r="Q87" s="199">
        <f>HLOOKUP(B:B,$4:$10,6,FALSE)+((HLOOKUP(C:C,$4:$10,6,FALSE)-HLOOKUP(B:B,$4:$10,6,FALSE))*E87/F87)</f>
        <v/>
      </c>
      <c r="T87" s="198">
        <f>$G87</f>
        <v/>
      </c>
      <c r="U87" s="199">
        <f>H87/(HLOOKUP(B:B,$4:$10,3,FALSE)+((HLOOKUP(C:C,$4:$10,3,FALSE)-HLOOKUP(B:B,$4:$10,3,FALSE))*E87/F87))</f>
        <v/>
      </c>
      <c r="V87" s="969">
        <f>HLOOKUP(B:B,$4:$10,7,FALSE)+((HLOOKUP(C:C,$4:$10,7,FALSE)-HLOOKUP(B:B,$4:$10,7,FALSE))*E87/F87)</f>
        <v/>
      </c>
      <c r="AB87" s="198">
        <f>$G87</f>
        <v/>
      </c>
      <c r="AC87" s="199">
        <f>$H87</f>
        <v/>
      </c>
      <c r="AD87" s="199">
        <f>$M87*AD$34</f>
        <v/>
      </c>
      <c r="AE87" s="199">
        <f>$M87*AE$34</f>
        <v/>
      </c>
      <c r="AF87" s="199">
        <f>$M87*AF$34</f>
        <v/>
      </c>
      <c r="AG87" s="199">
        <f>$M87*AG$34</f>
        <v/>
      </c>
      <c r="AH87" s="199">
        <f>$M87*AH$34</f>
        <v/>
      </c>
      <c r="AJ87" s="198">
        <f>$G87</f>
        <v/>
      </c>
      <c r="AK87" s="199">
        <f>$H87</f>
        <v/>
      </c>
      <c r="AL87" s="199">
        <f>$N87*AL$34</f>
        <v/>
      </c>
      <c r="AM87" s="199">
        <f>$N87*AM$34</f>
        <v/>
      </c>
      <c r="AN87" s="199">
        <f>$N87*AN$34</f>
        <v/>
      </c>
      <c r="AO87" s="199">
        <f>$N87*AO$34</f>
        <v/>
      </c>
      <c r="AP87" s="199">
        <f>$N87*AP$34</f>
        <v/>
      </c>
      <c r="AR87" s="198">
        <f>$G87</f>
        <v/>
      </c>
      <c r="AS87" s="199">
        <f>$H87</f>
        <v/>
      </c>
      <c r="AT87" s="199">
        <f>$O87*AT$34-$Q87</f>
        <v/>
      </c>
      <c r="AU87" s="199">
        <f>$O87*AU$34-$Q87</f>
        <v/>
      </c>
      <c r="AV87" s="199">
        <f>$O87*AV$34-$Q87</f>
        <v/>
      </c>
      <c r="AW87" s="199">
        <f>$O87*AW$34-$Q87</f>
        <v/>
      </c>
      <c r="AX87" s="199">
        <f>$O87*AX$34-$Q87</f>
        <v/>
      </c>
      <c r="AZ87" s="198">
        <f>$G87</f>
        <v/>
      </c>
      <c r="BA87" s="199">
        <f>$H87</f>
        <v/>
      </c>
      <c r="BB87" s="199">
        <f>$P87*BB$34-$Q87</f>
        <v/>
      </c>
      <c r="BC87" s="199">
        <f>$P87*BC$34-$Q87</f>
        <v/>
      </c>
      <c r="BD87" s="199">
        <f>$P87*BD$34-$Q87</f>
        <v/>
      </c>
      <c r="BE87" s="199">
        <f>$P87*BE$34-$Q87</f>
        <v/>
      </c>
      <c r="BF87" s="199">
        <f>$P87*BF$34-$Q87</f>
        <v/>
      </c>
      <c r="BH87" s="198">
        <f>$G87</f>
        <v/>
      </c>
      <c r="BI87" s="197">
        <f>$I87</f>
        <v/>
      </c>
      <c r="BJ87" s="197">
        <f>+BJ88</f>
        <v/>
      </c>
      <c r="BK87" s="197">
        <f>+BK88</f>
        <v/>
      </c>
      <c r="BL87" s="197">
        <f>+BL88</f>
        <v/>
      </c>
      <c r="BM87" s="197">
        <f>+BM88</f>
        <v/>
      </c>
      <c r="BN87" s="197">
        <f>+BN88</f>
        <v/>
      </c>
      <c r="BP87" s="198">
        <f>$G87</f>
        <v/>
      </c>
      <c r="BQ87" s="197">
        <f>$J87</f>
        <v/>
      </c>
      <c r="BR87" s="197">
        <f>+BR88</f>
        <v/>
      </c>
      <c r="BS87" s="197">
        <f>+BS88</f>
        <v/>
      </c>
      <c r="BT87" s="197">
        <f>+BT88</f>
        <v/>
      </c>
      <c r="BU87" s="197">
        <f>+BU88</f>
        <v/>
      </c>
      <c r="BV87" s="197">
        <f>+BV88</f>
        <v/>
      </c>
      <c r="BX87" s="198">
        <f>$G87</f>
        <v/>
      </c>
      <c r="BY87" s="197">
        <f>$K87</f>
        <v/>
      </c>
      <c r="BZ87" s="197">
        <f>+BZ88</f>
        <v/>
      </c>
      <c r="CA87" s="197">
        <f>+CA88</f>
        <v/>
      </c>
      <c r="CB87" s="197">
        <f>+CB88</f>
        <v/>
      </c>
      <c r="CC87" s="197">
        <f>+CC88</f>
        <v/>
      </c>
      <c r="CD87" s="197">
        <f>+CD88</f>
        <v/>
      </c>
      <c r="CF87" s="198">
        <f>$G87</f>
        <v/>
      </c>
      <c r="CG87" s="197">
        <f>$L87</f>
        <v/>
      </c>
      <c r="CH87" s="197">
        <f>+CH88</f>
        <v/>
      </c>
      <c r="CI87" s="197">
        <f>+CI88</f>
        <v/>
      </c>
      <c r="CJ87" s="197">
        <f>+CJ88</f>
        <v/>
      </c>
      <c r="CK87" s="197">
        <f>+CK88</f>
        <v/>
      </c>
      <c r="CL87" s="197">
        <f>+CL88</f>
        <v/>
      </c>
      <c r="CO87" s="199" t="n"/>
      <c r="CP87" s="199" t="n">
        <v>2.6</v>
      </c>
      <c r="CR87" s="199" t="inlineStr">
        <is>
          <t>#N/A N/A</t>
        </is>
      </c>
      <c r="CS87" s="970" t="n">
        <v>1.04164</v>
      </c>
    </row>
    <row r="88">
      <c r="B88" s="204">
        <f>+C88-1</f>
        <v/>
      </c>
      <c r="C88" s="204">
        <f>IF('bands_A-H_Avg'!$D$9+1&gt;MONTH(G88),YEAR(G88),YEAR(G88)+1)</f>
        <v/>
      </c>
      <c r="D88" s="204">
        <f>+C88+1</f>
        <v/>
      </c>
      <c r="E88" s="203">
        <f>IF(C88&gt;C87,1,E87+1)</f>
        <v/>
      </c>
      <c r="F88" s="203">
        <f>COUNTIF(C:C,C88)</f>
        <v/>
      </c>
      <c r="G88" s="198">
        <f>+G89-7</f>
        <v/>
      </c>
      <c r="H88" s="361">
        <f>IF(ISBLANK(CO88),CP88,SUMPRODUCT(CO$32:CP$32,CO88:CP88))</f>
        <v/>
      </c>
      <c r="I88" s="968">
        <f>H88/M88</f>
        <v/>
      </c>
      <c r="J88" s="968">
        <f>H88/N88</f>
        <v/>
      </c>
      <c r="K88" s="968">
        <f>(H88+Q88)/O88</f>
        <v/>
      </c>
      <c r="L88" s="968">
        <f>(H88+Q88)/P88</f>
        <v/>
      </c>
      <c r="M88" s="199">
        <f>HLOOKUP(C:C,$4:$10,3,FALSE)+((HLOOKUP(D:D,$4:$10,3,FALSE)-HLOOKUP(C:C,$4:$10,3,FALSE))*E88/F88)</f>
        <v/>
      </c>
      <c r="N88" s="199">
        <f>HLOOKUP(C:C,$4:$10,2,FALSE)+((HLOOKUP(D:D,$4:$10,2,FALSE)-HLOOKUP(C:C,$4:$10,2,FALSE))*E88/F88)</f>
        <v/>
      </c>
      <c r="O88" s="199">
        <f>HLOOKUP(C:C,$4:$10,5,FALSE)+((HLOOKUP(D:D,$4:$10,5,FALSE)-HLOOKUP(C:C,$4:$10,5,FALSE))*E88/F88)</f>
        <v/>
      </c>
      <c r="P88" s="199">
        <f>HLOOKUP(C:C,$4:$10,4,FALSE)+((HLOOKUP(D:D,$4:$10,4,FALSE)-HLOOKUP(C:C,$4:$10,4,FALSE))*E88/F88)</f>
        <v/>
      </c>
      <c r="Q88" s="199">
        <f>HLOOKUP(B:B,$4:$10,6,FALSE)+((HLOOKUP(C:C,$4:$10,6,FALSE)-HLOOKUP(B:B,$4:$10,6,FALSE))*E88/F88)</f>
        <v/>
      </c>
      <c r="T88" s="198">
        <f>$G88</f>
        <v/>
      </c>
      <c r="U88" s="199">
        <f>H88/(HLOOKUP(B:B,$4:$10,3,FALSE)+((HLOOKUP(C:C,$4:$10,3,FALSE)-HLOOKUP(B:B,$4:$10,3,FALSE))*E88/F88))</f>
        <v/>
      </c>
      <c r="V88" s="969">
        <f>HLOOKUP(B:B,$4:$10,7,FALSE)+((HLOOKUP(C:C,$4:$10,7,FALSE)-HLOOKUP(B:B,$4:$10,7,FALSE))*E88/F88)</f>
        <v/>
      </c>
      <c r="AB88" s="198">
        <f>$G88</f>
        <v/>
      </c>
      <c r="AC88" s="199">
        <f>$H88</f>
        <v/>
      </c>
      <c r="AD88" s="199">
        <f>$M88*AD$34</f>
        <v/>
      </c>
      <c r="AE88" s="199">
        <f>$M88*AE$34</f>
        <v/>
      </c>
      <c r="AF88" s="199">
        <f>$M88*AF$34</f>
        <v/>
      </c>
      <c r="AG88" s="199">
        <f>$M88*AG$34</f>
        <v/>
      </c>
      <c r="AH88" s="199">
        <f>$M88*AH$34</f>
        <v/>
      </c>
      <c r="AJ88" s="198">
        <f>$G88</f>
        <v/>
      </c>
      <c r="AK88" s="199">
        <f>$H88</f>
        <v/>
      </c>
      <c r="AL88" s="199">
        <f>$N88*AL$34</f>
        <v/>
      </c>
      <c r="AM88" s="199">
        <f>$N88*AM$34</f>
        <v/>
      </c>
      <c r="AN88" s="199">
        <f>$N88*AN$34</f>
        <v/>
      </c>
      <c r="AO88" s="199">
        <f>$N88*AO$34</f>
        <v/>
      </c>
      <c r="AP88" s="199">
        <f>$N88*AP$34</f>
        <v/>
      </c>
      <c r="AR88" s="198">
        <f>$G88</f>
        <v/>
      </c>
      <c r="AS88" s="199">
        <f>$H88</f>
        <v/>
      </c>
      <c r="AT88" s="199">
        <f>$O88*AT$34-$Q88</f>
        <v/>
      </c>
      <c r="AU88" s="199">
        <f>$O88*AU$34-$Q88</f>
        <v/>
      </c>
      <c r="AV88" s="199">
        <f>$O88*AV$34-$Q88</f>
        <v/>
      </c>
      <c r="AW88" s="199">
        <f>$O88*AW$34-$Q88</f>
        <v/>
      </c>
      <c r="AX88" s="199">
        <f>$O88*AX$34-$Q88</f>
        <v/>
      </c>
      <c r="AZ88" s="198">
        <f>$G88</f>
        <v/>
      </c>
      <c r="BA88" s="199">
        <f>$H88</f>
        <v/>
      </c>
      <c r="BB88" s="199">
        <f>$P88*BB$34-$Q88</f>
        <v/>
      </c>
      <c r="BC88" s="199">
        <f>$P88*BC$34-$Q88</f>
        <v/>
      </c>
      <c r="BD88" s="199">
        <f>$P88*BD$34-$Q88</f>
        <v/>
      </c>
      <c r="BE88" s="199">
        <f>$P88*BE$34-$Q88</f>
        <v/>
      </c>
      <c r="BF88" s="199">
        <f>$P88*BF$34-$Q88</f>
        <v/>
      </c>
      <c r="BH88" s="198">
        <f>$G88</f>
        <v/>
      </c>
      <c r="BI88" s="197">
        <f>$I88</f>
        <v/>
      </c>
      <c r="BJ88" s="197">
        <f>+BJ89</f>
        <v/>
      </c>
      <c r="BK88" s="197">
        <f>+BK89</f>
        <v/>
      </c>
      <c r="BL88" s="197">
        <f>+BL89</f>
        <v/>
      </c>
      <c r="BM88" s="197">
        <f>+BM89</f>
        <v/>
      </c>
      <c r="BN88" s="197">
        <f>+BN89</f>
        <v/>
      </c>
      <c r="BP88" s="198">
        <f>$G88</f>
        <v/>
      </c>
      <c r="BQ88" s="197">
        <f>$J88</f>
        <v/>
      </c>
      <c r="BR88" s="197">
        <f>+BR89</f>
        <v/>
      </c>
      <c r="BS88" s="197">
        <f>+BS89</f>
        <v/>
      </c>
      <c r="BT88" s="197">
        <f>+BT89</f>
        <v/>
      </c>
      <c r="BU88" s="197">
        <f>+BU89</f>
        <v/>
      </c>
      <c r="BV88" s="197">
        <f>+BV89</f>
        <v/>
      </c>
      <c r="BX88" s="198">
        <f>$G88</f>
        <v/>
      </c>
      <c r="BY88" s="197">
        <f>$K88</f>
        <v/>
      </c>
      <c r="BZ88" s="197">
        <f>+BZ89</f>
        <v/>
      </c>
      <c r="CA88" s="197">
        <f>+CA89</f>
        <v/>
      </c>
      <c r="CB88" s="197">
        <f>+CB89</f>
        <v/>
      </c>
      <c r="CC88" s="197">
        <f>+CC89</f>
        <v/>
      </c>
      <c r="CD88" s="197">
        <f>+CD89</f>
        <v/>
      </c>
      <c r="CF88" s="198">
        <f>$G88</f>
        <v/>
      </c>
      <c r="CG88" s="197">
        <f>$L88</f>
        <v/>
      </c>
      <c r="CH88" s="197">
        <f>+CH89</f>
        <v/>
      </c>
      <c r="CI88" s="197">
        <f>+CI89</f>
        <v/>
      </c>
      <c r="CJ88" s="197">
        <f>+CJ89</f>
        <v/>
      </c>
      <c r="CK88" s="197">
        <f>+CK89</f>
        <v/>
      </c>
      <c r="CL88" s="197">
        <f>+CL89</f>
        <v/>
      </c>
      <c r="CO88" s="199" t="n"/>
      <c r="CP88" s="199" t="n">
        <v>2.65</v>
      </c>
      <c r="CR88" s="199" t="inlineStr">
        <is>
          <t>#N/A N/A</t>
        </is>
      </c>
      <c r="CS88" s="970" t="n">
        <v>1.04071</v>
      </c>
    </row>
    <row r="89">
      <c r="B89" s="204">
        <f>+C89-1</f>
        <v/>
      </c>
      <c r="C89" s="204">
        <f>IF('bands_A-H_Avg'!$D$9+1&gt;MONTH(G89),YEAR(G89),YEAR(G89)+1)</f>
        <v/>
      </c>
      <c r="D89" s="204">
        <f>+C89+1</f>
        <v/>
      </c>
      <c r="E89" s="203">
        <f>IF(C89&gt;C88,1,E88+1)</f>
        <v/>
      </c>
      <c r="F89" s="203">
        <f>COUNTIF(C:C,C89)</f>
        <v/>
      </c>
      <c r="G89" s="198" t="n">
        <v>38725</v>
      </c>
      <c r="H89" s="361">
        <f>IF(ISBLANK(CO89),CP89,SUMPRODUCT(CO$32:CP$32,CO89:CP89))</f>
        <v/>
      </c>
      <c r="I89" s="968">
        <f>H89/M89</f>
        <v/>
      </c>
      <c r="J89" s="968">
        <f>H89/N89</f>
        <v/>
      </c>
      <c r="K89" s="968">
        <f>(H89+Q89)/O89</f>
        <v/>
      </c>
      <c r="L89" s="968">
        <f>(H89+Q89)/P89</f>
        <v/>
      </c>
      <c r="M89" s="199">
        <f>HLOOKUP(C:C,$4:$10,3,FALSE)+((HLOOKUP(D:D,$4:$10,3,FALSE)-HLOOKUP(C:C,$4:$10,3,FALSE))*E89/F89)</f>
        <v/>
      </c>
      <c r="N89" s="199">
        <f>HLOOKUP(C:C,$4:$10,2,FALSE)+((HLOOKUP(D:D,$4:$10,2,FALSE)-HLOOKUP(C:C,$4:$10,2,FALSE))*E89/F89)</f>
        <v/>
      </c>
      <c r="O89" s="199">
        <f>HLOOKUP(C:C,$4:$10,5,FALSE)+((HLOOKUP(D:D,$4:$10,5,FALSE)-HLOOKUP(C:C,$4:$10,5,FALSE))*E89/F89)</f>
        <v/>
      </c>
      <c r="P89" s="199">
        <f>HLOOKUP(C:C,$4:$10,4,FALSE)+((HLOOKUP(D:D,$4:$10,4,FALSE)-HLOOKUP(C:C,$4:$10,4,FALSE))*E89/F89)</f>
        <v/>
      </c>
      <c r="Q89" s="199">
        <f>HLOOKUP(B:B,$4:$10,6,FALSE)+((HLOOKUP(C:C,$4:$10,6,FALSE)-HLOOKUP(B:B,$4:$10,6,FALSE))*E89/F89)</f>
        <v/>
      </c>
      <c r="T89" s="198">
        <f>$G89</f>
        <v/>
      </c>
      <c r="U89" s="199">
        <f>H89/(HLOOKUP(B:B,$4:$10,3,FALSE)+((HLOOKUP(C:C,$4:$10,3,FALSE)-HLOOKUP(B:B,$4:$10,3,FALSE))*E89/F89))</f>
        <v/>
      </c>
      <c r="V89" s="969">
        <f>HLOOKUP(B:B,$4:$10,7,FALSE)+((HLOOKUP(C:C,$4:$10,7,FALSE)-HLOOKUP(B:B,$4:$10,7,FALSE))*E89/F89)</f>
        <v/>
      </c>
      <c r="AB89" s="198">
        <f>$G89</f>
        <v/>
      </c>
      <c r="AC89" s="199">
        <f>$H89</f>
        <v/>
      </c>
      <c r="AD89" s="199">
        <f>$M89*AD$34</f>
        <v/>
      </c>
      <c r="AE89" s="199">
        <f>$M89*AE$34</f>
        <v/>
      </c>
      <c r="AF89" s="199">
        <f>$M89*AF$34</f>
        <v/>
      </c>
      <c r="AG89" s="199">
        <f>$M89*AG$34</f>
        <v/>
      </c>
      <c r="AH89" s="199">
        <f>$M89*AH$34</f>
        <v/>
      </c>
      <c r="AJ89" s="198">
        <f>$G89</f>
        <v/>
      </c>
      <c r="AK89" s="199">
        <f>$H89</f>
        <v/>
      </c>
      <c r="AL89" s="199">
        <f>$N89*AL$34</f>
        <v/>
      </c>
      <c r="AM89" s="199">
        <f>$N89*AM$34</f>
        <v/>
      </c>
      <c r="AN89" s="199">
        <f>$N89*AN$34</f>
        <v/>
      </c>
      <c r="AO89" s="199">
        <f>$N89*AO$34</f>
        <v/>
      </c>
      <c r="AP89" s="199">
        <f>$N89*AP$34</f>
        <v/>
      </c>
      <c r="AR89" s="198">
        <f>$G89</f>
        <v/>
      </c>
      <c r="AS89" s="199">
        <f>$H89</f>
        <v/>
      </c>
      <c r="AT89" s="199">
        <f>$O89*AT$34-$Q89</f>
        <v/>
      </c>
      <c r="AU89" s="199">
        <f>$O89*AU$34-$Q89</f>
        <v/>
      </c>
      <c r="AV89" s="199">
        <f>$O89*AV$34-$Q89</f>
        <v/>
      </c>
      <c r="AW89" s="199">
        <f>$O89*AW$34-$Q89</f>
        <v/>
      </c>
      <c r="AX89" s="199">
        <f>$O89*AX$34-$Q89</f>
        <v/>
      </c>
      <c r="AZ89" s="198">
        <f>$G89</f>
        <v/>
      </c>
      <c r="BA89" s="199">
        <f>$H89</f>
        <v/>
      </c>
      <c r="BB89" s="199">
        <f>$P89*BB$34-$Q89</f>
        <v/>
      </c>
      <c r="BC89" s="199">
        <f>$P89*BC$34-$Q89</f>
        <v/>
      </c>
      <c r="BD89" s="199">
        <f>$P89*BD$34-$Q89</f>
        <v/>
      </c>
      <c r="BE89" s="199">
        <f>$P89*BE$34-$Q89</f>
        <v/>
      </c>
      <c r="BF89" s="199">
        <f>$P89*BF$34-$Q89</f>
        <v/>
      </c>
      <c r="BH89" s="198">
        <f>$G89</f>
        <v/>
      </c>
      <c r="BI89" s="197">
        <f>$I89</f>
        <v/>
      </c>
      <c r="BJ89" s="197">
        <f>+BJ90</f>
        <v/>
      </c>
      <c r="BK89" s="197">
        <f>+BK90</f>
        <v/>
      </c>
      <c r="BL89" s="197">
        <f>+BL90</f>
        <v/>
      </c>
      <c r="BM89" s="197">
        <f>+BM90</f>
        <v/>
      </c>
      <c r="BN89" s="197">
        <f>+BN90</f>
        <v/>
      </c>
      <c r="BP89" s="198">
        <f>$G89</f>
        <v/>
      </c>
      <c r="BQ89" s="197">
        <f>$J89</f>
        <v/>
      </c>
      <c r="BR89" s="197">
        <f>+BR90</f>
        <v/>
      </c>
      <c r="BS89" s="197">
        <f>+BS90</f>
        <v/>
      </c>
      <c r="BT89" s="197">
        <f>+BT90</f>
        <v/>
      </c>
      <c r="BU89" s="197">
        <f>+BU90</f>
        <v/>
      </c>
      <c r="BV89" s="197">
        <f>+BV90</f>
        <v/>
      </c>
      <c r="BX89" s="198">
        <f>$G89</f>
        <v/>
      </c>
      <c r="BY89" s="197">
        <f>$K89</f>
        <v/>
      </c>
      <c r="BZ89" s="197">
        <f>+BZ90</f>
        <v/>
      </c>
      <c r="CA89" s="197">
        <f>+CA90</f>
        <v/>
      </c>
      <c r="CB89" s="197">
        <f>+CB90</f>
        <v/>
      </c>
      <c r="CC89" s="197">
        <f>+CC90</f>
        <v/>
      </c>
      <c r="CD89" s="197">
        <f>+CD90</f>
        <v/>
      </c>
      <c r="CF89" s="198">
        <f>$G89</f>
        <v/>
      </c>
      <c r="CG89" s="197">
        <f>$L89</f>
        <v/>
      </c>
      <c r="CH89" s="197">
        <f>+CH90</f>
        <v/>
      </c>
      <c r="CI89" s="197">
        <f>+CI90</f>
        <v/>
      </c>
      <c r="CJ89" s="197">
        <f>+CJ90</f>
        <v/>
      </c>
      <c r="CK89" s="197">
        <f>+CK90</f>
        <v/>
      </c>
      <c r="CL89" s="197">
        <f>+CL90</f>
        <v/>
      </c>
      <c r="CO89" s="199" t="n"/>
      <c r="CP89" s="199" t="n">
        <v>2.7</v>
      </c>
      <c r="CR89" s="199" t="inlineStr">
        <is>
          <t>#N/A N/A</t>
        </is>
      </c>
      <c r="CS89" s="970" t="n">
        <v>1.04048</v>
      </c>
    </row>
    <row r="90">
      <c r="B90" s="204">
        <f>+C90-1</f>
        <v/>
      </c>
      <c r="C90" s="204">
        <f>IF('bands_A-H_Avg'!$D$9+1&gt;MONTH(G90),YEAR(G90),YEAR(G90)+1)</f>
        <v/>
      </c>
      <c r="D90" s="204">
        <f>+C90+1</f>
        <v/>
      </c>
      <c r="E90" s="203">
        <f>IF(C90&gt;C89,1,E89+1)</f>
        <v/>
      </c>
      <c r="F90" s="203">
        <f>COUNTIF(C:C,C90)</f>
        <v/>
      </c>
      <c r="G90" s="198">
        <f>+G89+7</f>
        <v/>
      </c>
      <c r="H90" s="361">
        <f>IF(ISBLANK(CO90),CP90,SUMPRODUCT(CO$32:CP$32,CO90:CP90))</f>
        <v/>
      </c>
      <c r="I90" s="968">
        <f>H90/M90</f>
        <v/>
      </c>
      <c r="J90" s="968">
        <f>H90/N90</f>
        <v/>
      </c>
      <c r="K90" s="968">
        <f>(H90+Q90)/O90</f>
        <v/>
      </c>
      <c r="L90" s="968">
        <f>(H90+Q90)/P90</f>
        <v/>
      </c>
      <c r="M90" s="199">
        <f>HLOOKUP(C:C,$4:$10,3,FALSE)+((HLOOKUP(D:D,$4:$10,3,FALSE)-HLOOKUP(C:C,$4:$10,3,FALSE))*E90/F90)</f>
        <v/>
      </c>
      <c r="N90" s="199">
        <f>HLOOKUP(C:C,$4:$10,2,FALSE)+((HLOOKUP(D:D,$4:$10,2,FALSE)-HLOOKUP(C:C,$4:$10,2,FALSE))*E90/F90)</f>
        <v/>
      </c>
      <c r="O90" s="199">
        <f>HLOOKUP(C:C,$4:$10,5,FALSE)+((HLOOKUP(D:D,$4:$10,5,FALSE)-HLOOKUP(C:C,$4:$10,5,FALSE))*E90/F90)</f>
        <v/>
      </c>
      <c r="P90" s="199">
        <f>HLOOKUP(C:C,$4:$10,4,FALSE)+((HLOOKUP(D:D,$4:$10,4,FALSE)-HLOOKUP(C:C,$4:$10,4,FALSE))*E90/F90)</f>
        <v/>
      </c>
      <c r="Q90" s="199">
        <f>HLOOKUP(B:B,$4:$10,6,FALSE)+((HLOOKUP(C:C,$4:$10,6,FALSE)-HLOOKUP(B:B,$4:$10,6,FALSE))*E90/F90)</f>
        <v/>
      </c>
      <c r="T90" s="198">
        <f>$G90</f>
        <v/>
      </c>
      <c r="U90" s="199">
        <f>H90/(HLOOKUP(B:B,$4:$10,3,FALSE)+((HLOOKUP(C:C,$4:$10,3,FALSE)-HLOOKUP(B:B,$4:$10,3,FALSE))*E90/F90))</f>
        <v/>
      </c>
      <c r="V90" s="969">
        <f>HLOOKUP(B:B,$4:$10,7,FALSE)+((HLOOKUP(C:C,$4:$10,7,FALSE)-HLOOKUP(B:B,$4:$10,7,FALSE))*E90/F90)</f>
        <v/>
      </c>
      <c r="AB90" s="198">
        <f>$G90</f>
        <v/>
      </c>
      <c r="AC90" s="199">
        <f>$H90</f>
        <v/>
      </c>
      <c r="AD90" s="199">
        <f>$M90*AD$34</f>
        <v/>
      </c>
      <c r="AE90" s="199">
        <f>$M90*AE$34</f>
        <v/>
      </c>
      <c r="AF90" s="199">
        <f>$M90*AF$34</f>
        <v/>
      </c>
      <c r="AG90" s="199">
        <f>$M90*AG$34</f>
        <v/>
      </c>
      <c r="AH90" s="199">
        <f>$M90*AH$34</f>
        <v/>
      </c>
      <c r="AJ90" s="198">
        <f>$G90</f>
        <v/>
      </c>
      <c r="AK90" s="199">
        <f>$H90</f>
        <v/>
      </c>
      <c r="AL90" s="199">
        <f>$N90*AL$34</f>
        <v/>
      </c>
      <c r="AM90" s="199">
        <f>$N90*AM$34</f>
        <v/>
      </c>
      <c r="AN90" s="199">
        <f>$N90*AN$34</f>
        <v/>
      </c>
      <c r="AO90" s="199">
        <f>$N90*AO$34</f>
        <v/>
      </c>
      <c r="AP90" s="199">
        <f>$N90*AP$34</f>
        <v/>
      </c>
      <c r="AR90" s="198">
        <f>$G90</f>
        <v/>
      </c>
      <c r="AS90" s="199">
        <f>$H90</f>
        <v/>
      </c>
      <c r="AT90" s="199">
        <f>$O90*AT$34-$Q90</f>
        <v/>
      </c>
      <c r="AU90" s="199">
        <f>$O90*AU$34-$Q90</f>
        <v/>
      </c>
      <c r="AV90" s="199">
        <f>$O90*AV$34-$Q90</f>
        <v/>
      </c>
      <c r="AW90" s="199">
        <f>$O90*AW$34-$Q90</f>
        <v/>
      </c>
      <c r="AX90" s="199">
        <f>$O90*AX$34-$Q90</f>
        <v/>
      </c>
      <c r="AZ90" s="198">
        <f>$G90</f>
        <v/>
      </c>
      <c r="BA90" s="199">
        <f>$H90</f>
        <v/>
      </c>
      <c r="BB90" s="199">
        <f>$P90*BB$34-$Q90</f>
        <v/>
      </c>
      <c r="BC90" s="199">
        <f>$P90*BC$34-$Q90</f>
        <v/>
      </c>
      <c r="BD90" s="199">
        <f>$P90*BD$34-$Q90</f>
        <v/>
      </c>
      <c r="BE90" s="199">
        <f>$P90*BE$34-$Q90</f>
        <v/>
      </c>
      <c r="BF90" s="199">
        <f>$P90*BF$34-$Q90</f>
        <v/>
      </c>
      <c r="BH90" s="198">
        <f>$G90</f>
        <v/>
      </c>
      <c r="BI90" s="197">
        <f>$I90</f>
        <v/>
      </c>
      <c r="BJ90" s="197">
        <f>+BJ91</f>
        <v/>
      </c>
      <c r="BK90" s="197">
        <f>+BK91</f>
        <v/>
      </c>
      <c r="BL90" s="197">
        <f>+BL91</f>
        <v/>
      </c>
      <c r="BM90" s="197">
        <f>+BM91</f>
        <v/>
      </c>
      <c r="BN90" s="197">
        <f>+BN91</f>
        <v/>
      </c>
      <c r="BP90" s="198">
        <f>$G90</f>
        <v/>
      </c>
      <c r="BQ90" s="197">
        <f>$J90</f>
        <v/>
      </c>
      <c r="BR90" s="197">
        <f>+BR91</f>
        <v/>
      </c>
      <c r="BS90" s="197">
        <f>+BS91</f>
        <v/>
      </c>
      <c r="BT90" s="197">
        <f>+BT91</f>
        <v/>
      </c>
      <c r="BU90" s="197">
        <f>+BU91</f>
        <v/>
      </c>
      <c r="BV90" s="197">
        <f>+BV91</f>
        <v/>
      </c>
      <c r="BX90" s="198">
        <f>$G90</f>
        <v/>
      </c>
      <c r="BY90" s="197">
        <f>$K90</f>
        <v/>
      </c>
      <c r="BZ90" s="197">
        <f>+BZ91</f>
        <v/>
      </c>
      <c r="CA90" s="197">
        <f>+CA91</f>
        <v/>
      </c>
      <c r="CB90" s="197">
        <f>+CB91</f>
        <v/>
      </c>
      <c r="CC90" s="197">
        <f>+CC91</f>
        <v/>
      </c>
      <c r="CD90" s="197">
        <f>+CD91</f>
        <v/>
      </c>
      <c r="CF90" s="198">
        <f>$G90</f>
        <v/>
      </c>
      <c r="CG90" s="197">
        <f>$L90</f>
        <v/>
      </c>
      <c r="CH90" s="197">
        <f>+CH91</f>
        <v/>
      </c>
      <c r="CI90" s="197">
        <f>+CI91</f>
        <v/>
      </c>
      <c r="CJ90" s="197">
        <f>+CJ91</f>
        <v/>
      </c>
      <c r="CK90" s="197">
        <f>+CK91</f>
        <v/>
      </c>
      <c r="CL90" s="197">
        <f>+CL91</f>
        <v/>
      </c>
      <c r="CO90" s="199" t="n"/>
      <c r="CP90" s="199" t="n">
        <v>2.85</v>
      </c>
      <c r="CR90" s="199" t="inlineStr">
        <is>
          <t>#N/A N/A</t>
        </is>
      </c>
      <c r="CS90" s="970" t="n">
        <v>1.04089</v>
      </c>
    </row>
    <row r="91">
      <c r="B91" s="204">
        <f>+C91-1</f>
        <v/>
      </c>
      <c r="C91" s="204">
        <f>IF('bands_A-H_Avg'!$D$9+1&gt;MONTH(G91),YEAR(G91),YEAR(G91)+1)</f>
        <v/>
      </c>
      <c r="D91" s="204">
        <f>+C91+1</f>
        <v/>
      </c>
      <c r="E91" s="203">
        <f>IF(C91&gt;C90,1,E90+1)</f>
        <v/>
      </c>
      <c r="F91" s="203">
        <f>COUNTIF(C:C,C91)</f>
        <v/>
      </c>
      <c r="G91" s="198">
        <f>+G90+7</f>
        <v/>
      </c>
      <c r="H91" s="361">
        <f>IF(ISBLANK(CO91),CP91,SUMPRODUCT(CO$32:CP$32,CO91:CP91))</f>
        <v/>
      </c>
      <c r="I91" s="968">
        <f>H91/M91</f>
        <v/>
      </c>
      <c r="J91" s="968">
        <f>H91/N91</f>
        <v/>
      </c>
      <c r="K91" s="968">
        <f>(H91+Q91)/O91</f>
        <v/>
      </c>
      <c r="L91" s="968">
        <f>(H91+Q91)/P91</f>
        <v/>
      </c>
      <c r="M91" s="199">
        <f>HLOOKUP(C:C,$4:$10,3,FALSE)+((HLOOKUP(D:D,$4:$10,3,FALSE)-HLOOKUP(C:C,$4:$10,3,FALSE))*E91/F91)</f>
        <v/>
      </c>
      <c r="N91" s="199">
        <f>HLOOKUP(C:C,$4:$10,2,FALSE)+((HLOOKUP(D:D,$4:$10,2,FALSE)-HLOOKUP(C:C,$4:$10,2,FALSE))*E91/F91)</f>
        <v/>
      </c>
      <c r="O91" s="199">
        <f>HLOOKUP(C:C,$4:$10,5,FALSE)+((HLOOKUP(D:D,$4:$10,5,FALSE)-HLOOKUP(C:C,$4:$10,5,FALSE))*E91/F91)</f>
        <v/>
      </c>
      <c r="P91" s="199">
        <f>HLOOKUP(C:C,$4:$10,4,FALSE)+((HLOOKUP(D:D,$4:$10,4,FALSE)-HLOOKUP(C:C,$4:$10,4,FALSE))*E91/F91)</f>
        <v/>
      </c>
      <c r="Q91" s="199">
        <f>HLOOKUP(B:B,$4:$10,6,FALSE)+((HLOOKUP(C:C,$4:$10,6,FALSE)-HLOOKUP(B:B,$4:$10,6,FALSE))*E91/F91)</f>
        <v/>
      </c>
      <c r="T91" s="198">
        <f>$G91</f>
        <v/>
      </c>
      <c r="U91" s="199">
        <f>H91/(HLOOKUP(B:B,$4:$10,3,FALSE)+((HLOOKUP(C:C,$4:$10,3,FALSE)-HLOOKUP(B:B,$4:$10,3,FALSE))*E91/F91))</f>
        <v/>
      </c>
      <c r="V91" s="969">
        <f>HLOOKUP(B:B,$4:$10,7,FALSE)+((HLOOKUP(C:C,$4:$10,7,FALSE)-HLOOKUP(B:B,$4:$10,7,FALSE))*E91/F91)</f>
        <v/>
      </c>
      <c r="AB91" s="198">
        <f>$G91</f>
        <v/>
      </c>
      <c r="AC91" s="199">
        <f>$H91</f>
        <v/>
      </c>
      <c r="AD91" s="199">
        <f>$M91*AD$34</f>
        <v/>
      </c>
      <c r="AE91" s="199">
        <f>$M91*AE$34</f>
        <v/>
      </c>
      <c r="AF91" s="199">
        <f>$M91*AF$34</f>
        <v/>
      </c>
      <c r="AG91" s="199">
        <f>$M91*AG$34</f>
        <v/>
      </c>
      <c r="AH91" s="199">
        <f>$M91*AH$34</f>
        <v/>
      </c>
      <c r="AJ91" s="198">
        <f>$G91</f>
        <v/>
      </c>
      <c r="AK91" s="199">
        <f>$H91</f>
        <v/>
      </c>
      <c r="AL91" s="199">
        <f>$N91*AL$34</f>
        <v/>
      </c>
      <c r="AM91" s="199">
        <f>$N91*AM$34</f>
        <v/>
      </c>
      <c r="AN91" s="199">
        <f>$N91*AN$34</f>
        <v/>
      </c>
      <c r="AO91" s="199">
        <f>$N91*AO$34</f>
        <v/>
      </c>
      <c r="AP91" s="199">
        <f>$N91*AP$34</f>
        <v/>
      </c>
      <c r="AR91" s="198">
        <f>$G91</f>
        <v/>
      </c>
      <c r="AS91" s="199">
        <f>$H91</f>
        <v/>
      </c>
      <c r="AT91" s="199">
        <f>$O91*AT$34-$Q91</f>
        <v/>
      </c>
      <c r="AU91" s="199">
        <f>$O91*AU$34-$Q91</f>
        <v/>
      </c>
      <c r="AV91" s="199">
        <f>$O91*AV$34-$Q91</f>
        <v/>
      </c>
      <c r="AW91" s="199">
        <f>$O91*AW$34-$Q91</f>
        <v/>
      </c>
      <c r="AX91" s="199">
        <f>$O91*AX$34-$Q91</f>
        <v/>
      </c>
      <c r="AZ91" s="198">
        <f>$G91</f>
        <v/>
      </c>
      <c r="BA91" s="199">
        <f>$H91</f>
        <v/>
      </c>
      <c r="BB91" s="199">
        <f>$P91*BB$34-$Q91</f>
        <v/>
      </c>
      <c r="BC91" s="199">
        <f>$P91*BC$34-$Q91</f>
        <v/>
      </c>
      <c r="BD91" s="199">
        <f>$P91*BD$34-$Q91</f>
        <v/>
      </c>
      <c r="BE91" s="199">
        <f>$P91*BE$34-$Q91</f>
        <v/>
      </c>
      <c r="BF91" s="199">
        <f>$P91*BF$34-$Q91</f>
        <v/>
      </c>
      <c r="BH91" s="198">
        <f>$G91</f>
        <v/>
      </c>
      <c r="BI91" s="197">
        <f>$I91</f>
        <v/>
      </c>
      <c r="BJ91" s="197">
        <f>+BJ92</f>
        <v/>
      </c>
      <c r="BK91" s="197">
        <f>+BK92</f>
        <v/>
      </c>
      <c r="BL91" s="197">
        <f>+BL92</f>
        <v/>
      </c>
      <c r="BM91" s="197">
        <f>+BM92</f>
        <v/>
      </c>
      <c r="BN91" s="197">
        <f>+BN92</f>
        <v/>
      </c>
      <c r="BP91" s="198">
        <f>$G91</f>
        <v/>
      </c>
      <c r="BQ91" s="197">
        <f>$J91</f>
        <v/>
      </c>
      <c r="BR91" s="197">
        <f>+BR92</f>
        <v/>
      </c>
      <c r="BS91" s="197">
        <f>+BS92</f>
        <v/>
      </c>
      <c r="BT91" s="197">
        <f>+BT92</f>
        <v/>
      </c>
      <c r="BU91" s="197">
        <f>+BU92</f>
        <v/>
      </c>
      <c r="BV91" s="197">
        <f>+BV92</f>
        <v/>
      </c>
      <c r="BX91" s="198">
        <f>$G91</f>
        <v/>
      </c>
      <c r="BY91" s="197">
        <f>$K91</f>
        <v/>
      </c>
      <c r="BZ91" s="197">
        <f>+BZ92</f>
        <v/>
      </c>
      <c r="CA91" s="197">
        <f>+CA92</f>
        <v/>
      </c>
      <c r="CB91" s="197">
        <f>+CB92</f>
        <v/>
      </c>
      <c r="CC91" s="197">
        <f>+CC92</f>
        <v/>
      </c>
      <c r="CD91" s="197">
        <f>+CD92</f>
        <v/>
      </c>
      <c r="CF91" s="198">
        <f>$G91</f>
        <v/>
      </c>
      <c r="CG91" s="197">
        <f>$L91</f>
        <v/>
      </c>
      <c r="CH91" s="197">
        <f>+CH92</f>
        <v/>
      </c>
      <c r="CI91" s="197">
        <f>+CI92</f>
        <v/>
      </c>
      <c r="CJ91" s="197">
        <f>+CJ92</f>
        <v/>
      </c>
      <c r="CK91" s="197">
        <f>+CK92</f>
        <v/>
      </c>
      <c r="CL91" s="197">
        <f>+CL92</f>
        <v/>
      </c>
      <c r="CO91" s="199" t="n"/>
      <c r="CP91" s="199" t="n">
        <v>2.85</v>
      </c>
      <c r="CR91" s="199" t="inlineStr">
        <is>
          <t>#N/A N/A</t>
        </is>
      </c>
      <c r="CS91" s="970" t="n">
        <v>1.03936</v>
      </c>
    </row>
    <row r="92">
      <c r="B92" s="204">
        <f>+C92-1</f>
        <v/>
      </c>
      <c r="C92" s="204">
        <f>IF('bands_A-H_Avg'!$D$9+1&gt;MONTH(G92),YEAR(G92),YEAR(G92)+1)</f>
        <v/>
      </c>
      <c r="D92" s="204">
        <f>+C92+1</f>
        <v/>
      </c>
      <c r="E92" s="203">
        <f>IF(C92&gt;C91,1,E91+1)</f>
        <v/>
      </c>
      <c r="F92" s="203">
        <f>COUNTIF(C:C,C92)</f>
        <v/>
      </c>
      <c r="G92" s="198">
        <f>+G91+7</f>
        <v/>
      </c>
      <c r="H92" s="361">
        <f>IF(ISBLANK(CO92),CP92,SUMPRODUCT(CO$32:CP$32,CO92:CP92))</f>
        <v/>
      </c>
      <c r="I92" s="968">
        <f>H92/M92</f>
        <v/>
      </c>
      <c r="J92" s="968">
        <f>H92/N92</f>
        <v/>
      </c>
      <c r="K92" s="968">
        <f>(H92+Q92)/O92</f>
        <v/>
      </c>
      <c r="L92" s="968">
        <f>(H92+Q92)/P92</f>
        <v/>
      </c>
      <c r="M92" s="199">
        <f>HLOOKUP(C:C,$4:$10,3,FALSE)+((HLOOKUP(D:D,$4:$10,3,FALSE)-HLOOKUP(C:C,$4:$10,3,FALSE))*E92/F92)</f>
        <v/>
      </c>
      <c r="N92" s="199">
        <f>HLOOKUP(C:C,$4:$10,2,FALSE)+((HLOOKUP(D:D,$4:$10,2,FALSE)-HLOOKUP(C:C,$4:$10,2,FALSE))*E92/F92)</f>
        <v/>
      </c>
      <c r="O92" s="199">
        <f>HLOOKUP(C:C,$4:$10,5,FALSE)+((HLOOKUP(D:D,$4:$10,5,FALSE)-HLOOKUP(C:C,$4:$10,5,FALSE))*E92/F92)</f>
        <v/>
      </c>
      <c r="P92" s="199">
        <f>HLOOKUP(C:C,$4:$10,4,FALSE)+((HLOOKUP(D:D,$4:$10,4,FALSE)-HLOOKUP(C:C,$4:$10,4,FALSE))*E92/F92)</f>
        <v/>
      </c>
      <c r="Q92" s="199">
        <f>HLOOKUP(B:B,$4:$10,6,FALSE)+((HLOOKUP(C:C,$4:$10,6,FALSE)-HLOOKUP(B:B,$4:$10,6,FALSE))*E92/F92)</f>
        <v/>
      </c>
      <c r="T92" s="198">
        <f>$G92</f>
        <v/>
      </c>
      <c r="U92" s="199">
        <f>H92/(HLOOKUP(B:B,$4:$10,3,FALSE)+((HLOOKUP(C:C,$4:$10,3,FALSE)-HLOOKUP(B:B,$4:$10,3,FALSE))*E92/F92))</f>
        <v/>
      </c>
      <c r="V92" s="969">
        <f>HLOOKUP(B:B,$4:$10,7,FALSE)+((HLOOKUP(C:C,$4:$10,7,FALSE)-HLOOKUP(B:B,$4:$10,7,FALSE))*E92/F92)</f>
        <v/>
      </c>
      <c r="AB92" s="198">
        <f>$G92</f>
        <v/>
      </c>
      <c r="AC92" s="199">
        <f>$H92</f>
        <v/>
      </c>
      <c r="AD92" s="199">
        <f>$M92*AD$34</f>
        <v/>
      </c>
      <c r="AE92" s="199">
        <f>$M92*AE$34</f>
        <v/>
      </c>
      <c r="AF92" s="199">
        <f>$M92*AF$34</f>
        <v/>
      </c>
      <c r="AG92" s="199">
        <f>$M92*AG$34</f>
        <v/>
      </c>
      <c r="AH92" s="199">
        <f>$M92*AH$34</f>
        <v/>
      </c>
      <c r="AJ92" s="198">
        <f>$G92</f>
        <v/>
      </c>
      <c r="AK92" s="199">
        <f>$H92</f>
        <v/>
      </c>
      <c r="AL92" s="199">
        <f>$N92*AL$34</f>
        <v/>
      </c>
      <c r="AM92" s="199">
        <f>$N92*AM$34</f>
        <v/>
      </c>
      <c r="AN92" s="199">
        <f>$N92*AN$34</f>
        <v/>
      </c>
      <c r="AO92" s="199">
        <f>$N92*AO$34</f>
        <v/>
      </c>
      <c r="AP92" s="199">
        <f>$N92*AP$34</f>
        <v/>
      </c>
      <c r="AR92" s="198">
        <f>$G92</f>
        <v/>
      </c>
      <c r="AS92" s="199">
        <f>$H92</f>
        <v/>
      </c>
      <c r="AT92" s="199">
        <f>$O92*AT$34-$Q92</f>
        <v/>
      </c>
      <c r="AU92" s="199">
        <f>$O92*AU$34-$Q92</f>
        <v/>
      </c>
      <c r="AV92" s="199">
        <f>$O92*AV$34-$Q92</f>
        <v/>
      </c>
      <c r="AW92" s="199">
        <f>$O92*AW$34-$Q92</f>
        <v/>
      </c>
      <c r="AX92" s="199">
        <f>$O92*AX$34-$Q92</f>
        <v/>
      </c>
      <c r="AZ92" s="198">
        <f>$G92</f>
        <v/>
      </c>
      <c r="BA92" s="199">
        <f>$H92</f>
        <v/>
      </c>
      <c r="BB92" s="199">
        <f>$P92*BB$34-$Q92</f>
        <v/>
      </c>
      <c r="BC92" s="199">
        <f>$P92*BC$34-$Q92</f>
        <v/>
      </c>
      <c r="BD92" s="199">
        <f>$P92*BD$34-$Q92</f>
        <v/>
      </c>
      <c r="BE92" s="199">
        <f>$P92*BE$34-$Q92</f>
        <v/>
      </c>
      <c r="BF92" s="199">
        <f>$P92*BF$34-$Q92</f>
        <v/>
      </c>
      <c r="BH92" s="198">
        <f>$G92</f>
        <v/>
      </c>
      <c r="BI92" s="197">
        <f>$I92</f>
        <v/>
      </c>
      <c r="BJ92" s="197">
        <f>+BJ93</f>
        <v/>
      </c>
      <c r="BK92" s="197">
        <f>+BK93</f>
        <v/>
      </c>
      <c r="BL92" s="197">
        <f>+BL93</f>
        <v/>
      </c>
      <c r="BM92" s="197">
        <f>+BM93</f>
        <v/>
      </c>
      <c r="BN92" s="197">
        <f>+BN93</f>
        <v/>
      </c>
      <c r="BP92" s="198">
        <f>$G92</f>
        <v/>
      </c>
      <c r="BQ92" s="197">
        <f>$J92</f>
        <v/>
      </c>
      <c r="BR92" s="197">
        <f>+BR93</f>
        <v/>
      </c>
      <c r="BS92" s="197">
        <f>+BS93</f>
        <v/>
      </c>
      <c r="BT92" s="197">
        <f>+BT93</f>
        <v/>
      </c>
      <c r="BU92" s="197">
        <f>+BU93</f>
        <v/>
      </c>
      <c r="BV92" s="197">
        <f>+BV93</f>
        <v/>
      </c>
      <c r="BX92" s="198">
        <f>$G92</f>
        <v/>
      </c>
      <c r="BY92" s="197">
        <f>$K92</f>
        <v/>
      </c>
      <c r="BZ92" s="197">
        <f>+BZ93</f>
        <v/>
      </c>
      <c r="CA92" s="197">
        <f>+CA93</f>
        <v/>
      </c>
      <c r="CB92" s="197">
        <f>+CB93</f>
        <v/>
      </c>
      <c r="CC92" s="197">
        <f>+CC93</f>
        <v/>
      </c>
      <c r="CD92" s="197">
        <f>+CD93</f>
        <v/>
      </c>
      <c r="CF92" s="198">
        <f>$G92</f>
        <v/>
      </c>
      <c r="CG92" s="197">
        <f>$L92</f>
        <v/>
      </c>
      <c r="CH92" s="197">
        <f>+CH93</f>
        <v/>
      </c>
      <c r="CI92" s="197">
        <f>+CI93</f>
        <v/>
      </c>
      <c r="CJ92" s="197">
        <f>+CJ93</f>
        <v/>
      </c>
      <c r="CK92" s="197">
        <f>+CK93</f>
        <v/>
      </c>
      <c r="CL92" s="197">
        <f>+CL93</f>
        <v/>
      </c>
      <c r="CO92" s="199" t="n"/>
      <c r="CP92" s="199" t="n">
        <v>3.075</v>
      </c>
      <c r="CR92" s="199" t="inlineStr">
        <is>
          <t>#N/A N/A</t>
        </is>
      </c>
      <c r="CS92" s="970" t="n">
        <v>1.03928</v>
      </c>
    </row>
    <row r="93">
      <c r="B93" s="204">
        <f>+C93-1</f>
        <v/>
      </c>
      <c r="C93" s="204">
        <f>IF('bands_A-H_Avg'!$D$9+1&gt;MONTH(G93),YEAR(G93),YEAR(G93)+1)</f>
        <v/>
      </c>
      <c r="D93" s="204">
        <f>+C93+1</f>
        <v/>
      </c>
      <c r="E93" s="203">
        <f>IF(C93&gt;C92,1,E92+1)</f>
        <v/>
      </c>
      <c r="F93" s="203">
        <f>COUNTIF(C:C,C93)</f>
        <v/>
      </c>
      <c r="G93" s="198">
        <f>+G92+7</f>
        <v/>
      </c>
      <c r="H93" s="361">
        <f>IF(ISBLANK(CO93),CP93,SUMPRODUCT(CO$32:CP$32,CO93:CP93))</f>
        <v/>
      </c>
      <c r="I93" s="968">
        <f>H93/M93</f>
        <v/>
      </c>
      <c r="J93" s="968">
        <f>H93/N93</f>
        <v/>
      </c>
      <c r="K93" s="968">
        <f>(H93+Q93)/O93</f>
        <v/>
      </c>
      <c r="L93" s="968">
        <f>(H93+Q93)/P93</f>
        <v/>
      </c>
      <c r="M93" s="199">
        <f>HLOOKUP(C:C,$4:$10,3,FALSE)+((HLOOKUP(D:D,$4:$10,3,FALSE)-HLOOKUP(C:C,$4:$10,3,FALSE))*E93/F93)</f>
        <v/>
      </c>
      <c r="N93" s="199">
        <f>HLOOKUP(C:C,$4:$10,2,FALSE)+((HLOOKUP(D:D,$4:$10,2,FALSE)-HLOOKUP(C:C,$4:$10,2,FALSE))*E93/F93)</f>
        <v/>
      </c>
      <c r="O93" s="199">
        <f>HLOOKUP(C:C,$4:$10,5,FALSE)+((HLOOKUP(D:D,$4:$10,5,FALSE)-HLOOKUP(C:C,$4:$10,5,FALSE))*E93/F93)</f>
        <v/>
      </c>
      <c r="P93" s="199">
        <f>HLOOKUP(C:C,$4:$10,4,FALSE)+((HLOOKUP(D:D,$4:$10,4,FALSE)-HLOOKUP(C:C,$4:$10,4,FALSE))*E93/F93)</f>
        <v/>
      </c>
      <c r="Q93" s="199">
        <f>HLOOKUP(B:B,$4:$10,6,FALSE)+((HLOOKUP(C:C,$4:$10,6,FALSE)-HLOOKUP(B:B,$4:$10,6,FALSE))*E93/F93)</f>
        <v/>
      </c>
      <c r="T93" s="198">
        <f>$G93</f>
        <v/>
      </c>
      <c r="U93" s="199">
        <f>H93/(HLOOKUP(B:B,$4:$10,3,FALSE)+((HLOOKUP(C:C,$4:$10,3,FALSE)-HLOOKUP(B:B,$4:$10,3,FALSE))*E93/F93))</f>
        <v/>
      </c>
      <c r="V93" s="969">
        <f>HLOOKUP(B:B,$4:$10,7,FALSE)+((HLOOKUP(C:C,$4:$10,7,FALSE)-HLOOKUP(B:B,$4:$10,7,FALSE))*E93/F93)</f>
        <v/>
      </c>
      <c r="AB93" s="198">
        <f>$G93</f>
        <v/>
      </c>
      <c r="AC93" s="199">
        <f>$H93</f>
        <v/>
      </c>
      <c r="AD93" s="199">
        <f>$M93*AD$34</f>
        <v/>
      </c>
      <c r="AE93" s="199">
        <f>$M93*AE$34</f>
        <v/>
      </c>
      <c r="AF93" s="199">
        <f>$M93*AF$34</f>
        <v/>
      </c>
      <c r="AG93" s="199">
        <f>$M93*AG$34</f>
        <v/>
      </c>
      <c r="AH93" s="199">
        <f>$M93*AH$34</f>
        <v/>
      </c>
      <c r="AJ93" s="198">
        <f>$G93</f>
        <v/>
      </c>
      <c r="AK93" s="199">
        <f>$H93</f>
        <v/>
      </c>
      <c r="AL93" s="199">
        <f>$N93*AL$34</f>
        <v/>
      </c>
      <c r="AM93" s="199">
        <f>$N93*AM$34</f>
        <v/>
      </c>
      <c r="AN93" s="199">
        <f>$N93*AN$34</f>
        <v/>
      </c>
      <c r="AO93" s="199">
        <f>$N93*AO$34</f>
        <v/>
      </c>
      <c r="AP93" s="199">
        <f>$N93*AP$34</f>
        <v/>
      </c>
      <c r="AR93" s="198">
        <f>$G93</f>
        <v/>
      </c>
      <c r="AS93" s="199">
        <f>$H93</f>
        <v/>
      </c>
      <c r="AT93" s="199">
        <f>$O93*AT$34-$Q93</f>
        <v/>
      </c>
      <c r="AU93" s="199">
        <f>$O93*AU$34-$Q93</f>
        <v/>
      </c>
      <c r="AV93" s="199">
        <f>$O93*AV$34-$Q93</f>
        <v/>
      </c>
      <c r="AW93" s="199">
        <f>$O93*AW$34-$Q93</f>
        <v/>
      </c>
      <c r="AX93" s="199">
        <f>$O93*AX$34-$Q93</f>
        <v/>
      </c>
      <c r="AZ93" s="198">
        <f>$G93</f>
        <v/>
      </c>
      <c r="BA93" s="199">
        <f>$H93</f>
        <v/>
      </c>
      <c r="BB93" s="199">
        <f>$P93*BB$34-$Q93</f>
        <v/>
      </c>
      <c r="BC93" s="199">
        <f>$P93*BC$34-$Q93</f>
        <v/>
      </c>
      <c r="BD93" s="199">
        <f>$P93*BD$34-$Q93</f>
        <v/>
      </c>
      <c r="BE93" s="199">
        <f>$P93*BE$34-$Q93</f>
        <v/>
      </c>
      <c r="BF93" s="199">
        <f>$P93*BF$34-$Q93</f>
        <v/>
      </c>
      <c r="BH93" s="198">
        <f>$G93</f>
        <v/>
      </c>
      <c r="BI93" s="197">
        <f>$I93</f>
        <v/>
      </c>
      <c r="BJ93" s="197">
        <f>+BJ94</f>
        <v/>
      </c>
      <c r="BK93" s="197">
        <f>+BK94</f>
        <v/>
      </c>
      <c r="BL93" s="197">
        <f>+BL94</f>
        <v/>
      </c>
      <c r="BM93" s="197">
        <f>+BM94</f>
        <v/>
      </c>
      <c r="BN93" s="197">
        <f>+BN94</f>
        <v/>
      </c>
      <c r="BP93" s="198">
        <f>$G93</f>
        <v/>
      </c>
      <c r="BQ93" s="197">
        <f>$J93</f>
        <v/>
      </c>
      <c r="BR93" s="197">
        <f>+BR94</f>
        <v/>
      </c>
      <c r="BS93" s="197">
        <f>+BS94</f>
        <v/>
      </c>
      <c r="BT93" s="197">
        <f>+BT94</f>
        <v/>
      </c>
      <c r="BU93" s="197">
        <f>+BU94</f>
        <v/>
      </c>
      <c r="BV93" s="197">
        <f>+BV94</f>
        <v/>
      </c>
      <c r="BX93" s="198">
        <f>$G93</f>
        <v/>
      </c>
      <c r="BY93" s="197">
        <f>$K93</f>
        <v/>
      </c>
      <c r="BZ93" s="197">
        <f>+BZ94</f>
        <v/>
      </c>
      <c r="CA93" s="197">
        <f>+CA94</f>
        <v/>
      </c>
      <c r="CB93" s="197">
        <f>+CB94</f>
        <v/>
      </c>
      <c r="CC93" s="197">
        <f>+CC94</f>
        <v/>
      </c>
      <c r="CD93" s="197">
        <f>+CD94</f>
        <v/>
      </c>
      <c r="CF93" s="198">
        <f>$G93</f>
        <v/>
      </c>
      <c r="CG93" s="197">
        <f>$L93</f>
        <v/>
      </c>
      <c r="CH93" s="197">
        <f>+CH94</f>
        <v/>
      </c>
      <c r="CI93" s="197">
        <f>+CI94</f>
        <v/>
      </c>
      <c r="CJ93" s="197">
        <f>+CJ94</f>
        <v/>
      </c>
      <c r="CK93" s="197">
        <f>+CK94</f>
        <v/>
      </c>
      <c r="CL93" s="197">
        <f>+CL94</f>
        <v/>
      </c>
      <c r="CO93" s="199" t="n"/>
      <c r="CP93" s="199" t="n">
        <v>3.1</v>
      </c>
      <c r="CR93" s="199" t="inlineStr">
        <is>
          <t>#N/A N/A</t>
        </is>
      </c>
      <c r="CS93" s="970" t="n">
        <v>1.03923</v>
      </c>
    </row>
    <row r="94">
      <c r="B94" s="204">
        <f>+C94-1</f>
        <v/>
      </c>
      <c r="C94" s="204">
        <f>IF('bands_A-H_Avg'!$D$9+1&gt;MONTH(G94),YEAR(G94),YEAR(G94)+1)</f>
        <v/>
      </c>
      <c r="D94" s="204">
        <f>+C94+1</f>
        <v/>
      </c>
      <c r="E94" s="203">
        <f>IF(C94&gt;C93,1,E93+1)</f>
        <v/>
      </c>
      <c r="F94" s="203">
        <f>COUNTIF(C:C,C94)</f>
        <v/>
      </c>
      <c r="G94" s="198">
        <f>+G93+7</f>
        <v/>
      </c>
      <c r="H94" s="361">
        <f>IF(ISBLANK(CO94),CP94,SUMPRODUCT(CO$32:CP$32,CO94:CP94))</f>
        <v/>
      </c>
      <c r="I94" s="968">
        <f>H94/M94</f>
        <v/>
      </c>
      <c r="J94" s="968">
        <f>H94/N94</f>
        <v/>
      </c>
      <c r="K94" s="968">
        <f>(H94+Q94)/O94</f>
        <v/>
      </c>
      <c r="L94" s="968">
        <f>(H94+Q94)/P94</f>
        <v/>
      </c>
      <c r="M94" s="199">
        <f>HLOOKUP(C:C,$4:$10,3,FALSE)+((HLOOKUP(D:D,$4:$10,3,FALSE)-HLOOKUP(C:C,$4:$10,3,FALSE))*E94/F94)</f>
        <v/>
      </c>
      <c r="N94" s="199">
        <f>HLOOKUP(C:C,$4:$10,2,FALSE)+((HLOOKUP(D:D,$4:$10,2,FALSE)-HLOOKUP(C:C,$4:$10,2,FALSE))*E94/F94)</f>
        <v/>
      </c>
      <c r="O94" s="199">
        <f>HLOOKUP(C:C,$4:$10,5,FALSE)+((HLOOKUP(D:D,$4:$10,5,FALSE)-HLOOKUP(C:C,$4:$10,5,FALSE))*E94/F94)</f>
        <v/>
      </c>
      <c r="P94" s="199">
        <f>HLOOKUP(C:C,$4:$10,4,FALSE)+((HLOOKUP(D:D,$4:$10,4,FALSE)-HLOOKUP(C:C,$4:$10,4,FALSE))*E94/F94)</f>
        <v/>
      </c>
      <c r="Q94" s="199">
        <f>HLOOKUP(B:B,$4:$10,6,FALSE)+((HLOOKUP(C:C,$4:$10,6,FALSE)-HLOOKUP(B:B,$4:$10,6,FALSE))*E94/F94)</f>
        <v/>
      </c>
      <c r="T94" s="198">
        <f>$G94</f>
        <v/>
      </c>
      <c r="U94" s="199">
        <f>H94/(HLOOKUP(B:B,$4:$10,3,FALSE)+((HLOOKUP(C:C,$4:$10,3,FALSE)-HLOOKUP(B:B,$4:$10,3,FALSE))*E94/F94))</f>
        <v/>
      </c>
      <c r="V94" s="969">
        <f>HLOOKUP(B:B,$4:$10,7,FALSE)+((HLOOKUP(C:C,$4:$10,7,FALSE)-HLOOKUP(B:B,$4:$10,7,FALSE))*E94/F94)</f>
        <v/>
      </c>
      <c r="AB94" s="198">
        <f>$G94</f>
        <v/>
      </c>
      <c r="AC94" s="199">
        <f>$H94</f>
        <v/>
      </c>
      <c r="AD94" s="199">
        <f>$M94*AD$34</f>
        <v/>
      </c>
      <c r="AE94" s="199">
        <f>$M94*AE$34</f>
        <v/>
      </c>
      <c r="AF94" s="199">
        <f>$M94*AF$34</f>
        <v/>
      </c>
      <c r="AG94" s="199">
        <f>$M94*AG$34</f>
        <v/>
      </c>
      <c r="AH94" s="199">
        <f>$M94*AH$34</f>
        <v/>
      </c>
      <c r="AJ94" s="198">
        <f>$G94</f>
        <v/>
      </c>
      <c r="AK94" s="199">
        <f>$H94</f>
        <v/>
      </c>
      <c r="AL94" s="199">
        <f>$N94*AL$34</f>
        <v/>
      </c>
      <c r="AM94" s="199">
        <f>$N94*AM$34</f>
        <v/>
      </c>
      <c r="AN94" s="199">
        <f>$N94*AN$34</f>
        <v/>
      </c>
      <c r="AO94" s="199">
        <f>$N94*AO$34</f>
        <v/>
      </c>
      <c r="AP94" s="199">
        <f>$N94*AP$34</f>
        <v/>
      </c>
      <c r="AR94" s="198">
        <f>$G94</f>
        <v/>
      </c>
      <c r="AS94" s="199">
        <f>$H94</f>
        <v/>
      </c>
      <c r="AT94" s="199">
        <f>$O94*AT$34-$Q94</f>
        <v/>
      </c>
      <c r="AU94" s="199">
        <f>$O94*AU$34-$Q94</f>
        <v/>
      </c>
      <c r="AV94" s="199">
        <f>$O94*AV$34-$Q94</f>
        <v/>
      </c>
      <c r="AW94" s="199">
        <f>$O94*AW$34-$Q94</f>
        <v/>
      </c>
      <c r="AX94" s="199">
        <f>$O94*AX$34-$Q94</f>
        <v/>
      </c>
      <c r="AZ94" s="198">
        <f>$G94</f>
        <v/>
      </c>
      <c r="BA94" s="199">
        <f>$H94</f>
        <v/>
      </c>
      <c r="BB94" s="199">
        <f>$P94*BB$34-$Q94</f>
        <v/>
      </c>
      <c r="BC94" s="199">
        <f>$P94*BC$34-$Q94</f>
        <v/>
      </c>
      <c r="BD94" s="199">
        <f>$P94*BD$34-$Q94</f>
        <v/>
      </c>
      <c r="BE94" s="199">
        <f>$P94*BE$34-$Q94</f>
        <v/>
      </c>
      <c r="BF94" s="199">
        <f>$P94*BF$34-$Q94</f>
        <v/>
      </c>
      <c r="BH94" s="198">
        <f>$G94</f>
        <v/>
      </c>
      <c r="BI94" s="197">
        <f>$I94</f>
        <v/>
      </c>
      <c r="BJ94" s="197">
        <f>+BJ95</f>
        <v/>
      </c>
      <c r="BK94" s="197">
        <f>+BK95</f>
        <v/>
      </c>
      <c r="BL94" s="197">
        <f>+BL95</f>
        <v/>
      </c>
      <c r="BM94" s="197">
        <f>+BM95</f>
        <v/>
      </c>
      <c r="BN94" s="197">
        <f>+BN95</f>
        <v/>
      </c>
      <c r="BP94" s="198">
        <f>$G94</f>
        <v/>
      </c>
      <c r="BQ94" s="197">
        <f>$J94</f>
        <v/>
      </c>
      <c r="BR94" s="197">
        <f>+BR95</f>
        <v/>
      </c>
      <c r="BS94" s="197">
        <f>+BS95</f>
        <v/>
      </c>
      <c r="BT94" s="197">
        <f>+BT95</f>
        <v/>
      </c>
      <c r="BU94" s="197">
        <f>+BU95</f>
        <v/>
      </c>
      <c r="BV94" s="197">
        <f>+BV95</f>
        <v/>
      </c>
      <c r="BX94" s="198">
        <f>$G94</f>
        <v/>
      </c>
      <c r="BY94" s="197">
        <f>$K94</f>
        <v/>
      </c>
      <c r="BZ94" s="197">
        <f>+BZ95</f>
        <v/>
      </c>
      <c r="CA94" s="197">
        <f>+CA95</f>
        <v/>
      </c>
      <c r="CB94" s="197">
        <f>+CB95</f>
        <v/>
      </c>
      <c r="CC94" s="197">
        <f>+CC95</f>
        <v/>
      </c>
      <c r="CD94" s="197">
        <f>+CD95</f>
        <v/>
      </c>
      <c r="CF94" s="198">
        <f>$G94</f>
        <v/>
      </c>
      <c r="CG94" s="197">
        <f>$L94</f>
        <v/>
      </c>
      <c r="CH94" s="197">
        <f>+CH95</f>
        <v/>
      </c>
      <c r="CI94" s="197">
        <f>+CI95</f>
        <v/>
      </c>
      <c r="CJ94" s="197">
        <f>+CJ95</f>
        <v/>
      </c>
      <c r="CK94" s="197">
        <f>+CK95</f>
        <v/>
      </c>
      <c r="CL94" s="197">
        <f>+CL95</f>
        <v/>
      </c>
      <c r="CO94" s="199" t="n"/>
      <c r="CP94" s="199" t="n">
        <v>3.2</v>
      </c>
      <c r="CR94" s="199" t="inlineStr">
        <is>
          <t>#N/A N/A</t>
        </is>
      </c>
      <c r="CS94" s="970" t="n">
        <v>1.03749</v>
      </c>
    </row>
    <row r="95">
      <c r="B95" s="204">
        <f>+C95-1</f>
        <v/>
      </c>
      <c r="C95" s="204">
        <f>IF('bands_A-H_Avg'!$D$9+1&gt;MONTH(G95),YEAR(G95),YEAR(G95)+1)</f>
        <v/>
      </c>
      <c r="D95" s="204">
        <f>+C95+1</f>
        <v/>
      </c>
      <c r="E95" s="203">
        <f>IF(C95&gt;C94,1,E94+1)</f>
        <v/>
      </c>
      <c r="F95" s="203">
        <f>COUNTIF(C:C,C95)</f>
        <v/>
      </c>
      <c r="G95" s="198">
        <f>+G94+7</f>
        <v/>
      </c>
      <c r="H95" s="361">
        <f>IF(ISBLANK(CO95),CP95,SUMPRODUCT(CO$32:CP$32,CO95:CP95))</f>
        <v/>
      </c>
      <c r="I95" s="968">
        <f>H95/M95</f>
        <v/>
      </c>
      <c r="J95" s="968">
        <f>H95/N95</f>
        <v/>
      </c>
      <c r="K95" s="968">
        <f>(H95+Q95)/O95</f>
        <v/>
      </c>
      <c r="L95" s="968">
        <f>(H95+Q95)/P95</f>
        <v/>
      </c>
      <c r="M95" s="199">
        <f>HLOOKUP(C:C,$4:$10,3,FALSE)+((HLOOKUP(D:D,$4:$10,3,FALSE)-HLOOKUP(C:C,$4:$10,3,FALSE))*E95/F95)</f>
        <v/>
      </c>
      <c r="N95" s="199">
        <f>HLOOKUP(C:C,$4:$10,2,FALSE)+((HLOOKUP(D:D,$4:$10,2,FALSE)-HLOOKUP(C:C,$4:$10,2,FALSE))*E95/F95)</f>
        <v/>
      </c>
      <c r="O95" s="199">
        <f>HLOOKUP(C:C,$4:$10,5,FALSE)+((HLOOKUP(D:D,$4:$10,5,FALSE)-HLOOKUP(C:C,$4:$10,5,FALSE))*E95/F95)</f>
        <v/>
      </c>
      <c r="P95" s="199">
        <f>HLOOKUP(C:C,$4:$10,4,FALSE)+((HLOOKUP(D:D,$4:$10,4,FALSE)-HLOOKUP(C:C,$4:$10,4,FALSE))*E95/F95)</f>
        <v/>
      </c>
      <c r="Q95" s="199">
        <f>HLOOKUP(B:B,$4:$10,6,FALSE)+((HLOOKUP(C:C,$4:$10,6,FALSE)-HLOOKUP(B:B,$4:$10,6,FALSE))*E95/F95)</f>
        <v/>
      </c>
      <c r="T95" s="198">
        <f>$G95</f>
        <v/>
      </c>
      <c r="U95" s="199">
        <f>H95/(HLOOKUP(B:B,$4:$10,3,FALSE)+((HLOOKUP(C:C,$4:$10,3,FALSE)-HLOOKUP(B:B,$4:$10,3,FALSE))*E95/F95))</f>
        <v/>
      </c>
      <c r="V95" s="969">
        <f>HLOOKUP(B:B,$4:$10,7,FALSE)+((HLOOKUP(C:C,$4:$10,7,FALSE)-HLOOKUP(B:B,$4:$10,7,FALSE))*E95/F95)</f>
        <v/>
      </c>
      <c r="AB95" s="198">
        <f>$G95</f>
        <v/>
      </c>
      <c r="AC95" s="199">
        <f>$H95</f>
        <v/>
      </c>
      <c r="AD95" s="199">
        <f>$M95*AD$34</f>
        <v/>
      </c>
      <c r="AE95" s="199">
        <f>$M95*AE$34</f>
        <v/>
      </c>
      <c r="AF95" s="199">
        <f>$M95*AF$34</f>
        <v/>
      </c>
      <c r="AG95" s="199">
        <f>$M95*AG$34</f>
        <v/>
      </c>
      <c r="AH95" s="199">
        <f>$M95*AH$34</f>
        <v/>
      </c>
      <c r="AJ95" s="198">
        <f>$G95</f>
        <v/>
      </c>
      <c r="AK95" s="199">
        <f>$H95</f>
        <v/>
      </c>
      <c r="AL95" s="199">
        <f>$N95*AL$34</f>
        <v/>
      </c>
      <c r="AM95" s="199">
        <f>$N95*AM$34</f>
        <v/>
      </c>
      <c r="AN95" s="199">
        <f>$N95*AN$34</f>
        <v/>
      </c>
      <c r="AO95" s="199">
        <f>$N95*AO$34</f>
        <v/>
      </c>
      <c r="AP95" s="199">
        <f>$N95*AP$34</f>
        <v/>
      </c>
      <c r="AR95" s="198">
        <f>$G95</f>
        <v/>
      </c>
      <c r="AS95" s="199">
        <f>$H95</f>
        <v/>
      </c>
      <c r="AT95" s="199">
        <f>$O95*AT$34-$Q95</f>
        <v/>
      </c>
      <c r="AU95" s="199">
        <f>$O95*AU$34-$Q95</f>
        <v/>
      </c>
      <c r="AV95" s="199">
        <f>$O95*AV$34-$Q95</f>
        <v/>
      </c>
      <c r="AW95" s="199">
        <f>$O95*AW$34-$Q95</f>
        <v/>
      </c>
      <c r="AX95" s="199">
        <f>$O95*AX$34-$Q95</f>
        <v/>
      </c>
      <c r="AZ95" s="198">
        <f>$G95</f>
        <v/>
      </c>
      <c r="BA95" s="199">
        <f>$H95</f>
        <v/>
      </c>
      <c r="BB95" s="199">
        <f>$P95*BB$34-$Q95</f>
        <v/>
      </c>
      <c r="BC95" s="199">
        <f>$P95*BC$34-$Q95</f>
        <v/>
      </c>
      <c r="BD95" s="199">
        <f>$P95*BD$34-$Q95</f>
        <v/>
      </c>
      <c r="BE95" s="199">
        <f>$P95*BE$34-$Q95</f>
        <v/>
      </c>
      <c r="BF95" s="199">
        <f>$P95*BF$34-$Q95</f>
        <v/>
      </c>
      <c r="BH95" s="198">
        <f>$G95</f>
        <v/>
      </c>
      <c r="BI95" s="197">
        <f>$I95</f>
        <v/>
      </c>
      <c r="BJ95" s="197">
        <f>+BJ96</f>
        <v/>
      </c>
      <c r="BK95" s="197">
        <f>+BK96</f>
        <v/>
      </c>
      <c r="BL95" s="197">
        <f>+BL96</f>
        <v/>
      </c>
      <c r="BM95" s="197">
        <f>+BM96</f>
        <v/>
      </c>
      <c r="BN95" s="197">
        <f>+BN96</f>
        <v/>
      </c>
      <c r="BP95" s="198">
        <f>$G95</f>
        <v/>
      </c>
      <c r="BQ95" s="197">
        <f>$J95</f>
        <v/>
      </c>
      <c r="BR95" s="197">
        <f>+BR96</f>
        <v/>
      </c>
      <c r="BS95" s="197">
        <f>+BS96</f>
        <v/>
      </c>
      <c r="BT95" s="197">
        <f>+BT96</f>
        <v/>
      </c>
      <c r="BU95" s="197">
        <f>+BU96</f>
        <v/>
      </c>
      <c r="BV95" s="197">
        <f>+BV96</f>
        <v/>
      </c>
      <c r="BX95" s="198">
        <f>$G95</f>
        <v/>
      </c>
      <c r="BY95" s="197">
        <f>$K95</f>
        <v/>
      </c>
      <c r="BZ95" s="197">
        <f>+BZ96</f>
        <v/>
      </c>
      <c r="CA95" s="197">
        <f>+CA96</f>
        <v/>
      </c>
      <c r="CB95" s="197">
        <f>+CB96</f>
        <v/>
      </c>
      <c r="CC95" s="197">
        <f>+CC96</f>
        <v/>
      </c>
      <c r="CD95" s="197">
        <f>+CD96</f>
        <v/>
      </c>
      <c r="CF95" s="198">
        <f>$G95</f>
        <v/>
      </c>
      <c r="CG95" s="197">
        <f>$L95</f>
        <v/>
      </c>
      <c r="CH95" s="197">
        <f>+CH96</f>
        <v/>
      </c>
      <c r="CI95" s="197">
        <f>+CI96</f>
        <v/>
      </c>
      <c r="CJ95" s="197">
        <f>+CJ96</f>
        <v/>
      </c>
      <c r="CK95" s="197">
        <f>+CK96</f>
        <v/>
      </c>
      <c r="CL95" s="197">
        <f>+CL96</f>
        <v/>
      </c>
      <c r="CO95" s="199" t="n"/>
      <c r="CP95" s="199" t="n">
        <v>3.2</v>
      </c>
      <c r="CR95" s="199" t="inlineStr">
        <is>
          <t>#N/A N/A</t>
        </is>
      </c>
      <c r="CS95" s="970" t="n">
        <v>1.03708</v>
      </c>
    </row>
    <row r="96">
      <c r="B96" s="204">
        <f>+C96-1</f>
        <v/>
      </c>
      <c r="C96" s="204">
        <f>IF('bands_A-H_Avg'!$D$9+1&gt;MONTH(G96),YEAR(G96),YEAR(G96)+1)</f>
        <v/>
      </c>
      <c r="D96" s="204">
        <f>+C96+1</f>
        <v/>
      </c>
      <c r="E96" s="203">
        <f>IF(C96&gt;C95,1,E95+1)</f>
        <v/>
      </c>
      <c r="F96" s="203">
        <f>COUNTIF(C:C,C96)</f>
        <v/>
      </c>
      <c r="G96" s="198">
        <f>+G95+7</f>
        <v/>
      </c>
      <c r="H96" s="361">
        <f>IF(ISBLANK(CO96),CP96,SUMPRODUCT(CO$32:CP$32,CO96:CP96))</f>
        <v/>
      </c>
      <c r="I96" s="968">
        <f>H96/M96</f>
        <v/>
      </c>
      <c r="J96" s="968">
        <f>H96/N96</f>
        <v/>
      </c>
      <c r="K96" s="968">
        <f>(H96+Q96)/O96</f>
        <v/>
      </c>
      <c r="L96" s="968">
        <f>(H96+Q96)/P96</f>
        <v/>
      </c>
      <c r="M96" s="199">
        <f>HLOOKUP(C:C,$4:$10,3,FALSE)+((HLOOKUP(D:D,$4:$10,3,FALSE)-HLOOKUP(C:C,$4:$10,3,FALSE))*E96/F96)</f>
        <v/>
      </c>
      <c r="N96" s="199">
        <f>HLOOKUP(C:C,$4:$10,2,FALSE)+((HLOOKUP(D:D,$4:$10,2,FALSE)-HLOOKUP(C:C,$4:$10,2,FALSE))*E96/F96)</f>
        <v/>
      </c>
      <c r="O96" s="199">
        <f>HLOOKUP(C:C,$4:$10,5,FALSE)+((HLOOKUP(D:D,$4:$10,5,FALSE)-HLOOKUP(C:C,$4:$10,5,FALSE))*E96/F96)</f>
        <v/>
      </c>
      <c r="P96" s="199">
        <f>HLOOKUP(C:C,$4:$10,4,FALSE)+((HLOOKUP(D:D,$4:$10,4,FALSE)-HLOOKUP(C:C,$4:$10,4,FALSE))*E96/F96)</f>
        <v/>
      </c>
      <c r="Q96" s="199">
        <f>HLOOKUP(B:B,$4:$10,6,FALSE)+((HLOOKUP(C:C,$4:$10,6,FALSE)-HLOOKUP(B:B,$4:$10,6,FALSE))*E96/F96)</f>
        <v/>
      </c>
      <c r="T96" s="198">
        <f>$G96</f>
        <v/>
      </c>
      <c r="U96" s="199">
        <f>H96/(HLOOKUP(B:B,$4:$10,3,FALSE)+((HLOOKUP(C:C,$4:$10,3,FALSE)-HLOOKUP(B:B,$4:$10,3,FALSE))*E96/F96))</f>
        <v/>
      </c>
      <c r="V96" s="969">
        <f>HLOOKUP(B:B,$4:$10,7,FALSE)+((HLOOKUP(C:C,$4:$10,7,FALSE)-HLOOKUP(B:B,$4:$10,7,FALSE))*E96/F96)</f>
        <v/>
      </c>
      <c r="AB96" s="198">
        <f>$G96</f>
        <v/>
      </c>
      <c r="AC96" s="199">
        <f>$H96</f>
        <v/>
      </c>
      <c r="AD96" s="199">
        <f>$M96*AD$34</f>
        <v/>
      </c>
      <c r="AE96" s="199">
        <f>$M96*AE$34</f>
        <v/>
      </c>
      <c r="AF96" s="199">
        <f>$M96*AF$34</f>
        <v/>
      </c>
      <c r="AG96" s="199">
        <f>$M96*AG$34</f>
        <v/>
      </c>
      <c r="AH96" s="199">
        <f>$M96*AH$34</f>
        <v/>
      </c>
      <c r="AJ96" s="198">
        <f>$G96</f>
        <v/>
      </c>
      <c r="AK96" s="199">
        <f>$H96</f>
        <v/>
      </c>
      <c r="AL96" s="199">
        <f>$N96*AL$34</f>
        <v/>
      </c>
      <c r="AM96" s="199">
        <f>$N96*AM$34</f>
        <v/>
      </c>
      <c r="AN96" s="199">
        <f>$N96*AN$34</f>
        <v/>
      </c>
      <c r="AO96" s="199">
        <f>$N96*AO$34</f>
        <v/>
      </c>
      <c r="AP96" s="199">
        <f>$N96*AP$34</f>
        <v/>
      </c>
      <c r="AR96" s="198">
        <f>$G96</f>
        <v/>
      </c>
      <c r="AS96" s="199">
        <f>$H96</f>
        <v/>
      </c>
      <c r="AT96" s="199">
        <f>$O96*AT$34-$Q96</f>
        <v/>
      </c>
      <c r="AU96" s="199">
        <f>$O96*AU$34-$Q96</f>
        <v/>
      </c>
      <c r="AV96" s="199">
        <f>$O96*AV$34-$Q96</f>
        <v/>
      </c>
      <c r="AW96" s="199">
        <f>$O96*AW$34-$Q96</f>
        <v/>
      </c>
      <c r="AX96" s="199">
        <f>$O96*AX$34-$Q96</f>
        <v/>
      </c>
      <c r="AZ96" s="198">
        <f>$G96</f>
        <v/>
      </c>
      <c r="BA96" s="199">
        <f>$H96</f>
        <v/>
      </c>
      <c r="BB96" s="199">
        <f>$P96*BB$34-$Q96</f>
        <v/>
      </c>
      <c r="BC96" s="199">
        <f>$P96*BC$34-$Q96</f>
        <v/>
      </c>
      <c r="BD96" s="199">
        <f>$P96*BD$34-$Q96</f>
        <v/>
      </c>
      <c r="BE96" s="199">
        <f>$P96*BE$34-$Q96</f>
        <v/>
      </c>
      <c r="BF96" s="199">
        <f>$P96*BF$34-$Q96</f>
        <v/>
      </c>
      <c r="BH96" s="198">
        <f>$G96</f>
        <v/>
      </c>
      <c r="BI96" s="197">
        <f>$I96</f>
        <v/>
      </c>
      <c r="BJ96" s="197">
        <f>+BJ97</f>
        <v/>
      </c>
      <c r="BK96" s="197">
        <f>+BK97</f>
        <v/>
      </c>
      <c r="BL96" s="197">
        <f>+BL97</f>
        <v/>
      </c>
      <c r="BM96" s="197">
        <f>+BM97</f>
        <v/>
      </c>
      <c r="BN96" s="197">
        <f>+BN97</f>
        <v/>
      </c>
      <c r="BP96" s="198">
        <f>$G96</f>
        <v/>
      </c>
      <c r="BQ96" s="197">
        <f>$J96</f>
        <v/>
      </c>
      <c r="BR96" s="197">
        <f>+BR97</f>
        <v/>
      </c>
      <c r="BS96" s="197">
        <f>+BS97</f>
        <v/>
      </c>
      <c r="BT96" s="197">
        <f>+BT97</f>
        <v/>
      </c>
      <c r="BU96" s="197">
        <f>+BU97</f>
        <v/>
      </c>
      <c r="BV96" s="197">
        <f>+BV97</f>
        <v/>
      </c>
      <c r="BX96" s="198">
        <f>$G96</f>
        <v/>
      </c>
      <c r="BY96" s="197">
        <f>$K96</f>
        <v/>
      </c>
      <c r="BZ96" s="197">
        <f>+BZ97</f>
        <v/>
      </c>
      <c r="CA96" s="197">
        <f>+CA97</f>
        <v/>
      </c>
      <c r="CB96" s="197">
        <f>+CB97</f>
        <v/>
      </c>
      <c r="CC96" s="197">
        <f>+CC97</f>
        <v/>
      </c>
      <c r="CD96" s="197">
        <f>+CD97</f>
        <v/>
      </c>
      <c r="CF96" s="198">
        <f>$G96</f>
        <v/>
      </c>
      <c r="CG96" s="197">
        <f>$L96</f>
        <v/>
      </c>
      <c r="CH96" s="197">
        <f>+CH97</f>
        <v/>
      </c>
      <c r="CI96" s="197">
        <f>+CI97</f>
        <v/>
      </c>
      <c r="CJ96" s="197">
        <f>+CJ97</f>
        <v/>
      </c>
      <c r="CK96" s="197">
        <f>+CK97</f>
        <v/>
      </c>
      <c r="CL96" s="197">
        <f>+CL97</f>
        <v/>
      </c>
      <c r="CO96" s="199" t="n"/>
      <c r="CP96" s="199" t="n">
        <v>3.65</v>
      </c>
      <c r="CR96" s="199" t="inlineStr">
        <is>
          <t>#N/A N/A</t>
        </is>
      </c>
      <c r="CS96" s="970" t="n">
        <v>1.03655</v>
      </c>
    </row>
    <row r="97">
      <c r="B97" s="204">
        <f>+C97-1</f>
        <v/>
      </c>
      <c r="C97" s="204">
        <f>IF('bands_A-H_Avg'!$D$9+1&gt;MONTH(G97),YEAR(G97),YEAR(G97)+1)</f>
        <v/>
      </c>
      <c r="D97" s="204">
        <f>+C97+1</f>
        <v/>
      </c>
      <c r="E97" s="203">
        <f>IF(C97&gt;C96,1,E96+1)</f>
        <v/>
      </c>
      <c r="F97" s="203">
        <f>COUNTIF(C:C,C97)</f>
        <v/>
      </c>
      <c r="G97" s="198">
        <f>+G96+7</f>
        <v/>
      </c>
      <c r="H97" s="361">
        <f>IF(ISBLANK(CO97),CP97,SUMPRODUCT(CO$32:CP$32,CO97:CP97))</f>
        <v/>
      </c>
      <c r="I97" s="968">
        <f>H97/M97</f>
        <v/>
      </c>
      <c r="J97" s="968">
        <f>H97/N97</f>
        <v/>
      </c>
      <c r="K97" s="968">
        <f>(H97+Q97)/O97</f>
        <v/>
      </c>
      <c r="L97" s="968">
        <f>(H97+Q97)/P97</f>
        <v/>
      </c>
      <c r="M97" s="199">
        <f>HLOOKUP(C:C,$4:$10,3,FALSE)+((HLOOKUP(D:D,$4:$10,3,FALSE)-HLOOKUP(C:C,$4:$10,3,FALSE))*E97/F97)</f>
        <v/>
      </c>
      <c r="N97" s="199">
        <f>HLOOKUP(C:C,$4:$10,2,FALSE)+((HLOOKUP(D:D,$4:$10,2,FALSE)-HLOOKUP(C:C,$4:$10,2,FALSE))*E97/F97)</f>
        <v/>
      </c>
      <c r="O97" s="199">
        <f>HLOOKUP(C:C,$4:$10,5,FALSE)+((HLOOKUP(D:D,$4:$10,5,FALSE)-HLOOKUP(C:C,$4:$10,5,FALSE))*E97/F97)</f>
        <v/>
      </c>
      <c r="P97" s="199">
        <f>HLOOKUP(C:C,$4:$10,4,FALSE)+((HLOOKUP(D:D,$4:$10,4,FALSE)-HLOOKUP(C:C,$4:$10,4,FALSE))*E97/F97)</f>
        <v/>
      </c>
      <c r="Q97" s="199">
        <f>HLOOKUP(B:B,$4:$10,6,FALSE)+((HLOOKUP(C:C,$4:$10,6,FALSE)-HLOOKUP(B:B,$4:$10,6,FALSE))*E97/F97)</f>
        <v/>
      </c>
      <c r="T97" s="198">
        <f>$G97</f>
        <v/>
      </c>
      <c r="U97" s="199">
        <f>H97/(HLOOKUP(B:B,$4:$10,3,FALSE)+((HLOOKUP(C:C,$4:$10,3,FALSE)-HLOOKUP(B:B,$4:$10,3,FALSE))*E97/F97))</f>
        <v/>
      </c>
      <c r="V97" s="969">
        <f>HLOOKUP(B:B,$4:$10,7,FALSE)+((HLOOKUP(C:C,$4:$10,7,FALSE)-HLOOKUP(B:B,$4:$10,7,FALSE))*E97/F97)</f>
        <v/>
      </c>
      <c r="AB97" s="198">
        <f>$G97</f>
        <v/>
      </c>
      <c r="AC97" s="199">
        <f>$H97</f>
        <v/>
      </c>
      <c r="AD97" s="199">
        <f>$M97*AD$34</f>
        <v/>
      </c>
      <c r="AE97" s="199">
        <f>$M97*AE$34</f>
        <v/>
      </c>
      <c r="AF97" s="199">
        <f>$M97*AF$34</f>
        <v/>
      </c>
      <c r="AG97" s="199">
        <f>$M97*AG$34</f>
        <v/>
      </c>
      <c r="AH97" s="199">
        <f>$M97*AH$34</f>
        <v/>
      </c>
      <c r="AJ97" s="198">
        <f>$G97</f>
        <v/>
      </c>
      <c r="AK97" s="199">
        <f>$H97</f>
        <v/>
      </c>
      <c r="AL97" s="199">
        <f>$N97*AL$34</f>
        <v/>
      </c>
      <c r="AM97" s="199">
        <f>$N97*AM$34</f>
        <v/>
      </c>
      <c r="AN97" s="199">
        <f>$N97*AN$34</f>
        <v/>
      </c>
      <c r="AO97" s="199">
        <f>$N97*AO$34</f>
        <v/>
      </c>
      <c r="AP97" s="199">
        <f>$N97*AP$34</f>
        <v/>
      </c>
      <c r="AR97" s="198">
        <f>$G97</f>
        <v/>
      </c>
      <c r="AS97" s="199">
        <f>$H97</f>
        <v/>
      </c>
      <c r="AT97" s="199">
        <f>$O97*AT$34-$Q97</f>
        <v/>
      </c>
      <c r="AU97" s="199">
        <f>$O97*AU$34-$Q97</f>
        <v/>
      </c>
      <c r="AV97" s="199">
        <f>$O97*AV$34-$Q97</f>
        <v/>
      </c>
      <c r="AW97" s="199">
        <f>$O97*AW$34-$Q97</f>
        <v/>
      </c>
      <c r="AX97" s="199">
        <f>$O97*AX$34-$Q97</f>
        <v/>
      </c>
      <c r="AZ97" s="198">
        <f>$G97</f>
        <v/>
      </c>
      <c r="BA97" s="199">
        <f>$H97</f>
        <v/>
      </c>
      <c r="BB97" s="199">
        <f>$P97*BB$34-$Q97</f>
        <v/>
      </c>
      <c r="BC97" s="199">
        <f>$P97*BC$34-$Q97</f>
        <v/>
      </c>
      <c r="BD97" s="199">
        <f>$P97*BD$34-$Q97</f>
        <v/>
      </c>
      <c r="BE97" s="199">
        <f>$P97*BE$34-$Q97</f>
        <v/>
      </c>
      <c r="BF97" s="199">
        <f>$P97*BF$34-$Q97</f>
        <v/>
      </c>
      <c r="BH97" s="198">
        <f>$G97</f>
        <v/>
      </c>
      <c r="BI97" s="197">
        <f>$I97</f>
        <v/>
      </c>
      <c r="BJ97" s="197">
        <f>+BJ98</f>
        <v/>
      </c>
      <c r="BK97" s="197">
        <f>+BK98</f>
        <v/>
      </c>
      <c r="BL97" s="197">
        <f>+BL98</f>
        <v/>
      </c>
      <c r="BM97" s="197">
        <f>+BM98</f>
        <v/>
      </c>
      <c r="BN97" s="197">
        <f>+BN98</f>
        <v/>
      </c>
      <c r="BP97" s="198">
        <f>$G97</f>
        <v/>
      </c>
      <c r="BQ97" s="197">
        <f>$J97</f>
        <v/>
      </c>
      <c r="BR97" s="197">
        <f>+BR98</f>
        <v/>
      </c>
      <c r="BS97" s="197">
        <f>+BS98</f>
        <v/>
      </c>
      <c r="BT97" s="197">
        <f>+BT98</f>
        <v/>
      </c>
      <c r="BU97" s="197">
        <f>+BU98</f>
        <v/>
      </c>
      <c r="BV97" s="197">
        <f>+BV98</f>
        <v/>
      </c>
      <c r="BX97" s="198">
        <f>$G97</f>
        <v/>
      </c>
      <c r="BY97" s="197">
        <f>$K97</f>
        <v/>
      </c>
      <c r="BZ97" s="197">
        <f>+BZ98</f>
        <v/>
      </c>
      <c r="CA97" s="197">
        <f>+CA98</f>
        <v/>
      </c>
      <c r="CB97" s="197">
        <f>+CB98</f>
        <v/>
      </c>
      <c r="CC97" s="197">
        <f>+CC98</f>
        <v/>
      </c>
      <c r="CD97" s="197">
        <f>+CD98</f>
        <v/>
      </c>
      <c r="CF97" s="198">
        <f>$G97</f>
        <v/>
      </c>
      <c r="CG97" s="197">
        <f>$L97</f>
        <v/>
      </c>
      <c r="CH97" s="197">
        <f>+CH98</f>
        <v/>
      </c>
      <c r="CI97" s="197">
        <f>+CI98</f>
        <v/>
      </c>
      <c r="CJ97" s="197">
        <f>+CJ98</f>
        <v/>
      </c>
      <c r="CK97" s="197">
        <f>+CK98</f>
        <v/>
      </c>
      <c r="CL97" s="197">
        <f>+CL98</f>
        <v/>
      </c>
      <c r="CO97" s="199" t="n"/>
      <c r="CP97" s="199" t="n">
        <v>3.6</v>
      </c>
      <c r="CR97" s="199" t="inlineStr">
        <is>
          <t>#N/A N/A</t>
        </is>
      </c>
      <c r="CS97" s="970" t="n">
        <v>1.03592</v>
      </c>
    </row>
    <row r="98">
      <c r="B98" s="204">
        <f>+C98-1</f>
        <v/>
      </c>
      <c r="C98" s="204">
        <f>IF('bands_A-H_Avg'!$D$9+1&gt;MONTH(G98),YEAR(G98),YEAR(G98)+1)</f>
        <v/>
      </c>
      <c r="D98" s="204">
        <f>+C98+1</f>
        <v/>
      </c>
      <c r="E98" s="203">
        <f>IF(C98&gt;C97,1,E97+1)</f>
        <v/>
      </c>
      <c r="F98" s="203">
        <f>COUNTIF(C:C,C98)</f>
        <v/>
      </c>
      <c r="G98" s="198">
        <f>+G97+7</f>
        <v/>
      </c>
      <c r="H98" s="361">
        <f>IF(ISBLANK(CO98),CP98,SUMPRODUCT(CO$32:CP$32,CO98:CP98))</f>
        <v/>
      </c>
      <c r="I98" s="968">
        <f>H98/M98</f>
        <v/>
      </c>
      <c r="J98" s="968">
        <f>H98/N98</f>
        <v/>
      </c>
      <c r="K98" s="968">
        <f>(H98+Q98)/O98</f>
        <v/>
      </c>
      <c r="L98" s="968">
        <f>(H98+Q98)/P98</f>
        <v/>
      </c>
      <c r="M98" s="199">
        <f>HLOOKUP(C:C,$4:$10,3,FALSE)+((HLOOKUP(D:D,$4:$10,3,FALSE)-HLOOKUP(C:C,$4:$10,3,FALSE))*E98/F98)</f>
        <v/>
      </c>
      <c r="N98" s="199">
        <f>HLOOKUP(C:C,$4:$10,2,FALSE)+((HLOOKUP(D:D,$4:$10,2,FALSE)-HLOOKUP(C:C,$4:$10,2,FALSE))*E98/F98)</f>
        <v/>
      </c>
      <c r="O98" s="199">
        <f>HLOOKUP(C:C,$4:$10,5,FALSE)+((HLOOKUP(D:D,$4:$10,5,FALSE)-HLOOKUP(C:C,$4:$10,5,FALSE))*E98/F98)</f>
        <v/>
      </c>
      <c r="P98" s="199">
        <f>HLOOKUP(C:C,$4:$10,4,FALSE)+((HLOOKUP(D:D,$4:$10,4,FALSE)-HLOOKUP(C:C,$4:$10,4,FALSE))*E98/F98)</f>
        <v/>
      </c>
      <c r="Q98" s="199">
        <f>HLOOKUP(B:B,$4:$10,6,FALSE)+((HLOOKUP(C:C,$4:$10,6,FALSE)-HLOOKUP(B:B,$4:$10,6,FALSE))*E98/F98)</f>
        <v/>
      </c>
      <c r="T98" s="198">
        <f>$G98</f>
        <v/>
      </c>
      <c r="U98" s="199">
        <f>H98/(HLOOKUP(B:B,$4:$10,3,FALSE)+((HLOOKUP(C:C,$4:$10,3,FALSE)-HLOOKUP(B:B,$4:$10,3,FALSE))*E98/F98))</f>
        <v/>
      </c>
      <c r="V98" s="969">
        <f>HLOOKUP(B:B,$4:$10,7,FALSE)+((HLOOKUP(C:C,$4:$10,7,FALSE)-HLOOKUP(B:B,$4:$10,7,FALSE))*E98/F98)</f>
        <v/>
      </c>
      <c r="AB98" s="198">
        <f>$G98</f>
        <v/>
      </c>
      <c r="AC98" s="199">
        <f>$H98</f>
        <v/>
      </c>
      <c r="AD98" s="199">
        <f>$M98*AD$34</f>
        <v/>
      </c>
      <c r="AE98" s="199">
        <f>$M98*AE$34</f>
        <v/>
      </c>
      <c r="AF98" s="199">
        <f>$M98*AF$34</f>
        <v/>
      </c>
      <c r="AG98" s="199">
        <f>$M98*AG$34</f>
        <v/>
      </c>
      <c r="AH98" s="199">
        <f>$M98*AH$34</f>
        <v/>
      </c>
      <c r="AJ98" s="198">
        <f>$G98</f>
        <v/>
      </c>
      <c r="AK98" s="199">
        <f>$H98</f>
        <v/>
      </c>
      <c r="AL98" s="199">
        <f>$N98*AL$34</f>
        <v/>
      </c>
      <c r="AM98" s="199">
        <f>$N98*AM$34</f>
        <v/>
      </c>
      <c r="AN98" s="199">
        <f>$N98*AN$34</f>
        <v/>
      </c>
      <c r="AO98" s="199">
        <f>$N98*AO$34</f>
        <v/>
      </c>
      <c r="AP98" s="199">
        <f>$N98*AP$34</f>
        <v/>
      </c>
      <c r="AR98" s="198">
        <f>$G98</f>
        <v/>
      </c>
      <c r="AS98" s="199">
        <f>$H98</f>
        <v/>
      </c>
      <c r="AT98" s="199">
        <f>$O98*AT$34-$Q98</f>
        <v/>
      </c>
      <c r="AU98" s="199">
        <f>$O98*AU$34-$Q98</f>
        <v/>
      </c>
      <c r="AV98" s="199">
        <f>$O98*AV$34-$Q98</f>
        <v/>
      </c>
      <c r="AW98" s="199">
        <f>$O98*AW$34-$Q98</f>
        <v/>
      </c>
      <c r="AX98" s="199">
        <f>$O98*AX$34-$Q98</f>
        <v/>
      </c>
      <c r="AZ98" s="198">
        <f>$G98</f>
        <v/>
      </c>
      <c r="BA98" s="199">
        <f>$H98</f>
        <v/>
      </c>
      <c r="BB98" s="199">
        <f>$P98*BB$34-$Q98</f>
        <v/>
      </c>
      <c r="BC98" s="199">
        <f>$P98*BC$34-$Q98</f>
        <v/>
      </c>
      <c r="BD98" s="199">
        <f>$P98*BD$34-$Q98</f>
        <v/>
      </c>
      <c r="BE98" s="199">
        <f>$P98*BE$34-$Q98</f>
        <v/>
      </c>
      <c r="BF98" s="199">
        <f>$P98*BF$34-$Q98</f>
        <v/>
      </c>
      <c r="BH98" s="198">
        <f>$G98</f>
        <v/>
      </c>
      <c r="BI98" s="197">
        <f>$I98</f>
        <v/>
      </c>
      <c r="BJ98" s="197">
        <f>+BJ99</f>
        <v/>
      </c>
      <c r="BK98" s="197">
        <f>+BK99</f>
        <v/>
      </c>
      <c r="BL98" s="197">
        <f>+BL99</f>
        <v/>
      </c>
      <c r="BM98" s="197">
        <f>+BM99</f>
        <v/>
      </c>
      <c r="BN98" s="197">
        <f>+BN99</f>
        <v/>
      </c>
      <c r="BP98" s="198">
        <f>$G98</f>
        <v/>
      </c>
      <c r="BQ98" s="197">
        <f>$J98</f>
        <v/>
      </c>
      <c r="BR98" s="197">
        <f>+BR99</f>
        <v/>
      </c>
      <c r="BS98" s="197">
        <f>+BS99</f>
        <v/>
      </c>
      <c r="BT98" s="197">
        <f>+BT99</f>
        <v/>
      </c>
      <c r="BU98" s="197">
        <f>+BU99</f>
        <v/>
      </c>
      <c r="BV98" s="197">
        <f>+BV99</f>
        <v/>
      </c>
      <c r="BX98" s="198">
        <f>$G98</f>
        <v/>
      </c>
      <c r="BY98" s="197">
        <f>$K98</f>
        <v/>
      </c>
      <c r="BZ98" s="197">
        <f>+BZ99</f>
        <v/>
      </c>
      <c r="CA98" s="197">
        <f>+CA99</f>
        <v/>
      </c>
      <c r="CB98" s="197">
        <f>+CB99</f>
        <v/>
      </c>
      <c r="CC98" s="197">
        <f>+CC99</f>
        <v/>
      </c>
      <c r="CD98" s="197">
        <f>+CD99</f>
        <v/>
      </c>
      <c r="CF98" s="198">
        <f>$G98</f>
        <v/>
      </c>
      <c r="CG98" s="197">
        <f>$L98</f>
        <v/>
      </c>
      <c r="CH98" s="197">
        <f>+CH99</f>
        <v/>
      </c>
      <c r="CI98" s="197">
        <f>+CI99</f>
        <v/>
      </c>
      <c r="CJ98" s="197">
        <f>+CJ99</f>
        <v/>
      </c>
      <c r="CK98" s="197">
        <f>+CK99</f>
        <v/>
      </c>
      <c r="CL98" s="197">
        <f>+CL99</f>
        <v/>
      </c>
      <c r="CO98" s="199" t="n"/>
      <c r="CP98" s="199" t="n">
        <v>3.15</v>
      </c>
      <c r="CR98" s="199" t="inlineStr">
        <is>
          <t>#N/A N/A</t>
        </is>
      </c>
      <c r="CS98" s="970" t="n">
        <v>1.03715</v>
      </c>
    </row>
    <row r="99">
      <c r="B99" s="204">
        <f>+C99-1</f>
        <v/>
      </c>
      <c r="C99" s="204">
        <f>IF('bands_A-H_Avg'!$D$9+1&gt;MONTH(G99),YEAR(G99),YEAR(G99)+1)</f>
        <v/>
      </c>
      <c r="D99" s="204">
        <f>+C99+1</f>
        <v/>
      </c>
      <c r="E99" s="203">
        <f>IF(C99&gt;C98,1,E98+1)</f>
        <v/>
      </c>
      <c r="F99" s="203">
        <f>COUNTIF(C:C,C99)</f>
        <v/>
      </c>
      <c r="G99" s="198">
        <f>+G98+7</f>
        <v/>
      </c>
      <c r="H99" s="361">
        <f>IF(ISBLANK(CO99),CP99,SUMPRODUCT(CO$32:CP$32,CO99:CP99))</f>
        <v/>
      </c>
      <c r="I99" s="968">
        <f>H99/M99</f>
        <v/>
      </c>
      <c r="J99" s="968">
        <f>H99/N99</f>
        <v/>
      </c>
      <c r="K99" s="968">
        <f>(H99+Q99)/O99</f>
        <v/>
      </c>
      <c r="L99" s="968">
        <f>(H99+Q99)/P99</f>
        <v/>
      </c>
      <c r="M99" s="199">
        <f>HLOOKUP(C:C,$4:$10,3,FALSE)+((HLOOKUP(D:D,$4:$10,3,FALSE)-HLOOKUP(C:C,$4:$10,3,FALSE))*E99/F99)</f>
        <v/>
      </c>
      <c r="N99" s="199">
        <f>HLOOKUP(C:C,$4:$10,2,FALSE)+((HLOOKUP(D:D,$4:$10,2,FALSE)-HLOOKUP(C:C,$4:$10,2,FALSE))*E99/F99)</f>
        <v/>
      </c>
      <c r="O99" s="199">
        <f>HLOOKUP(C:C,$4:$10,5,FALSE)+((HLOOKUP(D:D,$4:$10,5,FALSE)-HLOOKUP(C:C,$4:$10,5,FALSE))*E99/F99)</f>
        <v/>
      </c>
      <c r="P99" s="199">
        <f>HLOOKUP(C:C,$4:$10,4,FALSE)+((HLOOKUP(D:D,$4:$10,4,FALSE)-HLOOKUP(C:C,$4:$10,4,FALSE))*E99/F99)</f>
        <v/>
      </c>
      <c r="Q99" s="199">
        <f>HLOOKUP(B:B,$4:$10,6,FALSE)+((HLOOKUP(C:C,$4:$10,6,FALSE)-HLOOKUP(B:B,$4:$10,6,FALSE))*E99/F99)</f>
        <v/>
      </c>
      <c r="T99" s="198">
        <f>$G99</f>
        <v/>
      </c>
      <c r="U99" s="199">
        <f>H99/(HLOOKUP(B:B,$4:$10,3,FALSE)+((HLOOKUP(C:C,$4:$10,3,FALSE)-HLOOKUP(B:B,$4:$10,3,FALSE))*E99/F99))</f>
        <v/>
      </c>
      <c r="V99" s="969">
        <f>HLOOKUP(B:B,$4:$10,7,FALSE)+((HLOOKUP(C:C,$4:$10,7,FALSE)-HLOOKUP(B:B,$4:$10,7,FALSE))*E99/F99)</f>
        <v/>
      </c>
      <c r="AB99" s="198">
        <f>$G99</f>
        <v/>
      </c>
      <c r="AC99" s="199">
        <f>$H99</f>
        <v/>
      </c>
      <c r="AD99" s="199">
        <f>$M99*AD$34</f>
        <v/>
      </c>
      <c r="AE99" s="199">
        <f>$M99*AE$34</f>
        <v/>
      </c>
      <c r="AF99" s="199">
        <f>$M99*AF$34</f>
        <v/>
      </c>
      <c r="AG99" s="199">
        <f>$M99*AG$34</f>
        <v/>
      </c>
      <c r="AH99" s="199">
        <f>$M99*AH$34</f>
        <v/>
      </c>
      <c r="AJ99" s="198">
        <f>$G99</f>
        <v/>
      </c>
      <c r="AK99" s="199">
        <f>$H99</f>
        <v/>
      </c>
      <c r="AL99" s="199">
        <f>$N99*AL$34</f>
        <v/>
      </c>
      <c r="AM99" s="199">
        <f>$N99*AM$34</f>
        <v/>
      </c>
      <c r="AN99" s="199">
        <f>$N99*AN$34</f>
        <v/>
      </c>
      <c r="AO99" s="199">
        <f>$N99*AO$34</f>
        <v/>
      </c>
      <c r="AP99" s="199">
        <f>$N99*AP$34</f>
        <v/>
      </c>
      <c r="AR99" s="198">
        <f>$G99</f>
        <v/>
      </c>
      <c r="AS99" s="199">
        <f>$H99</f>
        <v/>
      </c>
      <c r="AT99" s="199">
        <f>$O99*AT$34-$Q99</f>
        <v/>
      </c>
      <c r="AU99" s="199">
        <f>$O99*AU$34-$Q99</f>
        <v/>
      </c>
      <c r="AV99" s="199">
        <f>$O99*AV$34-$Q99</f>
        <v/>
      </c>
      <c r="AW99" s="199">
        <f>$O99*AW$34-$Q99</f>
        <v/>
      </c>
      <c r="AX99" s="199">
        <f>$O99*AX$34-$Q99</f>
        <v/>
      </c>
      <c r="AZ99" s="198">
        <f>$G99</f>
        <v/>
      </c>
      <c r="BA99" s="199">
        <f>$H99</f>
        <v/>
      </c>
      <c r="BB99" s="199">
        <f>$P99*BB$34-$Q99</f>
        <v/>
      </c>
      <c r="BC99" s="199">
        <f>$P99*BC$34-$Q99</f>
        <v/>
      </c>
      <c r="BD99" s="199">
        <f>$P99*BD$34-$Q99</f>
        <v/>
      </c>
      <c r="BE99" s="199">
        <f>$P99*BE$34-$Q99</f>
        <v/>
      </c>
      <c r="BF99" s="199">
        <f>$P99*BF$34-$Q99</f>
        <v/>
      </c>
      <c r="BH99" s="198">
        <f>$G99</f>
        <v/>
      </c>
      <c r="BI99" s="197">
        <f>$I99</f>
        <v/>
      </c>
      <c r="BJ99" s="197">
        <f>+BJ100</f>
        <v/>
      </c>
      <c r="BK99" s="197">
        <f>+BK100</f>
        <v/>
      </c>
      <c r="BL99" s="197">
        <f>+BL100</f>
        <v/>
      </c>
      <c r="BM99" s="197">
        <f>+BM100</f>
        <v/>
      </c>
      <c r="BN99" s="197">
        <f>+BN100</f>
        <v/>
      </c>
      <c r="BP99" s="198">
        <f>$G99</f>
        <v/>
      </c>
      <c r="BQ99" s="197">
        <f>$J99</f>
        <v/>
      </c>
      <c r="BR99" s="197">
        <f>+BR100</f>
        <v/>
      </c>
      <c r="BS99" s="197">
        <f>+BS100</f>
        <v/>
      </c>
      <c r="BT99" s="197">
        <f>+BT100</f>
        <v/>
      </c>
      <c r="BU99" s="197">
        <f>+BU100</f>
        <v/>
      </c>
      <c r="BV99" s="197">
        <f>+BV100</f>
        <v/>
      </c>
      <c r="BX99" s="198">
        <f>$G99</f>
        <v/>
      </c>
      <c r="BY99" s="197">
        <f>$K99</f>
        <v/>
      </c>
      <c r="BZ99" s="197">
        <f>+BZ100</f>
        <v/>
      </c>
      <c r="CA99" s="197">
        <f>+CA100</f>
        <v/>
      </c>
      <c r="CB99" s="197">
        <f>+CB100</f>
        <v/>
      </c>
      <c r="CC99" s="197">
        <f>+CC100</f>
        <v/>
      </c>
      <c r="CD99" s="197">
        <f>+CD100</f>
        <v/>
      </c>
      <c r="CF99" s="198">
        <f>$G99</f>
        <v/>
      </c>
      <c r="CG99" s="197">
        <f>$L99</f>
        <v/>
      </c>
      <c r="CH99" s="197">
        <f>+CH100</f>
        <v/>
      </c>
      <c r="CI99" s="197">
        <f>+CI100</f>
        <v/>
      </c>
      <c r="CJ99" s="197">
        <f>+CJ100</f>
        <v/>
      </c>
      <c r="CK99" s="197">
        <f>+CK100</f>
        <v/>
      </c>
      <c r="CL99" s="197">
        <f>+CL100</f>
        <v/>
      </c>
      <c r="CO99" s="199" t="n"/>
      <c r="CP99" s="199" t="n">
        <v>2.95</v>
      </c>
      <c r="CR99" s="199" t="inlineStr">
        <is>
          <t>#N/A N/A</t>
        </is>
      </c>
      <c r="CS99" s="970" t="n">
        <v>1.03535</v>
      </c>
    </row>
    <row r="100">
      <c r="B100" s="204">
        <f>+C100-1</f>
        <v/>
      </c>
      <c r="C100" s="204">
        <f>IF('bands_A-H_Avg'!$D$9+1&gt;MONTH(G100),YEAR(G100),YEAR(G100)+1)</f>
        <v/>
      </c>
      <c r="D100" s="204">
        <f>+C100+1</f>
        <v/>
      </c>
      <c r="E100" s="203">
        <f>IF(C100&gt;C99,1,E99+1)</f>
        <v/>
      </c>
      <c r="F100" s="203">
        <f>COUNTIF(C:C,C100)</f>
        <v/>
      </c>
      <c r="G100" s="198">
        <f>+G99+7</f>
        <v/>
      </c>
      <c r="H100" s="361">
        <f>IF(ISBLANK(CO100),CP100,SUMPRODUCT(CO$32:CP$32,CO100:CP100))</f>
        <v/>
      </c>
      <c r="I100" s="968">
        <f>H100/M100</f>
        <v/>
      </c>
      <c r="J100" s="968">
        <f>H100/N100</f>
        <v/>
      </c>
      <c r="K100" s="968">
        <f>(H100+Q100)/O100</f>
        <v/>
      </c>
      <c r="L100" s="968">
        <f>(H100+Q100)/P100</f>
        <v/>
      </c>
      <c r="M100" s="199">
        <f>HLOOKUP(C:C,$4:$10,3,FALSE)+((HLOOKUP(D:D,$4:$10,3,FALSE)-HLOOKUP(C:C,$4:$10,3,FALSE))*E100/F100)</f>
        <v/>
      </c>
      <c r="N100" s="199">
        <f>HLOOKUP(C:C,$4:$10,2,FALSE)+((HLOOKUP(D:D,$4:$10,2,FALSE)-HLOOKUP(C:C,$4:$10,2,FALSE))*E100/F100)</f>
        <v/>
      </c>
      <c r="O100" s="199">
        <f>HLOOKUP(C:C,$4:$10,5,FALSE)+((HLOOKUP(D:D,$4:$10,5,FALSE)-HLOOKUP(C:C,$4:$10,5,FALSE))*E100/F100)</f>
        <v/>
      </c>
      <c r="P100" s="199">
        <f>HLOOKUP(C:C,$4:$10,4,FALSE)+((HLOOKUP(D:D,$4:$10,4,FALSE)-HLOOKUP(C:C,$4:$10,4,FALSE))*E100/F100)</f>
        <v/>
      </c>
      <c r="Q100" s="199">
        <f>HLOOKUP(B:B,$4:$10,6,FALSE)+((HLOOKUP(C:C,$4:$10,6,FALSE)-HLOOKUP(B:B,$4:$10,6,FALSE))*E100/F100)</f>
        <v/>
      </c>
      <c r="T100" s="198">
        <f>$G100</f>
        <v/>
      </c>
      <c r="U100" s="199">
        <f>H100/(HLOOKUP(B:B,$4:$10,3,FALSE)+((HLOOKUP(C:C,$4:$10,3,FALSE)-HLOOKUP(B:B,$4:$10,3,FALSE))*E100/F100))</f>
        <v/>
      </c>
      <c r="V100" s="969">
        <f>HLOOKUP(B:B,$4:$10,7,FALSE)+((HLOOKUP(C:C,$4:$10,7,FALSE)-HLOOKUP(B:B,$4:$10,7,FALSE))*E100/F100)</f>
        <v/>
      </c>
      <c r="AB100" s="198">
        <f>$G100</f>
        <v/>
      </c>
      <c r="AC100" s="199">
        <f>$H100</f>
        <v/>
      </c>
      <c r="AD100" s="199">
        <f>$M100*AD$34</f>
        <v/>
      </c>
      <c r="AE100" s="199">
        <f>$M100*AE$34</f>
        <v/>
      </c>
      <c r="AF100" s="199">
        <f>$M100*AF$34</f>
        <v/>
      </c>
      <c r="AG100" s="199">
        <f>$M100*AG$34</f>
        <v/>
      </c>
      <c r="AH100" s="199">
        <f>$M100*AH$34</f>
        <v/>
      </c>
      <c r="AJ100" s="198">
        <f>$G100</f>
        <v/>
      </c>
      <c r="AK100" s="199">
        <f>$H100</f>
        <v/>
      </c>
      <c r="AL100" s="199">
        <f>$N100*AL$34</f>
        <v/>
      </c>
      <c r="AM100" s="199">
        <f>$N100*AM$34</f>
        <v/>
      </c>
      <c r="AN100" s="199">
        <f>$N100*AN$34</f>
        <v/>
      </c>
      <c r="AO100" s="199">
        <f>$N100*AO$34</f>
        <v/>
      </c>
      <c r="AP100" s="199">
        <f>$N100*AP$34</f>
        <v/>
      </c>
      <c r="AR100" s="198">
        <f>$G100</f>
        <v/>
      </c>
      <c r="AS100" s="199">
        <f>$H100</f>
        <v/>
      </c>
      <c r="AT100" s="199">
        <f>$O100*AT$34-$Q100</f>
        <v/>
      </c>
      <c r="AU100" s="199">
        <f>$O100*AU$34-$Q100</f>
        <v/>
      </c>
      <c r="AV100" s="199">
        <f>$O100*AV$34-$Q100</f>
        <v/>
      </c>
      <c r="AW100" s="199">
        <f>$O100*AW$34-$Q100</f>
        <v/>
      </c>
      <c r="AX100" s="199">
        <f>$O100*AX$34-$Q100</f>
        <v/>
      </c>
      <c r="AZ100" s="198">
        <f>$G100</f>
        <v/>
      </c>
      <c r="BA100" s="199">
        <f>$H100</f>
        <v/>
      </c>
      <c r="BB100" s="199">
        <f>$P100*BB$34-$Q100</f>
        <v/>
      </c>
      <c r="BC100" s="199">
        <f>$P100*BC$34-$Q100</f>
        <v/>
      </c>
      <c r="BD100" s="199">
        <f>$P100*BD$34-$Q100</f>
        <v/>
      </c>
      <c r="BE100" s="199">
        <f>$P100*BE$34-$Q100</f>
        <v/>
      </c>
      <c r="BF100" s="199">
        <f>$P100*BF$34-$Q100</f>
        <v/>
      </c>
      <c r="BH100" s="198">
        <f>$G100</f>
        <v/>
      </c>
      <c r="BI100" s="197">
        <f>$I100</f>
        <v/>
      </c>
      <c r="BJ100" s="197">
        <f>+BJ101</f>
        <v/>
      </c>
      <c r="BK100" s="197">
        <f>+BK101</f>
        <v/>
      </c>
      <c r="BL100" s="197">
        <f>+BL101</f>
        <v/>
      </c>
      <c r="BM100" s="197">
        <f>+BM101</f>
        <v/>
      </c>
      <c r="BN100" s="197">
        <f>+BN101</f>
        <v/>
      </c>
      <c r="BP100" s="198">
        <f>$G100</f>
        <v/>
      </c>
      <c r="BQ100" s="197">
        <f>$J100</f>
        <v/>
      </c>
      <c r="BR100" s="197">
        <f>+BR101</f>
        <v/>
      </c>
      <c r="BS100" s="197">
        <f>+BS101</f>
        <v/>
      </c>
      <c r="BT100" s="197">
        <f>+BT101</f>
        <v/>
      </c>
      <c r="BU100" s="197">
        <f>+BU101</f>
        <v/>
      </c>
      <c r="BV100" s="197">
        <f>+BV101</f>
        <v/>
      </c>
      <c r="BX100" s="198">
        <f>$G100</f>
        <v/>
      </c>
      <c r="BY100" s="197">
        <f>$K100</f>
        <v/>
      </c>
      <c r="BZ100" s="197">
        <f>+BZ101</f>
        <v/>
      </c>
      <c r="CA100" s="197">
        <f>+CA101</f>
        <v/>
      </c>
      <c r="CB100" s="197">
        <f>+CB101</f>
        <v/>
      </c>
      <c r="CC100" s="197">
        <f>+CC101</f>
        <v/>
      </c>
      <c r="CD100" s="197">
        <f>+CD101</f>
        <v/>
      </c>
      <c r="CF100" s="198">
        <f>$G100</f>
        <v/>
      </c>
      <c r="CG100" s="197">
        <f>$L100</f>
        <v/>
      </c>
      <c r="CH100" s="197">
        <f>+CH101</f>
        <v/>
      </c>
      <c r="CI100" s="197">
        <f>+CI101</f>
        <v/>
      </c>
      <c r="CJ100" s="197">
        <f>+CJ101</f>
        <v/>
      </c>
      <c r="CK100" s="197">
        <f>+CK101</f>
        <v/>
      </c>
      <c r="CL100" s="197">
        <f>+CL101</f>
        <v/>
      </c>
      <c r="CO100" s="199" t="n"/>
      <c r="CP100" s="199" t="n">
        <v>3.05</v>
      </c>
      <c r="CR100" s="199" t="inlineStr">
        <is>
          <t>#N/A N/A</t>
        </is>
      </c>
      <c r="CS100" s="970" t="n">
        <v>1.03492</v>
      </c>
    </row>
    <row r="101">
      <c r="B101" s="204">
        <f>+C101-1</f>
        <v/>
      </c>
      <c r="C101" s="204">
        <f>IF('bands_A-H_Avg'!$D$9+1&gt;MONTH(G101),YEAR(G101),YEAR(G101)+1)</f>
        <v/>
      </c>
      <c r="D101" s="204">
        <f>+C101+1</f>
        <v/>
      </c>
      <c r="E101" s="203">
        <f>IF(C101&gt;C100,1,E100+1)</f>
        <v/>
      </c>
      <c r="F101" s="203">
        <f>COUNTIF(C:C,C101)</f>
        <v/>
      </c>
      <c r="G101" s="198">
        <f>+G100+7</f>
        <v/>
      </c>
      <c r="H101" s="361">
        <f>IF(ISBLANK(CO101),CP101,SUMPRODUCT(CO$32:CP$32,CO101:CP101))</f>
        <v/>
      </c>
      <c r="I101" s="968">
        <f>H101/M101</f>
        <v/>
      </c>
      <c r="J101" s="968">
        <f>H101/N101</f>
        <v/>
      </c>
      <c r="K101" s="968">
        <f>(H101+Q101)/O101</f>
        <v/>
      </c>
      <c r="L101" s="968">
        <f>(H101+Q101)/P101</f>
        <v/>
      </c>
      <c r="M101" s="199">
        <f>HLOOKUP(C:C,$4:$10,3,FALSE)+((HLOOKUP(D:D,$4:$10,3,FALSE)-HLOOKUP(C:C,$4:$10,3,FALSE))*E101/F101)</f>
        <v/>
      </c>
      <c r="N101" s="199">
        <f>HLOOKUP(C:C,$4:$10,2,FALSE)+((HLOOKUP(D:D,$4:$10,2,FALSE)-HLOOKUP(C:C,$4:$10,2,FALSE))*E101/F101)</f>
        <v/>
      </c>
      <c r="O101" s="199">
        <f>HLOOKUP(C:C,$4:$10,5,FALSE)+((HLOOKUP(D:D,$4:$10,5,FALSE)-HLOOKUP(C:C,$4:$10,5,FALSE))*E101/F101)</f>
        <v/>
      </c>
      <c r="P101" s="199">
        <f>HLOOKUP(C:C,$4:$10,4,FALSE)+((HLOOKUP(D:D,$4:$10,4,FALSE)-HLOOKUP(C:C,$4:$10,4,FALSE))*E101/F101)</f>
        <v/>
      </c>
      <c r="Q101" s="199">
        <f>HLOOKUP(B:B,$4:$10,6,FALSE)+((HLOOKUP(C:C,$4:$10,6,FALSE)-HLOOKUP(B:B,$4:$10,6,FALSE))*E101/F101)</f>
        <v/>
      </c>
      <c r="T101" s="198">
        <f>$G101</f>
        <v/>
      </c>
      <c r="U101" s="199">
        <f>H101/(HLOOKUP(B:B,$4:$10,3,FALSE)+((HLOOKUP(C:C,$4:$10,3,FALSE)-HLOOKUP(B:B,$4:$10,3,FALSE))*E101/F101))</f>
        <v/>
      </c>
      <c r="V101" s="969">
        <f>HLOOKUP(B:B,$4:$10,7,FALSE)+((HLOOKUP(C:C,$4:$10,7,FALSE)-HLOOKUP(B:B,$4:$10,7,FALSE))*E101/F101)</f>
        <v/>
      </c>
      <c r="AB101" s="198">
        <f>$G101</f>
        <v/>
      </c>
      <c r="AC101" s="199">
        <f>$H101</f>
        <v/>
      </c>
      <c r="AD101" s="199">
        <f>$M101*AD$34</f>
        <v/>
      </c>
      <c r="AE101" s="199">
        <f>$M101*AE$34</f>
        <v/>
      </c>
      <c r="AF101" s="199">
        <f>$M101*AF$34</f>
        <v/>
      </c>
      <c r="AG101" s="199">
        <f>$M101*AG$34</f>
        <v/>
      </c>
      <c r="AH101" s="199">
        <f>$M101*AH$34</f>
        <v/>
      </c>
      <c r="AJ101" s="198">
        <f>$G101</f>
        <v/>
      </c>
      <c r="AK101" s="199">
        <f>$H101</f>
        <v/>
      </c>
      <c r="AL101" s="199">
        <f>$N101*AL$34</f>
        <v/>
      </c>
      <c r="AM101" s="199">
        <f>$N101*AM$34</f>
        <v/>
      </c>
      <c r="AN101" s="199">
        <f>$N101*AN$34</f>
        <v/>
      </c>
      <c r="AO101" s="199">
        <f>$N101*AO$34</f>
        <v/>
      </c>
      <c r="AP101" s="199">
        <f>$N101*AP$34</f>
        <v/>
      </c>
      <c r="AR101" s="198">
        <f>$G101</f>
        <v/>
      </c>
      <c r="AS101" s="199">
        <f>$H101</f>
        <v/>
      </c>
      <c r="AT101" s="199">
        <f>$O101*AT$34-$Q101</f>
        <v/>
      </c>
      <c r="AU101" s="199">
        <f>$O101*AU$34-$Q101</f>
        <v/>
      </c>
      <c r="AV101" s="199">
        <f>$O101*AV$34-$Q101</f>
        <v/>
      </c>
      <c r="AW101" s="199">
        <f>$O101*AW$34-$Q101</f>
        <v/>
      </c>
      <c r="AX101" s="199">
        <f>$O101*AX$34-$Q101</f>
        <v/>
      </c>
      <c r="AZ101" s="198">
        <f>$G101</f>
        <v/>
      </c>
      <c r="BA101" s="199">
        <f>$H101</f>
        <v/>
      </c>
      <c r="BB101" s="199">
        <f>$P101*BB$34-$Q101</f>
        <v/>
      </c>
      <c r="BC101" s="199">
        <f>$P101*BC$34-$Q101</f>
        <v/>
      </c>
      <c r="BD101" s="199">
        <f>$P101*BD$34-$Q101</f>
        <v/>
      </c>
      <c r="BE101" s="199">
        <f>$P101*BE$34-$Q101</f>
        <v/>
      </c>
      <c r="BF101" s="199">
        <f>$P101*BF$34-$Q101</f>
        <v/>
      </c>
      <c r="BH101" s="198">
        <f>$G101</f>
        <v/>
      </c>
      <c r="BI101" s="197">
        <f>$I101</f>
        <v/>
      </c>
      <c r="BJ101" s="197">
        <f>+BJ102</f>
        <v/>
      </c>
      <c r="BK101" s="197">
        <f>+BK102</f>
        <v/>
      </c>
      <c r="BL101" s="197">
        <f>+BL102</f>
        <v/>
      </c>
      <c r="BM101" s="197">
        <f>+BM102</f>
        <v/>
      </c>
      <c r="BN101" s="197">
        <f>+BN102</f>
        <v/>
      </c>
      <c r="BP101" s="198">
        <f>$G101</f>
        <v/>
      </c>
      <c r="BQ101" s="197">
        <f>$J101</f>
        <v/>
      </c>
      <c r="BR101" s="197">
        <f>+BR102</f>
        <v/>
      </c>
      <c r="BS101" s="197">
        <f>+BS102</f>
        <v/>
      </c>
      <c r="BT101" s="197">
        <f>+BT102</f>
        <v/>
      </c>
      <c r="BU101" s="197">
        <f>+BU102</f>
        <v/>
      </c>
      <c r="BV101" s="197">
        <f>+BV102</f>
        <v/>
      </c>
      <c r="BX101" s="198">
        <f>$G101</f>
        <v/>
      </c>
      <c r="BY101" s="197">
        <f>$K101</f>
        <v/>
      </c>
      <c r="BZ101" s="197">
        <f>+BZ102</f>
        <v/>
      </c>
      <c r="CA101" s="197">
        <f>+CA102</f>
        <v/>
      </c>
      <c r="CB101" s="197">
        <f>+CB102</f>
        <v/>
      </c>
      <c r="CC101" s="197">
        <f>+CC102</f>
        <v/>
      </c>
      <c r="CD101" s="197">
        <f>+CD102</f>
        <v/>
      </c>
      <c r="CF101" s="198">
        <f>$G101</f>
        <v/>
      </c>
      <c r="CG101" s="197">
        <f>$L101</f>
        <v/>
      </c>
      <c r="CH101" s="197">
        <f>+CH102</f>
        <v/>
      </c>
      <c r="CI101" s="197">
        <f>+CI102</f>
        <v/>
      </c>
      <c r="CJ101" s="197">
        <f>+CJ102</f>
        <v/>
      </c>
      <c r="CK101" s="197">
        <f>+CK102</f>
        <v/>
      </c>
      <c r="CL101" s="197">
        <f>+CL102</f>
        <v/>
      </c>
      <c r="CO101" s="199" t="n"/>
      <c r="CP101" s="199" t="n">
        <v>3.275</v>
      </c>
      <c r="CR101" s="199" t="inlineStr">
        <is>
          <t>#N/A N/A</t>
        </is>
      </c>
      <c r="CS101" s="970" t="n">
        <v>1.03317</v>
      </c>
    </row>
    <row r="102">
      <c r="B102" s="204">
        <f>+C102-1</f>
        <v/>
      </c>
      <c r="C102" s="204">
        <f>IF('bands_A-H_Avg'!$D$9+1&gt;MONTH(G102),YEAR(G102),YEAR(G102)+1)</f>
        <v/>
      </c>
      <c r="D102" s="204">
        <f>+C102+1</f>
        <v/>
      </c>
      <c r="E102" s="203">
        <f>IF(C102&gt;C101,1,E101+1)</f>
        <v/>
      </c>
      <c r="F102" s="203">
        <f>COUNTIF(C:C,C102)</f>
        <v/>
      </c>
      <c r="G102" s="198">
        <f>+G101+7</f>
        <v/>
      </c>
      <c r="H102" s="361">
        <f>IF(ISBLANK(CO102),CP102,SUMPRODUCT(CO$32:CP$32,CO102:CP102))</f>
        <v/>
      </c>
      <c r="I102" s="968">
        <f>H102/M102</f>
        <v/>
      </c>
      <c r="J102" s="968">
        <f>H102/N102</f>
        <v/>
      </c>
      <c r="K102" s="968">
        <f>(H102+Q102)/O102</f>
        <v/>
      </c>
      <c r="L102" s="968">
        <f>(H102+Q102)/P102</f>
        <v/>
      </c>
      <c r="M102" s="199">
        <f>HLOOKUP(C:C,$4:$10,3,FALSE)+((HLOOKUP(D:D,$4:$10,3,FALSE)-HLOOKUP(C:C,$4:$10,3,FALSE))*E102/F102)</f>
        <v/>
      </c>
      <c r="N102" s="199">
        <f>HLOOKUP(C:C,$4:$10,2,FALSE)+((HLOOKUP(D:D,$4:$10,2,FALSE)-HLOOKUP(C:C,$4:$10,2,FALSE))*E102/F102)</f>
        <v/>
      </c>
      <c r="O102" s="199">
        <f>HLOOKUP(C:C,$4:$10,5,FALSE)+((HLOOKUP(D:D,$4:$10,5,FALSE)-HLOOKUP(C:C,$4:$10,5,FALSE))*E102/F102)</f>
        <v/>
      </c>
      <c r="P102" s="199">
        <f>HLOOKUP(C:C,$4:$10,4,FALSE)+((HLOOKUP(D:D,$4:$10,4,FALSE)-HLOOKUP(C:C,$4:$10,4,FALSE))*E102/F102)</f>
        <v/>
      </c>
      <c r="Q102" s="199">
        <f>HLOOKUP(B:B,$4:$10,6,FALSE)+((HLOOKUP(C:C,$4:$10,6,FALSE)-HLOOKUP(B:B,$4:$10,6,FALSE))*E102/F102)</f>
        <v/>
      </c>
      <c r="T102" s="198">
        <f>$G102</f>
        <v/>
      </c>
      <c r="U102" s="199">
        <f>H102/(HLOOKUP(B:B,$4:$10,3,FALSE)+((HLOOKUP(C:C,$4:$10,3,FALSE)-HLOOKUP(B:B,$4:$10,3,FALSE))*E102/F102))</f>
        <v/>
      </c>
      <c r="V102" s="969">
        <f>HLOOKUP(B:B,$4:$10,7,FALSE)+((HLOOKUP(C:C,$4:$10,7,FALSE)-HLOOKUP(B:B,$4:$10,7,FALSE))*E102/F102)</f>
        <v/>
      </c>
      <c r="AB102" s="198">
        <f>$G102</f>
        <v/>
      </c>
      <c r="AC102" s="199">
        <f>$H102</f>
        <v/>
      </c>
      <c r="AD102" s="199">
        <f>$M102*AD$34</f>
        <v/>
      </c>
      <c r="AE102" s="199">
        <f>$M102*AE$34</f>
        <v/>
      </c>
      <c r="AF102" s="199">
        <f>$M102*AF$34</f>
        <v/>
      </c>
      <c r="AG102" s="199">
        <f>$M102*AG$34</f>
        <v/>
      </c>
      <c r="AH102" s="199">
        <f>$M102*AH$34</f>
        <v/>
      </c>
      <c r="AJ102" s="198">
        <f>$G102</f>
        <v/>
      </c>
      <c r="AK102" s="199">
        <f>$H102</f>
        <v/>
      </c>
      <c r="AL102" s="199">
        <f>$N102*AL$34</f>
        <v/>
      </c>
      <c r="AM102" s="199">
        <f>$N102*AM$34</f>
        <v/>
      </c>
      <c r="AN102" s="199">
        <f>$N102*AN$34</f>
        <v/>
      </c>
      <c r="AO102" s="199">
        <f>$N102*AO$34</f>
        <v/>
      </c>
      <c r="AP102" s="199">
        <f>$N102*AP$34</f>
        <v/>
      </c>
      <c r="AR102" s="198">
        <f>$G102</f>
        <v/>
      </c>
      <c r="AS102" s="199">
        <f>$H102</f>
        <v/>
      </c>
      <c r="AT102" s="199">
        <f>$O102*AT$34-$Q102</f>
        <v/>
      </c>
      <c r="AU102" s="199">
        <f>$O102*AU$34-$Q102</f>
        <v/>
      </c>
      <c r="AV102" s="199">
        <f>$O102*AV$34-$Q102</f>
        <v/>
      </c>
      <c r="AW102" s="199">
        <f>$O102*AW$34-$Q102</f>
        <v/>
      </c>
      <c r="AX102" s="199">
        <f>$O102*AX$34-$Q102</f>
        <v/>
      </c>
      <c r="AZ102" s="198">
        <f>$G102</f>
        <v/>
      </c>
      <c r="BA102" s="199">
        <f>$H102</f>
        <v/>
      </c>
      <c r="BB102" s="199">
        <f>$P102*BB$34-$Q102</f>
        <v/>
      </c>
      <c r="BC102" s="199">
        <f>$P102*BC$34-$Q102</f>
        <v/>
      </c>
      <c r="BD102" s="199">
        <f>$P102*BD$34-$Q102</f>
        <v/>
      </c>
      <c r="BE102" s="199">
        <f>$P102*BE$34-$Q102</f>
        <v/>
      </c>
      <c r="BF102" s="199">
        <f>$P102*BF$34-$Q102</f>
        <v/>
      </c>
      <c r="BH102" s="198">
        <f>$G102</f>
        <v/>
      </c>
      <c r="BI102" s="197">
        <f>$I102</f>
        <v/>
      </c>
      <c r="BJ102" s="197">
        <f>+BJ103</f>
        <v/>
      </c>
      <c r="BK102" s="197">
        <f>+BK103</f>
        <v/>
      </c>
      <c r="BL102" s="197">
        <f>+BL103</f>
        <v/>
      </c>
      <c r="BM102" s="197">
        <f>+BM103</f>
        <v/>
      </c>
      <c r="BN102" s="197">
        <f>+BN103</f>
        <v/>
      </c>
      <c r="BP102" s="198">
        <f>$G102</f>
        <v/>
      </c>
      <c r="BQ102" s="197">
        <f>$J102</f>
        <v/>
      </c>
      <c r="BR102" s="197">
        <f>+BR103</f>
        <v/>
      </c>
      <c r="BS102" s="197">
        <f>+BS103</f>
        <v/>
      </c>
      <c r="BT102" s="197">
        <f>+BT103</f>
        <v/>
      </c>
      <c r="BU102" s="197">
        <f>+BU103</f>
        <v/>
      </c>
      <c r="BV102" s="197">
        <f>+BV103</f>
        <v/>
      </c>
      <c r="BX102" s="198">
        <f>$G102</f>
        <v/>
      </c>
      <c r="BY102" s="197">
        <f>$K102</f>
        <v/>
      </c>
      <c r="BZ102" s="197">
        <f>+BZ103</f>
        <v/>
      </c>
      <c r="CA102" s="197">
        <f>+CA103</f>
        <v/>
      </c>
      <c r="CB102" s="197">
        <f>+CB103</f>
        <v/>
      </c>
      <c r="CC102" s="197">
        <f>+CC103</f>
        <v/>
      </c>
      <c r="CD102" s="197">
        <f>+CD103</f>
        <v/>
      </c>
      <c r="CF102" s="198">
        <f>$G102</f>
        <v/>
      </c>
      <c r="CG102" s="197">
        <f>$L102</f>
        <v/>
      </c>
      <c r="CH102" s="197">
        <f>+CH103</f>
        <v/>
      </c>
      <c r="CI102" s="197">
        <f>+CI103</f>
        <v/>
      </c>
      <c r="CJ102" s="197">
        <f>+CJ103</f>
        <v/>
      </c>
      <c r="CK102" s="197">
        <f>+CK103</f>
        <v/>
      </c>
      <c r="CL102" s="197">
        <f>+CL103</f>
        <v/>
      </c>
      <c r="CO102" s="199" t="n"/>
      <c r="CP102" s="199" t="n">
        <v>3.275</v>
      </c>
      <c r="CR102" s="199" t="inlineStr">
        <is>
          <t>#N/A N/A</t>
        </is>
      </c>
      <c r="CS102" s="970" t="n">
        <v>1.03295</v>
      </c>
    </row>
    <row r="103">
      <c r="B103" s="204">
        <f>+C103-1</f>
        <v/>
      </c>
      <c r="C103" s="204">
        <f>IF('bands_A-H_Avg'!$D$9+1&gt;MONTH(G103),YEAR(G103),YEAR(G103)+1)</f>
        <v/>
      </c>
      <c r="D103" s="204">
        <f>+C103+1</f>
        <v/>
      </c>
      <c r="E103" s="203">
        <f>IF(C103&gt;C102,1,E102+1)</f>
        <v/>
      </c>
      <c r="F103" s="203">
        <f>COUNTIF(C:C,C103)</f>
        <v/>
      </c>
      <c r="G103" s="198">
        <f>+G102+7</f>
        <v/>
      </c>
      <c r="H103" s="361">
        <f>IF(ISBLANK(CO103),CP103,SUMPRODUCT(CO$32:CP$32,CO103:CP103))</f>
        <v/>
      </c>
      <c r="I103" s="968">
        <f>H103/M103</f>
        <v/>
      </c>
      <c r="J103" s="968">
        <f>H103/N103</f>
        <v/>
      </c>
      <c r="K103" s="968">
        <f>(H103+Q103)/O103</f>
        <v/>
      </c>
      <c r="L103" s="968">
        <f>(H103+Q103)/P103</f>
        <v/>
      </c>
      <c r="M103" s="199">
        <f>HLOOKUP(C:C,$4:$10,3,FALSE)+((HLOOKUP(D:D,$4:$10,3,FALSE)-HLOOKUP(C:C,$4:$10,3,FALSE))*E103/F103)</f>
        <v/>
      </c>
      <c r="N103" s="199">
        <f>HLOOKUP(C:C,$4:$10,2,FALSE)+((HLOOKUP(D:D,$4:$10,2,FALSE)-HLOOKUP(C:C,$4:$10,2,FALSE))*E103/F103)</f>
        <v/>
      </c>
      <c r="O103" s="199">
        <f>HLOOKUP(C:C,$4:$10,5,FALSE)+((HLOOKUP(D:D,$4:$10,5,FALSE)-HLOOKUP(C:C,$4:$10,5,FALSE))*E103/F103)</f>
        <v/>
      </c>
      <c r="P103" s="199">
        <f>HLOOKUP(C:C,$4:$10,4,FALSE)+((HLOOKUP(D:D,$4:$10,4,FALSE)-HLOOKUP(C:C,$4:$10,4,FALSE))*E103/F103)</f>
        <v/>
      </c>
      <c r="Q103" s="199">
        <f>HLOOKUP(B:B,$4:$10,6,FALSE)+((HLOOKUP(C:C,$4:$10,6,FALSE)-HLOOKUP(B:B,$4:$10,6,FALSE))*E103/F103)</f>
        <v/>
      </c>
      <c r="T103" s="198">
        <f>$G103</f>
        <v/>
      </c>
      <c r="U103" s="199">
        <f>H103/(HLOOKUP(B:B,$4:$10,3,FALSE)+((HLOOKUP(C:C,$4:$10,3,FALSE)-HLOOKUP(B:B,$4:$10,3,FALSE))*E103/F103))</f>
        <v/>
      </c>
      <c r="V103" s="969">
        <f>HLOOKUP(B:B,$4:$10,7,FALSE)+((HLOOKUP(C:C,$4:$10,7,FALSE)-HLOOKUP(B:B,$4:$10,7,FALSE))*E103/F103)</f>
        <v/>
      </c>
      <c r="AB103" s="198">
        <f>$G103</f>
        <v/>
      </c>
      <c r="AC103" s="199">
        <f>$H103</f>
        <v/>
      </c>
      <c r="AD103" s="199">
        <f>$M103*AD$34</f>
        <v/>
      </c>
      <c r="AE103" s="199">
        <f>$M103*AE$34</f>
        <v/>
      </c>
      <c r="AF103" s="199">
        <f>$M103*AF$34</f>
        <v/>
      </c>
      <c r="AG103" s="199">
        <f>$M103*AG$34</f>
        <v/>
      </c>
      <c r="AH103" s="199">
        <f>$M103*AH$34</f>
        <v/>
      </c>
      <c r="AJ103" s="198">
        <f>$G103</f>
        <v/>
      </c>
      <c r="AK103" s="199">
        <f>$H103</f>
        <v/>
      </c>
      <c r="AL103" s="199">
        <f>$N103*AL$34</f>
        <v/>
      </c>
      <c r="AM103" s="199">
        <f>$N103*AM$34</f>
        <v/>
      </c>
      <c r="AN103" s="199">
        <f>$N103*AN$34</f>
        <v/>
      </c>
      <c r="AO103" s="199">
        <f>$N103*AO$34</f>
        <v/>
      </c>
      <c r="AP103" s="199">
        <f>$N103*AP$34</f>
        <v/>
      </c>
      <c r="AR103" s="198">
        <f>$G103</f>
        <v/>
      </c>
      <c r="AS103" s="199">
        <f>$H103</f>
        <v/>
      </c>
      <c r="AT103" s="199">
        <f>$O103*AT$34-$Q103</f>
        <v/>
      </c>
      <c r="AU103" s="199">
        <f>$O103*AU$34-$Q103</f>
        <v/>
      </c>
      <c r="AV103" s="199">
        <f>$O103*AV$34-$Q103</f>
        <v/>
      </c>
      <c r="AW103" s="199">
        <f>$O103*AW$34-$Q103</f>
        <v/>
      </c>
      <c r="AX103" s="199">
        <f>$O103*AX$34-$Q103</f>
        <v/>
      </c>
      <c r="AZ103" s="198">
        <f>$G103</f>
        <v/>
      </c>
      <c r="BA103" s="199">
        <f>$H103</f>
        <v/>
      </c>
      <c r="BB103" s="199">
        <f>$P103*BB$34-$Q103</f>
        <v/>
      </c>
      <c r="BC103" s="199">
        <f>$P103*BC$34-$Q103</f>
        <v/>
      </c>
      <c r="BD103" s="199">
        <f>$P103*BD$34-$Q103</f>
        <v/>
      </c>
      <c r="BE103" s="199">
        <f>$P103*BE$34-$Q103</f>
        <v/>
      </c>
      <c r="BF103" s="199">
        <f>$P103*BF$34-$Q103</f>
        <v/>
      </c>
      <c r="BH103" s="198">
        <f>$G103</f>
        <v/>
      </c>
      <c r="BI103" s="197">
        <f>$I103</f>
        <v/>
      </c>
      <c r="BJ103" s="197">
        <f>+BJ104</f>
        <v/>
      </c>
      <c r="BK103" s="197">
        <f>+BK104</f>
        <v/>
      </c>
      <c r="BL103" s="197">
        <f>+BL104</f>
        <v/>
      </c>
      <c r="BM103" s="197">
        <f>+BM104</f>
        <v/>
      </c>
      <c r="BN103" s="197">
        <f>+BN104</f>
        <v/>
      </c>
      <c r="BP103" s="198">
        <f>$G103</f>
        <v/>
      </c>
      <c r="BQ103" s="197">
        <f>$J103</f>
        <v/>
      </c>
      <c r="BR103" s="197">
        <f>+BR104</f>
        <v/>
      </c>
      <c r="BS103" s="197">
        <f>+BS104</f>
        <v/>
      </c>
      <c r="BT103" s="197">
        <f>+BT104</f>
        <v/>
      </c>
      <c r="BU103" s="197">
        <f>+BU104</f>
        <v/>
      </c>
      <c r="BV103" s="197">
        <f>+BV104</f>
        <v/>
      </c>
      <c r="BX103" s="198">
        <f>$G103</f>
        <v/>
      </c>
      <c r="BY103" s="197">
        <f>$K103</f>
        <v/>
      </c>
      <c r="BZ103" s="197">
        <f>+BZ104</f>
        <v/>
      </c>
      <c r="CA103" s="197">
        <f>+CA104</f>
        <v/>
      </c>
      <c r="CB103" s="197">
        <f>+CB104</f>
        <v/>
      </c>
      <c r="CC103" s="197">
        <f>+CC104</f>
        <v/>
      </c>
      <c r="CD103" s="197">
        <f>+CD104</f>
        <v/>
      </c>
      <c r="CF103" s="198">
        <f>$G103</f>
        <v/>
      </c>
      <c r="CG103" s="197">
        <f>$L103</f>
        <v/>
      </c>
      <c r="CH103" s="197">
        <f>+CH104</f>
        <v/>
      </c>
      <c r="CI103" s="197">
        <f>+CI104</f>
        <v/>
      </c>
      <c r="CJ103" s="197">
        <f>+CJ104</f>
        <v/>
      </c>
      <c r="CK103" s="197">
        <f>+CK104</f>
        <v/>
      </c>
      <c r="CL103" s="197">
        <f>+CL104</f>
        <v/>
      </c>
      <c r="CO103" s="199" t="n"/>
      <c r="CP103" s="199" t="n">
        <v>2.925</v>
      </c>
      <c r="CR103" s="199" t="inlineStr">
        <is>
          <t>#N/A N/A</t>
        </is>
      </c>
      <c r="CS103" s="970" t="n">
        <v>1.03353</v>
      </c>
    </row>
    <row r="104">
      <c r="B104" s="204">
        <f>+C104-1</f>
        <v/>
      </c>
      <c r="C104" s="204">
        <f>IF('bands_A-H_Avg'!$D$9+1&gt;MONTH(G104),YEAR(G104),YEAR(G104)+1)</f>
        <v/>
      </c>
      <c r="D104" s="204">
        <f>+C104+1</f>
        <v/>
      </c>
      <c r="E104" s="203">
        <f>IF(C104&gt;C103,1,E103+1)</f>
        <v/>
      </c>
      <c r="F104" s="203">
        <f>COUNTIF(C:C,C104)</f>
        <v/>
      </c>
      <c r="G104" s="198">
        <f>+G103+7</f>
        <v/>
      </c>
      <c r="H104" s="361">
        <f>IF(ISBLANK(CO104),CP104,SUMPRODUCT(CO$32:CP$32,CO104:CP104))</f>
        <v/>
      </c>
      <c r="I104" s="968">
        <f>H104/M104</f>
        <v/>
      </c>
      <c r="J104" s="968">
        <f>H104/N104</f>
        <v/>
      </c>
      <c r="K104" s="968">
        <f>(H104+Q104)/O104</f>
        <v/>
      </c>
      <c r="L104" s="968">
        <f>(H104+Q104)/P104</f>
        <v/>
      </c>
      <c r="M104" s="199">
        <f>HLOOKUP(C:C,$4:$10,3,FALSE)+((HLOOKUP(D:D,$4:$10,3,FALSE)-HLOOKUP(C:C,$4:$10,3,FALSE))*E104/F104)</f>
        <v/>
      </c>
      <c r="N104" s="199">
        <f>HLOOKUP(C:C,$4:$10,2,FALSE)+((HLOOKUP(D:D,$4:$10,2,FALSE)-HLOOKUP(C:C,$4:$10,2,FALSE))*E104/F104)</f>
        <v/>
      </c>
      <c r="O104" s="199">
        <f>HLOOKUP(C:C,$4:$10,5,FALSE)+((HLOOKUP(D:D,$4:$10,5,FALSE)-HLOOKUP(C:C,$4:$10,5,FALSE))*E104/F104)</f>
        <v/>
      </c>
      <c r="P104" s="199">
        <f>HLOOKUP(C:C,$4:$10,4,FALSE)+((HLOOKUP(D:D,$4:$10,4,FALSE)-HLOOKUP(C:C,$4:$10,4,FALSE))*E104/F104)</f>
        <v/>
      </c>
      <c r="Q104" s="199">
        <f>HLOOKUP(B:B,$4:$10,6,FALSE)+((HLOOKUP(C:C,$4:$10,6,FALSE)-HLOOKUP(B:B,$4:$10,6,FALSE))*E104/F104)</f>
        <v/>
      </c>
      <c r="T104" s="198">
        <f>$G104</f>
        <v/>
      </c>
      <c r="U104" s="199">
        <f>H104/(HLOOKUP(B:B,$4:$10,3,FALSE)+((HLOOKUP(C:C,$4:$10,3,FALSE)-HLOOKUP(B:B,$4:$10,3,FALSE))*E104/F104))</f>
        <v/>
      </c>
      <c r="V104" s="969">
        <f>HLOOKUP(B:B,$4:$10,7,FALSE)+((HLOOKUP(C:C,$4:$10,7,FALSE)-HLOOKUP(B:B,$4:$10,7,FALSE))*E104/F104)</f>
        <v/>
      </c>
      <c r="AB104" s="198">
        <f>$G104</f>
        <v/>
      </c>
      <c r="AC104" s="199">
        <f>$H104</f>
        <v/>
      </c>
      <c r="AD104" s="199">
        <f>$M104*AD$34</f>
        <v/>
      </c>
      <c r="AE104" s="199">
        <f>$M104*AE$34</f>
        <v/>
      </c>
      <c r="AF104" s="199">
        <f>$M104*AF$34</f>
        <v/>
      </c>
      <c r="AG104" s="199">
        <f>$M104*AG$34</f>
        <v/>
      </c>
      <c r="AH104" s="199">
        <f>$M104*AH$34</f>
        <v/>
      </c>
      <c r="AJ104" s="198">
        <f>$G104</f>
        <v/>
      </c>
      <c r="AK104" s="199">
        <f>$H104</f>
        <v/>
      </c>
      <c r="AL104" s="199">
        <f>$N104*AL$34</f>
        <v/>
      </c>
      <c r="AM104" s="199">
        <f>$N104*AM$34</f>
        <v/>
      </c>
      <c r="AN104" s="199">
        <f>$N104*AN$34</f>
        <v/>
      </c>
      <c r="AO104" s="199">
        <f>$N104*AO$34</f>
        <v/>
      </c>
      <c r="AP104" s="199">
        <f>$N104*AP$34</f>
        <v/>
      </c>
      <c r="AR104" s="198">
        <f>$G104</f>
        <v/>
      </c>
      <c r="AS104" s="199">
        <f>$H104</f>
        <v/>
      </c>
      <c r="AT104" s="199">
        <f>$O104*AT$34-$Q104</f>
        <v/>
      </c>
      <c r="AU104" s="199">
        <f>$O104*AU$34-$Q104</f>
        <v/>
      </c>
      <c r="AV104" s="199">
        <f>$O104*AV$34-$Q104</f>
        <v/>
      </c>
      <c r="AW104" s="199">
        <f>$O104*AW$34-$Q104</f>
        <v/>
      </c>
      <c r="AX104" s="199">
        <f>$O104*AX$34-$Q104</f>
        <v/>
      </c>
      <c r="AZ104" s="198">
        <f>$G104</f>
        <v/>
      </c>
      <c r="BA104" s="199">
        <f>$H104</f>
        <v/>
      </c>
      <c r="BB104" s="199">
        <f>$P104*BB$34-$Q104</f>
        <v/>
      </c>
      <c r="BC104" s="199">
        <f>$P104*BC$34-$Q104</f>
        <v/>
      </c>
      <c r="BD104" s="199">
        <f>$P104*BD$34-$Q104</f>
        <v/>
      </c>
      <c r="BE104" s="199">
        <f>$P104*BE$34-$Q104</f>
        <v/>
      </c>
      <c r="BF104" s="199">
        <f>$P104*BF$34-$Q104</f>
        <v/>
      </c>
      <c r="BH104" s="198">
        <f>$G104</f>
        <v/>
      </c>
      <c r="BI104" s="197">
        <f>$I104</f>
        <v/>
      </c>
      <c r="BJ104" s="197">
        <f>+BJ105</f>
        <v/>
      </c>
      <c r="BK104" s="197">
        <f>+BK105</f>
        <v/>
      </c>
      <c r="BL104" s="197">
        <f>+BL105</f>
        <v/>
      </c>
      <c r="BM104" s="197">
        <f>+BM105</f>
        <v/>
      </c>
      <c r="BN104" s="197">
        <f>+BN105</f>
        <v/>
      </c>
      <c r="BP104" s="198">
        <f>$G104</f>
        <v/>
      </c>
      <c r="BQ104" s="197">
        <f>$J104</f>
        <v/>
      </c>
      <c r="BR104" s="197">
        <f>+BR105</f>
        <v/>
      </c>
      <c r="BS104" s="197">
        <f>+BS105</f>
        <v/>
      </c>
      <c r="BT104" s="197">
        <f>+BT105</f>
        <v/>
      </c>
      <c r="BU104" s="197">
        <f>+BU105</f>
        <v/>
      </c>
      <c r="BV104" s="197">
        <f>+BV105</f>
        <v/>
      </c>
      <c r="BX104" s="198">
        <f>$G104</f>
        <v/>
      </c>
      <c r="BY104" s="197">
        <f>$K104</f>
        <v/>
      </c>
      <c r="BZ104" s="197">
        <f>+BZ105</f>
        <v/>
      </c>
      <c r="CA104" s="197">
        <f>+CA105</f>
        <v/>
      </c>
      <c r="CB104" s="197">
        <f>+CB105</f>
        <v/>
      </c>
      <c r="CC104" s="197">
        <f>+CC105</f>
        <v/>
      </c>
      <c r="CD104" s="197">
        <f>+CD105</f>
        <v/>
      </c>
      <c r="CF104" s="198">
        <f>$G104</f>
        <v/>
      </c>
      <c r="CG104" s="197">
        <f>$L104</f>
        <v/>
      </c>
      <c r="CH104" s="197">
        <f>+CH105</f>
        <v/>
      </c>
      <c r="CI104" s="197">
        <f>+CI105</f>
        <v/>
      </c>
      <c r="CJ104" s="197">
        <f>+CJ105</f>
        <v/>
      </c>
      <c r="CK104" s="197">
        <f>+CK105</f>
        <v/>
      </c>
      <c r="CL104" s="197">
        <f>+CL105</f>
        <v/>
      </c>
      <c r="CO104" s="199" t="n"/>
      <c r="CP104" s="199" t="n">
        <v>3.225</v>
      </c>
      <c r="CR104" s="199" t="inlineStr">
        <is>
          <t>#N/A N/A</t>
        </is>
      </c>
      <c r="CS104" s="970" t="n">
        <v>1.03392</v>
      </c>
    </row>
    <row r="105">
      <c r="B105" s="204">
        <f>+C105-1</f>
        <v/>
      </c>
      <c r="C105" s="204">
        <f>IF('bands_A-H_Avg'!$D$9+1&gt;MONTH(G105),YEAR(G105),YEAR(G105)+1)</f>
        <v/>
      </c>
      <c r="D105" s="204">
        <f>+C105+1</f>
        <v/>
      </c>
      <c r="E105" s="203">
        <f>IF(C105&gt;C104,1,E104+1)</f>
        <v/>
      </c>
      <c r="F105" s="203">
        <f>COUNTIF(C:C,C105)</f>
        <v/>
      </c>
      <c r="G105" s="198">
        <f>+G104+7</f>
        <v/>
      </c>
      <c r="H105" s="361">
        <f>IF(ISBLANK(CO105),CP105,SUMPRODUCT(CO$32:CP$32,CO105:CP105))</f>
        <v/>
      </c>
      <c r="I105" s="968">
        <f>H105/M105</f>
        <v/>
      </c>
      <c r="J105" s="968">
        <f>H105/N105</f>
        <v/>
      </c>
      <c r="K105" s="968">
        <f>(H105+Q105)/O105</f>
        <v/>
      </c>
      <c r="L105" s="968">
        <f>(H105+Q105)/P105</f>
        <v/>
      </c>
      <c r="M105" s="199">
        <f>HLOOKUP(C:C,$4:$10,3,FALSE)+((HLOOKUP(D:D,$4:$10,3,FALSE)-HLOOKUP(C:C,$4:$10,3,FALSE))*E105/F105)</f>
        <v/>
      </c>
      <c r="N105" s="199">
        <f>HLOOKUP(C:C,$4:$10,2,FALSE)+((HLOOKUP(D:D,$4:$10,2,FALSE)-HLOOKUP(C:C,$4:$10,2,FALSE))*E105/F105)</f>
        <v/>
      </c>
      <c r="O105" s="199">
        <f>HLOOKUP(C:C,$4:$10,5,FALSE)+((HLOOKUP(D:D,$4:$10,5,FALSE)-HLOOKUP(C:C,$4:$10,5,FALSE))*E105/F105)</f>
        <v/>
      </c>
      <c r="P105" s="199">
        <f>HLOOKUP(C:C,$4:$10,4,FALSE)+((HLOOKUP(D:D,$4:$10,4,FALSE)-HLOOKUP(C:C,$4:$10,4,FALSE))*E105/F105)</f>
        <v/>
      </c>
      <c r="Q105" s="199">
        <f>HLOOKUP(B:B,$4:$10,6,FALSE)+((HLOOKUP(C:C,$4:$10,6,FALSE)-HLOOKUP(B:B,$4:$10,6,FALSE))*E105/F105)</f>
        <v/>
      </c>
      <c r="T105" s="198">
        <f>$G105</f>
        <v/>
      </c>
      <c r="U105" s="199">
        <f>H105/(HLOOKUP(B:B,$4:$10,3,FALSE)+((HLOOKUP(C:C,$4:$10,3,FALSE)-HLOOKUP(B:B,$4:$10,3,FALSE))*E105/F105))</f>
        <v/>
      </c>
      <c r="V105" s="969">
        <f>HLOOKUP(B:B,$4:$10,7,FALSE)+((HLOOKUP(C:C,$4:$10,7,FALSE)-HLOOKUP(B:B,$4:$10,7,FALSE))*E105/F105)</f>
        <v/>
      </c>
      <c r="AB105" s="198">
        <f>$G105</f>
        <v/>
      </c>
      <c r="AC105" s="199">
        <f>$H105</f>
        <v/>
      </c>
      <c r="AD105" s="199">
        <f>$M105*AD$34</f>
        <v/>
      </c>
      <c r="AE105" s="199">
        <f>$M105*AE$34</f>
        <v/>
      </c>
      <c r="AF105" s="199">
        <f>$M105*AF$34</f>
        <v/>
      </c>
      <c r="AG105" s="199">
        <f>$M105*AG$34</f>
        <v/>
      </c>
      <c r="AH105" s="199">
        <f>$M105*AH$34</f>
        <v/>
      </c>
      <c r="AJ105" s="198">
        <f>$G105</f>
        <v/>
      </c>
      <c r="AK105" s="199">
        <f>$H105</f>
        <v/>
      </c>
      <c r="AL105" s="199">
        <f>$N105*AL$34</f>
        <v/>
      </c>
      <c r="AM105" s="199">
        <f>$N105*AM$34</f>
        <v/>
      </c>
      <c r="AN105" s="199">
        <f>$N105*AN$34</f>
        <v/>
      </c>
      <c r="AO105" s="199">
        <f>$N105*AO$34</f>
        <v/>
      </c>
      <c r="AP105" s="199">
        <f>$N105*AP$34</f>
        <v/>
      </c>
      <c r="AR105" s="198">
        <f>$G105</f>
        <v/>
      </c>
      <c r="AS105" s="199">
        <f>$H105</f>
        <v/>
      </c>
      <c r="AT105" s="199">
        <f>$O105*AT$34-$Q105</f>
        <v/>
      </c>
      <c r="AU105" s="199">
        <f>$O105*AU$34-$Q105</f>
        <v/>
      </c>
      <c r="AV105" s="199">
        <f>$O105*AV$34-$Q105</f>
        <v/>
      </c>
      <c r="AW105" s="199">
        <f>$O105*AW$34-$Q105</f>
        <v/>
      </c>
      <c r="AX105" s="199">
        <f>$O105*AX$34-$Q105</f>
        <v/>
      </c>
      <c r="AZ105" s="198">
        <f>$G105</f>
        <v/>
      </c>
      <c r="BA105" s="199">
        <f>$H105</f>
        <v/>
      </c>
      <c r="BB105" s="199">
        <f>$P105*BB$34-$Q105</f>
        <v/>
      </c>
      <c r="BC105" s="199">
        <f>$P105*BC$34-$Q105</f>
        <v/>
      </c>
      <c r="BD105" s="199">
        <f>$P105*BD$34-$Q105</f>
        <v/>
      </c>
      <c r="BE105" s="199">
        <f>$P105*BE$34-$Q105</f>
        <v/>
      </c>
      <c r="BF105" s="199">
        <f>$P105*BF$34-$Q105</f>
        <v/>
      </c>
      <c r="BH105" s="198">
        <f>$G105</f>
        <v/>
      </c>
      <c r="BI105" s="197">
        <f>$I105</f>
        <v/>
      </c>
      <c r="BJ105" s="197">
        <f>+BJ106</f>
        <v/>
      </c>
      <c r="BK105" s="197">
        <f>+BK106</f>
        <v/>
      </c>
      <c r="BL105" s="197">
        <f>+BL106</f>
        <v/>
      </c>
      <c r="BM105" s="197">
        <f>+BM106</f>
        <v/>
      </c>
      <c r="BN105" s="197">
        <f>+BN106</f>
        <v/>
      </c>
      <c r="BP105" s="198">
        <f>$G105</f>
        <v/>
      </c>
      <c r="BQ105" s="197">
        <f>$J105</f>
        <v/>
      </c>
      <c r="BR105" s="197">
        <f>+BR106</f>
        <v/>
      </c>
      <c r="BS105" s="197">
        <f>+BS106</f>
        <v/>
      </c>
      <c r="BT105" s="197">
        <f>+BT106</f>
        <v/>
      </c>
      <c r="BU105" s="197">
        <f>+BU106</f>
        <v/>
      </c>
      <c r="BV105" s="197">
        <f>+BV106</f>
        <v/>
      </c>
      <c r="BX105" s="198">
        <f>$G105</f>
        <v/>
      </c>
      <c r="BY105" s="197">
        <f>$K105</f>
        <v/>
      </c>
      <c r="BZ105" s="197">
        <f>+BZ106</f>
        <v/>
      </c>
      <c r="CA105" s="197">
        <f>+CA106</f>
        <v/>
      </c>
      <c r="CB105" s="197">
        <f>+CB106</f>
        <v/>
      </c>
      <c r="CC105" s="197">
        <f>+CC106</f>
        <v/>
      </c>
      <c r="CD105" s="197">
        <f>+CD106</f>
        <v/>
      </c>
      <c r="CF105" s="198">
        <f>$G105</f>
        <v/>
      </c>
      <c r="CG105" s="197">
        <f>$L105</f>
        <v/>
      </c>
      <c r="CH105" s="197">
        <f>+CH106</f>
        <v/>
      </c>
      <c r="CI105" s="197">
        <f>+CI106</f>
        <v/>
      </c>
      <c r="CJ105" s="197">
        <f>+CJ106</f>
        <v/>
      </c>
      <c r="CK105" s="197">
        <f>+CK106</f>
        <v/>
      </c>
      <c r="CL105" s="197">
        <f>+CL106</f>
        <v/>
      </c>
      <c r="CO105" s="199" t="n"/>
      <c r="CP105" s="199" t="n">
        <v>3</v>
      </c>
      <c r="CR105" s="199" t="inlineStr">
        <is>
          <t>#N/A N/A</t>
        </is>
      </c>
      <c r="CS105" s="970" t="n">
        <v>1.0336</v>
      </c>
    </row>
    <row r="106">
      <c r="B106" s="204">
        <f>+C106-1</f>
        <v/>
      </c>
      <c r="C106" s="204">
        <f>IF('bands_A-H_Avg'!$D$9+1&gt;MONTH(G106),YEAR(G106),YEAR(G106)+1)</f>
        <v/>
      </c>
      <c r="D106" s="204">
        <f>+C106+1</f>
        <v/>
      </c>
      <c r="E106" s="203">
        <f>IF(C106&gt;C105,1,E105+1)</f>
        <v/>
      </c>
      <c r="F106" s="203">
        <f>COUNTIF(C:C,C106)</f>
        <v/>
      </c>
      <c r="G106" s="198">
        <f>+G105+7</f>
        <v/>
      </c>
      <c r="H106" s="361">
        <f>IF(ISBLANK(CO106),CP106,SUMPRODUCT(CO$32:CP$32,CO106:CP106))</f>
        <v/>
      </c>
      <c r="I106" s="968">
        <f>H106/M106</f>
        <v/>
      </c>
      <c r="J106" s="968">
        <f>H106/N106</f>
        <v/>
      </c>
      <c r="K106" s="968">
        <f>(H106+Q106)/O106</f>
        <v/>
      </c>
      <c r="L106" s="968">
        <f>(H106+Q106)/P106</f>
        <v/>
      </c>
      <c r="M106" s="199">
        <f>HLOOKUP(C:C,$4:$10,3,FALSE)+((HLOOKUP(D:D,$4:$10,3,FALSE)-HLOOKUP(C:C,$4:$10,3,FALSE))*E106/F106)</f>
        <v/>
      </c>
      <c r="N106" s="199">
        <f>HLOOKUP(C:C,$4:$10,2,FALSE)+((HLOOKUP(D:D,$4:$10,2,FALSE)-HLOOKUP(C:C,$4:$10,2,FALSE))*E106/F106)</f>
        <v/>
      </c>
      <c r="O106" s="199">
        <f>HLOOKUP(C:C,$4:$10,5,FALSE)+((HLOOKUP(D:D,$4:$10,5,FALSE)-HLOOKUP(C:C,$4:$10,5,FALSE))*E106/F106)</f>
        <v/>
      </c>
      <c r="P106" s="199">
        <f>HLOOKUP(C:C,$4:$10,4,FALSE)+((HLOOKUP(D:D,$4:$10,4,FALSE)-HLOOKUP(C:C,$4:$10,4,FALSE))*E106/F106)</f>
        <v/>
      </c>
      <c r="Q106" s="199">
        <f>HLOOKUP(B:B,$4:$10,6,FALSE)+((HLOOKUP(C:C,$4:$10,6,FALSE)-HLOOKUP(B:B,$4:$10,6,FALSE))*E106/F106)</f>
        <v/>
      </c>
      <c r="T106" s="198">
        <f>$G106</f>
        <v/>
      </c>
      <c r="U106" s="199">
        <f>H106/(HLOOKUP(B:B,$4:$10,3,FALSE)+((HLOOKUP(C:C,$4:$10,3,FALSE)-HLOOKUP(B:B,$4:$10,3,FALSE))*E106/F106))</f>
        <v/>
      </c>
      <c r="V106" s="969">
        <f>HLOOKUP(B:B,$4:$10,7,FALSE)+((HLOOKUP(C:C,$4:$10,7,FALSE)-HLOOKUP(B:B,$4:$10,7,FALSE))*E106/F106)</f>
        <v/>
      </c>
      <c r="AB106" s="198">
        <f>$G106</f>
        <v/>
      </c>
      <c r="AC106" s="199">
        <f>$H106</f>
        <v/>
      </c>
      <c r="AD106" s="199">
        <f>$M106*AD$34</f>
        <v/>
      </c>
      <c r="AE106" s="199">
        <f>$M106*AE$34</f>
        <v/>
      </c>
      <c r="AF106" s="199">
        <f>$M106*AF$34</f>
        <v/>
      </c>
      <c r="AG106" s="199">
        <f>$M106*AG$34</f>
        <v/>
      </c>
      <c r="AH106" s="199">
        <f>$M106*AH$34</f>
        <v/>
      </c>
      <c r="AJ106" s="198">
        <f>$G106</f>
        <v/>
      </c>
      <c r="AK106" s="199">
        <f>$H106</f>
        <v/>
      </c>
      <c r="AL106" s="199">
        <f>$N106*AL$34</f>
        <v/>
      </c>
      <c r="AM106" s="199">
        <f>$N106*AM$34</f>
        <v/>
      </c>
      <c r="AN106" s="199">
        <f>$N106*AN$34</f>
        <v/>
      </c>
      <c r="AO106" s="199">
        <f>$N106*AO$34</f>
        <v/>
      </c>
      <c r="AP106" s="199">
        <f>$N106*AP$34</f>
        <v/>
      </c>
      <c r="AR106" s="198">
        <f>$G106</f>
        <v/>
      </c>
      <c r="AS106" s="199">
        <f>$H106</f>
        <v/>
      </c>
      <c r="AT106" s="199">
        <f>$O106*AT$34-$Q106</f>
        <v/>
      </c>
      <c r="AU106" s="199">
        <f>$O106*AU$34-$Q106</f>
        <v/>
      </c>
      <c r="AV106" s="199">
        <f>$O106*AV$34-$Q106</f>
        <v/>
      </c>
      <c r="AW106" s="199">
        <f>$O106*AW$34-$Q106</f>
        <v/>
      </c>
      <c r="AX106" s="199">
        <f>$O106*AX$34-$Q106</f>
        <v/>
      </c>
      <c r="AZ106" s="198">
        <f>$G106</f>
        <v/>
      </c>
      <c r="BA106" s="199">
        <f>$H106</f>
        <v/>
      </c>
      <c r="BB106" s="199">
        <f>$P106*BB$34-$Q106</f>
        <v/>
      </c>
      <c r="BC106" s="199">
        <f>$P106*BC$34-$Q106</f>
        <v/>
      </c>
      <c r="BD106" s="199">
        <f>$P106*BD$34-$Q106</f>
        <v/>
      </c>
      <c r="BE106" s="199">
        <f>$P106*BE$34-$Q106</f>
        <v/>
      </c>
      <c r="BF106" s="199">
        <f>$P106*BF$34-$Q106</f>
        <v/>
      </c>
      <c r="BH106" s="198">
        <f>$G106</f>
        <v/>
      </c>
      <c r="BI106" s="197">
        <f>$I106</f>
        <v/>
      </c>
      <c r="BJ106" s="197">
        <f>+BJ107</f>
        <v/>
      </c>
      <c r="BK106" s="197">
        <f>+BK107</f>
        <v/>
      </c>
      <c r="BL106" s="197">
        <f>+BL107</f>
        <v/>
      </c>
      <c r="BM106" s="197">
        <f>+BM107</f>
        <v/>
      </c>
      <c r="BN106" s="197">
        <f>+BN107</f>
        <v/>
      </c>
      <c r="BP106" s="198">
        <f>$G106</f>
        <v/>
      </c>
      <c r="BQ106" s="197">
        <f>$J106</f>
        <v/>
      </c>
      <c r="BR106" s="197">
        <f>+BR107</f>
        <v/>
      </c>
      <c r="BS106" s="197">
        <f>+BS107</f>
        <v/>
      </c>
      <c r="BT106" s="197">
        <f>+BT107</f>
        <v/>
      </c>
      <c r="BU106" s="197">
        <f>+BU107</f>
        <v/>
      </c>
      <c r="BV106" s="197">
        <f>+BV107</f>
        <v/>
      </c>
      <c r="BX106" s="198">
        <f>$G106</f>
        <v/>
      </c>
      <c r="BY106" s="197">
        <f>$K106</f>
        <v/>
      </c>
      <c r="BZ106" s="197">
        <f>+BZ107</f>
        <v/>
      </c>
      <c r="CA106" s="197">
        <f>+CA107</f>
        <v/>
      </c>
      <c r="CB106" s="197">
        <f>+CB107</f>
        <v/>
      </c>
      <c r="CC106" s="197">
        <f>+CC107</f>
        <v/>
      </c>
      <c r="CD106" s="197">
        <f>+CD107</f>
        <v/>
      </c>
      <c r="CF106" s="198">
        <f>$G106</f>
        <v/>
      </c>
      <c r="CG106" s="197">
        <f>$L106</f>
        <v/>
      </c>
      <c r="CH106" s="197">
        <f>+CH107</f>
        <v/>
      </c>
      <c r="CI106" s="197">
        <f>+CI107</f>
        <v/>
      </c>
      <c r="CJ106" s="197">
        <f>+CJ107</f>
        <v/>
      </c>
      <c r="CK106" s="197">
        <f>+CK107</f>
        <v/>
      </c>
      <c r="CL106" s="197">
        <f>+CL107</f>
        <v/>
      </c>
      <c r="CO106" s="199" t="n"/>
      <c r="CP106" s="199" t="n">
        <v>3.175</v>
      </c>
      <c r="CR106" s="199" t="inlineStr">
        <is>
          <t>#N/A N/A</t>
        </is>
      </c>
      <c r="CS106" s="970" t="n">
        <v>1.03372</v>
      </c>
    </row>
    <row r="107">
      <c r="B107" s="204">
        <f>+C107-1</f>
        <v/>
      </c>
      <c r="C107" s="204">
        <f>IF('bands_A-H_Avg'!$D$9+1&gt;MONTH(G107),YEAR(G107),YEAR(G107)+1)</f>
        <v/>
      </c>
      <c r="D107" s="204">
        <f>+C107+1</f>
        <v/>
      </c>
      <c r="E107" s="203">
        <f>IF(C107&gt;C106,1,E106+1)</f>
        <v/>
      </c>
      <c r="F107" s="203">
        <f>COUNTIF(C:C,C107)</f>
        <v/>
      </c>
      <c r="G107" s="198">
        <f>+G106+7</f>
        <v/>
      </c>
      <c r="H107" s="361">
        <f>IF(ISBLANK(CO107),CP107,SUMPRODUCT(CO$32:CP$32,CO107:CP107))</f>
        <v/>
      </c>
      <c r="I107" s="968">
        <f>H107/M107</f>
        <v/>
      </c>
      <c r="J107" s="968">
        <f>H107/N107</f>
        <v/>
      </c>
      <c r="K107" s="968">
        <f>(H107+Q107)/O107</f>
        <v/>
      </c>
      <c r="L107" s="968">
        <f>(H107+Q107)/P107</f>
        <v/>
      </c>
      <c r="M107" s="199">
        <f>HLOOKUP(C:C,$4:$10,3,FALSE)+((HLOOKUP(D:D,$4:$10,3,FALSE)-HLOOKUP(C:C,$4:$10,3,FALSE))*E107/F107)</f>
        <v/>
      </c>
      <c r="N107" s="199">
        <f>HLOOKUP(C:C,$4:$10,2,FALSE)+((HLOOKUP(D:D,$4:$10,2,FALSE)-HLOOKUP(C:C,$4:$10,2,FALSE))*E107/F107)</f>
        <v/>
      </c>
      <c r="O107" s="199">
        <f>HLOOKUP(C:C,$4:$10,5,FALSE)+((HLOOKUP(D:D,$4:$10,5,FALSE)-HLOOKUP(C:C,$4:$10,5,FALSE))*E107/F107)</f>
        <v/>
      </c>
      <c r="P107" s="199">
        <f>HLOOKUP(C:C,$4:$10,4,FALSE)+((HLOOKUP(D:D,$4:$10,4,FALSE)-HLOOKUP(C:C,$4:$10,4,FALSE))*E107/F107)</f>
        <v/>
      </c>
      <c r="Q107" s="199">
        <f>HLOOKUP(B:B,$4:$10,6,FALSE)+((HLOOKUP(C:C,$4:$10,6,FALSE)-HLOOKUP(B:B,$4:$10,6,FALSE))*E107/F107)</f>
        <v/>
      </c>
      <c r="T107" s="198">
        <f>$G107</f>
        <v/>
      </c>
      <c r="U107" s="199">
        <f>H107/(HLOOKUP(B:B,$4:$10,3,FALSE)+((HLOOKUP(C:C,$4:$10,3,FALSE)-HLOOKUP(B:B,$4:$10,3,FALSE))*E107/F107))</f>
        <v/>
      </c>
      <c r="V107" s="969">
        <f>HLOOKUP(B:B,$4:$10,7,FALSE)+((HLOOKUP(C:C,$4:$10,7,FALSE)-HLOOKUP(B:B,$4:$10,7,FALSE))*E107/F107)</f>
        <v/>
      </c>
      <c r="AB107" s="198">
        <f>$G107</f>
        <v/>
      </c>
      <c r="AC107" s="199">
        <f>$H107</f>
        <v/>
      </c>
      <c r="AD107" s="199">
        <f>$M107*AD$34</f>
        <v/>
      </c>
      <c r="AE107" s="199">
        <f>$M107*AE$34</f>
        <v/>
      </c>
      <c r="AF107" s="199">
        <f>$M107*AF$34</f>
        <v/>
      </c>
      <c r="AG107" s="199">
        <f>$M107*AG$34</f>
        <v/>
      </c>
      <c r="AH107" s="199">
        <f>$M107*AH$34</f>
        <v/>
      </c>
      <c r="AJ107" s="198">
        <f>$G107</f>
        <v/>
      </c>
      <c r="AK107" s="199">
        <f>$H107</f>
        <v/>
      </c>
      <c r="AL107" s="199">
        <f>$N107*AL$34</f>
        <v/>
      </c>
      <c r="AM107" s="199">
        <f>$N107*AM$34</f>
        <v/>
      </c>
      <c r="AN107" s="199">
        <f>$N107*AN$34</f>
        <v/>
      </c>
      <c r="AO107" s="199">
        <f>$N107*AO$34</f>
        <v/>
      </c>
      <c r="AP107" s="199">
        <f>$N107*AP$34</f>
        <v/>
      </c>
      <c r="AR107" s="198">
        <f>$G107</f>
        <v/>
      </c>
      <c r="AS107" s="199">
        <f>$H107</f>
        <v/>
      </c>
      <c r="AT107" s="199">
        <f>$O107*AT$34-$Q107</f>
        <v/>
      </c>
      <c r="AU107" s="199">
        <f>$O107*AU$34-$Q107</f>
        <v/>
      </c>
      <c r="AV107" s="199">
        <f>$O107*AV$34-$Q107</f>
        <v/>
      </c>
      <c r="AW107" s="199">
        <f>$O107*AW$34-$Q107</f>
        <v/>
      </c>
      <c r="AX107" s="199">
        <f>$O107*AX$34-$Q107</f>
        <v/>
      </c>
      <c r="AZ107" s="198">
        <f>$G107</f>
        <v/>
      </c>
      <c r="BA107" s="199">
        <f>$H107</f>
        <v/>
      </c>
      <c r="BB107" s="199">
        <f>$P107*BB$34-$Q107</f>
        <v/>
      </c>
      <c r="BC107" s="199">
        <f>$P107*BC$34-$Q107</f>
        <v/>
      </c>
      <c r="BD107" s="199">
        <f>$P107*BD$34-$Q107</f>
        <v/>
      </c>
      <c r="BE107" s="199">
        <f>$P107*BE$34-$Q107</f>
        <v/>
      </c>
      <c r="BF107" s="199">
        <f>$P107*BF$34-$Q107</f>
        <v/>
      </c>
      <c r="BH107" s="198">
        <f>$G107</f>
        <v/>
      </c>
      <c r="BI107" s="197">
        <f>$I107</f>
        <v/>
      </c>
      <c r="BJ107" s="197">
        <f>+BJ108</f>
        <v/>
      </c>
      <c r="BK107" s="197">
        <f>+BK108</f>
        <v/>
      </c>
      <c r="BL107" s="197">
        <f>+BL108</f>
        <v/>
      </c>
      <c r="BM107" s="197">
        <f>+BM108</f>
        <v/>
      </c>
      <c r="BN107" s="197">
        <f>+BN108</f>
        <v/>
      </c>
      <c r="BP107" s="198">
        <f>$G107</f>
        <v/>
      </c>
      <c r="BQ107" s="197">
        <f>$J107</f>
        <v/>
      </c>
      <c r="BR107" s="197">
        <f>+BR108</f>
        <v/>
      </c>
      <c r="BS107" s="197">
        <f>+BS108</f>
        <v/>
      </c>
      <c r="BT107" s="197">
        <f>+BT108</f>
        <v/>
      </c>
      <c r="BU107" s="197">
        <f>+BU108</f>
        <v/>
      </c>
      <c r="BV107" s="197">
        <f>+BV108</f>
        <v/>
      </c>
      <c r="BX107" s="198">
        <f>$G107</f>
        <v/>
      </c>
      <c r="BY107" s="197">
        <f>$K107</f>
        <v/>
      </c>
      <c r="BZ107" s="197">
        <f>+BZ108</f>
        <v/>
      </c>
      <c r="CA107" s="197">
        <f>+CA108</f>
        <v/>
      </c>
      <c r="CB107" s="197">
        <f>+CB108</f>
        <v/>
      </c>
      <c r="CC107" s="197">
        <f>+CC108</f>
        <v/>
      </c>
      <c r="CD107" s="197">
        <f>+CD108</f>
        <v/>
      </c>
      <c r="CF107" s="198">
        <f>$G107</f>
        <v/>
      </c>
      <c r="CG107" s="197">
        <f>$L107</f>
        <v/>
      </c>
      <c r="CH107" s="197">
        <f>+CH108</f>
        <v/>
      </c>
      <c r="CI107" s="197">
        <f>+CI108</f>
        <v/>
      </c>
      <c r="CJ107" s="197">
        <f>+CJ108</f>
        <v/>
      </c>
      <c r="CK107" s="197">
        <f>+CK108</f>
        <v/>
      </c>
      <c r="CL107" s="197">
        <f>+CL108</f>
        <v/>
      </c>
      <c r="CO107" s="199" t="n"/>
      <c r="CP107" s="199" t="n">
        <v>3.25</v>
      </c>
      <c r="CR107" s="199" t="inlineStr">
        <is>
          <t>#N/A N/A</t>
        </is>
      </c>
      <c r="CS107" s="970" t="n">
        <v>1.03264</v>
      </c>
    </row>
    <row r="108">
      <c r="B108" s="204">
        <f>+C108-1</f>
        <v/>
      </c>
      <c r="C108" s="204">
        <f>IF('bands_A-H_Avg'!$D$9+1&gt;MONTH(G108),YEAR(G108),YEAR(G108)+1)</f>
        <v/>
      </c>
      <c r="D108" s="204">
        <f>+C108+1</f>
        <v/>
      </c>
      <c r="E108" s="203">
        <f>IF(C108&gt;C107,1,E107+1)</f>
        <v/>
      </c>
      <c r="F108" s="203">
        <f>COUNTIF(C:C,C108)</f>
        <v/>
      </c>
      <c r="G108" s="198">
        <f>+G107+7</f>
        <v/>
      </c>
      <c r="H108" s="361">
        <f>IF(ISBLANK(CO108),CP108,SUMPRODUCT(CO$32:CP$32,CO108:CP108))</f>
        <v/>
      </c>
      <c r="I108" s="968">
        <f>H108/M108</f>
        <v/>
      </c>
      <c r="J108" s="968">
        <f>H108/N108</f>
        <v/>
      </c>
      <c r="K108" s="968">
        <f>(H108+Q108)/O108</f>
        <v/>
      </c>
      <c r="L108" s="968">
        <f>(H108+Q108)/P108</f>
        <v/>
      </c>
      <c r="M108" s="199">
        <f>HLOOKUP(C:C,$4:$10,3,FALSE)+((HLOOKUP(D:D,$4:$10,3,FALSE)-HLOOKUP(C:C,$4:$10,3,FALSE))*E108/F108)</f>
        <v/>
      </c>
      <c r="N108" s="199">
        <f>HLOOKUP(C:C,$4:$10,2,FALSE)+((HLOOKUP(D:D,$4:$10,2,FALSE)-HLOOKUP(C:C,$4:$10,2,FALSE))*E108/F108)</f>
        <v/>
      </c>
      <c r="O108" s="199">
        <f>HLOOKUP(C:C,$4:$10,5,FALSE)+((HLOOKUP(D:D,$4:$10,5,FALSE)-HLOOKUP(C:C,$4:$10,5,FALSE))*E108/F108)</f>
        <v/>
      </c>
      <c r="P108" s="199">
        <f>HLOOKUP(C:C,$4:$10,4,FALSE)+((HLOOKUP(D:D,$4:$10,4,FALSE)-HLOOKUP(C:C,$4:$10,4,FALSE))*E108/F108)</f>
        <v/>
      </c>
      <c r="Q108" s="199">
        <f>HLOOKUP(B:B,$4:$10,6,FALSE)+((HLOOKUP(C:C,$4:$10,6,FALSE)-HLOOKUP(B:B,$4:$10,6,FALSE))*E108/F108)</f>
        <v/>
      </c>
      <c r="T108" s="198">
        <f>$G108</f>
        <v/>
      </c>
      <c r="U108" s="199">
        <f>H108/(HLOOKUP(B:B,$4:$10,3,FALSE)+((HLOOKUP(C:C,$4:$10,3,FALSE)-HLOOKUP(B:B,$4:$10,3,FALSE))*E108/F108))</f>
        <v/>
      </c>
      <c r="V108" s="969">
        <f>HLOOKUP(B:B,$4:$10,7,FALSE)+((HLOOKUP(C:C,$4:$10,7,FALSE)-HLOOKUP(B:B,$4:$10,7,FALSE))*E108/F108)</f>
        <v/>
      </c>
      <c r="AB108" s="198">
        <f>$G108</f>
        <v/>
      </c>
      <c r="AC108" s="199">
        <f>$H108</f>
        <v/>
      </c>
      <c r="AD108" s="199">
        <f>$M108*AD$34</f>
        <v/>
      </c>
      <c r="AE108" s="199">
        <f>$M108*AE$34</f>
        <v/>
      </c>
      <c r="AF108" s="199">
        <f>$M108*AF$34</f>
        <v/>
      </c>
      <c r="AG108" s="199">
        <f>$M108*AG$34</f>
        <v/>
      </c>
      <c r="AH108" s="199">
        <f>$M108*AH$34</f>
        <v/>
      </c>
      <c r="AJ108" s="198">
        <f>$G108</f>
        <v/>
      </c>
      <c r="AK108" s="199">
        <f>$H108</f>
        <v/>
      </c>
      <c r="AL108" s="199">
        <f>$N108*AL$34</f>
        <v/>
      </c>
      <c r="AM108" s="199">
        <f>$N108*AM$34</f>
        <v/>
      </c>
      <c r="AN108" s="199">
        <f>$N108*AN$34</f>
        <v/>
      </c>
      <c r="AO108" s="199">
        <f>$N108*AO$34</f>
        <v/>
      </c>
      <c r="AP108" s="199">
        <f>$N108*AP$34</f>
        <v/>
      </c>
      <c r="AR108" s="198">
        <f>$G108</f>
        <v/>
      </c>
      <c r="AS108" s="199">
        <f>$H108</f>
        <v/>
      </c>
      <c r="AT108" s="199">
        <f>$O108*AT$34-$Q108</f>
        <v/>
      </c>
      <c r="AU108" s="199">
        <f>$O108*AU$34-$Q108</f>
        <v/>
      </c>
      <c r="AV108" s="199">
        <f>$O108*AV$34-$Q108</f>
        <v/>
      </c>
      <c r="AW108" s="199">
        <f>$O108*AW$34-$Q108</f>
        <v/>
      </c>
      <c r="AX108" s="199">
        <f>$O108*AX$34-$Q108</f>
        <v/>
      </c>
      <c r="AZ108" s="198">
        <f>$G108</f>
        <v/>
      </c>
      <c r="BA108" s="199">
        <f>$H108</f>
        <v/>
      </c>
      <c r="BB108" s="199">
        <f>$P108*BB$34-$Q108</f>
        <v/>
      </c>
      <c r="BC108" s="199">
        <f>$P108*BC$34-$Q108</f>
        <v/>
      </c>
      <c r="BD108" s="199">
        <f>$P108*BD$34-$Q108</f>
        <v/>
      </c>
      <c r="BE108" s="199">
        <f>$P108*BE$34-$Q108</f>
        <v/>
      </c>
      <c r="BF108" s="199">
        <f>$P108*BF$34-$Q108</f>
        <v/>
      </c>
      <c r="BH108" s="198">
        <f>$G108</f>
        <v/>
      </c>
      <c r="BI108" s="197">
        <f>$I108</f>
        <v/>
      </c>
      <c r="BJ108" s="197">
        <f>+BJ109</f>
        <v/>
      </c>
      <c r="BK108" s="197">
        <f>+BK109</f>
        <v/>
      </c>
      <c r="BL108" s="197">
        <f>+BL109</f>
        <v/>
      </c>
      <c r="BM108" s="197">
        <f>+BM109</f>
        <v/>
      </c>
      <c r="BN108" s="197">
        <f>+BN109</f>
        <v/>
      </c>
      <c r="BP108" s="198">
        <f>$G108</f>
        <v/>
      </c>
      <c r="BQ108" s="197">
        <f>$J108</f>
        <v/>
      </c>
      <c r="BR108" s="197">
        <f>+BR109</f>
        <v/>
      </c>
      <c r="BS108" s="197">
        <f>+BS109</f>
        <v/>
      </c>
      <c r="BT108" s="197">
        <f>+BT109</f>
        <v/>
      </c>
      <c r="BU108" s="197">
        <f>+BU109</f>
        <v/>
      </c>
      <c r="BV108" s="197">
        <f>+BV109</f>
        <v/>
      </c>
      <c r="BX108" s="198">
        <f>$G108</f>
        <v/>
      </c>
      <c r="BY108" s="197">
        <f>$K108</f>
        <v/>
      </c>
      <c r="BZ108" s="197">
        <f>+BZ109</f>
        <v/>
      </c>
      <c r="CA108" s="197">
        <f>+CA109</f>
        <v/>
      </c>
      <c r="CB108" s="197">
        <f>+CB109</f>
        <v/>
      </c>
      <c r="CC108" s="197">
        <f>+CC109</f>
        <v/>
      </c>
      <c r="CD108" s="197">
        <f>+CD109</f>
        <v/>
      </c>
      <c r="CF108" s="198">
        <f>$G108</f>
        <v/>
      </c>
      <c r="CG108" s="197">
        <f>$L108</f>
        <v/>
      </c>
      <c r="CH108" s="197">
        <f>+CH109</f>
        <v/>
      </c>
      <c r="CI108" s="197">
        <f>+CI109</f>
        <v/>
      </c>
      <c r="CJ108" s="197">
        <f>+CJ109</f>
        <v/>
      </c>
      <c r="CK108" s="197">
        <f>+CK109</f>
        <v/>
      </c>
      <c r="CL108" s="197">
        <f>+CL109</f>
        <v/>
      </c>
      <c r="CO108" s="199" t="n"/>
      <c r="CP108" s="199" t="n">
        <v>2.95</v>
      </c>
      <c r="CR108" s="199" t="inlineStr">
        <is>
          <t>#N/A N/A</t>
        </is>
      </c>
      <c r="CS108" s="970" t="n">
        <v>1.03446</v>
      </c>
    </row>
    <row r="109">
      <c r="B109" s="204">
        <f>+C109-1</f>
        <v/>
      </c>
      <c r="C109" s="204">
        <f>IF('bands_A-H_Avg'!$D$9+1&gt;MONTH(G109),YEAR(G109),YEAR(G109)+1)</f>
        <v/>
      </c>
      <c r="D109" s="204">
        <f>+C109+1</f>
        <v/>
      </c>
      <c r="E109" s="203">
        <f>IF(C109&gt;C108,1,E108+1)</f>
        <v/>
      </c>
      <c r="F109" s="203">
        <f>COUNTIF(C:C,C109)</f>
        <v/>
      </c>
      <c r="G109" s="198">
        <f>+G108+7</f>
        <v/>
      </c>
      <c r="H109" s="361">
        <f>IF(ISBLANK(CO109),CP109,SUMPRODUCT(CO$32:CP$32,CO109:CP109))</f>
        <v/>
      </c>
      <c r="I109" s="968">
        <f>H109/M109</f>
        <v/>
      </c>
      <c r="J109" s="968">
        <f>H109/N109</f>
        <v/>
      </c>
      <c r="K109" s="968">
        <f>(H109+Q109)/O109</f>
        <v/>
      </c>
      <c r="L109" s="968">
        <f>(H109+Q109)/P109</f>
        <v/>
      </c>
      <c r="M109" s="199">
        <f>HLOOKUP(C:C,$4:$10,3,FALSE)+((HLOOKUP(D:D,$4:$10,3,FALSE)-HLOOKUP(C:C,$4:$10,3,FALSE))*E109/F109)</f>
        <v/>
      </c>
      <c r="N109" s="199">
        <f>HLOOKUP(C:C,$4:$10,2,FALSE)+((HLOOKUP(D:D,$4:$10,2,FALSE)-HLOOKUP(C:C,$4:$10,2,FALSE))*E109/F109)</f>
        <v/>
      </c>
      <c r="O109" s="199">
        <f>HLOOKUP(C:C,$4:$10,5,FALSE)+((HLOOKUP(D:D,$4:$10,5,FALSE)-HLOOKUP(C:C,$4:$10,5,FALSE))*E109/F109)</f>
        <v/>
      </c>
      <c r="P109" s="199">
        <f>HLOOKUP(C:C,$4:$10,4,FALSE)+((HLOOKUP(D:D,$4:$10,4,FALSE)-HLOOKUP(C:C,$4:$10,4,FALSE))*E109/F109)</f>
        <v/>
      </c>
      <c r="Q109" s="199">
        <f>HLOOKUP(B:B,$4:$10,6,FALSE)+((HLOOKUP(C:C,$4:$10,6,FALSE)-HLOOKUP(B:B,$4:$10,6,FALSE))*E109/F109)</f>
        <v/>
      </c>
      <c r="T109" s="198">
        <f>$G109</f>
        <v/>
      </c>
      <c r="U109" s="199">
        <f>H109/(HLOOKUP(B:B,$4:$10,3,FALSE)+((HLOOKUP(C:C,$4:$10,3,FALSE)-HLOOKUP(B:B,$4:$10,3,FALSE))*E109/F109))</f>
        <v/>
      </c>
      <c r="V109" s="969">
        <f>HLOOKUP(B:B,$4:$10,7,FALSE)+((HLOOKUP(C:C,$4:$10,7,FALSE)-HLOOKUP(B:B,$4:$10,7,FALSE))*E109/F109)</f>
        <v/>
      </c>
      <c r="AB109" s="198">
        <f>$G109</f>
        <v/>
      </c>
      <c r="AC109" s="199">
        <f>$H109</f>
        <v/>
      </c>
      <c r="AD109" s="199">
        <f>$M109*AD$34</f>
        <v/>
      </c>
      <c r="AE109" s="199">
        <f>$M109*AE$34</f>
        <v/>
      </c>
      <c r="AF109" s="199">
        <f>$M109*AF$34</f>
        <v/>
      </c>
      <c r="AG109" s="199">
        <f>$M109*AG$34</f>
        <v/>
      </c>
      <c r="AH109" s="199">
        <f>$M109*AH$34</f>
        <v/>
      </c>
      <c r="AJ109" s="198">
        <f>$G109</f>
        <v/>
      </c>
      <c r="AK109" s="199">
        <f>$H109</f>
        <v/>
      </c>
      <c r="AL109" s="199">
        <f>$N109*AL$34</f>
        <v/>
      </c>
      <c r="AM109" s="199">
        <f>$N109*AM$34</f>
        <v/>
      </c>
      <c r="AN109" s="199">
        <f>$N109*AN$34</f>
        <v/>
      </c>
      <c r="AO109" s="199">
        <f>$N109*AO$34</f>
        <v/>
      </c>
      <c r="AP109" s="199">
        <f>$N109*AP$34</f>
        <v/>
      </c>
      <c r="AR109" s="198">
        <f>$G109</f>
        <v/>
      </c>
      <c r="AS109" s="199">
        <f>$H109</f>
        <v/>
      </c>
      <c r="AT109" s="199">
        <f>$O109*AT$34-$Q109</f>
        <v/>
      </c>
      <c r="AU109" s="199">
        <f>$O109*AU$34-$Q109</f>
        <v/>
      </c>
      <c r="AV109" s="199">
        <f>$O109*AV$34-$Q109</f>
        <v/>
      </c>
      <c r="AW109" s="199">
        <f>$O109*AW$34-$Q109</f>
        <v/>
      </c>
      <c r="AX109" s="199">
        <f>$O109*AX$34-$Q109</f>
        <v/>
      </c>
      <c r="AZ109" s="198">
        <f>$G109</f>
        <v/>
      </c>
      <c r="BA109" s="199">
        <f>$H109</f>
        <v/>
      </c>
      <c r="BB109" s="199">
        <f>$P109*BB$34-$Q109</f>
        <v/>
      </c>
      <c r="BC109" s="199">
        <f>$P109*BC$34-$Q109</f>
        <v/>
      </c>
      <c r="BD109" s="199">
        <f>$P109*BD$34-$Q109</f>
        <v/>
      </c>
      <c r="BE109" s="199">
        <f>$P109*BE$34-$Q109</f>
        <v/>
      </c>
      <c r="BF109" s="199">
        <f>$P109*BF$34-$Q109</f>
        <v/>
      </c>
      <c r="BH109" s="198">
        <f>$G109</f>
        <v/>
      </c>
      <c r="BI109" s="197">
        <f>$I109</f>
        <v/>
      </c>
      <c r="BJ109" s="197">
        <f>+BJ110</f>
        <v/>
      </c>
      <c r="BK109" s="197">
        <f>+BK110</f>
        <v/>
      </c>
      <c r="BL109" s="197">
        <f>+BL110</f>
        <v/>
      </c>
      <c r="BM109" s="197">
        <f>+BM110</f>
        <v/>
      </c>
      <c r="BN109" s="197">
        <f>+BN110</f>
        <v/>
      </c>
      <c r="BP109" s="198">
        <f>$G109</f>
        <v/>
      </c>
      <c r="BQ109" s="197">
        <f>$J109</f>
        <v/>
      </c>
      <c r="BR109" s="197">
        <f>+BR110</f>
        <v/>
      </c>
      <c r="BS109" s="197">
        <f>+BS110</f>
        <v/>
      </c>
      <c r="BT109" s="197">
        <f>+BT110</f>
        <v/>
      </c>
      <c r="BU109" s="197">
        <f>+BU110</f>
        <v/>
      </c>
      <c r="BV109" s="197">
        <f>+BV110</f>
        <v/>
      </c>
      <c r="BX109" s="198">
        <f>$G109</f>
        <v/>
      </c>
      <c r="BY109" s="197">
        <f>$K109</f>
        <v/>
      </c>
      <c r="BZ109" s="197">
        <f>+BZ110</f>
        <v/>
      </c>
      <c r="CA109" s="197">
        <f>+CA110</f>
        <v/>
      </c>
      <c r="CB109" s="197">
        <f>+CB110</f>
        <v/>
      </c>
      <c r="CC109" s="197">
        <f>+CC110</f>
        <v/>
      </c>
      <c r="CD109" s="197">
        <f>+CD110</f>
        <v/>
      </c>
      <c r="CF109" s="198">
        <f>$G109</f>
        <v/>
      </c>
      <c r="CG109" s="197">
        <f>$L109</f>
        <v/>
      </c>
      <c r="CH109" s="197">
        <f>+CH110</f>
        <v/>
      </c>
      <c r="CI109" s="197">
        <f>+CI110</f>
        <v/>
      </c>
      <c r="CJ109" s="197">
        <f>+CJ110</f>
        <v/>
      </c>
      <c r="CK109" s="197">
        <f>+CK110</f>
        <v/>
      </c>
      <c r="CL109" s="197">
        <f>+CL110</f>
        <v/>
      </c>
      <c r="CO109" s="199" t="n"/>
      <c r="CP109" s="199" t="n">
        <v>2.875</v>
      </c>
      <c r="CR109" s="199" t="inlineStr">
        <is>
          <t>#N/A N/A</t>
        </is>
      </c>
      <c r="CS109" s="970" t="n">
        <v>1.03476</v>
      </c>
    </row>
    <row r="110">
      <c r="B110" s="204">
        <f>+C110-1</f>
        <v/>
      </c>
      <c r="C110" s="204">
        <f>IF('bands_A-H_Avg'!$D$9+1&gt;MONTH(G110),YEAR(G110),YEAR(G110)+1)</f>
        <v/>
      </c>
      <c r="D110" s="204">
        <f>+C110+1</f>
        <v/>
      </c>
      <c r="E110" s="203">
        <f>IF(C110&gt;C109,1,E109+1)</f>
        <v/>
      </c>
      <c r="F110" s="203">
        <f>COUNTIF(C:C,C110)</f>
        <v/>
      </c>
      <c r="G110" s="198">
        <f>+G109+7</f>
        <v/>
      </c>
      <c r="H110" s="361">
        <f>IF(ISBLANK(CO110),CP110,SUMPRODUCT(CO$32:CP$32,CO110:CP110))</f>
        <v/>
      </c>
      <c r="I110" s="968">
        <f>H110/M110</f>
        <v/>
      </c>
      <c r="J110" s="968">
        <f>H110/N110</f>
        <v/>
      </c>
      <c r="K110" s="968">
        <f>(H110+Q110)/O110</f>
        <v/>
      </c>
      <c r="L110" s="968">
        <f>(H110+Q110)/P110</f>
        <v/>
      </c>
      <c r="M110" s="199">
        <f>HLOOKUP(C:C,$4:$10,3,FALSE)+((HLOOKUP(D:D,$4:$10,3,FALSE)-HLOOKUP(C:C,$4:$10,3,FALSE))*E110/F110)</f>
        <v/>
      </c>
      <c r="N110" s="199">
        <f>HLOOKUP(C:C,$4:$10,2,FALSE)+((HLOOKUP(D:D,$4:$10,2,FALSE)-HLOOKUP(C:C,$4:$10,2,FALSE))*E110/F110)</f>
        <v/>
      </c>
      <c r="O110" s="199">
        <f>HLOOKUP(C:C,$4:$10,5,FALSE)+((HLOOKUP(D:D,$4:$10,5,FALSE)-HLOOKUP(C:C,$4:$10,5,FALSE))*E110/F110)</f>
        <v/>
      </c>
      <c r="P110" s="199">
        <f>HLOOKUP(C:C,$4:$10,4,FALSE)+((HLOOKUP(D:D,$4:$10,4,FALSE)-HLOOKUP(C:C,$4:$10,4,FALSE))*E110/F110)</f>
        <v/>
      </c>
      <c r="Q110" s="199">
        <f>HLOOKUP(B:B,$4:$10,6,FALSE)+((HLOOKUP(C:C,$4:$10,6,FALSE)-HLOOKUP(B:B,$4:$10,6,FALSE))*E110/F110)</f>
        <v/>
      </c>
      <c r="T110" s="198">
        <f>$G110</f>
        <v/>
      </c>
      <c r="U110" s="199">
        <f>H110/(HLOOKUP(B:B,$4:$10,3,FALSE)+((HLOOKUP(C:C,$4:$10,3,FALSE)-HLOOKUP(B:B,$4:$10,3,FALSE))*E110/F110))</f>
        <v/>
      </c>
      <c r="V110" s="969">
        <f>HLOOKUP(B:B,$4:$10,7,FALSE)+((HLOOKUP(C:C,$4:$10,7,FALSE)-HLOOKUP(B:B,$4:$10,7,FALSE))*E110/F110)</f>
        <v/>
      </c>
      <c r="AB110" s="198">
        <f>$G110</f>
        <v/>
      </c>
      <c r="AC110" s="199">
        <f>$H110</f>
        <v/>
      </c>
      <c r="AD110" s="199">
        <f>$M110*AD$34</f>
        <v/>
      </c>
      <c r="AE110" s="199">
        <f>$M110*AE$34</f>
        <v/>
      </c>
      <c r="AF110" s="199">
        <f>$M110*AF$34</f>
        <v/>
      </c>
      <c r="AG110" s="199">
        <f>$M110*AG$34</f>
        <v/>
      </c>
      <c r="AH110" s="199">
        <f>$M110*AH$34</f>
        <v/>
      </c>
      <c r="AJ110" s="198">
        <f>$G110</f>
        <v/>
      </c>
      <c r="AK110" s="199">
        <f>$H110</f>
        <v/>
      </c>
      <c r="AL110" s="199">
        <f>$N110*AL$34</f>
        <v/>
      </c>
      <c r="AM110" s="199">
        <f>$N110*AM$34</f>
        <v/>
      </c>
      <c r="AN110" s="199">
        <f>$N110*AN$34</f>
        <v/>
      </c>
      <c r="AO110" s="199">
        <f>$N110*AO$34</f>
        <v/>
      </c>
      <c r="AP110" s="199">
        <f>$N110*AP$34</f>
        <v/>
      </c>
      <c r="AR110" s="198">
        <f>$G110</f>
        <v/>
      </c>
      <c r="AS110" s="199">
        <f>$H110</f>
        <v/>
      </c>
      <c r="AT110" s="199">
        <f>$O110*AT$34-$Q110</f>
        <v/>
      </c>
      <c r="AU110" s="199">
        <f>$O110*AU$34-$Q110</f>
        <v/>
      </c>
      <c r="AV110" s="199">
        <f>$O110*AV$34-$Q110</f>
        <v/>
      </c>
      <c r="AW110" s="199">
        <f>$O110*AW$34-$Q110</f>
        <v/>
      </c>
      <c r="AX110" s="199">
        <f>$O110*AX$34-$Q110</f>
        <v/>
      </c>
      <c r="AZ110" s="198">
        <f>$G110</f>
        <v/>
      </c>
      <c r="BA110" s="199">
        <f>$H110</f>
        <v/>
      </c>
      <c r="BB110" s="199">
        <f>$P110*BB$34-$Q110</f>
        <v/>
      </c>
      <c r="BC110" s="199">
        <f>$P110*BC$34-$Q110</f>
        <v/>
      </c>
      <c r="BD110" s="199">
        <f>$P110*BD$34-$Q110</f>
        <v/>
      </c>
      <c r="BE110" s="199">
        <f>$P110*BE$34-$Q110</f>
        <v/>
      </c>
      <c r="BF110" s="199">
        <f>$P110*BF$34-$Q110</f>
        <v/>
      </c>
      <c r="BH110" s="198">
        <f>$G110</f>
        <v/>
      </c>
      <c r="BI110" s="197">
        <f>$I110</f>
        <v/>
      </c>
      <c r="BJ110" s="197">
        <f>+BJ111</f>
        <v/>
      </c>
      <c r="BK110" s="197">
        <f>+BK111</f>
        <v/>
      </c>
      <c r="BL110" s="197">
        <f>+BL111</f>
        <v/>
      </c>
      <c r="BM110" s="197">
        <f>+BM111</f>
        <v/>
      </c>
      <c r="BN110" s="197">
        <f>+BN111</f>
        <v/>
      </c>
      <c r="BP110" s="198">
        <f>$G110</f>
        <v/>
      </c>
      <c r="BQ110" s="197">
        <f>$J110</f>
        <v/>
      </c>
      <c r="BR110" s="197">
        <f>+BR111</f>
        <v/>
      </c>
      <c r="BS110" s="197">
        <f>+BS111</f>
        <v/>
      </c>
      <c r="BT110" s="197">
        <f>+BT111</f>
        <v/>
      </c>
      <c r="BU110" s="197">
        <f>+BU111</f>
        <v/>
      </c>
      <c r="BV110" s="197">
        <f>+BV111</f>
        <v/>
      </c>
      <c r="BX110" s="198">
        <f>$G110</f>
        <v/>
      </c>
      <c r="BY110" s="197">
        <f>$K110</f>
        <v/>
      </c>
      <c r="BZ110" s="197">
        <f>+BZ111</f>
        <v/>
      </c>
      <c r="CA110" s="197">
        <f>+CA111</f>
        <v/>
      </c>
      <c r="CB110" s="197">
        <f>+CB111</f>
        <v/>
      </c>
      <c r="CC110" s="197">
        <f>+CC111</f>
        <v/>
      </c>
      <c r="CD110" s="197">
        <f>+CD111</f>
        <v/>
      </c>
      <c r="CF110" s="198">
        <f>$G110</f>
        <v/>
      </c>
      <c r="CG110" s="197">
        <f>$L110</f>
        <v/>
      </c>
      <c r="CH110" s="197">
        <f>+CH111</f>
        <v/>
      </c>
      <c r="CI110" s="197">
        <f>+CI111</f>
        <v/>
      </c>
      <c r="CJ110" s="197">
        <f>+CJ111</f>
        <v/>
      </c>
      <c r="CK110" s="197">
        <f>+CK111</f>
        <v/>
      </c>
      <c r="CL110" s="197">
        <f>+CL111</f>
        <v/>
      </c>
      <c r="CO110" s="199" t="n"/>
      <c r="CP110" s="199" t="n">
        <v>2.925</v>
      </c>
      <c r="CR110" s="199" t="inlineStr">
        <is>
          <t>#N/A N/A</t>
        </is>
      </c>
      <c r="CS110" s="970" t="n">
        <v>1.03419</v>
      </c>
    </row>
    <row r="111">
      <c r="B111" s="204">
        <f>+C111-1</f>
        <v/>
      </c>
      <c r="C111" s="204">
        <f>IF('bands_A-H_Avg'!$D$9+1&gt;MONTH(G111),YEAR(G111),YEAR(G111)+1)</f>
        <v/>
      </c>
      <c r="D111" s="204">
        <f>+C111+1</f>
        <v/>
      </c>
      <c r="E111" s="203">
        <f>IF(C111&gt;C110,1,E110+1)</f>
        <v/>
      </c>
      <c r="F111" s="203">
        <f>COUNTIF(C:C,C111)</f>
        <v/>
      </c>
      <c r="G111" s="198">
        <f>+G110+7</f>
        <v/>
      </c>
      <c r="H111" s="361">
        <f>IF(ISBLANK(CO111),CP111,SUMPRODUCT(CO$32:CP$32,CO111:CP111))</f>
        <v/>
      </c>
      <c r="I111" s="968">
        <f>H111/M111</f>
        <v/>
      </c>
      <c r="J111" s="968">
        <f>H111/N111</f>
        <v/>
      </c>
      <c r="K111" s="968">
        <f>(H111+Q111)/O111</f>
        <v/>
      </c>
      <c r="L111" s="968">
        <f>(H111+Q111)/P111</f>
        <v/>
      </c>
      <c r="M111" s="199">
        <f>HLOOKUP(C:C,$4:$10,3,FALSE)+((HLOOKUP(D:D,$4:$10,3,FALSE)-HLOOKUP(C:C,$4:$10,3,FALSE))*E111/F111)</f>
        <v/>
      </c>
      <c r="N111" s="199">
        <f>HLOOKUP(C:C,$4:$10,2,FALSE)+((HLOOKUP(D:D,$4:$10,2,FALSE)-HLOOKUP(C:C,$4:$10,2,FALSE))*E111/F111)</f>
        <v/>
      </c>
      <c r="O111" s="199">
        <f>HLOOKUP(C:C,$4:$10,5,FALSE)+((HLOOKUP(D:D,$4:$10,5,FALSE)-HLOOKUP(C:C,$4:$10,5,FALSE))*E111/F111)</f>
        <v/>
      </c>
      <c r="P111" s="199">
        <f>HLOOKUP(C:C,$4:$10,4,FALSE)+((HLOOKUP(D:D,$4:$10,4,FALSE)-HLOOKUP(C:C,$4:$10,4,FALSE))*E111/F111)</f>
        <v/>
      </c>
      <c r="Q111" s="199">
        <f>HLOOKUP(B:B,$4:$10,6,FALSE)+((HLOOKUP(C:C,$4:$10,6,FALSE)-HLOOKUP(B:B,$4:$10,6,FALSE))*E111/F111)</f>
        <v/>
      </c>
      <c r="T111" s="198">
        <f>$G111</f>
        <v/>
      </c>
      <c r="U111" s="199">
        <f>H111/(HLOOKUP(B:B,$4:$10,3,FALSE)+((HLOOKUP(C:C,$4:$10,3,FALSE)-HLOOKUP(B:B,$4:$10,3,FALSE))*E111/F111))</f>
        <v/>
      </c>
      <c r="V111" s="969">
        <f>HLOOKUP(B:B,$4:$10,7,FALSE)+((HLOOKUP(C:C,$4:$10,7,FALSE)-HLOOKUP(B:B,$4:$10,7,FALSE))*E111/F111)</f>
        <v/>
      </c>
      <c r="AB111" s="198">
        <f>$G111</f>
        <v/>
      </c>
      <c r="AC111" s="199">
        <f>$H111</f>
        <v/>
      </c>
      <c r="AD111" s="199">
        <f>$M111*AD$34</f>
        <v/>
      </c>
      <c r="AE111" s="199">
        <f>$M111*AE$34</f>
        <v/>
      </c>
      <c r="AF111" s="199">
        <f>$M111*AF$34</f>
        <v/>
      </c>
      <c r="AG111" s="199">
        <f>$M111*AG$34</f>
        <v/>
      </c>
      <c r="AH111" s="199">
        <f>$M111*AH$34</f>
        <v/>
      </c>
      <c r="AJ111" s="198">
        <f>$G111</f>
        <v/>
      </c>
      <c r="AK111" s="199">
        <f>$H111</f>
        <v/>
      </c>
      <c r="AL111" s="199">
        <f>$N111*AL$34</f>
        <v/>
      </c>
      <c r="AM111" s="199">
        <f>$N111*AM$34</f>
        <v/>
      </c>
      <c r="AN111" s="199">
        <f>$N111*AN$34</f>
        <v/>
      </c>
      <c r="AO111" s="199">
        <f>$N111*AO$34</f>
        <v/>
      </c>
      <c r="AP111" s="199">
        <f>$N111*AP$34</f>
        <v/>
      </c>
      <c r="AR111" s="198">
        <f>$G111</f>
        <v/>
      </c>
      <c r="AS111" s="199">
        <f>$H111</f>
        <v/>
      </c>
      <c r="AT111" s="199">
        <f>$O111*AT$34-$Q111</f>
        <v/>
      </c>
      <c r="AU111" s="199">
        <f>$O111*AU$34-$Q111</f>
        <v/>
      </c>
      <c r="AV111" s="199">
        <f>$O111*AV$34-$Q111</f>
        <v/>
      </c>
      <c r="AW111" s="199">
        <f>$O111*AW$34-$Q111</f>
        <v/>
      </c>
      <c r="AX111" s="199">
        <f>$O111*AX$34-$Q111</f>
        <v/>
      </c>
      <c r="AZ111" s="198">
        <f>$G111</f>
        <v/>
      </c>
      <c r="BA111" s="199">
        <f>$H111</f>
        <v/>
      </c>
      <c r="BB111" s="199">
        <f>$P111*BB$34-$Q111</f>
        <v/>
      </c>
      <c r="BC111" s="199">
        <f>$P111*BC$34-$Q111</f>
        <v/>
      </c>
      <c r="BD111" s="199">
        <f>$P111*BD$34-$Q111</f>
        <v/>
      </c>
      <c r="BE111" s="199">
        <f>$P111*BE$34-$Q111</f>
        <v/>
      </c>
      <c r="BF111" s="199">
        <f>$P111*BF$34-$Q111</f>
        <v/>
      </c>
      <c r="BH111" s="198">
        <f>$G111</f>
        <v/>
      </c>
      <c r="BI111" s="197">
        <f>$I111</f>
        <v/>
      </c>
      <c r="BJ111" s="197">
        <f>+BJ112</f>
        <v/>
      </c>
      <c r="BK111" s="197">
        <f>+BK112</f>
        <v/>
      </c>
      <c r="BL111" s="197">
        <f>+BL112</f>
        <v/>
      </c>
      <c r="BM111" s="197">
        <f>+BM112</f>
        <v/>
      </c>
      <c r="BN111" s="197">
        <f>+BN112</f>
        <v/>
      </c>
      <c r="BP111" s="198">
        <f>$G111</f>
        <v/>
      </c>
      <c r="BQ111" s="197">
        <f>$J111</f>
        <v/>
      </c>
      <c r="BR111" s="197">
        <f>+BR112</f>
        <v/>
      </c>
      <c r="BS111" s="197">
        <f>+BS112</f>
        <v/>
      </c>
      <c r="BT111" s="197">
        <f>+BT112</f>
        <v/>
      </c>
      <c r="BU111" s="197">
        <f>+BU112</f>
        <v/>
      </c>
      <c r="BV111" s="197">
        <f>+BV112</f>
        <v/>
      </c>
      <c r="BX111" s="198">
        <f>$G111</f>
        <v/>
      </c>
      <c r="BY111" s="197">
        <f>$K111</f>
        <v/>
      </c>
      <c r="BZ111" s="197">
        <f>+BZ112</f>
        <v/>
      </c>
      <c r="CA111" s="197">
        <f>+CA112</f>
        <v/>
      </c>
      <c r="CB111" s="197">
        <f>+CB112</f>
        <v/>
      </c>
      <c r="CC111" s="197">
        <f>+CC112</f>
        <v/>
      </c>
      <c r="CD111" s="197">
        <f>+CD112</f>
        <v/>
      </c>
      <c r="CF111" s="198">
        <f>$G111</f>
        <v/>
      </c>
      <c r="CG111" s="197">
        <f>$L111</f>
        <v/>
      </c>
      <c r="CH111" s="197">
        <f>+CH112</f>
        <v/>
      </c>
      <c r="CI111" s="197">
        <f>+CI112</f>
        <v/>
      </c>
      <c r="CJ111" s="197">
        <f>+CJ112</f>
        <v/>
      </c>
      <c r="CK111" s="197">
        <f>+CK112</f>
        <v/>
      </c>
      <c r="CL111" s="197">
        <f>+CL112</f>
        <v/>
      </c>
      <c r="CO111" s="199" t="n"/>
      <c r="CP111" s="199" t="n">
        <v>2.675</v>
      </c>
      <c r="CR111" s="199" t="inlineStr">
        <is>
          <t>#N/A N/A</t>
        </is>
      </c>
      <c r="CS111" s="970" t="n">
        <v>1.0322</v>
      </c>
    </row>
    <row r="112">
      <c r="B112" s="204">
        <f>+C112-1</f>
        <v/>
      </c>
      <c r="C112" s="204">
        <f>IF('bands_A-H_Avg'!$D$9+1&gt;MONTH(G112),YEAR(G112),YEAR(G112)+1)</f>
        <v/>
      </c>
      <c r="D112" s="204">
        <f>+C112+1</f>
        <v/>
      </c>
      <c r="E112" s="203">
        <f>IF(C112&gt;C111,1,E111+1)</f>
        <v/>
      </c>
      <c r="F112" s="203">
        <f>COUNTIF(C:C,C112)</f>
        <v/>
      </c>
      <c r="G112" s="198">
        <f>+G111+7</f>
        <v/>
      </c>
      <c r="H112" s="361">
        <f>IF(ISBLANK(CO112),CP112,SUMPRODUCT(CO$32:CP$32,CO112:CP112))</f>
        <v/>
      </c>
      <c r="I112" s="968">
        <f>H112/M112</f>
        <v/>
      </c>
      <c r="J112" s="968">
        <f>H112/N112</f>
        <v/>
      </c>
      <c r="K112" s="968">
        <f>(H112+Q112)/O112</f>
        <v/>
      </c>
      <c r="L112" s="968">
        <f>(H112+Q112)/P112</f>
        <v/>
      </c>
      <c r="M112" s="199">
        <f>HLOOKUP(C:C,$4:$10,3,FALSE)+((HLOOKUP(D:D,$4:$10,3,FALSE)-HLOOKUP(C:C,$4:$10,3,FALSE))*E112/F112)</f>
        <v/>
      </c>
      <c r="N112" s="199">
        <f>HLOOKUP(C:C,$4:$10,2,FALSE)+((HLOOKUP(D:D,$4:$10,2,FALSE)-HLOOKUP(C:C,$4:$10,2,FALSE))*E112/F112)</f>
        <v/>
      </c>
      <c r="O112" s="199">
        <f>HLOOKUP(C:C,$4:$10,5,FALSE)+((HLOOKUP(D:D,$4:$10,5,FALSE)-HLOOKUP(C:C,$4:$10,5,FALSE))*E112/F112)</f>
        <v/>
      </c>
      <c r="P112" s="199">
        <f>HLOOKUP(C:C,$4:$10,4,FALSE)+((HLOOKUP(D:D,$4:$10,4,FALSE)-HLOOKUP(C:C,$4:$10,4,FALSE))*E112/F112)</f>
        <v/>
      </c>
      <c r="Q112" s="199">
        <f>HLOOKUP(B:B,$4:$10,6,FALSE)+((HLOOKUP(C:C,$4:$10,6,FALSE)-HLOOKUP(B:B,$4:$10,6,FALSE))*E112/F112)</f>
        <v/>
      </c>
      <c r="T112" s="198">
        <f>$G112</f>
        <v/>
      </c>
      <c r="U112" s="199">
        <f>H112/(HLOOKUP(B:B,$4:$10,3,FALSE)+((HLOOKUP(C:C,$4:$10,3,FALSE)-HLOOKUP(B:B,$4:$10,3,FALSE))*E112/F112))</f>
        <v/>
      </c>
      <c r="V112" s="969">
        <f>HLOOKUP(B:B,$4:$10,7,FALSE)+((HLOOKUP(C:C,$4:$10,7,FALSE)-HLOOKUP(B:B,$4:$10,7,FALSE))*E112/F112)</f>
        <v/>
      </c>
      <c r="AB112" s="198">
        <f>$G112</f>
        <v/>
      </c>
      <c r="AC112" s="199">
        <f>$H112</f>
        <v/>
      </c>
      <c r="AD112" s="199">
        <f>$M112*AD$34</f>
        <v/>
      </c>
      <c r="AE112" s="199">
        <f>$M112*AE$34</f>
        <v/>
      </c>
      <c r="AF112" s="199">
        <f>$M112*AF$34</f>
        <v/>
      </c>
      <c r="AG112" s="199">
        <f>$M112*AG$34</f>
        <v/>
      </c>
      <c r="AH112" s="199">
        <f>$M112*AH$34</f>
        <v/>
      </c>
      <c r="AJ112" s="198">
        <f>$G112</f>
        <v/>
      </c>
      <c r="AK112" s="199">
        <f>$H112</f>
        <v/>
      </c>
      <c r="AL112" s="199">
        <f>$N112*AL$34</f>
        <v/>
      </c>
      <c r="AM112" s="199">
        <f>$N112*AM$34</f>
        <v/>
      </c>
      <c r="AN112" s="199">
        <f>$N112*AN$34</f>
        <v/>
      </c>
      <c r="AO112" s="199">
        <f>$N112*AO$34</f>
        <v/>
      </c>
      <c r="AP112" s="199">
        <f>$N112*AP$34</f>
        <v/>
      </c>
      <c r="AR112" s="198">
        <f>$G112</f>
        <v/>
      </c>
      <c r="AS112" s="199">
        <f>$H112</f>
        <v/>
      </c>
      <c r="AT112" s="199">
        <f>$O112*AT$34-$Q112</f>
        <v/>
      </c>
      <c r="AU112" s="199">
        <f>$O112*AU$34-$Q112</f>
        <v/>
      </c>
      <c r="AV112" s="199">
        <f>$O112*AV$34-$Q112</f>
        <v/>
      </c>
      <c r="AW112" s="199">
        <f>$O112*AW$34-$Q112</f>
        <v/>
      </c>
      <c r="AX112" s="199">
        <f>$O112*AX$34-$Q112</f>
        <v/>
      </c>
      <c r="AZ112" s="198">
        <f>$G112</f>
        <v/>
      </c>
      <c r="BA112" s="199">
        <f>$H112</f>
        <v/>
      </c>
      <c r="BB112" s="199">
        <f>$P112*BB$34-$Q112</f>
        <v/>
      </c>
      <c r="BC112" s="199">
        <f>$P112*BC$34-$Q112</f>
        <v/>
      </c>
      <c r="BD112" s="199">
        <f>$P112*BD$34-$Q112</f>
        <v/>
      </c>
      <c r="BE112" s="199">
        <f>$P112*BE$34-$Q112</f>
        <v/>
      </c>
      <c r="BF112" s="199">
        <f>$P112*BF$34-$Q112</f>
        <v/>
      </c>
      <c r="BH112" s="198">
        <f>$G112</f>
        <v/>
      </c>
      <c r="BI112" s="197">
        <f>$I112</f>
        <v/>
      </c>
      <c r="BJ112" s="197">
        <f>+BJ113</f>
        <v/>
      </c>
      <c r="BK112" s="197">
        <f>+BK113</f>
        <v/>
      </c>
      <c r="BL112" s="197">
        <f>+BL113</f>
        <v/>
      </c>
      <c r="BM112" s="197">
        <f>+BM113</f>
        <v/>
      </c>
      <c r="BN112" s="197">
        <f>+BN113</f>
        <v/>
      </c>
      <c r="BP112" s="198">
        <f>$G112</f>
        <v/>
      </c>
      <c r="BQ112" s="197">
        <f>$J112</f>
        <v/>
      </c>
      <c r="BR112" s="197">
        <f>+BR113</f>
        <v/>
      </c>
      <c r="BS112" s="197">
        <f>+BS113</f>
        <v/>
      </c>
      <c r="BT112" s="197">
        <f>+BT113</f>
        <v/>
      </c>
      <c r="BU112" s="197">
        <f>+BU113</f>
        <v/>
      </c>
      <c r="BV112" s="197">
        <f>+BV113</f>
        <v/>
      </c>
      <c r="BX112" s="198">
        <f>$G112</f>
        <v/>
      </c>
      <c r="BY112" s="197">
        <f>$K112</f>
        <v/>
      </c>
      <c r="BZ112" s="197">
        <f>+BZ113</f>
        <v/>
      </c>
      <c r="CA112" s="197">
        <f>+CA113</f>
        <v/>
      </c>
      <c r="CB112" s="197">
        <f>+CB113</f>
        <v/>
      </c>
      <c r="CC112" s="197">
        <f>+CC113</f>
        <v/>
      </c>
      <c r="CD112" s="197">
        <f>+CD113</f>
        <v/>
      </c>
      <c r="CF112" s="198">
        <f>$G112</f>
        <v/>
      </c>
      <c r="CG112" s="197">
        <f>$L112</f>
        <v/>
      </c>
      <c r="CH112" s="197">
        <f>+CH113</f>
        <v/>
      </c>
      <c r="CI112" s="197">
        <f>+CI113</f>
        <v/>
      </c>
      <c r="CJ112" s="197">
        <f>+CJ113</f>
        <v/>
      </c>
      <c r="CK112" s="197">
        <f>+CK113</f>
        <v/>
      </c>
      <c r="CL112" s="197">
        <f>+CL113</f>
        <v/>
      </c>
      <c r="CO112" s="199" t="n"/>
      <c r="CP112" s="199" t="n">
        <v>2.575</v>
      </c>
      <c r="CR112" s="199" t="inlineStr">
        <is>
          <t>#N/A N/A</t>
        </is>
      </c>
      <c r="CS112" s="970" t="n">
        <v>1.03059</v>
      </c>
    </row>
    <row r="113">
      <c r="B113" s="204">
        <f>+C113-1</f>
        <v/>
      </c>
      <c r="C113" s="204">
        <f>IF('bands_A-H_Avg'!$D$9+1&gt;MONTH(G113),YEAR(G113),YEAR(G113)+1)</f>
        <v/>
      </c>
      <c r="D113" s="204">
        <f>+C113+1</f>
        <v/>
      </c>
      <c r="E113" s="203">
        <f>IF(C113&gt;C112,1,E112+1)</f>
        <v/>
      </c>
      <c r="F113" s="203">
        <f>COUNTIF(C:C,C113)</f>
        <v/>
      </c>
      <c r="G113" s="198">
        <f>+G112+7</f>
        <v/>
      </c>
      <c r="H113" s="361">
        <f>IF(ISBLANK(CO113),CP113,SUMPRODUCT(CO$32:CP$32,CO113:CP113))</f>
        <v/>
      </c>
      <c r="I113" s="968">
        <f>H113/M113</f>
        <v/>
      </c>
      <c r="J113" s="968">
        <f>H113/N113</f>
        <v/>
      </c>
      <c r="K113" s="968">
        <f>(H113+Q113)/O113</f>
        <v/>
      </c>
      <c r="L113" s="968">
        <f>(H113+Q113)/P113</f>
        <v/>
      </c>
      <c r="M113" s="199">
        <f>HLOOKUP(C:C,$4:$10,3,FALSE)+((HLOOKUP(D:D,$4:$10,3,FALSE)-HLOOKUP(C:C,$4:$10,3,FALSE))*E113/F113)</f>
        <v/>
      </c>
      <c r="N113" s="199">
        <f>HLOOKUP(C:C,$4:$10,2,FALSE)+((HLOOKUP(D:D,$4:$10,2,FALSE)-HLOOKUP(C:C,$4:$10,2,FALSE))*E113/F113)</f>
        <v/>
      </c>
      <c r="O113" s="199">
        <f>HLOOKUP(C:C,$4:$10,5,FALSE)+((HLOOKUP(D:D,$4:$10,5,FALSE)-HLOOKUP(C:C,$4:$10,5,FALSE))*E113/F113)</f>
        <v/>
      </c>
      <c r="P113" s="199">
        <f>HLOOKUP(C:C,$4:$10,4,FALSE)+((HLOOKUP(D:D,$4:$10,4,FALSE)-HLOOKUP(C:C,$4:$10,4,FALSE))*E113/F113)</f>
        <v/>
      </c>
      <c r="Q113" s="199">
        <f>HLOOKUP(B:B,$4:$10,6,FALSE)+((HLOOKUP(C:C,$4:$10,6,FALSE)-HLOOKUP(B:B,$4:$10,6,FALSE))*E113/F113)</f>
        <v/>
      </c>
      <c r="T113" s="198">
        <f>$G113</f>
        <v/>
      </c>
      <c r="U113" s="199">
        <f>H113/(HLOOKUP(B:B,$4:$10,3,FALSE)+((HLOOKUP(C:C,$4:$10,3,FALSE)-HLOOKUP(B:B,$4:$10,3,FALSE))*E113/F113))</f>
        <v/>
      </c>
      <c r="V113" s="969">
        <f>HLOOKUP(B:B,$4:$10,7,FALSE)+((HLOOKUP(C:C,$4:$10,7,FALSE)-HLOOKUP(B:B,$4:$10,7,FALSE))*E113/F113)</f>
        <v/>
      </c>
      <c r="AB113" s="198">
        <f>$G113</f>
        <v/>
      </c>
      <c r="AC113" s="199">
        <f>$H113</f>
        <v/>
      </c>
      <c r="AD113" s="199">
        <f>$M113*AD$34</f>
        <v/>
      </c>
      <c r="AE113" s="199">
        <f>$M113*AE$34</f>
        <v/>
      </c>
      <c r="AF113" s="199">
        <f>$M113*AF$34</f>
        <v/>
      </c>
      <c r="AG113" s="199">
        <f>$M113*AG$34</f>
        <v/>
      </c>
      <c r="AH113" s="199">
        <f>$M113*AH$34</f>
        <v/>
      </c>
      <c r="AJ113" s="198">
        <f>$G113</f>
        <v/>
      </c>
      <c r="AK113" s="199">
        <f>$H113</f>
        <v/>
      </c>
      <c r="AL113" s="199">
        <f>$N113*AL$34</f>
        <v/>
      </c>
      <c r="AM113" s="199">
        <f>$N113*AM$34</f>
        <v/>
      </c>
      <c r="AN113" s="199">
        <f>$N113*AN$34</f>
        <v/>
      </c>
      <c r="AO113" s="199">
        <f>$N113*AO$34</f>
        <v/>
      </c>
      <c r="AP113" s="199">
        <f>$N113*AP$34</f>
        <v/>
      </c>
      <c r="AR113" s="198">
        <f>$G113</f>
        <v/>
      </c>
      <c r="AS113" s="199">
        <f>$H113</f>
        <v/>
      </c>
      <c r="AT113" s="199">
        <f>$O113*AT$34-$Q113</f>
        <v/>
      </c>
      <c r="AU113" s="199">
        <f>$O113*AU$34-$Q113</f>
        <v/>
      </c>
      <c r="AV113" s="199">
        <f>$O113*AV$34-$Q113</f>
        <v/>
      </c>
      <c r="AW113" s="199">
        <f>$O113*AW$34-$Q113</f>
        <v/>
      </c>
      <c r="AX113" s="199">
        <f>$O113*AX$34-$Q113</f>
        <v/>
      </c>
      <c r="AZ113" s="198">
        <f>$G113</f>
        <v/>
      </c>
      <c r="BA113" s="199">
        <f>$H113</f>
        <v/>
      </c>
      <c r="BB113" s="199">
        <f>$P113*BB$34-$Q113</f>
        <v/>
      </c>
      <c r="BC113" s="199">
        <f>$P113*BC$34-$Q113</f>
        <v/>
      </c>
      <c r="BD113" s="199">
        <f>$P113*BD$34-$Q113</f>
        <v/>
      </c>
      <c r="BE113" s="199">
        <f>$P113*BE$34-$Q113</f>
        <v/>
      </c>
      <c r="BF113" s="199">
        <f>$P113*BF$34-$Q113</f>
        <v/>
      </c>
      <c r="BH113" s="198">
        <f>$G113</f>
        <v/>
      </c>
      <c r="BI113" s="197">
        <f>$I113</f>
        <v/>
      </c>
      <c r="BJ113" s="197">
        <f>+BJ114</f>
        <v/>
      </c>
      <c r="BK113" s="197">
        <f>+BK114</f>
        <v/>
      </c>
      <c r="BL113" s="197">
        <f>+BL114</f>
        <v/>
      </c>
      <c r="BM113" s="197">
        <f>+BM114</f>
        <v/>
      </c>
      <c r="BN113" s="197">
        <f>+BN114</f>
        <v/>
      </c>
      <c r="BP113" s="198">
        <f>$G113</f>
        <v/>
      </c>
      <c r="BQ113" s="197">
        <f>$J113</f>
        <v/>
      </c>
      <c r="BR113" s="197">
        <f>+BR114</f>
        <v/>
      </c>
      <c r="BS113" s="197">
        <f>+BS114</f>
        <v/>
      </c>
      <c r="BT113" s="197">
        <f>+BT114</f>
        <v/>
      </c>
      <c r="BU113" s="197">
        <f>+BU114</f>
        <v/>
      </c>
      <c r="BV113" s="197">
        <f>+BV114</f>
        <v/>
      </c>
      <c r="BX113" s="198">
        <f>$G113</f>
        <v/>
      </c>
      <c r="BY113" s="197">
        <f>$K113</f>
        <v/>
      </c>
      <c r="BZ113" s="197">
        <f>+BZ114</f>
        <v/>
      </c>
      <c r="CA113" s="197">
        <f>+CA114</f>
        <v/>
      </c>
      <c r="CB113" s="197">
        <f>+CB114</f>
        <v/>
      </c>
      <c r="CC113" s="197">
        <f>+CC114</f>
        <v/>
      </c>
      <c r="CD113" s="197">
        <f>+CD114</f>
        <v/>
      </c>
      <c r="CF113" s="198">
        <f>$G113</f>
        <v/>
      </c>
      <c r="CG113" s="197">
        <f>$L113</f>
        <v/>
      </c>
      <c r="CH113" s="197">
        <f>+CH114</f>
        <v/>
      </c>
      <c r="CI113" s="197">
        <f>+CI114</f>
        <v/>
      </c>
      <c r="CJ113" s="197">
        <f>+CJ114</f>
        <v/>
      </c>
      <c r="CK113" s="197">
        <f>+CK114</f>
        <v/>
      </c>
      <c r="CL113" s="197">
        <f>+CL114</f>
        <v/>
      </c>
      <c r="CO113" s="199" t="n"/>
      <c r="CP113" s="199" t="n">
        <v>2.55</v>
      </c>
      <c r="CR113" s="199" t="inlineStr">
        <is>
          <t>#N/A N/A</t>
        </is>
      </c>
      <c r="CS113" s="970" t="n">
        <v>1.02983</v>
      </c>
    </row>
    <row r="114">
      <c r="B114" s="204">
        <f>+C114-1</f>
        <v/>
      </c>
      <c r="C114" s="204">
        <f>IF('bands_A-H_Avg'!$D$9+1&gt;MONTH(G114),YEAR(G114),YEAR(G114)+1)</f>
        <v/>
      </c>
      <c r="D114" s="204">
        <f>+C114+1</f>
        <v/>
      </c>
      <c r="E114" s="203">
        <f>IF(C114&gt;C113,1,E113+1)</f>
        <v/>
      </c>
      <c r="F114" s="203">
        <f>COUNTIF(C:C,C114)</f>
        <v/>
      </c>
      <c r="G114" s="198">
        <f>+G113+7</f>
        <v/>
      </c>
      <c r="H114" s="361">
        <f>IF(ISBLANK(CO114),CP114,SUMPRODUCT(CO$32:CP$32,CO114:CP114))</f>
        <v/>
      </c>
      <c r="I114" s="968">
        <f>H114/M114</f>
        <v/>
      </c>
      <c r="J114" s="968">
        <f>H114/N114</f>
        <v/>
      </c>
      <c r="K114" s="968">
        <f>(H114+Q114)/O114</f>
        <v/>
      </c>
      <c r="L114" s="968">
        <f>(H114+Q114)/P114</f>
        <v/>
      </c>
      <c r="M114" s="199">
        <f>HLOOKUP(C:C,$4:$10,3,FALSE)+((HLOOKUP(D:D,$4:$10,3,FALSE)-HLOOKUP(C:C,$4:$10,3,FALSE))*E114/F114)</f>
        <v/>
      </c>
      <c r="N114" s="199">
        <f>HLOOKUP(C:C,$4:$10,2,FALSE)+((HLOOKUP(D:D,$4:$10,2,FALSE)-HLOOKUP(C:C,$4:$10,2,FALSE))*E114/F114)</f>
        <v/>
      </c>
      <c r="O114" s="199">
        <f>HLOOKUP(C:C,$4:$10,5,FALSE)+((HLOOKUP(D:D,$4:$10,5,FALSE)-HLOOKUP(C:C,$4:$10,5,FALSE))*E114/F114)</f>
        <v/>
      </c>
      <c r="P114" s="199">
        <f>HLOOKUP(C:C,$4:$10,4,FALSE)+((HLOOKUP(D:D,$4:$10,4,FALSE)-HLOOKUP(C:C,$4:$10,4,FALSE))*E114/F114)</f>
        <v/>
      </c>
      <c r="Q114" s="199">
        <f>HLOOKUP(B:B,$4:$10,6,FALSE)+((HLOOKUP(C:C,$4:$10,6,FALSE)-HLOOKUP(B:B,$4:$10,6,FALSE))*E114/F114)</f>
        <v/>
      </c>
      <c r="T114" s="198">
        <f>$G114</f>
        <v/>
      </c>
      <c r="U114" s="199">
        <f>H114/(HLOOKUP(B:B,$4:$10,3,FALSE)+((HLOOKUP(C:C,$4:$10,3,FALSE)-HLOOKUP(B:B,$4:$10,3,FALSE))*E114/F114))</f>
        <v/>
      </c>
      <c r="V114" s="969">
        <f>HLOOKUP(B:B,$4:$10,7,FALSE)+((HLOOKUP(C:C,$4:$10,7,FALSE)-HLOOKUP(B:B,$4:$10,7,FALSE))*E114/F114)</f>
        <v/>
      </c>
      <c r="AB114" s="198">
        <f>$G114</f>
        <v/>
      </c>
      <c r="AC114" s="199">
        <f>$H114</f>
        <v/>
      </c>
      <c r="AD114" s="199">
        <f>$M114*AD$34</f>
        <v/>
      </c>
      <c r="AE114" s="199">
        <f>$M114*AE$34</f>
        <v/>
      </c>
      <c r="AF114" s="199">
        <f>$M114*AF$34</f>
        <v/>
      </c>
      <c r="AG114" s="199">
        <f>$M114*AG$34</f>
        <v/>
      </c>
      <c r="AH114" s="199">
        <f>$M114*AH$34</f>
        <v/>
      </c>
      <c r="AJ114" s="198">
        <f>$G114</f>
        <v/>
      </c>
      <c r="AK114" s="199">
        <f>$H114</f>
        <v/>
      </c>
      <c r="AL114" s="199">
        <f>$N114*AL$34</f>
        <v/>
      </c>
      <c r="AM114" s="199">
        <f>$N114*AM$34</f>
        <v/>
      </c>
      <c r="AN114" s="199">
        <f>$N114*AN$34</f>
        <v/>
      </c>
      <c r="AO114" s="199">
        <f>$N114*AO$34</f>
        <v/>
      </c>
      <c r="AP114" s="199">
        <f>$N114*AP$34</f>
        <v/>
      </c>
      <c r="AR114" s="198">
        <f>$G114</f>
        <v/>
      </c>
      <c r="AS114" s="199">
        <f>$H114</f>
        <v/>
      </c>
      <c r="AT114" s="199">
        <f>$O114*AT$34-$Q114</f>
        <v/>
      </c>
      <c r="AU114" s="199">
        <f>$O114*AU$34-$Q114</f>
        <v/>
      </c>
      <c r="AV114" s="199">
        <f>$O114*AV$34-$Q114</f>
        <v/>
      </c>
      <c r="AW114" s="199">
        <f>$O114*AW$34-$Q114</f>
        <v/>
      </c>
      <c r="AX114" s="199">
        <f>$O114*AX$34-$Q114</f>
        <v/>
      </c>
      <c r="AZ114" s="198">
        <f>$G114</f>
        <v/>
      </c>
      <c r="BA114" s="199">
        <f>$H114</f>
        <v/>
      </c>
      <c r="BB114" s="199">
        <f>$P114*BB$34-$Q114</f>
        <v/>
      </c>
      <c r="BC114" s="199">
        <f>$P114*BC$34-$Q114</f>
        <v/>
      </c>
      <c r="BD114" s="199">
        <f>$P114*BD$34-$Q114</f>
        <v/>
      </c>
      <c r="BE114" s="199">
        <f>$P114*BE$34-$Q114</f>
        <v/>
      </c>
      <c r="BF114" s="199">
        <f>$P114*BF$34-$Q114</f>
        <v/>
      </c>
      <c r="BH114" s="198">
        <f>$G114</f>
        <v/>
      </c>
      <c r="BI114" s="197">
        <f>$I114</f>
        <v/>
      </c>
      <c r="BJ114" s="197">
        <f>+BJ115</f>
        <v/>
      </c>
      <c r="BK114" s="197">
        <f>+BK115</f>
        <v/>
      </c>
      <c r="BL114" s="197">
        <f>+BL115</f>
        <v/>
      </c>
      <c r="BM114" s="197">
        <f>+BM115</f>
        <v/>
      </c>
      <c r="BN114" s="197">
        <f>+BN115</f>
        <v/>
      </c>
      <c r="BP114" s="198">
        <f>$G114</f>
        <v/>
      </c>
      <c r="BQ114" s="197">
        <f>$J114</f>
        <v/>
      </c>
      <c r="BR114" s="197">
        <f>+BR115</f>
        <v/>
      </c>
      <c r="BS114" s="197">
        <f>+BS115</f>
        <v/>
      </c>
      <c r="BT114" s="197">
        <f>+BT115</f>
        <v/>
      </c>
      <c r="BU114" s="197">
        <f>+BU115</f>
        <v/>
      </c>
      <c r="BV114" s="197">
        <f>+BV115</f>
        <v/>
      </c>
      <c r="BX114" s="198">
        <f>$G114</f>
        <v/>
      </c>
      <c r="BY114" s="197">
        <f>$K114</f>
        <v/>
      </c>
      <c r="BZ114" s="197">
        <f>+BZ115</f>
        <v/>
      </c>
      <c r="CA114" s="197">
        <f>+CA115</f>
        <v/>
      </c>
      <c r="CB114" s="197">
        <f>+CB115</f>
        <v/>
      </c>
      <c r="CC114" s="197">
        <f>+CC115</f>
        <v/>
      </c>
      <c r="CD114" s="197">
        <f>+CD115</f>
        <v/>
      </c>
      <c r="CF114" s="198">
        <f>$G114</f>
        <v/>
      </c>
      <c r="CG114" s="197">
        <f>$L114</f>
        <v/>
      </c>
      <c r="CH114" s="197">
        <f>+CH115</f>
        <v/>
      </c>
      <c r="CI114" s="197">
        <f>+CI115</f>
        <v/>
      </c>
      <c r="CJ114" s="197">
        <f>+CJ115</f>
        <v/>
      </c>
      <c r="CK114" s="197">
        <f>+CK115</f>
        <v/>
      </c>
      <c r="CL114" s="197">
        <f>+CL115</f>
        <v/>
      </c>
      <c r="CO114" s="199" t="n"/>
      <c r="CP114" s="199" t="n">
        <v>2.7</v>
      </c>
      <c r="CR114" s="199" t="inlineStr">
        <is>
          <t>#N/A N/A</t>
        </is>
      </c>
      <c r="CS114" s="970" t="n">
        <v>1.02934</v>
      </c>
    </row>
    <row r="115">
      <c r="B115" s="204">
        <f>+C115-1</f>
        <v/>
      </c>
      <c r="C115" s="204">
        <f>IF('bands_A-H_Avg'!$D$9+1&gt;MONTH(G115),YEAR(G115),YEAR(G115)+1)</f>
        <v/>
      </c>
      <c r="D115" s="204">
        <f>+C115+1</f>
        <v/>
      </c>
      <c r="E115" s="203">
        <f>IF(C115&gt;C114,1,E114+1)</f>
        <v/>
      </c>
      <c r="F115" s="203">
        <f>COUNTIF(C:C,C115)</f>
        <v/>
      </c>
      <c r="G115" s="198">
        <f>+G114+7</f>
        <v/>
      </c>
      <c r="H115" s="361">
        <f>IF(ISBLANK(CO115),CP115,SUMPRODUCT(CO$32:CP$32,CO115:CP115))</f>
        <v/>
      </c>
      <c r="I115" s="968">
        <f>H115/M115</f>
        <v/>
      </c>
      <c r="J115" s="968">
        <f>H115/N115</f>
        <v/>
      </c>
      <c r="K115" s="968">
        <f>(H115+Q115)/O115</f>
        <v/>
      </c>
      <c r="L115" s="968">
        <f>(H115+Q115)/P115</f>
        <v/>
      </c>
      <c r="M115" s="199">
        <f>HLOOKUP(C:C,$4:$10,3,FALSE)+((HLOOKUP(D:D,$4:$10,3,FALSE)-HLOOKUP(C:C,$4:$10,3,FALSE))*E115/F115)</f>
        <v/>
      </c>
      <c r="N115" s="199">
        <f>HLOOKUP(C:C,$4:$10,2,FALSE)+((HLOOKUP(D:D,$4:$10,2,FALSE)-HLOOKUP(C:C,$4:$10,2,FALSE))*E115/F115)</f>
        <v/>
      </c>
      <c r="O115" s="199">
        <f>HLOOKUP(C:C,$4:$10,5,FALSE)+((HLOOKUP(D:D,$4:$10,5,FALSE)-HLOOKUP(C:C,$4:$10,5,FALSE))*E115/F115)</f>
        <v/>
      </c>
      <c r="P115" s="199">
        <f>HLOOKUP(C:C,$4:$10,4,FALSE)+((HLOOKUP(D:D,$4:$10,4,FALSE)-HLOOKUP(C:C,$4:$10,4,FALSE))*E115/F115)</f>
        <v/>
      </c>
      <c r="Q115" s="199">
        <f>HLOOKUP(B:B,$4:$10,6,FALSE)+((HLOOKUP(C:C,$4:$10,6,FALSE)-HLOOKUP(B:B,$4:$10,6,FALSE))*E115/F115)</f>
        <v/>
      </c>
      <c r="T115" s="198">
        <f>$G115</f>
        <v/>
      </c>
      <c r="U115" s="199">
        <f>H115/(HLOOKUP(B:B,$4:$10,3,FALSE)+((HLOOKUP(C:C,$4:$10,3,FALSE)-HLOOKUP(B:B,$4:$10,3,FALSE))*E115/F115))</f>
        <v/>
      </c>
      <c r="V115" s="969">
        <f>HLOOKUP(B:B,$4:$10,7,FALSE)+((HLOOKUP(C:C,$4:$10,7,FALSE)-HLOOKUP(B:B,$4:$10,7,FALSE))*E115/F115)</f>
        <v/>
      </c>
      <c r="AB115" s="198">
        <f>$G115</f>
        <v/>
      </c>
      <c r="AC115" s="199">
        <f>$H115</f>
        <v/>
      </c>
      <c r="AD115" s="199">
        <f>$M115*AD$34</f>
        <v/>
      </c>
      <c r="AE115" s="199">
        <f>$M115*AE$34</f>
        <v/>
      </c>
      <c r="AF115" s="199">
        <f>$M115*AF$34</f>
        <v/>
      </c>
      <c r="AG115" s="199">
        <f>$M115*AG$34</f>
        <v/>
      </c>
      <c r="AH115" s="199">
        <f>$M115*AH$34</f>
        <v/>
      </c>
      <c r="AJ115" s="198">
        <f>$G115</f>
        <v/>
      </c>
      <c r="AK115" s="199">
        <f>$H115</f>
        <v/>
      </c>
      <c r="AL115" s="199">
        <f>$N115*AL$34</f>
        <v/>
      </c>
      <c r="AM115" s="199">
        <f>$N115*AM$34</f>
        <v/>
      </c>
      <c r="AN115" s="199">
        <f>$N115*AN$34</f>
        <v/>
      </c>
      <c r="AO115" s="199">
        <f>$N115*AO$34</f>
        <v/>
      </c>
      <c r="AP115" s="199">
        <f>$N115*AP$34</f>
        <v/>
      </c>
      <c r="AR115" s="198">
        <f>$G115</f>
        <v/>
      </c>
      <c r="AS115" s="199">
        <f>$H115</f>
        <v/>
      </c>
      <c r="AT115" s="199">
        <f>$O115*AT$34-$Q115</f>
        <v/>
      </c>
      <c r="AU115" s="199">
        <f>$O115*AU$34-$Q115</f>
        <v/>
      </c>
      <c r="AV115" s="199">
        <f>$O115*AV$34-$Q115</f>
        <v/>
      </c>
      <c r="AW115" s="199">
        <f>$O115*AW$34-$Q115</f>
        <v/>
      </c>
      <c r="AX115" s="199">
        <f>$O115*AX$34-$Q115</f>
        <v/>
      </c>
      <c r="AZ115" s="198">
        <f>$G115</f>
        <v/>
      </c>
      <c r="BA115" s="199">
        <f>$H115</f>
        <v/>
      </c>
      <c r="BB115" s="199">
        <f>$P115*BB$34-$Q115</f>
        <v/>
      </c>
      <c r="BC115" s="199">
        <f>$P115*BC$34-$Q115</f>
        <v/>
      </c>
      <c r="BD115" s="199">
        <f>$P115*BD$34-$Q115</f>
        <v/>
      </c>
      <c r="BE115" s="199">
        <f>$P115*BE$34-$Q115</f>
        <v/>
      </c>
      <c r="BF115" s="199">
        <f>$P115*BF$34-$Q115</f>
        <v/>
      </c>
      <c r="BH115" s="198">
        <f>$G115</f>
        <v/>
      </c>
      <c r="BI115" s="197">
        <f>$I115</f>
        <v/>
      </c>
      <c r="BJ115" s="197">
        <f>+BJ116</f>
        <v/>
      </c>
      <c r="BK115" s="197">
        <f>+BK116</f>
        <v/>
      </c>
      <c r="BL115" s="197">
        <f>+BL116</f>
        <v/>
      </c>
      <c r="BM115" s="197">
        <f>+BM116</f>
        <v/>
      </c>
      <c r="BN115" s="197">
        <f>+BN116</f>
        <v/>
      </c>
      <c r="BP115" s="198">
        <f>$G115</f>
        <v/>
      </c>
      <c r="BQ115" s="197">
        <f>$J115</f>
        <v/>
      </c>
      <c r="BR115" s="197">
        <f>+BR116</f>
        <v/>
      </c>
      <c r="BS115" s="197">
        <f>+BS116</f>
        <v/>
      </c>
      <c r="BT115" s="197">
        <f>+BT116</f>
        <v/>
      </c>
      <c r="BU115" s="197">
        <f>+BU116</f>
        <v/>
      </c>
      <c r="BV115" s="197">
        <f>+BV116</f>
        <v/>
      </c>
      <c r="BX115" s="198">
        <f>$G115</f>
        <v/>
      </c>
      <c r="BY115" s="197">
        <f>$K115</f>
        <v/>
      </c>
      <c r="BZ115" s="197">
        <f>+BZ116</f>
        <v/>
      </c>
      <c r="CA115" s="197">
        <f>+CA116</f>
        <v/>
      </c>
      <c r="CB115" s="197">
        <f>+CB116</f>
        <v/>
      </c>
      <c r="CC115" s="197">
        <f>+CC116</f>
        <v/>
      </c>
      <c r="CD115" s="197">
        <f>+CD116</f>
        <v/>
      </c>
      <c r="CF115" s="198">
        <f>$G115</f>
        <v/>
      </c>
      <c r="CG115" s="197">
        <f>$L115</f>
        <v/>
      </c>
      <c r="CH115" s="197">
        <f>+CH116</f>
        <v/>
      </c>
      <c r="CI115" s="197">
        <f>+CI116</f>
        <v/>
      </c>
      <c r="CJ115" s="197">
        <f>+CJ116</f>
        <v/>
      </c>
      <c r="CK115" s="197">
        <f>+CK116</f>
        <v/>
      </c>
      <c r="CL115" s="197">
        <f>+CL116</f>
        <v/>
      </c>
      <c r="CO115" s="199" t="n"/>
      <c r="CP115" s="199" t="n">
        <v>2.8</v>
      </c>
      <c r="CR115" s="199" t="inlineStr">
        <is>
          <t>#N/A N/A</t>
        </is>
      </c>
      <c r="CS115" s="970" t="n">
        <v>1.02803</v>
      </c>
    </row>
    <row r="116">
      <c r="B116" s="204">
        <f>+C116-1</f>
        <v/>
      </c>
      <c r="C116" s="204">
        <f>IF('bands_A-H_Avg'!$D$9+1&gt;MONTH(G116),YEAR(G116),YEAR(G116)+1)</f>
        <v/>
      </c>
      <c r="D116" s="204">
        <f>+C116+1</f>
        <v/>
      </c>
      <c r="E116" s="203">
        <f>IF(C116&gt;C115,1,E115+1)</f>
        <v/>
      </c>
      <c r="F116" s="203">
        <f>COUNTIF(C:C,C116)</f>
        <v/>
      </c>
      <c r="G116" s="198">
        <f>+G115+7</f>
        <v/>
      </c>
      <c r="H116" s="361">
        <f>IF(ISBLANK(CO116),CP116,SUMPRODUCT(CO$32:CP$32,CO116:CP116))</f>
        <v/>
      </c>
      <c r="I116" s="968">
        <f>H116/M116</f>
        <v/>
      </c>
      <c r="J116" s="968">
        <f>H116/N116</f>
        <v/>
      </c>
      <c r="K116" s="968">
        <f>(H116+Q116)/O116</f>
        <v/>
      </c>
      <c r="L116" s="968">
        <f>(H116+Q116)/P116</f>
        <v/>
      </c>
      <c r="M116" s="199">
        <f>HLOOKUP(C:C,$4:$10,3,FALSE)+((HLOOKUP(D:D,$4:$10,3,FALSE)-HLOOKUP(C:C,$4:$10,3,FALSE))*E116/F116)</f>
        <v/>
      </c>
      <c r="N116" s="199">
        <f>HLOOKUP(C:C,$4:$10,2,FALSE)+((HLOOKUP(D:D,$4:$10,2,FALSE)-HLOOKUP(C:C,$4:$10,2,FALSE))*E116/F116)</f>
        <v/>
      </c>
      <c r="O116" s="199">
        <f>HLOOKUP(C:C,$4:$10,5,FALSE)+((HLOOKUP(D:D,$4:$10,5,FALSE)-HLOOKUP(C:C,$4:$10,5,FALSE))*E116/F116)</f>
        <v/>
      </c>
      <c r="P116" s="199">
        <f>HLOOKUP(C:C,$4:$10,4,FALSE)+((HLOOKUP(D:D,$4:$10,4,FALSE)-HLOOKUP(C:C,$4:$10,4,FALSE))*E116/F116)</f>
        <v/>
      </c>
      <c r="Q116" s="199">
        <f>HLOOKUP(B:B,$4:$10,6,FALSE)+((HLOOKUP(C:C,$4:$10,6,FALSE)-HLOOKUP(B:B,$4:$10,6,FALSE))*E116/F116)</f>
        <v/>
      </c>
      <c r="T116" s="198">
        <f>$G116</f>
        <v/>
      </c>
      <c r="U116" s="199">
        <f>H116/(HLOOKUP(B:B,$4:$10,3,FALSE)+((HLOOKUP(C:C,$4:$10,3,FALSE)-HLOOKUP(B:B,$4:$10,3,FALSE))*E116/F116))</f>
        <v/>
      </c>
      <c r="V116" s="969">
        <f>HLOOKUP(B:B,$4:$10,7,FALSE)+((HLOOKUP(C:C,$4:$10,7,FALSE)-HLOOKUP(B:B,$4:$10,7,FALSE))*E116/F116)</f>
        <v/>
      </c>
      <c r="AB116" s="198">
        <f>$G116</f>
        <v/>
      </c>
      <c r="AC116" s="199">
        <f>$H116</f>
        <v/>
      </c>
      <c r="AD116" s="199">
        <f>$M116*AD$34</f>
        <v/>
      </c>
      <c r="AE116" s="199">
        <f>$M116*AE$34</f>
        <v/>
      </c>
      <c r="AF116" s="199">
        <f>$M116*AF$34</f>
        <v/>
      </c>
      <c r="AG116" s="199">
        <f>$M116*AG$34</f>
        <v/>
      </c>
      <c r="AH116" s="199">
        <f>$M116*AH$34</f>
        <v/>
      </c>
      <c r="AJ116" s="198">
        <f>$G116</f>
        <v/>
      </c>
      <c r="AK116" s="199">
        <f>$H116</f>
        <v/>
      </c>
      <c r="AL116" s="199">
        <f>$N116*AL$34</f>
        <v/>
      </c>
      <c r="AM116" s="199">
        <f>$N116*AM$34</f>
        <v/>
      </c>
      <c r="AN116" s="199">
        <f>$N116*AN$34</f>
        <v/>
      </c>
      <c r="AO116" s="199">
        <f>$N116*AO$34</f>
        <v/>
      </c>
      <c r="AP116" s="199">
        <f>$N116*AP$34</f>
        <v/>
      </c>
      <c r="AR116" s="198">
        <f>$G116</f>
        <v/>
      </c>
      <c r="AS116" s="199">
        <f>$H116</f>
        <v/>
      </c>
      <c r="AT116" s="199">
        <f>$O116*AT$34-$Q116</f>
        <v/>
      </c>
      <c r="AU116" s="199">
        <f>$O116*AU$34-$Q116</f>
        <v/>
      </c>
      <c r="AV116" s="199">
        <f>$O116*AV$34-$Q116</f>
        <v/>
      </c>
      <c r="AW116" s="199">
        <f>$O116*AW$34-$Q116</f>
        <v/>
      </c>
      <c r="AX116" s="199">
        <f>$O116*AX$34-$Q116</f>
        <v/>
      </c>
      <c r="AZ116" s="198">
        <f>$G116</f>
        <v/>
      </c>
      <c r="BA116" s="199">
        <f>$H116</f>
        <v/>
      </c>
      <c r="BB116" s="199">
        <f>$P116*BB$34-$Q116</f>
        <v/>
      </c>
      <c r="BC116" s="199">
        <f>$P116*BC$34-$Q116</f>
        <v/>
      </c>
      <c r="BD116" s="199">
        <f>$P116*BD$34-$Q116</f>
        <v/>
      </c>
      <c r="BE116" s="199">
        <f>$P116*BE$34-$Q116</f>
        <v/>
      </c>
      <c r="BF116" s="199">
        <f>$P116*BF$34-$Q116</f>
        <v/>
      </c>
      <c r="BH116" s="198">
        <f>$G116</f>
        <v/>
      </c>
      <c r="BI116" s="197">
        <f>$I116</f>
        <v/>
      </c>
      <c r="BJ116" s="197">
        <f>+BJ117</f>
        <v/>
      </c>
      <c r="BK116" s="197">
        <f>+BK117</f>
        <v/>
      </c>
      <c r="BL116" s="197">
        <f>+BL117</f>
        <v/>
      </c>
      <c r="BM116" s="197">
        <f>+BM117</f>
        <v/>
      </c>
      <c r="BN116" s="197">
        <f>+BN117</f>
        <v/>
      </c>
      <c r="BP116" s="198">
        <f>$G116</f>
        <v/>
      </c>
      <c r="BQ116" s="197">
        <f>$J116</f>
        <v/>
      </c>
      <c r="BR116" s="197">
        <f>+BR117</f>
        <v/>
      </c>
      <c r="BS116" s="197">
        <f>+BS117</f>
        <v/>
      </c>
      <c r="BT116" s="197">
        <f>+BT117</f>
        <v/>
      </c>
      <c r="BU116" s="197">
        <f>+BU117</f>
        <v/>
      </c>
      <c r="BV116" s="197">
        <f>+BV117</f>
        <v/>
      </c>
      <c r="BX116" s="198">
        <f>$G116</f>
        <v/>
      </c>
      <c r="BY116" s="197">
        <f>$K116</f>
        <v/>
      </c>
      <c r="BZ116" s="197">
        <f>+BZ117</f>
        <v/>
      </c>
      <c r="CA116" s="197">
        <f>+CA117</f>
        <v/>
      </c>
      <c r="CB116" s="197">
        <f>+CB117</f>
        <v/>
      </c>
      <c r="CC116" s="197">
        <f>+CC117</f>
        <v/>
      </c>
      <c r="CD116" s="197">
        <f>+CD117</f>
        <v/>
      </c>
      <c r="CF116" s="198">
        <f>$G116</f>
        <v/>
      </c>
      <c r="CG116" s="197">
        <f>$L116</f>
        <v/>
      </c>
      <c r="CH116" s="197">
        <f>+CH117</f>
        <v/>
      </c>
      <c r="CI116" s="197">
        <f>+CI117</f>
        <v/>
      </c>
      <c r="CJ116" s="197">
        <f>+CJ117</f>
        <v/>
      </c>
      <c r="CK116" s="197">
        <f>+CK117</f>
        <v/>
      </c>
      <c r="CL116" s="197">
        <f>+CL117</f>
        <v/>
      </c>
      <c r="CO116" s="199" t="n"/>
      <c r="CP116" s="199" t="n">
        <v>2.775</v>
      </c>
      <c r="CR116" s="199" t="inlineStr">
        <is>
          <t>#N/A N/A</t>
        </is>
      </c>
      <c r="CS116" s="970" t="n">
        <v>1.02856</v>
      </c>
    </row>
    <row r="117">
      <c r="B117" s="204">
        <f>+C117-1</f>
        <v/>
      </c>
      <c r="C117" s="204">
        <f>IF('bands_A-H_Avg'!$D$9+1&gt;MONTH(G117),YEAR(G117),YEAR(G117)+1)</f>
        <v/>
      </c>
      <c r="D117" s="204">
        <f>+C117+1</f>
        <v/>
      </c>
      <c r="E117" s="203">
        <f>IF(C117&gt;C116,1,E116+1)</f>
        <v/>
      </c>
      <c r="F117" s="203">
        <f>COUNTIF(C:C,C117)</f>
        <v/>
      </c>
      <c r="G117" s="198">
        <f>+G116+7</f>
        <v/>
      </c>
      <c r="H117" s="361">
        <f>IF(ISBLANK(CO117),CP117,SUMPRODUCT(CO$32:CP$32,CO117:CP117))</f>
        <v/>
      </c>
      <c r="I117" s="968">
        <f>H117/M117</f>
        <v/>
      </c>
      <c r="J117" s="968">
        <f>H117/N117</f>
        <v/>
      </c>
      <c r="K117" s="968">
        <f>(H117+Q117)/O117</f>
        <v/>
      </c>
      <c r="L117" s="968">
        <f>(H117+Q117)/P117</f>
        <v/>
      </c>
      <c r="M117" s="199">
        <f>HLOOKUP(C:C,$4:$10,3,FALSE)+((HLOOKUP(D:D,$4:$10,3,FALSE)-HLOOKUP(C:C,$4:$10,3,FALSE))*E117/F117)</f>
        <v/>
      </c>
      <c r="N117" s="199">
        <f>HLOOKUP(C:C,$4:$10,2,FALSE)+((HLOOKUP(D:D,$4:$10,2,FALSE)-HLOOKUP(C:C,$4:$10,2,FALSE))*E117/F117)</f>
        <v/>
      </c>
      <c r="O117" s="199">
        <f>HLOOKUP(C:C,$4:$10,5,FALSE)+((HLOOKUP(D:D,$4:$10,5,FALSE)-HLOOKUP(C:C,$4:$10,5,FALSE))*E117/F117)</f>
        <v/>
      </c>
      <c r="P117" s="199">
        <f>HLOOKUP(C:C,$4:$10,4,FALSE)+((HLOOKUP(D:D,$4:$10,4,FALSE)-HLOOKUP(C:C,$4:$10,4,FALSE))*E117/F117)</f>
        <v/>
      </c>
      <c r="Q117" s="199">
        <f>HLOOKUP(B:B,$4:$10,6,FALSE)+((HLOOKUP(C:C,$4:$10,6,FALSE)-HLOOKUP(B:B,$4:$10,6,FALSE))*E117/F117)</f>
        <v/>
      </c>
      <c r="T117" s="198">
        <f>$G117</f>
        <v/>
      </c>
      <c r="U117" s="199">
        <f>H117/(HLOOKUP(B:B,$4:$10,3,FALSE)+((HLOOKUP(C:C,$4:$10,3,FALSE)-HLOOKUP(B:B,$4:$10,3,FALSE))*E117/F117))</f>
        <v/>
      </c>
      <c r="V117" s="969">
        <f>HLOOKUP(B:B,$4:$10,7,FALSE)+((HLOOKUP(C:C,$4:$10,7,FALSE)-HLOOKUP(B:B,$4:$10,7,FALSE))*E117/F117)</f>
        <v/>
      </c>
      <c r="AB117" s="198">
        <f>$G117</f>
        <v/>
      </c>
      <c r="AC117" s="199">
        <f>$H117</f>
        <v/>
      </c>
      <c r="AD117" s="199">
        <f>$M117*AD$34</f>
        <v/>
      </c>
      <c r="AE117" s="199">
        <f>$M117*AE$34</f>
        <v/>
      </c>
      <c r="AF117" s="199">
        <f>$M117*AF$34</f>
        <v/>
      </c>
      <c r="AG117" s="199">
        <f>$M117*AG$34</f>
        <v/>
      </c>
      <c r="AH117" s="199">
        <f>$M117*AH$34</f>
        <v/>
      </c>
      <c r="AJ117" s="198">
        <f>$G117</f>
        <v/>
      </c>
      <c r="AK117" s="199">
        <f>$H117</f>
        <v/>
      </c>
      <c r="AL117" s="199">
        <f>$N117*AL$34</f>
        <v/>
      </c>
      <c r="AM117" s="199">
        <f>$N117*AM$34</f>
        <v/>
      </c>
      <c r="AN117" s="199">
        <f>$N117*AN$34</f>
        <v/>
      </c>
      <c r="AO117" s="199">
        <f>$N117*AO$34</f>
        <v/>
      </c>
      <c r="AP117" s="199">
        <f>$N117*AP$34</f>
        <v/>
      </c>
      <c r="AR117" s="198">
        <f>$G117</f>
        <v/>
      </c>
      <c r="AS117" s="199">
        <f>$H117</f>
        <v/>
      </c>
      <c r="AT117" s="199">
        <f>$O117*AT$34-$Q117</f>
        <v/>
      </c>
      <c r="AU117" s="199">
        <f>$O117*AU$34-$Q117</f>
        <v/>
      </c>
      <c r="AV117" s="199">
        <f>$O117*AV$34-$Q117</f>
        <v/>
      </c>
      <c r="AW117" s="199">
        <f>$O117*AW$34-$Q117</f>
        <v/>
      </c>
      <c r="AX117" s="199">
        <f>$O117*AX$34-$Q117</f>
        <v/>
      </c>
      <c r="AZ117" s="198">
        <f>$G117</f>
        <v/>
      </c>
      <c r="BA117" s="199">
        <f>$H117</f>
        <v/>
      </c>
      <c r="BB117" s="199">
        <f>$P117*BB$34-$Q117</f>
        <v/>
      </c>
      <c r="BC117" s="199">
        <f>$P117*BC$34-$Q117</f>
        <v/>
      </c>
      <c r="BD117" s="199">
        <f>$P117*BD$34-$Q117</f>
        <v/>
      </c>
      <c r="BE117" s="199">
        <f>$P117*BE$34-$Q117</f>
        <v/>
      </c>
      <c r="BF117" s="199">
        <f>$P117*BF$34-$Q117</f>
        <v/>
      </c>
      <c r="BH117" s="198">
        <f>$G117</f>
        <v/>
      </c>
      <c r="BI117" s="197">
        <f>$I117</f>
        <v/>
      </c>
      <c r="BJ117" s="197">
        <f>+BJ118</f>
        <v/>
      </c>
      <c r="BK117" s="197">
        <f>+BK118</f>
        <v/>
      </c>
      <c r="BL117" s="197">
        <f>+BL118</f>
        <v/>
      </c>
      <c r="BM117" s="197">
        <f>+BM118</f>
        <v/>
      </c>
      <c r="BN117" s="197">
        <f>+BN118</f>
        <v/>
      </c>
      <c r="BP117" s="198">
        <f>$G117</f>
        <v/>
      </c>
      <c r="BQ117" s="197">
        <f>$J117</f>
        <v/>
      </c>
      <c r="BR117" s="197">
        <f>+BR118</f>
        <v/>
      </c>
      <c r="BS117" s="197">
        <f>+BS118</f>
        <v/>
      </c>
      <c r="BT117" s="197">
        <f>+BT118</f>
        <v/>
      </c>
      <c r="BU117" s="197">
        <f>+BU118</f>
        <v/>
      </c>
      <c r="BV117" s="197">
        <f>+BV118</f>
        <v/>
      </c>
      <c r="BX117" s="198">
        <f>$G117</f>
        <v/>
      </c>
      <c r="BY117" s="197">
        <f>$K117</f>
        <v/>
      </c>
      <c r="BZ117" s="197">
        <f>+BZ118</f>
        <v/>
      </c>
      <c r="CA117" s="197">
        <f>+CA118</f>
        <v/>
      </c>
      <c r="CB117" s="197">
        <f>+CB118</f>
        <v/>
      </c>
      <c r="CC117" s="197">
        <f>+CC118</f>
        <v/>
      </c>
      <c r="CD117" s="197">
        <f>+CD118</f>
        <v/>
      </c>
      <c r="CF117" s="198">
        <f>$G117</f>
        <v/>
      </c>
      <c r="CG117" s="197">
        <f>$L117</f>
        <v/>
      </c>
      <c r="CH117" s="197">
        <f>+CH118</f>
        <v/>
      </c>
      <c r="CI117" s="197">
        <f>+CI118</f>
        <v/>
      </c>
      <c r="CJ117" s="197">
        <f>+CJ118</f>
        <v/>
      </c>
      <c r="CK117" s="197">
        <f>+CK118</f>
        <v/>
      </c>
      <c r="CL117" s="197">
        <f>+CL118</f>
        <v/>
      </c>
      <c r="CO117" s="199" t="n"/>
      <c r="CP117" s="199" t="n">
        <v>2.75</v>
      </c>
      <c r="CR117" s="199" t="inlineStr">
        <is>
          <t>#N/A N/A</t>
        </is>
      </c>
      <c r="CS117" s="970" t="n">
        <v>1.02656</v>
      </c>
    </row>
    <row r="118">
      <c r="B118" s="204">
        <f>+C118-1</f>
        <v/>
      </c>
      <c r="C118" s="204">
        <f>IF('bands_A-H_Avg'!$D$9+1&gt;MONTH(G118),YEAR(G118),YEAR(G118)+1)</f>
        <v/>
      </c>
      <c r="D118" s="204">
        <f>+C118+1</f>
        <v/>
      </c>
      <c r="E118" s="203">
        <f>IF(C118&gt;C117,1,E117+1)</f>
        <v/>
      </c>
      <c r="F118" s="203">
        <f>COUNTIF(C:C,C118)</f>
        <v/>
      </c>
      <c r="G118" s="198">
        <f>+G117+7</f>
        <v/>
      </c>
      <c r="H118" s="361">
        <f>IF(ISBLANK(CO118),CP118,SUMPRODUCT(CO$32:CP$32,CO118:CP118))</f>
        <v/>
      </c>
      <c r="I118" s="968">
        <f>H118/M118</f>
        <v/>
      </c>
      <c r="J118" s="968">
        <f>H118/N118</f>
        <v/>
      </c>
      <c r="K118" s="968">
        <f>(H118+Q118)/O118</f>
        <v/>
      </c>
      <c r="L118" s="968">
        <f>(H118+Q118)/P118</f>
        <v/>
      </c>
      <c r="M118" s="199">
        <f>HLOOKUP(C:C,$4:$10,3,FALSE)+((HLOOKUP(D:D,$4:$10,3,FALSE)-HLOOKUP(C:C,$4:$10,3,FALSE))*E118/F118)</f>
        <v/>
      </c>
      <c r="N118" s="199">
        <f>HLOOKUP(C:C,$4:$10,2,FALSE)+((HLOOKUP(D:D,$4:$10,2,FALSE)-HLOOKUP(C:C,$4:$10,2,FALSE))*E118/F118)</f>
        <v/>
      </c>
      <c r="O118" s="199">
        <f>HLOOKUP(C:C,$4:$10,5,FALSE)+((HLOOKUP(D:D,$4:$10,5,FALSE)-HLOOKUP(C:C,$4:$10,5,FALSE))*E118/F118)</f>
        <v/>
      </c>
      <c r="P118" s="199">
        <f>HLOOKUP(C:C,$4:$10,4,FALSE)+((HLOOKUP(D:D,$4:$10,4,FALSE)-HLOOKUP(C:C,$4:$10,4,FALSE))*E118/F118)</f>
        <v/>
      </c>
      <c r="Q118" s="199">
        <f>HLOOKUP(B:B,$4:$10,6,FALSE)+((HLOOKUP(C:C,$4:$10,6,FALSE)-HLOOKUP(B:B,$4:$10,6,FALSE))*E118/F118)</f>
        <v/>
      </c>
      <c r="T118" s="198">
        <f>$G118</f>
        <v/>
      </c>
      <c r="U118" s="199">
        <f>H118/(HLOOKUP(B:B,$4:$10,3,FALSE)+((HLOOKUP(C:C,$4:$10,3,FALSE)-HLOOKUP(B:B,$4:$10,3,FALSE))*E118/F118))</f>
        <v/>
      </c>
      <c r="V118" s="969">
        <f>HLOOKUP(B:B,$4:$10,7,FALSE)+((HLOOKUP(C:C,$4:$10,7,FALSE)-HLOOKUP(B:B,$4:$10,7,FALSE))*E118/F118)</f>
        <v/>
      </c>
      <c r="AB118" s="198">
        <f>$G118</f>
        <v/>
      </c>
      <c r="AC118" s="199">
        <f>$H118</f>
        <v/>
      </c>
      <c r="AD118" s="199">
        <f>$M118*AD$34</f>
        <v/>
      </c>
      <c r="AE118" s="199">
        <f>$M118*AE$34</f>
        <v/>
      </c>
      <c r="AF118" s="199">
        <f>$M118*AF$34</f>
        <v/>
      </c>
      <c r="AG118" s="199">
        <f>$M118*AG$34</f>
        <v/>
      </c>
      <c r="AH118" s="199">
        <f>$M118*AH$34</f>
        <v/>
      </c>
      <c r="AJ118" s="198">
        <f>$G118</f>
        <v/>
      </c>
      <c r="AK118" s="199">
        <f>$H118</f>
        <v/>
      </c>
      <c r="AL118" s="199">
        <f>$N118*AL$34</f>
        <v/>
      </c>
      <c r="AM118" s="199">
        <f>$N118*AM$34</f>
        <v/>
      </c>
      <c r="AN118" s="199">
        <f>$N118*AN$34</f>
        <v/>
      </c>
      <c r="AO118" s="199">
        <f>$N118*AO$34</f>
        <v/>
      </c>
      <c r="AP118" s="199">
        <f>$N118*AP$34</f>
        <v/>
      </c>
      <c r="AR118" s="198">
        <f>$G118</f>
        <v/>
      </c>
      <c r="AS118" s="199">
        <f>$H118</f>
        <v/>
      </c>
      <c r="AT118" s="199">
        <f>$O118*AT$34-$Q118</f>
        <v/>
      </c>
      <c r="AU118" s="199">
        <f>$O118*AU$34-$Q118</f>
        <v/>
      </c>
      <c r="AV118" s="199">
        <f>$O118*AV$34-$Q118</f>
        <v/>
      </c>
      <c r="AW118" s="199">
        <f>$O118*AW$34-$Q118</f>
        <v/>
      </c>
      <c r="AX118" s="199">
        <f>$O118*AX$34-$Q118</f>
        <v/>
      </c>
      <c r="AZ118" s="198">
        <f>$G118</f>
        <v/>
      </c>
      <c r="BA118" s="199">
        <f>$H118</f>
        <v/>
      </c>
      <c r="BB118" s="199">
        <f>$P118*BB$34-$Q118</f>
        <v/>
      </c>
      <c r="BC118" s="199">
        <f>$P118*BC$34-$Q118</f>
        <v/>
      </c>
      <c r="BD118" s="199">
        <f>$P118*BD$34-$Q118</f>
        <v/>
      </c>
      <c r="BE118" s="199">
        <f>$P118*BE$34-$Q118</f>
        <v/>
      </c>
      <c r="BF118" s="199">
        <f>$P118*BF$34-$Q118</f>
        <v/>
      </c>
      <c r="BH118" s="198">
        <f>$G118</f>
        <v/>
      </c>
      <c r="BI118" s="197">
        <f>$I118</f>
        <v/>
      </c>
      <c r="BJ118" s="197">
        <f>+BJ119</f>
        <v/>
      </c>
      <c r="BK118" s="197">
        <f>+BK119</f>
        <v/>
      </c>
      <c r="BL118" s="197">
        <f>+BL119</f>
        <v/>
      </c>
      <c r="BM118" s="197">
        <f>+BM119</f>
        <v/>
      </c>
      <c r="BN118" s="197">
        <f>+BN119</f>
        <v/>
      </c>
      <c r="BP118" s="198">
        <f>$G118</f>
        <v/>
      </c>
      <c r="BQ118" s="197">
        <f>$J118</f>
        <v/>
      </c>
      <c r="BR118" s="197">
        <f>+BR119</f>
        <v/>
      </c>
      <c r="BS118" s="197">
        <f>+BS119</f>
        <v/>
      </c>
      <c r="BT118" s="197">
        <f>+BT119</f>
        <v/>
      </c>
      <c r="BU118" s="197">
        <f>+BU119</f>
        <v/>
      </c>
      <c r="BV118" s="197">
        <f>+BV119</f>
        <v/>
      </c>
      <c r="BX118" s="198">
        <f>$G118</f>
        <v/>
      </c>
      <c r="BY118" s="197">
        <f>$K118</f>
        <v/>
      </c>
      <c r="BZ118" s="197">
        <f>+BZ119</f>
        <v/>
      </c>
      <c r="CA118" s="197">
        <f>+CA119</f>
        <v/>
      </c>
      <c r="CB118" s="197">
        <f>+CB119</f>
        <v/>
      </c>
      <c r="CC118" s="197">
        <f>+CC119</f>
        <v/>
      </c>
      <c r="CD118" s="197">
        <f>+CD119</f>
        <v/>
      </c>
      <c r="CF118" s="198">
        <f>$G118</f>
        <v/>
      </c>
      <c r="CG118" s="197">
        <f>$L118</f>
        <v/>
      </c>
      <c r="CH118" s="197">
        <f>+CH119</f>
        <v/>
      </c>
      <c r="CI118" s="197">
        <f>+CI119</f>
        <v/>
      </c>
      <c r="CJ118" s="197">
        <f>+CJ119</f>
        <v/>
      </c>
      <c r="CK118" s="197">
        <f>+CK119</f>
        <v/>
      </c>
      <c r="CL118" s="197">
        <f>+CL119</f>
        <v/>
      </c>
      <c r="CO118" s="199" t="n"/>
      <c r="CP118" s="199" t="n">
        <v>2.93</v>
      </c>
      <c r="CR118" s="199" t="inlineStr">
        <is>
          <t>#N/A N/A</t>
        </is>
      </c>
      <c r="CS118" s="970" t="n">
        <v>1.0271</v>
      </c>
    </row>
    <row r="119">
      <c r="B119" s="204">
        <f>+C119-1</f>
        <v/>
      </c>
      <c r="C119" s="204">
        <f>IF('bands_A-H_Avg'!$D$9+1&gt;MONTH(G119),YEAR(G119),YEAR(G119)+1)</f>
        <v/>
      </c>
      <c r="D119" s="204">
        <f>+C119+1</f>
        <v/>
      </c>
      <c r="E119" s="203">
        <f>IF(C119&gt;C118,1,E118+1)</f>
        <v/>
      </c>
      <c r="F119" s="203">
        <f>COUNTIF(C:C,C119)</f>
        <v/>
      </c>
      <c r="G119" s="198">
        <f>+G118+7</f>
        <v/>
      </c>
      <c r="H119" s="361">
        <f>IF(ISBLANK(CO119),CP119,SUMPRODUCT(CO$32:CP$32,CO119:CP119))</f>
        <v/>
      </c>
      <c r="I119" s="968">
        <f>H119/M119</f>
        <v/>
      </c>
      <c r="J119" s="968">
        <f>H119/N119</f>
        <v/>
      </c>
      <c r="K119" s="968">
        <f>(H119+Q119)/O119</f>
        <v/>
      </c>
      <c r="L119" s="968">
        <f>(H119+Q119)/P119</f>
        <v/>
      </c>
      <c r="M119" s="199">
        <f>HLOOKUP(C:C,$4:$10,3,FALSE)+((HLOOKUP(D:D,$4:$10,3,FALSE)-HLOOKUP(C:C,$4:$10,3,FALSE))*E119/F119)</f>
        <v/>
      </c>
      <c r="N119" s="199">
        <f>HLOOKUP(C:C,$4:$10,2,FALSE)+((HLOOKUP(D:D,$4:$10,2,FALSE)-HLOOKUP(C:C,$4:$10,2,FALSE))*E119/F119)</f>
        <v/>
      </c>
      <c r="O119" s="199">
        <f>HLOOKUP(C:C,$4:$10,5,FALSE)+((HLOOKUP(D:D,$4:$10,5,FALSE)-HLOOKUP(C:C,$4:$10,5,FALSE))*E119/F119)</f>
        <v/>
      </c>
      <c r="P119" s="199">
        <f>HLOOKUP(C:C,$4:$10,4,FALSE)+((HLOOKUP(D:D,$4:$10,4,FALSE)-HLOOKUP(C:C,$4:$10,4,FALSE))*E119/F119)</f>
        <v/>
      </c>
      <c r="Q119" s="199">
        <f>HLOOKUP(B:B,$4:$10,6,FALSE)+((HLOOKUP(C:C,$4:$10,6,FALSE)-HLOOKUP(B:B,$4:$10,6,FALSE))*E119/F119)</f>
        <v/>
      </c>
      <c r="T119" s="198">
        <f>$G119</f>
        <v/>
      </c>
      <c r="U119" s="199">
        <f>H119/(HLOOKUP(B:B,$4:$10,3,FALSE)+((HLOOKUP(C:C,$4:$10,3,FALSE)-HLOOKUP(B:B,$4:$10,3,FALSE))*E119/F119))</f>
        <v/>
      </c>
      <c r="V119" s="969">
        <f>HLOOKUP(B:B,$4:$10,7,FALSE)+((HLOOKUP(C:C,$4:$10,7,FALSE)-HLOOKUP(B:B,$4:$10,7,FALSE))*E119/F119)</f>
        <v/>
      </c>
      <c r="AB119" s="198">
        <f>$G119</f>
        <v/>
      </c>
      <c r="AC119" s="199">
        <f>$H119</f>
        <v/>
      </c>
      <c r="AD119" s="199">
        <f>$M119*AD$34</f>
        <v/>
      </c>
      <c r="AE119" s="199">
        <f>$M119*AE$34</f>
        <v/>
      </c>
      <c r="AF119" s="199">
        <f>$M119*AF$34</f>
        <v/>
      </c>
      <c r="AG119" s="199">
        <f>$M119*AG$34</f>
        <v/>
      </c>
      <c r="AH119" s="199">
        <f>$M119*AH$34</f>
        <v/>
      </c>
      <c r="AJ119" s="198">
        <f>$G119</f>
        <v/>
      </c>
      <c r="AK119" s="199">
        <f>$H119</f>
        <v/>
      </c>
      <c r="AL119" s="199">
        <f>$N119*AL$34</f>
        <v/>
      </c>
      <c r="AM119" s="199">
        <f>$N119*AM$34</f>
        <v/>
      </c>
      <c r="AN119" s="199">
        <f>$N119*AN$34</f>
        <v/>
      </c>
      <c r="AO119" s="199">
        <f>$N119*AO$34</f>
        <v/>
      </c>
      <c r="AP119" s="199">
        <f>$N119*AP$34</f>
        <v/>
      </c>
      <c r="AR119" s="198">
        <f>$G119</f>
        <v/>
      </c>
      <c r="AS119" s="199">
        <f>$H119</f>
        <v/>
      </c>
      <c r="AT119" s="199">
        <f>$O119*AT$34-$Q119</f>
        <v/>
      </c>
      <c r="AU119" s="199">
        <f>$O119*AU$34-$Q119</f>
        <v/>
      </c>
      <c r="AV119" s="199">
        <f>$O119*AV$34-$Q119</f>
        <v/>
      </c>
      <c r="AW119" s="199">
        <f>$O119*AW$34-$Q119</f>
        <v/>
      </c>
      <c r="AX119" s="199">
        <f>$O119*AX$34-$Q119</f>
        <v/>
      </c>
      <c r="AZ119" s="198">
        <f>$G119</f>
        <v/>
      </c>
      <c r="BA119" s="199">
        <f>$H119</f>
        <v/>
      </c>
      <c r="BB119" s="199">
        <f>$P119*BB$34-$Q119</f>
        <v/>
      </c>
      <c r="BC119" s="199">
        <f>$P119*BC$34-$Q119</f>
        <v/>
      </c>
      <c r="BD119" s="199">
        <f>$P119*BD$34-$Q119</f>
        <v/>
      </c>
      <c r="BE119" s="199">
        <f>$P119*BE$34-$Q119</f>
        <v/>
      </c>
      <c r="BF119" s="199">
        <f>$P119*BF$34-$Q119</f>
        <v/>
      </c>
      <c r="BH119" s="198">
        <f>$G119</f>
        <v/>
      </c>
      <c r="BI119" s="197">
        <f>$I119</f>
        <v/>
      </c>
      <c r="BJ119" s="197">
        <f>+BJ120</f>
        <v/>
      </c>
      <c r="BK119" s="197">
        <f>+BK120</f>
        <v/>
      </c>
      <c r="BL119" s="197">
        <f>+BL120</f>
        <v/>
      </c>
      <c r="BM119" s="197">
        <f>+BM120</f>
        <v/>
      </c>
      <c r="BN119" s="197">
        <f>+BN120</f>
        <v/>
      </c>
      <c r="BP119" s="198">
        <f>$G119</f>
        <v/>
      </c>
      <c r="BQ119" s="197">
        <f>$J119</f>
        <v/>
      </c>
      <c r="BR119" s="197">
        <f>+BR120</f>
        <v/>
      </c>
      <c r="BS119" s="197">
        <f>+BS120</f>
        <v/>
      </c>
      <c r="BT119" s="197">
        <f>+BT120</f>
        <v/>
      </c>
      <c r="BU119" s="197">
        <f>+BU120</f>
        <v/>
      </c>
      <c r="BV119" s="197">
        <f>+BV120</f>
        <v/>
      </c>
      <c r="BX119" s="198">
        <f>$G119</f>
        <v/>
      </c>
      <c r="BY119" s="197">
        <f>$K119</f>
        <v/>
      </c>
      <c r="BZ119" s="197">
        <f>+BZ120</f>
        <v/>
      </c>
      <c r="CA119" s="197">
        <f>+CA120</f>
        <v/>
      </c>
      <c r="CB119" s="197">
        <f>+CB120</f>
        <v/>
      </c>
      <c r="CC119" s="197">
        <f>+CC120</f>
        <v/>
      </c>
      <c r="CD119" s="197">
        <f>+CD120</f>
        <v/>
      </c>
      <c r="CF119" s="198">
        <f>$G119</f>
        <v/>
      </c>
      <c r="CG119" s="197">
        <f>$L119</f>
        <v/>
      </c>
      <c r="CH119" s="197">
        <f>+CH120</f>
        <v/>
      </c>
      <c r="CI119" s="197">
        <f>+CI120</f>
        <v/>
      </c>
      <c r="CJ119" s="197">
        <f>+CJ120</f>
        <v/>
      </c>
      <c r="CK119" s="197">
        <f>+CK120</f>
        <v/>
      </c>
      <c r="CL119" s="197">
        <f>+CL120</f>
        <v/>
      </c>
      <c r="CO119" s="199" t="n"/>
      <c r="CP119" s="199" t="n">
        <v>2.86</v>
      </c>
      <c r="CR119" s="199" t="inlineStr">
        <is>
          <t>#N/A N/A</t>
        </is>
      </c>
      <c r="CS119" s="970" t="n">
        <v>1.02632</v>
      </c>
    </row>
    <row r="120">
      <c r="B120" s="204">
        <f>+C120-1</f>
        <v/>
      </c>
      <c r="C120" s="204">
        <f>IF('bands_A-H_Avg'!$D$9+1&gt;MONTH(G120),YEAR(G120),YEAR(G120)+1)</f>
        <v/>
      </c>
      <c r="D120" s="204">
        <f>+C120+1</f>
        <v/>
      </c>
      <c r="E120" s="203">
        <f>IF(C120&gt;C119,1,E119+1)</f>
        <v/>
      </c>
      <c r="F120" s="203">
        <f>COUNTIF(C:C,C120)</f>
        <v/>
      </c>
      <c r="G120" s="198">
        <f>+G119+7</f>
        <v/>
      </c>
      <c r="H120" s="361">
        <f>IF(ISBLANK(CO120),CP120,SUMPRODUCT(CO$32:CP$32,CO120:CP120))</f>
        <v/>
      </c>
      <c r="I120" s="968">
        <f>H120/M120</f>
        <v/>
      </c>
      <c r="J120" s="968">
        <f>H120/N120</f>
        <v/>
      </c>
      <c r="K120" s="968">
        <f>(H120+Q120)/O120</f>
        <v/>
      </c>
      <c r="L120" s="968">
        <f>(H120+Q120)/P120</f>
        <v/>
      </c>
      <c r="M120" s="199">
        <f>HLOOKUP(C:C,$4:$10,3,FALSE)+((HLOOKUP(D:D,$4:$10,3,FALSE)-HLOOKUP(C:C,$4:$10,3,FALSE))*E120/F120)</f>
        <v/>
      </c>
      <c r="N120" s="199">
        <f>HLOOKUP(C:C,$4:$10,2,FALSE)+((HLOOKUP(D:D,$4:$10,2,FALSE)-HLOOKUP(C:C,$4:$10,2,FALSE))*E120/F120)</f>
        <v/>
      </c>
      <c r="O120" s="199">
        <f>HLOOKUP(C:C,$4:$10,5,FALSE)+((HLOOKUP(D:D,$4:$10,5,FALSE)-HLOOKUP(C:C,$4:$10,5,FALSE))*E120/F120)</f>
        <v/>
      </c>
      <c r="P120" s="199">
        <f>HLOOKUP(C:C,$4:$10,4,FALSE)+((HLOOKUP(D:D,$4:$10,4,FALSE)-HLOOKUP(C:C,$4:$10,4,FALSE))*E120/F120)</f>
        <v/>
      </c>
      <c r="Q120" s="199">
        <f>HLOOKUP(B:B,$4:$10,6,FALSE)+((HLOOKUP(C:C,$4:$10,6,FALSE)-HLOOKUP(B:B,$4:$10,6,FALSE))*E120/F120)</f>
        <v/>
      </c>
      <c r="T120" s="198">
        <f>$G120</f>
        <v/>
      </c>
      <c r="U120" s="199">
        <f>H120/(HLOOKUP(B:B,$4:$10,3,FALSE)+((HLOOKUP(C:C,$4:$10,3,FALSE)-HLOOKUP(B:B,$4:$10,3,FALSE))*E120/F120))</f>
        <v/>
      </c>
      <c r="V120" s="969">
        <f>HLOOKUP(B:B,$4:$10,7,FALSE)+((HLOOKUP(C:C,$4:$10,7,FALSE)-HLOOKUP(B:B,$4:$10,7,FALSE))*E120/F120)</f>
        <v/>
      </c>
      <c r="AB120" s="198">
        <f>$G120</f>
        <v/>
      </c>
      <c r="AC120" s="199">
        <f>$H120</f>
        <v/>
      </c>
      <c r="AD120" s="199">
        <f>$M120*AD$34</f>
        <v/>
      </c>
      <c r="AE120" s="199">
        <f>$M120*AE$34</f>
        <v/>
      </c>
      <c r="AF120" s="199">
        <f>$M120*AF$34</f>
        <v/>
      </c>
      <c r="AG120" s="199">
        <f>$M120*AG$34</f>
        <v/>
      </c>
      <c r="AH120" s="199">
        <f>$M120*AH$34</f>
        <v/>
      </c>
      <c r="AJ120" s="198">
        <f>$G120</f>
        <v/>
      </c>
      <c r="AK120" s="199">
        <f>$H120</f>
        <v/>
      </c>
      <c r="AL120" s="199">
        <f>$N120*AL$34</f>
        <v/>
      </c>
      <c r="AM120" s="199">
        <f>$N120*AM$34</f>
        <v/>
      </c>
      <c r="AN120" s="199">
        <f>$N120*AN$34</f>
        <v/>
      </c>
      <c r="AO120" s="199">
        <f>$N120*AO$34</f>
        <v/>
      </c>
      <c r="AP120" s="199">
        <f>$N120*AP$34</f>
        <v/>
      </c>
      <c r="AR120" s="198">
        <f>$G120</f>
        <v/>
      </c>
      <c r="AS120" s="199">
        <f>$H120</f>
        <v/>
      </c>
      <c r="AT120" s="199">
        <f>$O120*AT$34-$Q120</f>
        <v/>
      </c>
      <c r="AU120" s="199">
        <f>$O120*AU$34-$Q120</f>
        <v/>
      </c>
      <c r="AV120" s="199">
        <f>$O120*AV$34-$Q120</f>
        <v/>
      </c>
      <c r="AW120" s="199">
        <f>$O120*AW$34-$Q120</f>
        <v/>
      </c>
      <c r="AX120" s="199">
        <f>$O120*AX$34-$Q120</f>
        <v/>
      </c>
      <c r="AZ120" s="198">
        <f>$G120</f>
        <v/>
      </c>
      <c r="BA120" s="199">
        <f>$H120</f>
        <v/>
      </c>
      <c r="BB120" s="199">
        <f>$P120*BB$34-$Q120</f>
        <v/>
      </c>
      <c r="BC120" s="199">
        <f>$P120*BC$34-$Q120</f>
        <v/>
      </c>
      <c r="BD120" s="199">
        <f>$P120*BD$34-$Q120</f>
        <v/>
      </c>
      <c r="BE120" s="199">
        <f>$P120*BE$34-$Q120</f>
        <v/>
      </c>
      <c r="BF120" s="199">
        <f>$P120*BF$34-$Q120</f>
        <v/>
      </c>
      <c r="BH120" s="198">
        <f>$G120</f>
        <v/>
      </c>
      <c r="BI120" s="197">
        <f>$I120</f>
        <v/>
      </c>
      <c r="BJ120" s="197">
        <f>+BJ121</f>
        <v/>
      </c>
      <c r="BK120" s="197">
        <f>+BK121</f>
        <v/>
      </c>
      <c r="BL120" s="197">
        <f>+BL121</f>
        <v/>
      </c>
      <c r="BM120" s="197">
        <f>+BM121</f>
        <v/>
      </c>
      <c r="BN120" s="197">
        <f>+BN121</f>
        <v/>
      </c>
      <c r="BP120" s="198">
        <f>$G120</f>
        <v/>
      </c>
      <c r="BQ120" s="197">
        <f>$J120</f>
        <v/>
      </c>
      <c r="BR120" s="197">
        <f>+BR121</f>
        <v/>
      </c>
      <c r="BS120" s="197">
        <f>+BS121</f>
        <v/>
      </c>
      <c r="BT120" s="197">
        <f>+BT121</f>
        <v/>
      </c>
      <c r="BU120" s="197">
        <f>+BU121</f>
        <v/>
      </c>
      <c r="BV120" s="197">
        <f>+BV121</f>
        <v/>
      </c>
      <c r="BX120" s="198">
        <f>$G120</f>
        <v/>
      </c>
      <c r="BY120" s="197">
        <f>$K120</f>
        <v/>
      </c>
      <c r="BZ120" s="197">
        <f>+BZ121</f>
        <v/>
      </c>
      <c r="CA120" s="197">
        <f>+CA121</f>
        <v/>
      </c>
      <c r="CB120" s="197">
        <f>+CB121</f>
        <v/>
      </c>
      <c r="CC120" s="197">
        <f>+CC121</f>
        <v/>
      </c>
      <c r="CD120" s="197">
        <f>+CD121</f>
        <v/>
      </c>
      <c r="CF120" s="198">
        <f>$G120</f>
        <v/>
      </c>
      <c r="CG120" s="197">
        <f>$L120</f>
        <v/>
      </c>
      <c r="CH120" s="197">
        <f>+CH121</f>
        <v/>
      </c>
      <c r="CI120" s="197">
        <f>+CI121</f>
        <v/>
      </c>
      <c r="CJ120" s="197">
        <f>+CJ121</f>
        <v/>
      </c>
      <c r="CK120" s="197">
        <f>+CK121</f>
        <v/>
      </c>
      <c r="CL120" s="197">
        <f>+CL121</f>
        <v/>
      </c>
      <c r="CO120" s="199" t="n"/>
      <c r="CP120" s="199" t="n">
        <v>2.55</v>
      </c>
      <c r="CR120" s="199" t="inlineStr">
        <is>
          <t>#N/A N/A</t>
        </is>
      </c>
      <c r="CS120" s="970" t="n">
        <v>1.0256</v>
      </c>
    </row>
    <row r="121">
      <c r="B121" s="204">
        <f>+C121-1</f>
        <v/>
      </c>
      <c r="C121" s="204">
        <f>IF('bands_A-H_Avg'!$D$9+1&gt;MONTH(G121),YEAR(G121),YEAR(G121)+1)</f>
        <v/>
      </c>
      <c r="D121" s="204">
        <f>+C121+1</f>
        <v/>
      </c>
      <c r="E121" s="203">
        <f>IF(C121&gt;C120,1,E120+1)</f>
        <v/>
      </c>
      <c r="F121" s="203">
        <f>COUNTIF(C:C,C121)</f>
        <v/>
      </c>
      <c r="G121" s="198">
        <f>+G120+7</f>
        <v/>
      </c>
      <c r="H121" s="361">
        <f>IF(ISBLANK(CO121),CP121,SUMPRODUCT(CO$32:CP$32,CO121:CP121))</f>
        <v/>
      </c>
      <c r="I121" s="968">
        <f>H121/M121</f>
        <v/>
      </c>
      <c r="J121" s="968">
        <f>H121/N121</f>
        <v/>
      </c>
      <c r="K121" s="968">
        <f>(H121+Q121)/O121</f>
        <v/>
      </c>
      <c r="L121" s="968">
        <f>(H121+Q121)/P121</f>
        <v/>
      </c>
      <c r="M121" s="199">
        <f>HLOOKUP(C:C,$4:$10,3,FALSE)+((HLOOKUP(D:D,$4:$10,3,FALSE)-HLOOKUP(C:C,$4:$10,3,FALSE))*E121/F121)</f>
        <v/>
      </c>
      <c r="N121" s="199">
        <f>HLOOKUP(C:C,$4:$10,2,FALSE)+((HLOOKUP(D:D,$4:$10,2,FALSE)-HLOOKUP(C:C,$4:$10,2,FALSE))*E121/F121)</f>
        <v/>
      </c>
      <c r="O121" s="199">
        <f>HLOOKUP(C:C,$4:$10,5,FALSE)+((HLOOKUP(D:D,$4:$10,5,FALSE)-HLOOKUP(C:C,$4:$10,5,FALSE))*E121/F121)</f>
        <v/>
      </c>
      <c r="P121" s="199">
        <f>HLOOKUP(C:C,$4:$10,4,FALSE)+((HLOOKUP(D:D,$4:$10,4,FALSE)-HLOOKUP(C:C,$4:$10,4,FALSE))*E121/F121)</f>
        <v/>
      </c>
      <c r="Q121" s="199">
        <f>HLOOKUP(B:B,$4:$10,6,FALSE)+((HLOOKUP(C:C,$4:$10,6,FALSE)-HLOOKUP(B:B,$4:$10,6,FALSE))*E121/F121)</f>
        <v/>
      </c>
      <c r="T121" s="198">
        <f>$G121</f>
        <v/>
      </c>
      <c r="U121" s="199">
        <f>H121/(HLOOKUP(B:B,$4:$10,3,FALSE)+((HLOOKUP(C:C,$4:$10,3,FALSE)-HLOOKUP(B:B,$4:$10,3,FALSE))*E121/F121))</f>
        <v/>
      </c>
      <c r="V121" s="969">
        <f>HLOOKUP(B:B,$4:$10,7,FALSE)+((HLOOKUP(C:C,$4:$10,7,FALSE)-HLOOKUP(B:B,$4:$10,7,FALSE))*E121/F121)</f>
        <v/>
      </c>
      <c r="AB121" s="198">
        <f>$G121</f>
        <v/>
      </c>
      <c r="AC121" s="199">
        <f>$H121</f>
        <v/>
      </c>
      <c r="AD121" s="199">
        <f>$M121*AD$34</f>
        <v/>
      </c>
      <c r="AE121" s="199">
        <f>$M121*AE$34</f>
        <v/>
      </c>
      <c r="AF121" s="199">
        <f>$M121*AF$34</f>
        <v/>
      </c>
      <c r="AG121" s="199">
        <f>$M121*AG$34</f>
        <v/>
      </c>
      <c r="AH121" s="199">
        <f>$M121*AH$34</f>
        <v/>
      </c>
      <c r="AJ121" s="198">
        <f>$G121</f>
        <v/>
      </c>
      <c r="AK121" s="199">
        <f>$H121</f>
        <v/>
      </c>
      <c r="AL121" s="199">
        <f>$N121*AL$34</f>
        <v/>
      </c>
      <c r="AM121" s="199">
        <f>$N121*AM$34</f>
        <v/>
      </c>
      <c r="AN121" s="199">
        <f>$N121*AN$34</f>
        <v/>
      </c>
      <c r="AO121" s="199">
        <f>$N121*AO$34</f>
        <v/>
      </c>
      <c r="AP121" s="199">
        <f>$N121*AP$34</f>
        <v/>
      </c>
      <c r="AR121" s="198">
        <f>$G121</f>
        <v/>
      </c>
      <c r="AS121" s="199">
        <f>$H121</f>
        <v/>
      </c>
      <c r="AT121" s="199">
        <f>$O121*AT$34-$Q121</f>
        <v/>
      </c>
      <c r="AU121" s="199">
        <f>$O121*AU$34-$Q121</f>
        <v/>
      </c>
      <c r="AV121" s="199">
        <f>$O121*AV$34-$Q121</f>
        <v/>
      </c>
      <c r="AW121" s="199">
        <f>$O121*AW$34-$Q121</f>
        <v/>
      </c>
      <c r="AX121" s="199">
        <f>$O121*AX$34-$Q121</f>
        <v/>
      </c>
      <c r="AZ121" s="198">
        <f>$G121</f>
        <v/>
      </c>
      <c r="BA121" s="199">
        <f>$H121</f>
        <v/>
      </c>
      <c r="BB121" s="199">
        <f>$P121*BB$34-$Q121</f>
        <v/>
      </c>
      <c r="BC121" s="199">
        <f>$P121*BC$34-$Q121</f>
        <v/>
      </c>
      <c r="BD121" s="199">
        <f>$P121*BD$34-$Q121</f>
        <v/>
      </c>
      <c r="BE121" s="199">
        <f>$P121*BE$34-$Q121</f>
        <v/>
      </c>
      <c r="BF121" s="199">
        <f>$P121*BF$34-$Q121</f>
        <v/>
      </c>
      <c r="BH121" s="198">
        <f>$G121</f>
        <v/>
      </c>
      <c r="BI121" s="197">
        <f>$I121</f>
        <v/>
      </c>
      <c r="BJ121" s="197">
        <f>+BJ122</f>
        <v/>
      </c>
      <c r="BK121" s="197">
        <f>+BK122</f>
        <v/>
      </c>
      <c r="BL121" s="197">
        <f>+BL122</f>
        <v/>
      </c>
      <c r="BM121" s="197">
        <f>+BM122</f>
        <v/>
      </c>
      <c r="BN121" s="197">
        <f>+BN122</f>
        <v/>
      </c>
      <c r="BP121" s="198">
        <f>$G121</f>
        <v/>
      </c>
      <c r="BQ121" s="197">
        <f>$J121</f>
        <v/>
      </c>
      <c r="BR121" s="197">
        <f>+BR122</f>
        <v/>
      </c>
      <c r="BS121" s="197">
        <f>+BS122</f>
        <v/>
      </c>
      <c r="BT121" s="197">
        <f>+BT122</f>
        <v/>
      </c>
      <c r="BU121" s="197">
        <f>+BU122</f>
        <v/>
      </c>
      <c r="BV121" s="197">
        <f>+BV122</f>
        <v/>
      </c>
      <c r="BX121" s="198">
        <f>$G121</f>
        <v/>
      </c>
      <c r="BY121" s="197">
        <f>$K121</f>
        <v/>
      </c>
      <c r="BZ121" s="197">
        <f>+BZ122</f>
        <v/>
      </c>
      <c r="CA121" s="197">
        <f>+CA122</f>
        <v/>
      </c>
      <c r="CB121" s="197">
        <f>+CB122</f>
        <v/>
      </c>
      <c r="CC121" s="197">
        <f>+CC122</f>
        <v/>
      </c>
      <c r="CD121" s="197">
        <f>+CD122</f>
        <v/>
      </c>
      <c r="CF121" s="198">
        <f>$G121</f>
        <v/>
      </c>
      <c r="CG121" s="197">
        <f>$L121</f>
        <v/>
      </c>
      <c r="CH121" s="197">
        <f>+CH122</f>
        <v/>
      </c>
      <c r="CI121" s="197">
        <f>+CI122</f>
        <v/>
      </c>
      <c r="CJ121" s="197">
        <f>+CJ122</f>
        <v/>
      </c>
      <c r="CK121" s="197">
        <f>+CK122</f>
        <v/>
      </c>
      <c r="CL121" s="197">
        <f>+CL122</f>
        <v/>
      </c>
      <c r="CO121" s="199" t="n"/>
      <c r="CP121" s="199" t="n">
        <v>2.55</v>
      </c>
      <c r="CR121" s="199" t="inlineStr">
        <is>
          <t>#N/A N/A</t>
        </is>
      </c>
      <c r="CS121" s="970" t="n">
        <v>1.02586</v>
      </c>
    </row>
    <row r="122">
      <c r="B122" s="204">
        <f>+C122-1</f>
        <v/>
      </c>
      <c r="C122" s="204">
        <f>IF('bands_A-H_Avg'!$D$9+1&gt;MONTH(G122),YEAR(G122),YEAR(G122)+1)</f>
        <v/>
      </c>
      <c r="D122" s="204">
        <f>+C122+1</f>
        <v/>
      </c>
      <c r="E122" s="203">
        <f>IF(C122&gt;C121,1,E121+1)</f>
        <v/>
      </c>
      <c r="F122" s="203">
        <f>COUNTIF(C:C,C122)</f>
        <v/>
      </c>
      <c r="G122" s="198">
        <f>+G121+7</f>
        <v/>
      </c>
      <c r="H122" s="361">
        <f>IF(ISBLANK(CO122),CP122,SUMPRODUCT(CO$32:CP$32,CO122:CP122))</f>
        <v/>
      </c>
      <c r="I122" s="968">
        <f>H122/M122</f>
        <v/>
      </c>
      <c r="J122" s="968">
        <f>H122/N122</f>
        <v/>
      </c>
      <c r="K122" s="968">
        <f>(H122+Q122)/O122</f>
        <v/>
      </c>
      <c r="L122" s="968">
        <f>(H122+Q122)/P122</f>
        <v/>
      </c>
      <c r="M122" s="199">
        <f>HLOOKUP(C:C,$4:$10,3,FALSE)+((HLOOKUP(D:D,$4:$10,3,FALSE)-HLOOKUP(C:C,$4:$10,3,FALSE))*E122/F122)</f>
        <v/>
      </c>
      <c r="N122" s="199">
        <f>HLOOKUP(C:C,$4:$10,2,FALSE)+((HLOOKUP(D:D,$4:$10,2,FALSE)-HLOOKUP(C:C,$4:$10,2,FALSE))*E122/F122)</f>
        <v/>
      </c>
      <c r="O122" s="199">
        <f>HLOOKUP(C:C,$4:$10,5,FALSE)+((HLOOKUP(D:D,$4:$10,5,FALSE)-HLOOKUP(C:C,$4:$10,5,FALSE))*E122/F122)</f>
        <v/>
      </c>
      <c r="P122" s="199">
        <f>HLOOKUP(C:C,$4:$10,4,FALSE)+((HLOOKUP(D:D,$4:$10,4,FALSE)-HLOOKUP(C:C,$4:$10,4,FALSE))*E122/F122)</f>
        <v/>
      </c>
      <c r="Q122" s="199">
        <f>HLOOKUP(B:B,$4:$10,6,FALSE)+((HLOOKUP(C:C,$4:$10,6,FALSE)-HLOOKUP(B:B,$4:$10,6,FALSE))*E122/F122)</f>
        <v/>
      </c>
      <c r="T122" s="198">
        <f>$G122</f>
        <v/>
      </c>
      <c r="U122" s="199">
        <f>H122/(HLOOKUP(B:B,$4:$10,3,FALSE)+((HLOOKUP(C:C,$4:$10,3,FALSE)-HLOOKUP(B:B,$4:$10,3,FALSE))*E122/F122))</f>
        <v/>
      </c>
      <c r="V122" s="969">
        <f>HLOOKUP(B:B,$4:$10,7,FALSE)+((HLOOKUP(C:C,$4:$10,7,FALSE)-HLOOKUP(B:B,$4:$10,7,FALSE))*E122/F122)</f>
        <v/>
      </c>
      <c r="AB122" s="198">
        <f>$G122</f>
        <v/>
      </c>
      <c r="AC122" s="199">
        <f>$H122</f>
        <v/>
      </c>
      <c r="AD122" s="199">
        <f>$M122*AD$34</f>
        <v/>
      </c>
      <c r="AE122" s="199">
        <f>$M122*AE$34</f>
        <v/>
      </c>
      <c r="AF122" s="199">
        <f>$M122*AF$34</f>
        <v/>
      </c>
      <c r="AG122" s="199">
        <f>$M122*AG$34</f>
        <v/>
      </c>
      <c r="AH122" s="199">
        <f>$M122*AH$34</f>
        <v/>
      </c>
      <c r="AJ122" s="198">
        <f>$G122</f>
        <v/>
      </c>
      <c r="AK122" s="199">
        <f>$H122</f>
        <v/>
      </c>
      <c r="AL122" s="199">
        <f>$N122*AL$34</f>
        <v/>
      </c>
      <c r="AM122" s="199">
        <f>$N122*AM$34</f>
        <v/>
      </c>
      <c r="AN122" s="199">
        <f>$N122*AN$34</f>
        <v/>
      </c>
      <c r="AO122" s="199">
        <f>$N122*AO$34</f>
        <v/>
      </c>
      <c r="AP122" s="199">
        <f>$N122*AP$34</f>
        <v/>
      </c>
      <c r="AR122" s="198">
        <f>$G122</f>
        <v/>
      </c>
      <c r="AS122" s="199">
        <f>$H122</f>
        <v/>
      </c>
      <c r="AT122" s="199">
        <f>$O122*AT$34-$Q122</f>
        <v/>
      </c>
      <c r="AU122" s="199">
        <f>$O122*AU$34-$Q122</f>
        <v/>
      </c>
      <c r="AV122" s="199">
        <f>$O122*AV$34-$Q122</f>
        <v/>
      </c>
      <c r="AW122" s="199">
        <f>$O122*AW$34-$Q122</f>
        <v/>
      </c>
      <c r="AX122" s="199">
        <f>$O122*AX$34-$Q122</f>
        <v/>
      </c>
      <c r="AZ122" s="198">
        <f>$G122</f>
        <v/>
      </c>
      <c r="BA122" s="199">
        <f>$H122</f>
        <v/>
      </c>
      <c r="BB122" s="199">
        <f>$P122*BB$34-$Q122</f>
        <v/>
      </c>
      <c r="BC122" s="199">
        <f>$P122*BC$34-$Q122</f>
        <v/>
      </c>
      <c r="BD122" s="199">
        <f>$P122*BD$34-$Q122</f>
        <v/>
      </c>
      <c r="BE122" s="199">
        <f>$P122*BE$34-$Q122</f>
        <v/>
      </c>
      <c r="BF122" s="199">
        <f>$P122*BF$34-$Q122</f>
        <v/>
      </c>
      <c r="BH122" s="198">
        <f>$G122</f>
        <v/>
      </c>
      <c r="BI122" s="197">
        <f>$I122</f>
        <v/>
      </c>
      <c r="BJ122" s="197">
        <f>+BJ123</f>
        <v/>
      </c>
      <c r="BK122" s="197">
        <f>+BK123</f>
        <v/>
      </c>
      <c r="BL122" s="197">
        <f>+BL123</f>
        <v/>
      </c>
      <c r="BM122" s="197">
        <f>+BM123</f>
        <v/>
      </c>
      <c r="BN122" s="197">
        <f>+BN123</f>
        <v/>
      </c>
      <c r="BP122" s="198">
        <f>$G122</f>
        <v/>
      </c>
      <c r="BQ122" s="197">
        <f>$J122</f>
        <v/>
      </c>
      <c r="BR122" s="197">
        <f>+BR123</f>
        <v/>
      </c>
      <c r="BS122" s="197">
        <f>+BS123</f>
        <v/>
      </c>
      <c r="BT122" s="197">
        <f>+BT123</f>
        <v/>
      </c>
      <c r="BU122" s="197">
        <f>+BU123</f>
        <v/>
      </c>
      <c r="BV122" s="197">
        <f>+BV123</f>
        <v/>
      </c>
      <c r="BX122" s="198">
        <f>$G122</f>
        <v/>
      </c>
      <c r="BY122" s="197">
        <f>$K122</f>
        <v/>
      </c>
      <c r="BZ122" s="197">
        <f>+BZ123</f>
        <v/>
      </c>
      <c r="CA122" s="197">
        <f>+CA123</f>
        <v/>
      </c>
      <c r="CB122" s="197">
        <f>+CB123</f>
        <v/>
      </c>
      <c r="CC122" s="197">
        <f>+CC123</f>
        <v/>
      </c>
      <c r="CD122" s="197">
        <f>+CD123</f>
        <v/>
      </c>
      <c r="CF122" s="198">
        <f>$G122</f>
        <v/>
      </c>
      <c r="CG122" s="197">
        <f>$L122</f>
        <v/>
      </c>
      <c r="CH122" s="197">
        <f>+CH123</f>
        <v/>
      </c>
      <c r="CI122" s="197">
        <f>+CI123</f>
        <v/>
      </c>
      <c r="CJ122" s="197">
        <f>+CJ123</f>
        <v/>
      </c>
      <c r="CK122" s="197">
        <f>+CK123</f>
        <v/>
      </c>
      <c r="CL122" s="197">
        <f>+CL123</f>
        <v/>
      </c>
      <c r="CO122" s="199" t="n"/>
      <c r="CP122" s="199" t="n">
        <v>2.55</v>
      </c>
      <c r="CR122" s="199" t="inlineStr">
        <is>
          <t>#N/A N/A</t>
        </is>
      </c>
      <c r="CS122" s="970" t="n">
        <v>1.0253</v>
      </c>
    </row>
    <row r="123">
      <c r="B123" s="204">
        <f>+C123-1</f>
        <v/>
      </c>
      <c r="C123" s="204">
        <f>IF('bands_A-H_Avg'!$D$9+1&gt;MONTH(G123),YEAR(G123),YEAR(G123)+1)</f>
        <v/>
      </c>
      <c r="D123" s="204">
        <f>+C123+1</f>
        <v/>
      </c>
      <c r="E123" s="203">
        <f>IF(C123&gt;C122,1,E122+1)</f>
        <v/>
      </c>
      <c r="F123" s="203">
        <f>COUNTIF(C:C,C123)</f>
        <v/>
      </c>
      <c r="G123" s="198">
        <f>+G122+7</f>
        <v/>
      </c>
      <c r="H123" s="361">
        <f>IF(ISBLANK(CO123),CP123,SUMPRODUCT(CO$32:CP$32,CO123:CP123))</f>
        <v/>
      </c>
      <c r="I123" s="968">
        <f>H123/M123</f>
        <v/>
      </c>
      <c r="J123" s="968">
        <f>H123/N123</f>
        <v/>
      </c>
      <c r="K123" s="968">
        <f>(H123+Q123)/O123</f>
        <v/>
      </c>
      <c r="L123" s="968">
        <f>(H123+Q123)/P123</f>
        <v/>
      </c>
      <c r="M123" s="199">
        <f>HLOOKUP(C:C,$4:$10,3,FALSE)+((HLOOKUP(D:D,$4:$10,3,FALSE)-HLOOKUP(C:C,$4:$10,3,FALSE))*E123/F123)</f>
        <v/>
      </c>
      <c r="N123" s="199">
        <f>HLOOKUP(C:C,$4:$10,2,FALSE)+((HLOOKUP(D:D,$4:$10,2,FALSE)-HLOOKUP(C:C,$4:$10,2,FALSE))*E123/F123)</f>
        <v/>
      </c>
      <c r="O123" s="199">
        <f>HLOOKUP(C:C,$4:$10,5,FALSE)+((HLOOKUP(D:D,$4:$10,5,FALSE)-HLOOKUP(C:C,$4:$10,5,FALSE))*E123/F123)</f>
        <v/>
      </c>
      <c r="P123" s="199">
        <f>HLOOKUP(C:C,$4:$10,4,FALSE)+((HLOOKUP(D:D,$4:$10,4,FALSE)-HLOOKUP(C:C,$4:$10,4,FALSE))*E123/F123)</f>
        <v/>
      </c>
      <c r="Q123" s="199">
        <f>HLOOKUP(B:B,$4:$10,6,FALSE)+((HLOOKUP(C:C,$4:$10,6,FALSE)-HLOOKUP(B:B,$4:$10,6,FALSE))*E123/F123)</f>
        <v/>
      </c>
      <c r="T123" s="198">
        <f>$G123</f>
        <v/>
      </c>
      <c r="U123" s="199">
        <f>H123/(HLOOKUP(B:B,$4:$10,3,FALSE)+((HLOOKUP(C:C,$4:$10,3,FALSE)-HLOOKUP(B:B,$4:$10,3,FALSE))*E123/F123))</f>
        <v/>
      </c>
      <c r="V123" s="969">
        <f>HLOOKUP(B:B,$4:$10,7,FALSE)+((HLOOKUP(C:C,$4:$10,7,FALSE)-HLOOKUP(B:B,$4:$10,7,FALSE))*E123/F123)</f>
        <v/>
      </c>
      <c r="AB123" s="198">
        <f>$G123</f>
        <v/>
      </c>
      <c r="AC123" s="199">
        <f>$H123</f>
        <v/>
      </c>
      <c r="AD123" s="199">
        <f>$M123*AD$34</f>
        <v/>
      </c>
      <c r="AE123" s="199">
        <f>$M123*AE$34</f>
        <v/>
      </c>
      <c r="AF123" s="199">
        <f>$M123*AF$34</f>
        <v/>
      </c>
      <c r="AG123" s="199">
        <f>$M123*AG$34</f>
        <v/>
      </c>
      <c r="AH123" s="199">
        <f>$M123*AH$34</f>
        <v/>
      </c>
      <c r="AJ123" s="198">
        <f>$G123</f>
        <v/>
      </c>
      <c r="AK123" s="199">
        <f>$H123</f>
        <v/>
      </c>
      <c r="AL123" s="199">
        <f>$N123*AL$34</f>
        <v/>
      </c>
      <c r="AM123" s="199">
        <f>$N123*AM$34</f>
        <v/>
      </c>
      <c r="AN123" s="199">
        <f>$N123*AN$34</f>
        <v/>
      </c>
      <c r="AO123" s="199">
        <f>$N123*AO$34</f>
        <v/>
      </c>
      <c r="AP123" s="199">
        <f>$N123*AP$34</f>
        <v/>
      </c>
      <c r="AR123" s="198">
        <f>$G123</f>
        <v/>
      </c>
      <c r="AS123" s="199">
        <f>$H123</f>
        <v/>
      </c>
      <c r="AT123" s="199">
        <f>$O123*AT$34-$Q123</f>
        <v/>
      </c>
      <c r="AU123" s="199">
        <f>$O123*AU$34-$Q123</f>
        <v/>
      </c>
      <c r="AV123" s="199">
        <f>$O123*AV$34-$Q123</f>
        <v/>
      </c>
      <c r="AW123" s="199">
        <f>$O123*AW$34-$Q123</f>
        <v/>
      </c>
      <c r="AX123" s="199">
        <f>$O123*AX$34-$Q123</f>
        <v/>
      </c>
      <c r="AZ123" s="198">
        <f>$G123</f>
        <v/>
      </c>
      <c r="BA123" s="199">
        <f>$H123</f>
        <v/>
      </c>
      <c r="BB123" s="199">
        <f>$P123*BB$34-$Q123</f>
        <v/>
      </c>
      <c r="BC123" s="199">
        <f>$P123*BC$34-$Q123</f>
        <v/>
      </c>
      <c r="BD123" s="199">
        <f>$P123*BD$34-$Q123</f>
        <v/>
      </c>
      <c r="BE123" s="199">
        <f>$P123*BE$34-$Q123</f>
        <v/>
      </c>
      <c r="BF123" s="199">
        <f>$P123*BF$34-$Q123</f>
        <v/>
      </c>
      <c r="BH123" s="198">
        <f>$G123</f>
        <v/>
      </c>
      <c r="BI123" s="197">
        <f>$I123</f>
        <v/>
      </c>
      <c r="BJ123" s="197">
        <f>+BJ124</f>
        <v/>
      </c>
      <c r="BK123" s="197">
        <f>+BK124</f>
        <v/>
      </c>
      <c r="BL123" s="197">
        <f>+BL124</f>
        <v/>
      </c>
      <c r="BM123" s="197">
        <f>+BM124</f>
        <v/>
      </c>
      <c r="BN123" s="197">
        <f>+BN124</f>
        <v/>
      </c>
      <c r="BP123" s="198">
        <f>$G123</f>
        <v/>
      </c>
      <c r="BQ123" s="197">
        <f>$J123</f>
        <v/>
      </c>
      <c r="BR123" s="197">
        <f>+BR124</f>
        <v/>
      </c>
      <c r="BS123" s="197">
        <f>+BS124</f>
        <v/>
      </c>
      <c r="BT123" s="197">
        <f>+BT124</f>
        <v/>
      </c>
      <c r="BU123" s="197">
        <f>+BU124</f>
        <v/>
      </c>
      <c r="BV123" s="197">
        <f>+BV124</f>
        <v/>
      </c>
      <c r="BX123" s="198">
        <f>$G123</f>
        <v/>
      </c>
      <c r="BY123" s="197">
        <f>$K123</f>
        <v/>
      </c>
      <c r="BZ123" s="197">
        <f>+BZ124</f>
        <v/>
      </c>
      <c r="CA123" s="197">
        <f>+CA124</f>
        <v/>
      </c>
      <c r="CB123" s="197">
        <f>+CB124</f>
        <v/>
      </c>
      <c r="CC123" s="197">
        <f>+CC124</f>
        <v/>
      </c>
      <c r="CD123" s="197">
        <f>+CD124</f>
        <v/>
      </c>
      <c r="CF123" s="198">
        <f>$G123</f>
        <v/>
      </c>
      <c r="CG123" s="197">
        <f>$L123</f>
        <v/>
      </c>
      <c r="CH123" s="197">
        <f>+CH124</f>
        <v/>
      </c>
      <c r="CI123" s="197">
        <f>+CI124</f>
        <v/>
      </c>
      <c r="CJ123" s="197">
        <f>+CJ124</f>
        <v/>
      </c>
      <c r="CK123" s="197">
        <f>+CK124</f>
        <v/>
      </c>
      <c r="CL123" s="197">
        <f>+CL124</f>
        <v/>
      </c>
      <c r="CO123" s="199" t="n"/>
      <c r="CP123" s="199" t="n">
        <v>2.55</v>
      </c>
      <c r="CR123" s="199" t="inlineStr">
        <is>
          <t>#N/A N/A</t>
        </is>
      </c>
      <c r="CS123" s="970" t="n">
        <v>1.02254</v>
      </c>
    </row>
    <row r="124">
      <c r="B124" s="204">
        <f>+C124-1</f>
        <v/>
      </c>
      <c r="C124" s="204">
        <f>IF('bands_A-H_Avg'!$D$9+1&gt;MONTH(G124),YEAR(G124),YEAR(G124)+1)</f>
        <v/>
      </c>
      <c r="D124" s="204">
        <f>+C124+1</f>
        <v/>
      </c>
      <c r="E124" s="203">
        <f>IF(C124&gt;C123,1,E123+1)</f>
        <v/>
      </c>
      <c r="F124" s="203">
        <f>COUNTIF(C:C,C124)</f>
        <v/>
      </c>
      <c r="G124" s="198">
        <f>+G123+7</f>
        <v/>
      </c>
      <c r="H124" s="361">
        <f>IF(ISBLANK(CO124),CP124,SUMPRODUCT(CO$32:CP$32,CO124:CP124))</f>
        <v/>
      </c>
      <c r="I124" s="968">
        <f>H124/M124</f>
        <v/>
      </c>
      <c r="J124" s="968">
        <f>H124/N124</f>
        <v/>
      </c>
      <c r="K124" s="968">
        <f>(H124+Q124)/O124</f>
        <v/>
      </c>
      <c r="L124" s="968">
        <f>(H124+Q124)/P124</f>
        <v/>
      </c>
      <c r="M124" s="199">
        <f>HLOOKUP(C:C,$4:$10,3,FALSE)+((HLOOKUP(D:D,$4:$10,3,FALSE)-HLOOKUP(C:C,$4:$10,3,FALSE))*E124/F124)</f>
        <v/>
      </c>
      <c r="N124" s="199">
        <f>HLOOKUP(C:C,$4:$10,2,FALSE)+((HLOOKUP(D:D,$4:$10,2,FALSE)-HLOOKUP(C:C,$4:$10,2,FALSE))*E124/F124)</f>
        <v/>
      </c>
      <c r="O124" s="199">
        <f>HLOOKUP(C:C,$4:$10,5,FALSE)+((HLOOKUP(D:D,$4:$10,5,FALSE)-HLOOKUP(C:C,$4:$10,5,FALSE))*E124/F124)</f>
        <v/>
      </c>
      <c r="P124" s="199">
        <f>HLOOKUP(C:C,$4:$10,4,FALSE)+((HLOOKUP(D:D,$4:$10,4,FALSE)-HLOOKUP(C:C,$4:$10,4,FALSE))*E124/F124)</f>
        <v/>
      </c>
      <c r="Q124" s="199">
        <f>HLOOKUP(B:B,$4:$10,6,FALSE)+((HLOOKUP(C:C,$4:$10,6,FALSE)-HLOOKUP(B:B,$4:$10,6,FALSE))*E124/F124)</f>
        <v/>
      </c>
      <c r="T124" s="198">
        <f>$G124</f>
        <v/>
      </c>
      <c r="U124" s="199">
        <f>H124/(HLOOKUP(B:B,$4:$10,3,FALSE)+((HLOOKUP(C:C,$4:$10,3,FALSE)-HLOOKUP(B:B,$4:$10,3,FALSE))*E124/F124))</f>
        <v/>
      </c>
      <c r="V124" s="969">
        <f>HLOOKUP(B:B,$4:$10,7,FALSE)+((HLOOKUP(C:C,$4:$10,7,FALSE)-HLOOKUP(B:B,$4:$10,7,FALSE))*E124/F124)</f>
        <v/>
      </c>
      <c r="AB124" s="198">
        <f>$G124</f>
        <v/>
      </c>
      <c r="AC124" s="199">
        <f>$H124</f>
        <v/>
      </c>
      <c r="AD124" s="199">
        <f>$M124*AD$34</f>
        <v/>
      </c>
      <c r="AE124" s="199">
        <f>$M124*AE$34</f>
        <v/>
      </c>
      <c r="AF124" s="199">
        <f>$M124*AF$34</f>
        <v/>
      </c>
      <c r="AG124" s="199">
        <f>$M124*AG$34</f>
        <v/>
      </c>
      <c r="AH124" s="199">
        <f>$M124*AH$34</f>
        <v/>
      </c>
      <c r="AJ124" s="198">
        <f>$G124</f>
        <v/>
      </c>
      <c r="AK124" s="199">
        <f>$H124</f>
        <v/>
      </c>
      <c r="AL124" s="199">
        <f>$N124*AL$34</f>
        <v/>
      </c>
      <c r="AM124" s="199">
        <f>$N124*AM$34</f>
        <v/>
      </c>
      <c r="AN124" s="199">
        <f>$N124*AN$34</f>
        <v/>
      </c>
      <c r="AO124" s="199">
        <f>$N124*AO$34</f>
        <v/>
      </c>
      <c r="AP124" s="199">
        <f>$N124*AP$34</f>
        <v/>
      </c>
      <c r="AR124" s="198">
        <f>$G124</f>
        <v/>
      </c>
      <c r="AS124" s="199">
        <f>$H124</f>
        <v/>
      </c>
      <c r="AT124" s="199">
        <f>$O124*AT$34-$Q124</f>
        <v/>
      </c>
      <c r="AU124" s="199">
        <f>$O124*AU$34-$Q124</f>
        <v/>
      </c>
      <c r="AV124" s="199">
        <f>$O124*AV$34-$Q124</f>
        <v/>
      </c>
      <c r="AW124" s="199">
        <f>$O124*AW$34-$Q124</f>
        <v/>
      </c>
      <c r="AX124" s="199">
        <f>$O124*AX$34-$Q124</f>
        <v/>
      </c>
      <c r="AZ124" s="198">
        <f>$G124</f>
        <v/>
      </c>
      <c r="BA124" s="199">
        <f>$H124</f>
        <v/>
      </c>
      <c r="BB124" s="199">
        <f>$P124*BB$34-$Q124</f>
        <v/>
      </c>
      <c r="BC124" s="199">
        <f>$P124*BC$34-$Q124</f>
        <v/>
      </c>
      <c r="BD124" s="199">
        <f>$P124*BD$34-$Q124</f>
        <v/>
      </c>
      <c r="BE124" s="199">
        <f>$P124*BE$34-$Q124</f>
        <v/>
      </c>
      <c r="BF124" s="199">
        <f>$P124*BF$34-$Q124</f>
        <v/>
      </c>
      <c r="BH124" s="198">
        <f>$G124</f>
        <v/>
      </c>
      <c r="BI124" s="197">
        <f>$I124</f>
        <v/>
      </c>
      <c r="BJ124" s="197">
        <f>+BJ125</f>
        <v/>
      </c>
      <c r="BK124" s="197">
        <f>+BK125</f>
        <v/>
      </c>
      <c r="BL124" s="197">
        <f>+BL125</f>
        <v/>
      </c>
      <c r="BM124" s="197">
        <f>+BM125</f>
        <v/>
      </c>
      <c r="BN124" s="197">
        <f>+BN125</f>
        <v/>
      </c>
      <c r="BP124" s="198">
        <f>$G124</f>
        <v/>
      </c>
      <c r="BQ124" s="197">
        <f>$J124</f>
        <v/>
      </c>
      <c r="BR124" s="197">
        <f>+BR125</f>
        <v/>
      </c>
      <c r="BS124" s="197">
        <f>+BS125</f>
        <v/>
      </c>
      <c r="BT124" s="197">
        <f>+BT125</f>
        <v/>
      </c>
      <c r="BU124" s="197">
        <f>+BU125</f>
        <v/>
      </c>
      <c r="BV124" s="197">
        <f>+BV125</f>
        <v/>
      </c>
      <c r="BX124" s="198">
        <f>$G124</f>
        <v/>
      </c>
      <c r="BY124" s="197">
        <f>$K124</f>
        <v/>
      </c>
      <c r="BZ124" s="197">
        <f>+BZ125</f>
        <v/>
      </c>
      <c r="CA124" s="197">
        <f>+CA125</f>
        <v/>
      </c>
      <c r="CB124" s="197">
        <f>+CB125</f>
        <v/>
      </c>
      <c r="CC124" s="197">
        <f>+CC125</f>
        <v/>
      </c>
      <c r="CD124" s="197">
        <f>+CD125</f>
        <v/>
      </c>
      <c r="CF124" s="198">
        <f>$G124</f>
        <v/>
      </c>
      <c r="CG124" s="197">
        <f>$L124</f>
        <v/>
      </c>
      <c r="CH124" s="197">
        <f>+CH125</f>
        <v/>
      </c>
      <c r="CI124" s="197">
        <f>+CI125</f>
        <v/>
      </c>
      <c r="CJ124" s="197">
        <f>+CJ125</f>
        <v/>
      </c>
      <c r="CK124" s="197">
        <f>+CK125</f>
        <v/>
      </c>
      <c r="CL124" s="197">
        <f>+CL125</f>
        <v/>
      </c>
      <c r="CO124" s="199" t="n"/>
      <c r="CP124" s="199" t="n">
        <v>2.7</v>
      </c>
      <c r="CR124" s="199" t="inlineStr">
        <is>
          <t>#N/A N/A</t>
        </is>
      </c>
      <c r="CS124" s="970" t="n">
        <v>1.02191</v>
      </c>
    </row>
    <row r="125">
      <c r="B125" s="204">
        <f>+C125-1</f>
        <v/>
      </c>
      <c r="C125" s="204">
        <f>IF('bands_A-H_Avg'!$D$9+1&gt;MONTH(G125),YEAR(G125),YEAR(G125)+1)</f>
        <v/>
      </c>
      <c r="D125" s="204">
        <f>+C125+1</f>
        <v/>
      </c>
      <c r="E125" s="203">
        <f>IF(C125&gt;C124,1,E124+1)</f>
        <v/>
      </c>
      <c r="F125" s="203">
        <f>COUNTIF(C:C,C125)</f>
        <v/>
      </c>
      <c r="G125" s="198">
        <f>+G124+7</f>
        <v/>
      </c>
      <c r="H125" s="361">
        <f>IF(ISBLANK(CO125),CP125,SUMPRODUCT(CO$32:CP$32,CO125:CP125))</f>
        <v/>
      </c>
      <c r="I125" s="968">
        <f>H125/M125</f>
        <v/>
      </c>
      <c r="J125" s="968">
        <f>H125/N125</f>
        <v/>
      </c>
      <c r="K125" s="968">
        <f>(H125+Q125)/O125</f>
        <v/>
      </c>
      <c r="L125" s="968">
        <f>(H125+Q125)/P125</f>
        <v/>
      </c>
      <c r="M125" s="199">
        <f>HLOOKUP(C:C,$4:$10,3,FALSE)+((HLOOKUP(D:D,$4:$10,3,FALSE)-HLOOKUP(C:C,$4:$10,3,FALSE))*E125/F125)</f>
        <v/>
      </c>
      <c r="N125" s="199">
        <f>HLOOKUP(C:C,$4:$10,2,FALSE)+((HLOOKUP(D:D,$4:$10,2,FALSE)-HLOOKUP(C:C,$4:$10,2,FALSE))*E125/F125)</f>
        <v/>
      </c>
      <c r="O125" s="199">
        <f>HLOOKUP(C:C,$4:$10,5,FALSE)+((HLOOKUP(D:D,$4:$10,5,FALSE)-HLOOKUP(C:C,$4:$10,5,FALSE))*E125/F125)</f>
        <v/>
      </c>
      <c r="P125" s="199">
        <f>HLOOKUP(C:C,$4:$10,4,FALSE)+((HLOOKUP(D:D,$4:$10,4,FALSE)-HLOOKUP(C:C,$4:$10,4,FALSE))*E125/F125)</f>
        <v/>
      </c>
      <c r="Q125" s="199">
        <f>HLOOKUP(B:B,$4:$10,6,FALSE)+((HLOOKUP(C:C,$4:$10,6,FALSE)-HLOOKUP(B:B,$4:$10,6,FALSE))*E125/F125)</f>
        <v/>
      </c>
      <c r="T125" s="198">
        <f>$G125</f>
        <v/>
      </c>
      <c r="U125" s="199">
        <f>H125/(HLOOKUP(B:B,$4:$10,3,FALSE)+((HLOOKUP(C:C,$4:$10,3,FALSE)-HLOOKUP(B:B,$4:$10,3,FALSE))*E125/F125))</f>
        <v/>
      </c>
      <c r="V125" s="969">
        <f>HLOOKUP(B:B,$4:$10,7,FALSE)+((HLOOKUP(C:C,$4:$10,7,FALSE)-HLOOKUP(B:B,$4:$10,7,FALSE))*E125/F125)</f>
        <v/>
      </c>
      <c r="AB125" s="198">
        <f>$G125</f>
        <v/>
      </c>
      <c r="AC125" s="199">
        <f>$H125</f>
        <v/>
      </c>
      <c r="AD125" s="199">
        <f>$M125*AD$34</f>
        <v/>
      </c>
      <c r="AE125" s="199">
        <f>$M125*AE$34</f>
        <v/>
      </c>
      <c r="AF125" s="199">
        <f>$M125*AF$34</f>
        <v/>
      </c>
      <c r="AG125" s="199">
        <f>$M125*AG$34</f>
        <v/>
      </c>
      <c r="AH125" s="199">
        <f>$M125*AH$34</f>
        <v/>
      </c>
      <c r="AJ125" s="198">
        <f>$G125</f>
        <v/>
      </c>
      <c r="AK125" s="199">
        <f>$H125</f>
        <v/>
      </c>
      <c r="AL125" s="199">
        <f>$N125*AL$34</f>
        <v/>
      </c>
      <c r="AM125" s="199">
        <f>$N125*AM$34</f>
        <v/>
      </c>
      <c r="AN125" s="199">
        <f>$N125*AN$34</f>
        <v/>
      </c>
      <c r="AO125" s="199">
        <f>$N125*AO$34</f>
        <v/>
      </c>
      <c r="AP125" s="199">
        <f>$N125*AP$34</f>
        <v/>
      </c>
      <c r="AR125" s="198">
        <f>$G125</f>
        <v/>
      </c>
      <c r="AS125" s="199">
        <f>$H125</f>
        <v/>
      </c>
      <c r="AT125" s="199">
        <f>$O125*AT$34-$Q125</f>
        <v/>
      </c>
      <c r="AU125" s="199">
        <f>$O125*AU$34-$Q125</f>
        <v/>
      </c>
      <c r="AV125" s="199">
        <f>$O125*AV$34-$Q125</f>
        <v/>
      </c>
      <c r="AW125" s="199">
        <f>$O125*AW$34-$Q125</f>
        <v/>
      </c>
      <c r="AX125" s="199">
        <f>$O125*AX$34-$Q125</f>
        <v/>
      </c>
      <c r="AZ125" s="198">
        <f>$G125</f>
        <v/>
      </c>
      <c r="BA125" s="199">
        <f>$H125</f>
        <v/>
      </c>
      <c r="BB125" s="199">
        <f>$P125*BB$34-$Q125</f>
        <v/>
      </c>
      <c r="BC125" s="199">
        <f>$P125*BC$34-$Q125</f>
        <v/>
      </c>
      <c r="BD125" s="199">
        <f>$P125*BD$34-$Q125</f>
        <v/>
      </c>
      <c r="BE125" s="199">
        <f>$P125*BE$34-$Q125</f>
        <v/>
      </c>
      <c r="BF125" s="199">
        <f>$P125*BF$34-$Q125</f>
        <v/>
      </c>
      <c r="BH125" s="198">
        <f>$G125</f>
        <v/>
      </c>
      <c r="BI125" s="197">
        <f>$I125</f>
        <v/>
      </c>
      <c r="BJ125" s="197">
        <f>+BJ126</f>
        <v/>
      </c>
      <c r="BK125" s="197">
        <f>+BK126</f>
        <v/>
      </c>
      <c r="BL125" s="197">
        <f>+BL126</f>
        <v/>
      </c>
      <c r="BM125" s="197">
        <f>+BM126</f>
        <v/>
      </c>
      <c r="BN125" s="197">
        <f>+BN126</f>
        <v/>
      </c>
      <c r="BP125" s="198">
        <f>$G125</f>
        <v/>
      </c>
      <c r="BQ125" s="197">
        <f>$J125</f>
        <v/>
      </c>
      <c r="BR125" s="197">
        <f>+BR126</f>
        <v/>
      </c>
      <c r="BS125" s="197">
        <f>+BS126</f>
        <v/>
      </c>
      <c r="BT125" s="197">
        <f>+BT126</f>
        <v/>
      </c>
      <c r="BU125" s="197">
        <f>+BU126</f>
        <v/>
      </c>
      <c r="BV125" s="197">
        <f>+BV126</f>
        <v/>
      </c>
      <c r="BX125" s="198">
        <f>$G125</f>
        <v/>
      </c>
      <c r="BY125" s="197">
        <f>$K125</f>
        <v/>
      </c>
      <c r="BZ125" s="197">
        <f>+BZ126</f>
        <v/>
      </c>
      <c r="CA125" s="197">
        <f>+CA126</f>
        <v/>
      </c>
      <c r="CB125" s="197">
        <f>+CB126</f>
        <v/>
      </c>
      <c r="CC125" s="197">
        <f>+CC126</f>
        <v/>
      </c>
      <c r="CD125" s="197">
        <f>+CD126</f>
        <v/>
      </c>
      <c r="CF125" s="198">
        <f>$G125</f>
        <v/>
      </c>
      <c r="CG125" s="197">
        <f>$L125</f>
        <v/>
      </c>
      <c r="CH125" s="197">
        <f>+CH126</f>
        <v/>
      </c>
      <c r="CI125" s="197">
        <f>+CI126</f>
        <v/>
      </c>
      <c r="CJ125" s="197">
        <f>+CJ126</f>
        <v/>
      </c>
      <c r="CK125" s="197">
        <f>+CK126</f>
        <v/>
      </c>
      <c r="CL125" s="197">
        <f>+CL126</f>
        <v/>
      </c>
      <c r="CO125" s="199" t="n"/>
      <c r="CP125" s="199" t="n">
        <v>2.55</v>
      </c>
      <c r="CR125" s="199" t="inlineStr">
        <is>
          <t>#N/A N/A</t>
        </is>
      </c>
      <c r="CS125" s="970" t="n">
        <v>1.02057</v>
      </c>
    </row>
    <row r="126">
      <c r="B126" s="204">
        <f>+C126-1</f>
        <v/>
      </c>
      <c r="C126" s="204">
        <f>IF('bands_A-H_Avg'!$D$9+1&gt;MONTH(G126),YEAR(G126),YEAR(G126)+1)</f>
        <v/>
      </c>
      <c r="D126" s="204">
        <f>+C126+1</f>
        <v/>
      </c>
      <c r="E126" s="203">
        <f>IF(C126&gt;C125,1,E125+1)</f>
        <v/>
      </c>
      <c r="F126" s="203">
        <f>COUNTIF(C:C,C126)</f>
        <v/>
      </c>
      <c r="G126" s="198">
        <f>+G125+7</f>
        <v/>
      </c>
      <c r="H126" s="361">
        <f>IF(ISBLANK(CO126),CP126,SUMPRODUCT(CO$32:CP$32,CO126:CP126))</f>
        <v/>
      </c>
      <c r="I126" s="968">
        <f>H126/M126</f>
        <v/>
      </c>
      <c r="J126" s="968">
        <f>H126/N126</f>
        <v/>
      </c>
      <c r="K126" s="968">
        <f>(H126+Q126)/O126</f>
        <v/>
      </c>
      <c r="L126" s="968">
        <f>(H126+Q126)/P126</f>
        <v/>
      </c>
      <c r="M126" s="199">
        <f>HLOOKUP(C:C,$4:$10,3,FALSE)+((HLOOKUP(D:D,$4:$10,3,FALSE)-HLOOKUP(C:C,$4:$10,3,FALSE))*E126/F126)</f>
        <v/>
      </c>
      <c r="N126" s="199">
        <f>HLOOKUP(C:C,$4:$10,2,FALSE)+((HLOOKUP(D:D,$4:$10,2,FALSE)-HLOOKUP(C:C,$4:$10,2,FALSE))*E126/F126)</f>
        <v/>
      </c>
      <c r="O126" s="199">
        <f>HLOOKUP(C:C,$4:$10,5,FALSE)+((HLOOKUP(D:D,$4:$10,5,FALSE)-HLOOKUP(C:C,$4:$10,5,FALSE))*E126/F126)</f>
        <v/>
      </c>
      <c r="P126" s="199">
        <f>HLOOKUP(C:C,$4:$10,4,FALSE)+((HLOOKUP(D:D,$4:$10,4,FALSE)-HLOOKUP(C:C,$4:$10,4,FALSE))*E126/F126)</f>
        <v/>
      </c>
      <c r="Q126" s="199">
        <f>HLOOKUP(B:B,$4:$10,6,FALSE)+((HLOOKUP(C:C,$4:$10,6,FALSE)-HLOOKUP(B:B,$4:$10,6,FALSE))*E126/F126)</f>
        <v/>
      </c>
      <c r="T126" s="198">
        <f>$G126</f>
        <v/>
      </c>
      <c r="U126" s="199">
        <f>H126/(HLOOKUP(B:B,$4:$10,3,FALSE)+((HLOOKUP(C:C,$4:$10,3,FALSE)-HLOOKUP(B:B,$4:$10,3,FALSE))*E126/F126))</f>
        <v/>
      </c>
      <c r="V126" s="969">
        <f>HLOOKUP(B:B,$4:$10,7,FALSE)+((HLOOKUP(C:C,$4:$10,7,FALSE)-HLOOKUP(B:B,$4:$10,7,FALSE))*E126/F126)</f>
        <v/>
      </c>
      <c r="AB126" s="198">
        <f>$G126</f>
        <v/>
      </c>
      <c r="AC126" s="199">
        <f>$H126</f>
        <v/>
      </c>
      <c r="AD126" s="199">
        <f>$M126*AD$34</f>
        <v/>
      </c>
      <c r="AE126" s="199">
        <f>$M126*AE$34</f>
        <v/>
      </c>
      <c r="AF126" s="199">
        <f>$M126*AF$34</f>
        <v/>
      </c>
      <c r="AG126" s="199">
        <f>$M126*AG$34</f>
        <v/>
      </c>
      <c r="AH126" s="199">
        <f>$M126*AH$34</f>
        <v/>
      </c>
      <c r="AJ126" s="198">
        <f>$G126</f>
        <v/>
      </c>
      <c r="AK126" s="199">
        <f>$H126</f>
        <v/>
      </c>
      <c r="AL126" s="199">
        <f>$N126*AL$34</f>
        <v/>
      </c>
      <c r="AM126" s="199">
        <f>$N126*AM$34</f>
        <v/>
      </c>
      <c r="AN126" s="199">
        <f>$N126*AN$34</f>
        <v/>
      </c>
      <c r="AO126" s="199">
        <f>$N126*AO$34</f>
        <v/>
      </c>
      <c r="AP126" s="199">
        <f>$N126*AP$34</f>
        <v/>
      </c>
      <c r="AR126" s="198">
        <f>$G126</f>
        <v/>
      </c>
      <c r="AS126" s="199">
        <f>$H126</f>
        <v/>
      </c>
      <c r="AT126" s="199">
        <f>$O126*AT$34-$Q126</f>
        <v/>
      </c>
      <c r="AU126" s="199">
        <f>$O126*AU$34-$Q126</f>
        <v/>
      </c>
      <c r="AV126" s="199">
        <f>$O126*AV$34-$Q126</f>
        <v/>
      </c>
      <c r="AW126" s="199">
        <f>$O126*AW$34-$Q126</f>
        <v/>
      </c>
      <c r="AX126" s="199">
        <f>$O126*AX$34-$Q126</f>
        <v/>
      </c>
      <c r="AZ126" s="198">
        <f>$G126</f>
        <v/>
      </c>
      <c r="BA126" s="199">
        <f>$H126</f>
        <v/>
      </c>
      <c r="BB126" s="199">
        <f>$P126*BB$34-$Q126</f>
        <v/>
      </c>
      <c r="BC126" s="199">
        <f>$P126*BC$34-$Q126</f>
        <v/>
      </c>
      <c r="BD126" s="199">
        <f>$P126*BD$34-$Q126</f>
        <v/>
      </c>
      <c r="BE126" s="199">
        <f>$P126*BE$34-$Q126</f>
        <v/>
      </c>
      <c r="BF126" s="199">
        <f>$P126*BF$34-$Q126</f>
        <v/>
      </c>
      <c r="BH126" s="198">
        <f>$G126</f>
        <v/>
      </c>
      <c r="BI126" s="197">
        <f>$I126</f>
        <v/>
      </c>
      <c r="BJ126" s="197">
        <f>+BJ127</f>
        <v/>
      </c>
      <c r="BK126" s="197">
        <f>+BK127</f>
        <v/>
      </c>
      <c r="BL126" s="197">
        <f>+BL127</f>
        <v/>
      </c>
      <c r="BM126" s="197">
        <f>+BM127</f>
        <v/>
      </c>
      <c r="BN126" s="197">
        <f>+BN127</f>
        <v/>
      </c>
      <c r="BP126" s="198">
        <f>$G126</f>
        <v/>
      </c>
      <c r="BQ126" s="197">
        <f>$J126</f>
        <v/>
      </c>
      <c r="BR126" s="197">
        <f>+BR127</f>
        <v/>
      </c>
      <c r="BS126" s="197">
        <f>+BS127</f>
        <v/>
      </c>
      <c r="BT126" s="197">
        <f>+BT127</f>
        <v/>
      </c>
      <c r="BU126" s="197">
        <f>+BU127</f>
        <v/>
      </c>
      <c r="BV126" s="197">
        <f>+BV127</f>
        <v/>
      </c>
      <c r="BX126" s="198">
        <f>$G126</f>
        <v/>
      </c>
      <c r="BY126" s="197">
        <f>$K126</f>
        <v/>
      </c>
      <c r="BZ126" s="197">
        <f>+BZ127</f>
        <v/>
      </c>
      <c r="CA126" s="197">
        <f>+CA127</f>
        <v/>
      </c>
      <c r="CB126" s="197">
        <f>+CB127</f>
        <v/>
      </c>
      <c r="CC126" s="197">
        <f>+CC127</f>
        <v/>
      </c>
      <c r="CD126" s="197">
        <f>+CD127</f>
        <v/>
      </c>
      <c r="CF126" s="198">
        <f>$G126</f>
        <v/>
      </c>
      <c r="CG126" s="197">
        <f>$L126</f>
        <v/>
      </c>
      <c r="CH126" s="197">
        <f>+CH127</f>
        <v/>
      </c>
      <c r="CI126" s="197">
        <f>+CI127</f>
        <v/>
      </c>
      <c r="CJ126" s="197">
        <f>+CJ127</f>
        <v/>
      </c>
      <c r="CK126" s="197">
        <f>+CK127</f>
        <v/>
      </c>
      <c r="CL126" s="197">
        <f>+CL127</f>
        <v/>
      </c>
      <c r="CO126" s="199" t="n"/>
      <c r="CP126" s="199" t="n">
        <v>2.52</v>
      </c>
      <c r="CR126" s="199" t="inlineStr">
        <is>
          <t>#N/A N/A</t>
        </is>
      </c>
      <c r="CS126" s="970" t="n">
        <v>1.01738</v>
      </c>
    </row>
    <row r="127">
      <c r="B127" s="204">
        <f>+C127-1</f>
        <v/>
      </c>
      <c r="C127" s="204">
        <f>IF('bands_A-H_Avg'!$D$9+1&gt;MONTH(G127),YEAR(G127),YEAR(G127)+1)</f>
        <v/>
      </c>
      <c r="D127" s="204">
        <f>+C127+1</f>
        <v/>
      </c>
      <c r="E127" s="203">
        <f>IF(C127&gt;C126,1,E126+1)</f>
        <v/>
      </c>
      <c r="F127" s="203">
        <f>COUNTIF(C:C,C127)</f>
        <v/>
      </c>
      <c r="G127" s="198">
        <f>+G126+7</f>
        <v/>
      </c>
      <c r="H127" s="361">
        <f>IF(ISBLANK(CO127),CP127,SUMPRODUCT(CO$32:CP$32,CO127:CP127))</f>
        <v/>
      </c>
      <c r="I127" s="968">
        <f>H127/M127</f>
        <v/>
      </c>
      <c r="J127" s="968">
        <f>H127/N127</f>
        <v/>
      </c>
      <c r="K127" s="968">
        <f>(H127+Q127)/O127</f>
        <v/>
      </c>
      <c r="L127" s="968">
        <f>(H127+Q127)/P127</f>
        <v/>
      </c>
      <c r="M127" s="199">
        <f>HLOOKUP(C:C,$4:$10,3,FALSE)+((HLOOKUP(D:D,$4:$10,3,FALSE)-HLOOKUP(C:C,$4:$10,3,FALSE))*E127/F127)</f>
        <v/>
      </c>
      <c r="N127" s="199">
        <f>HLOOKUP(C:C,$4:$10,2,FALSE)+((HLOOKUP(D:D,$4:$10,2,FALSE)-HLOOKUP(C:C,$4:$10,2,FALSE))*E127/F127)</f>
        <v/>
      </c>
      <c r="O127" s="199">
        <f>HLOOKUP(C:C,$4:$10,5,FALSE)+((HLOOKUP(D:D,$4:$10,5,FALSE)-HLOOKUP(C:C,$4:$10,5,FALSE))*E127/F127)</f>
        <v/>
      </c>
      <c r="P127" s="199">
        <f>HLOOKUP(C:C,$4:$10,4,FALSE)+((HLOOKUP(D:D,$4:$10,4,FALSE)-HLOOKUP(C:C,$4:$10,4,FALSE))*E127/F127)</f>
        <v/>
      </c>
      <c r="Q127" s="199">
        <f>HLOOKUP(B:B,$4:$10,6,FALSE)+((HLOOKUP(C:C,$4:$10,6,FALSE)-HLOOKUP(B:B,$4:$10,6,FALSE))*E127/F127)</f>
        <v/>
      </c>
      <c r="T127" s="198">
        <f>$G127</f>
        <v/>
      </c>
      <c r="U127" s="199">
        <f>H127/(HLOOKUP(B:B,$4:$10,3,FALSE)+((HLOOKUP(C:C,$4:$10,3,FALSE)-HLOOKUP(B:B,$4:$10,3,FALSE))*E127/F127))</f>
        <v/>
      </c>
      <c r="V127" s="969">
        <f>HLOOKUP(B:B,$4:$10,7,FALSE)+((HLOOKUP(C:C,$4:$10,7,FALSE)-HLOOKUP(B:B,$4:$10,7,FALSE))*E127/F127)</f>
        <v/>
      </c>
      <c r="AB127" s="198">
        <f>$G127</f>
        <v/>
      </c>
      <c r="AC127" s="199">
        <f>$H127</f>
        <v/>
      </c>
      <c r="AD127" s="199">
        <f>$M127*AD$34</f>
        <v/>
      </c>
      <c r="AE127" s="199">
        <f>$M127*AE$34</f>
        <v/>
      </c>
      <c r="AF127" s="199">
        <f>$M127*AF$34</f>
        <v/>
      </c>
      <c r="AG127" s="199">
        <f>$M127*AG$34</f>
        <v/>
      </c>
      <c r="AH127" s="199">
        <f>$M127*AH$34</f>
        <v/>
      </c>
      <c r="AJ127" s="198">
        <f>$G127</f>
        <v/>
      </c>
      <c r="AK127" s="199">
        <f>$H127</f>
        <v/>
      </c>
      <c r="AL127" s="199">
        <f>$N127*AL$34</f>
        <v/>
      </c>
      <c r="AM127" s="199">
        <f>$N127*AM$34</f>
        <v/>
      </c>
      <c r="AN127" s="199">
        <f>$N127*AN$34</f>
        <v/>
      </c>
      <c r="AO127" s="199">
        <f>$N127*AO$34</f>
        <v/>
      </c>
      <c r="AP127" s="199">
        <f>$N127*AP$34</f>
        <v/>
      </c>
      <c r="AR127" s="198">
        <f>$G127</f>
        <v/>
      </c>
      <c r="AS127" s="199">
        <f>$H127</f>
        <v/>
      </c>
      <c r="AT127" s="199">
        <f>$O127*AT$34-$Q127</f>
        <v/>
      </c>
      <c r="AU127" s="199">
        <f>$O127*AU$34-$Q127</f>
        <v/>
      </c>
      <c r="AV127" s="199">
        <f>$O127*AV$34-$Q127</f>
        <v/>
      </c>
      <c r="AW127" s="199">
        <f>$O127*AW$34-$Q127</f>
        <v/>
      </c>
      <c r="AX127" s="199">
        <f>$O127*AX$34-$Q127</f>
        <v/>
      </c>
      <c r="AZ127" s="198">
        <f>$G127</f>
        <v/>
      </c>
      <c r="BA127" s="199">
        <f>$H127</f>
        <v/>
      </c>
      <c r="BB127" s="199">
        <f>$P127*BB$34-$Q127</f>
        <v/>
      </c>
      <c r="BC127" s="199">
        <f>$P127*BC$34-$Q127</f>
        <v/>
      </c>
      <c r="BD127" s="199">
        <f>$P127*BD$34-$Q127</f>
        <v/>
      </c>
      <c r="BE127" s="199">
        <f>$P127*BE$34-$Q127</f>
        <v/>
      </c>
      <c r="BF127" s="199">
        <f>$P127*BF$34-$Q127</f>
        <v/>
      </c>
      <c r="BH127" s="198">
        <f>$G127</f>
        <v/>
      </c>
      <c r="BI127" s="197">
        <f>$I127</f>
        <v/>
      </c>
      <c r="BJ127" s="197">
        <f>+BJ128</f>
        <v/>
      </c>
      <c r="BK127" s="197">
        <f>+BK128</f>
        <v/>
      </c>
      <c r="BL127" s="197">
        <f>+BL128</f>
        <v/>
      </c>
      <c r="BM127" s="197">
        <f>+BM128</f>
        <v/>
      </c>
      <c r="BN127" s="197">
        <f>+BN128</f>
        <v/>
      </c>
      <c r="BP127" s="198">
        <f>$G127</f>
        <v/>
      </c>
      <c r="BQ127" s="197">
        <f>$J127</f>
        <v/>
      </c>
      <c r="BR127" s="197">
        <f>+BR128</f>
        <v/>
      </c>
      <c r="BS127" s="197">
        <f>+BS128</f>
        <v/>
      </c>
      <c r="BT127" s="197">
        <f>+BT128</f>
        <v/>
      </c>
      <c r="BU127" s="197">
        <f>+BU128</f>
        <v/>
      </c>
      <c r="BV127" s="197">
        <f>+BV128</f>
        <v/>
      </c>
      <c r="BX127" s="198">
        <f>$G127</f>
        <v/>
      </c>
      <c r="BY127" s="197">
        <f>$K127</f>
        <v/>
      </c>
      <c r="BZ127" s="197">
        <f>+BZ128</f>
        <v/>
      </c>
      <c r="CA127" s="197">
        <f>+CA128</f>
        <v/>
      </c>
      <c r="CB127" s="197">
        <f>+CB128</f>
        <v/>
      </c>
      <c r="CC127" s="197">
        <f>+CC128</f>
        <v/>
      </c>
      <c r="CD127" s="197">
        <f>+CD128</f>
        <v/>
      </c>
      <c r="CF127" s="198">
        <f>$G127</f>
        <v/>
      </c>
      <c r="CG127" s="197">
        <f>$L127</f>
        <v/>
      </c>
      <c r="CH127" s="197">
        <f>+CH128</f>
        <v/>
      </c>
      <c r="CI127" s="197">
        <f>+CI128</f>
        <v/>
      </c>
      <c r="CJ127" s="197">
        <f>+CJ128</f>
        <v/>
      </c>
      <c r="CK127" s="197">
        <f>+CK128</f>
        <v/>
      </c>
      <c r="CL127" s="197">
        <f>+CL128</f>
        <v/>
      </c>
      <c r="CO127" s="199" t="n"/>
      <c r="CP127" s="199" t="n">
        <v>2.62</v>
      </c>
      <c r="CR127" s="199" t="inlineStr">
        <is>
          <t>#N/A N/A</t>
        </is>
      </c>
      <c r="CS127" s="970" t="n">
        <v>1.01444</v>
      </c>
    </row>
    <row r="128">
      <c r="B128" s="204">
        <f>+C128-1</f>
        <v/>
      </c>
      <c r="C128" s="204">
        <f>IF('bands_A-H_Avg'!$D$9+1&gt;MONTH(G128),YEAR(G128),YEAR(G128)+1)</f>
        <v/>
      </c>
      <c r="D128" s="204">
        <f>+C128+1</f>
        <v/>
      </c>
      <c r="E128" s="203">
        <f>IF(C128&gt;C127,1,E127+1)</f>
        <v/>
      </c>
      <c r="F128" s="203">
        <f>COUNTIF(C:C,C128)</f>
        <v/>
      </c>
      <c r="G128" s="198">
        <f>+G127+7</f>
        <v/>
      </c>
      <c r="H128" s="361">
        <f>IF(ISBLANK(CO128),CP128,SUMPRODUCT(CO$32:CP$32,CO128:CP128))</f>
        <v/>
      </c>
      <c r="I128" s="968">
        <f>H128/M128</f>
        <v/>
      </c>
      <c r="J128" s="968">
        <f>H128/N128</f>
        <v/>
      </c>
      <c r="K128" s="968">
        <f>(H128+Q128)/O128</f>
        <v/>
      </c>
      <c r="L128" s="968">
        <f>(H128+Q128)/P128</f>
        <v/>
      </c>
      <c r="M128" s="199">
        <f>HLOOKUP(C:C,$4:$10,3,FALSE)+((HLOOKUP(D:D,$4:$10,3,FALSE)-HLOOKUP(C:C,$4:$10,3,FALSE))*E128/F128)</f>
        <v/>
      </c>
      <c r="N128" s="199">
        <f>HLOOKUP(C:C,$4:$10,2,FALSE)+((HLOOKUP(D:D,$4:$10,2,FALSE)-HLOOKUP(C:C,$4:$10,2,FALSE))*E128/F128)</f>
        <v/>
      </c>
      <c r="O128" s="199">
        <f>HLOOKUP(C:C,$4:$10,5,FALSE)+((HLOOKUP(D:D,$4:$10,5,FALSE)-HLOOKUP(C:C,$4:$10,5,FALSE))*E128/F128)</f>
        <v/>
      </c>
      <c r="P128" s="199">
        <f>HLOOKUP(C:C,$4:$10,4,FALSE)+((HLOOKUP(D:D,$4:$10,4,FALSE)-HLOOKUP(C:C,$4:$10,4,FALSE))*E128/F128)</f>
        <v/>
      </c>
      <c r="Q128" s="199">
        <f>HLOOKUP(B:B,$4:$10,6,FALSE)+((HLOOKUP(C:C,$4:$10,6,FALSE)-HLOOKUP(B:B,$4:$10,6,FALSE))*E128/F128)</f>
        <v/>
      </c>
      <c r="T128" s="198">
        <f>$G128</f>
        <v/>
      </c>
      <c r="U128" s="199">
        <f>H128/(HLOOKUP(B:B,$4:$10,3,FALSE)+((HLOOKUP(C:C,$4:$10,3,FALSE)-HLOOKUP(B:B,$4:$10,3,FALSE))*E128/F128))</f>
        <v/>
      </c>
      <c r="V128" s="969">
        <f>HLOOKUP(B:B,$4:$10,7,FALSE)+((HLOOKUP(C:C,$4:$10,7,FALSE)-HLOOKUP(B:B,$4:$10,7,FALSE))*E128/F128)</f>
        <v/>
      </c>
      <c r="AB128" s="198">
        <f>$G128</f>
        <v/>
      </c>
      <c r="AC128" s="199">
        <f>$H128</f>
        <v/>
      </c>
      <c r="AD128" s="199">
        <f>$M128*AD$34</f>
        <v/>
      </c>
      <c r="AE128" s="199">
        <f>$M128*AE$34</f>
        <v/>
      </c>
      <c r="AF128" s="199">
        <f>$M128*AF$34</f>
        <v/>
      </c>
      <c r="AG128" s="199">
        <f>$M128*AG$34</f>
        <v/>
      </c>
      <c r="AH128" s="199">
        <f>$M128*AH$34</f>
        <v/>
      </c>
      <c r="AJ128" s="198">
        <f>$G128</f>
        <v/>
      </c>
      <c r="AK128" s="199">
        <f>$H128</f>
        <v/>
      </c>
      <c r="AL128" s="199">
        <f>$N128*AL$34</f>
        <v/>
      </c>
      <c r="AM128" s="199">
        <f>$N128*AM$34</f>
        <v/>
      </c>
      <c r="AN128" s="199">
        <f>$N128*AN$34</f>
        <v/>
      </c>
      <c r="AO128" s="199">
        <f>$N128*AO$34</f>
        <v/>
      </c>
      <c r="AP128" s="199">
        <f>$N128*AP$34</f>
        <v/>
      </c>
      <c r="AR128" s="198">
        <f>$G128</f>
        <v/>
      </c>
      <c r="AS128" s="199">
        <f>$H128</f>
        <v/>
      </c>
      <c r="AT128" s="199">
        <f>$O128*AT$34-$Q128</f>
        <v/>
      </c>
      <c r="AU128" s="199">
        <f>$O128*AU$34-$Q128</f>
        <v/>
      </c>
      <c r="AV128" s="199">
        <f>$O128*AV$34-$Q128</f>
        <v/>
      </c>
      <c r="AW128" s="199">
        <f>$O128*AW$34-$Q128</f>
        <v/>
      </c>
      <c r="AX128" s="199">
        <f>$O128*AX$34-$Q128</f>
        <v/>
      </c>
      <c r="AZ128" s="198">
        <f>$G128</f>
        <v/>
      </c>
      <c r="BA128" s="199">
        <f>$H128</f>
        <v/>
      </c>
      <c r="BB128" s="199">
        <f>$P128*BB$34-$Q128</f>
        <v/>
      </c>
      <c r="BC128" s="199">
        <f>$P128*BC$34-$Q128</f>
        <v/>
      </c>
      <c r="BD128" s="199">
        <f>$P128*BD$34-$Q128</f>
        <v/>
      </c>
      <c r="BE128" s="199">
        <f>$P128*BE$34-$Q128</f>
        <v/>
      </c>
      <c r="BF128" s="199">
        <f>$P128*BF$34-$Q128</f>
        <v/>
      </c>
      <c r="BH128" s="198">
        <f>$G128</f>
        <v/>
      </c>
      <c r="BI128" s="197">
        <f>$I128</f>
        <v/>
      </c>
      <c r="BJ128" s="197">
        <f>+BJ129</f>
        <v/>
      </c>
      <c r="BK128" s="197">
        <f>+BK129</f>
        <v/>
      </c>
      <c r="BL128" s="197">
        <f>+BL129</f>
        <v/>
      </c>
      <c r="BM128" s="197">
        <f>+BM129</f>
        <v/>
      </c>
      <c r="BN128" s="197">
        <f>+BN129</f>
        <v/>
      </c>
      <c r="BP128" s="198">
        <f>$G128</f>
        <v/>
      </c>
      <c r="BQ128" s="197">
        <f>$J128</f>
        <v/>
      </c>
      <c r="BR128" s="197">
        <f>+BR129</f>
        <v/>
      </c>
      <c r="BS128" s="197">
        <f>+BS129</f>
        <v/>
      </c>
      <c r="BT128" s="197">
        <f>+BT129</f>
        <v/>
      </c>
      <c r="BU128" s="197">
        <f>+BU129</f>
        <v/>
      </c>
      <c r="BV128" s="197">
        <f>+BV129</f>
        <v/>
      </c>
      <c r="BX128" s="198">
        <f>$G128</f>
        <v/>
      </c>
      <c r="BY128" s="197">
        <f>$K128</f>
        <v/>
      </c>
      <c r="BZ128" s="197">
        <f>+BZ129</f>
        <v/>
      </c>
      <c r="CA128" s="197">
        <f>+CA129</f>
        <v/>
      </c>
      <c r="CB128" s="197">
        <f>+CB129</f>
        <v/>
      </c>
      <c r="CC128" s="197">
        <f>+CC129</f>
        <v/>
      </c>
      <c r="CD128" s="197">
        <f>+CD129</f>
        <v/>
      </c>
      <c r="CF128" s="198">
        <f>$G128</f>
        <v/>
      </c>
      <c r="CG128" s="197">
        <f>$L128</f>
        <v/>
      </c>
      <c r="CH128" s="197">
        <f>+CH129</f>
        <v/>
      </c>
      <c r="CI128" s="197">
        <f>+CI129</f>
        <v/>
      </c>
      <c r="CJ128" s="197">
        <f>+CJ129</f>
        <v/>
      </c>
      <c r="CK128" s="197">
        <f>+CK129</f>
        <v/>
      </c>
      <c r="CL128" s="197">
        <f>+CL129</f>
        <v/>
      </c>
      <c r="CO128" s="199" t="n"/>
      <c r="CP128" s="199" t="n">
        <v>2.56</v>
      </c>
      <c r="CR128" s="199" t="inlineStr">
        <is>
          <t>#N/A N/A</t>
        </is>
      </c>
      <c r="CS128" s="970" t="n">
        <v>1.01512</v>
      </c>
    </row>
    <row r="129">
      <c r="B129" s="204">
        <f>+C129-1</f>
        <v/>
      </c>
      <c r="C129" s="204">
        <f>IF('bands_A-H_Avg'!$D$9+1&gt;MONTH(G129),YEAR(G129),YEAR(G129)+1)</f>
        <v/>
      </c>
      <c r="D129" s="204">
        <f>+C129+1</f>
        <v/>
      </c>
      <c r="E129" s="203">
        <f>IF(C129&gt;C128,1,E128+1)</f>
        <v/>
      </c>
      <c r="F129" s="203">
        <f>COUNTIF(C:C,C129)</f>
        <v/>
      </c>
      <c r="G129" s="198">
        <f>+G128+7</f>
        <v/>
      </c>
      <c r="H129" s="361">
        <f>IF(ISBLANK(CO129),CP129,SUMPRODUCT(CO$32:CP$32,CO129:CP129))</f>
        <v/>
      </c>
      <c r="I129" s="968">
        <f>H129/M129</f>
        <v/>
      </c>
      <c r="J129" s="968">
        <f>H129/N129</f>
        <v/>
      </c>
      <c r="K129" s="968">
        <f>(H129+Q129)/O129</f>
        <v/>
      </c>
      <c r="L129" s="968">
        <f>(H129+Q129)/P129</f>
        <v/>
      </c>
      <c r="M129" s="199">
        <f>HLOOKUP(C:C,$4:$10,3,FALSE)+((HLOOKUP(D:D,$4:$10,3,FALSE)-HLOOKUP(C:C,$4:$10,3,FALSE))*E129/F129)</f>
        <v/>
      </c>
      <c r="N129" s="199">
        <f>HLOOKUP(C:C,$4:$10,2,FALSE)+((HLOOKUP(D:D,$4:$10,2,FALSE)-HLOOKUP(C:C,$4:$10,2,FALSE))*E129/F129)</f>
        <v/>
      </c>
      <c r="O129" s="199">
        <f>HLOOKUP(C:C,$4:$10,5,FALSE)+((HLOOKUP(D:D,$4:$10,5,FALSE)-HLOOKUP(C:C,$4:$10,5,FALSE))*E129/F129)</f>
        <v/>
      </c>
      <c r="P129" s="199">
        <f>HLOOKUP(C:C,$4:$10,4,FALSE)+((HLOOKUP(D:D,$4:$10,4,FALSE)-HLOOKUP(C:C,$4:$10,4,FALSE))*E129/F129)</f>
        <v/>
      </c>
      <c r="Q129" s="199">
        <f>HLOOKUP(B:B,$4:$10,6,FALSE)+((HLOOKUP(C:C,$4:$10,6,FALSE)-HLOOKUP(B:B,$4:$10,6,FALSE))*E129/F129)</f>
        <v/>
      </c>
      <c r="T129" s="198">
        <f>$G129</f>
        <v/>
      </c>
      <c r="U129" s="199">
        <f>H129/(HLOOKUP(B:B,$4:$10,3,FALSE)+((HLOOKUP(C:C,$4:$10,3,FALSE)-HLOOKUP(B:B,$4:$10,3,FALSE))*E129/F129))</f>
        <v/>
      </c>
      <c r="V129" s="969">
        <f>HLOOKUP(B:B,$4:$10,7,FALSE)+((HLOOKUP(C:C,$4:$10,7,FALSE)-HLOOKUP(B:B,$4:$10,7,FALSE))*E129/F129)</f>
        <v/>
      </c>
      <c r="AB129" s="198">
        <f>$G129</f>
        <v/>
      </c>
      <c r="AC129" s="199">
        <f>$H129</f>
        <v/>
      </c>
      <c r="AD129" s="199">
        <f>$M129*AD$34</f>
        <v/>
      </c>
      <c r="AE129" s="199">
        <f>$M129*AE$34</f>
        <v/>
      </c>
      <c r="AF129" s="199">
        <f>$M129*AF$34</f>
        <v/>
      </c>
      <c r="AG129" s="199">
        <f>$M129*AG$34</f>
        <v/>
      </c>
      <c r="AH129" s="199">
        <f>$M129*AH$34</f>
        <v/>
      </c>
      <c r="AJ129" s="198">
        <f>$G129</f>
        <v/>
      </c>
      <c r="AK129" s="199">
        <f>$H129</f>
        <v/>
      </c>
      <c r="AL129" s="199">
        <f>$N129*AL$34</f>
        <v/>
      </c>
      <c r="AM129" s="199">
        <f>$N129*AM$34</f>
        <v/>
      </c>
      <c r="AN129" s="199">
        <f>$N129*AN$34</f>
        <v/>
      </c>
      <c r="AO129" s="199">
        <f>$N129*AO$34</f>
        <v/>
      </c>
      <c r="AP129" s="199">
        <f>$N129*AP$34</f>
        <v/>
      </c>
      <c r="AR129" s="198">
        <f>$G129</f>
        <v/>
      </c>
      <c r="AS129" s="199">
        <f>$H129</f>
        <v/>
      </c>
      <c r="AT129" s="199">
        <f>$O129*AT$34-$Q129</f>
        <v/>
      </c>
      <c r="AU129" s="199">
        <f>$O129*AU$34-$Q129</f>
        <v/>
      </c>
      <c r="AV129" s="199">
        <f>$O129*AV$34-$Q129</f>
        <v/>
      </c>
      <c r="AW129" s="199">
        <f>$O129*AW$34-$Q129</f>
        <v/>
      </c>
      <c r="AX129" s="199">
        <f>$O129*AX$34-$Q129</f>
        <v/>
      </c>
      <c r="AZ129" s="198">
        <f>$G129</f>
        <v/>
      </c>
      <c r="BA129" s="199">
        <f>$H129</f>
        <v/>
      </c>
      <c r="BB129" s="199">
        <f>$P129*BB$34-$Q129</f>
        <v/>
      </c>
      <c r="BC129" s="199">
        <f>$P129*BC$34-$Q129</f>
        <v/>
      </c>
      <c r="BD129" s="199">
        <f>$P129*BD$34-$Q129</f>
        <v/>
      </c>
      <c r="BE129" s="199">
        <f>$P129*BE$34-$Q129</f>
        <v/>
      </c>
      <c r="BF129" s="199">
        <f>$P129*BF$34-$Q129</f>
        <v/>
      </c>
      <c r="BH129" s="198">
        <f>$G129</f>
        <v/>
      </c>
      <c r="BI129" s="197">
        <f>$I129</f>
        <v/>
      </c>
      <c r="BJ129" s="197">
        <f>+BJ130</f>
        <v/>
      </c>
      <c r="BK129" s="197">
        <f>+BK130</f>
        <v/>
      </c>
      <c r="BL129" s="197">
        <f>+BL130</f>
        <v/>
      </c>
      <c r="BM129" s="197">
        <f>+BM130</f>
        <v/>
      </c>
      <c r="BN129" s="197">
        <f>+BN130</f>
        <v/>
      </c>
      <c r="BP129" s="198">
        <f>$G129</f>
        <v/>
      </c>
      <c r="BQ129" s="197">
        <f>$J129</f>
        <v/>
      </c>
      <c r="BR129" s="197">
        <f>+BR130</f>
        <v/>
      </c>
      <c r="BS129" s="197">
        <f>+BS130</f>
        <v/>
      </c>
      <c r="BT129" s="197">
        <f>+BT130</f>
        <v/>
      </c>
      <c r="BU129" s="197">
        <f>+BU130</f>
        <v/>
      </c>
      <c r="BV129" s="197">
        <f>+BV130</f>
        <v/>
      </c>
      <c r="BX129" s="198">
        <f>$G129</f>
        <v/>
      </c>
      <c r="BY129" s="197">
        <f>$K129</f>
        <v/>
      </c>
      <c r="BZ129" s="197">
        <f>+BZ130</f>
        <v/>
      </c>
      <c r="CA129" s="197">
        <f>+CA130</f>
        <v/>
      </c>
      <c r="CB129" s="197">
        <f>+CB130</f>
        <v/>
      </c>
      <c r="CC129" s="197">
        <f>+CC130</f>
        <v/>
      </c>
      <c r="CD129" s="197">
        <f>+CD130</f>
        <v/>
      </c>
      <c r="CF129" s="198">
        <f>$G129</f>
        <v/>
      </c>
      <c r="CG129" s="197">
        <f>$L129</f>
        <v/>
      </c>
      <c r="CH129" s="197">
        <f>+CH130</f>
        <v/>
      </c>
      <c r="CI129" s="197">
        <f>+CI130</f>
        <v/>
      </c>
      <c r="CJ129" s="197">
        <f>+CJ130</f>
        <v/>
      </c>
      <c r="CK129" s="197">
        <f>+CK130</f>
        <v/>
      </c>
      <c r="CL129" s="197">
        <f>+CL130</f>
        <v/>
      </c>
      <c r="CO129" s="199" t="n"/>
      <c r="CP129" s="199" t="n">
        <v>2.62</v>
      </c>
      <c r="CR129" s="199" t="inlineStr">
        <is>
          <t>#N/A N/A</t>
        </is>
      </c>
      <c r="CS129" s="970" t="n">
        <v>1.01467</v>
      </c>
    </row>
    <row r="130">
      <c r="B130" s="204">
        <f>+C130-1</f>
        <v/>
      </c>
      <c r="C130" s="204">
        <f>IF('bands_A-H_Avg'!$D$9+1&gt;MONTH(G130),YEAR(G130),YEAR(G130)+1)</f>
        <v/>
      </c>
      <c r="D130" s="204">
        <f>+C130+1</f>
        <v/>
      </c>
      <c r="E130" s="203">
        <f>IF(C130&gt;C129,1,E129+1)</f>
        <v/>
      </c>
      <c r="F130" s="203">
        <f>COUNTIF(C:C,C130)</f>
        <v/>
      </c>
      <c r="G130" s="198">
        <f>+G129+7</f>
        <v/>
      </c>
      <c r="H130" s="361">
        <f>IF(ISBLANK(CO130),CP130,SUMPRODUCT(CO$32:CP$32,CO130:CP130))</f>
        <v/>
      </c>
      <c r="I130" s="968">
        <f>H130/M130</f>
        <v/>
      </c>
      <c r="J130" s="968">
        <f>H130/N130</f>
        <v/>
      </c>
      <c r="K130" s="968">
        <f>(H130+Q130)/O130</f>
        <v/>
      </c>
      <c r="L130" s="968">
        <f>(H130+Q130)/P130</f>
        <v/>
      </c>
      <c r="M130" s="199">
        <f>HLOOKUP(C:C,$4:$10,3,FALSE)+((HLOOKUP(D:D,$4:$10,3,FALSE)-HLOOKUP(C:C,$4:$10,3,FALSE))*E130/F130)</f>
        <v/>
      </c>
      <c r="N130" s="199">
        <f>HLOOKUP(C:C,$4:$10,2,FALSE)+((HLOOKUP(D:D,$4:$10,2,FALSE)-HLOOKUP(C:C,$4:$10,2,FALSE))*E130/F130)</f>
        <v/>
      </c>
      <c r="O130" s="199">
        <f>HLOOKUP(C:C,$4:$10,5,FALSE)+((HLOOKUP(D:D,$4:$10,5,FALSE)-HLOOKUP(C:C,$4:$10,5,FALSE))*E130/F130)</f>
        <v/>
      </c>
      <c r="P130" s="199">
        <f>HLOOKUP(C:C,$4:$10,4,FALSE)+((HLOOKUP(D:D,$4:$10,4,FALSE)-HLOOKUP(C:C,$4:$10,4,FALSE))*E130/F130)</f>
        <v/>
      </c>
      <c r="Q130" s="199">
        <f>HLOOKUP(B:B,$4:$10,6,FALSE)+((HLOOKUP(C:C,$4:$10,6,FALSE)-HLOOKUP(B:B,$4:$10,6,FALSE))*E130/F130)</f>
        <v/>
      </c>
      <c r="T130" s="198">
        <f>$G130</f>
        <v/>
      </c>
      <c r="U130" s="199">
        <f>H130/(HLOOKUP(B:B,$4:$10,3,FALSE)+((HLOOKUP(C:C,$4:$10,3,FALSE)-HLOOKUP(B:B,$4:$10,3,FALSE))*E130/F130))</f>
        <v/>
      </c>
      <c r="V130" s="969">
        <f>HLOOKUP(B:B,$4:$10,7,FALSE)+((HLOOKUP(C:C,$4:$10,7,FALSE)-HLOOKUP(B:B,$4:$10,7,FALSE))*E130/F130)</f>
        <v/>
      </c>
      <c r="AB130" s="198">
        <f>$G130</f>
        <v/>
      </c>
      <c r="AC130" s="199">
        <f>$H130</f>
        <v/>
      </c>
      <c r="AD130" s="199">
        <f>$M130*AD$34</f>
        <v/>
      </c>
      <c r="AE130" s="199">
        <f>$M130*AE$34</f>
        <v/>
      </c>
      <c r="AF130" s="199">
        <f>$M130*AF$34</f>
        <v/>
      </c>
      <c r="AG130" s="199">
        <f>$M130*AG$34</f>
        <v/>
      </c>
      <c r="AH130" s="199">
        <f>$M130*AH$34</f>
        <v/>
      </c>
      <c r="AJ130" s="198">
        <f>$G130</f>
        <v/>
      </c>
      <c r="AK130" s="199">
        <f>$H130</f>
        <v/>
      </c>
      <c r="AL130" s="199">
        <f>$N130*AL$34</f>
        <v/>
      </c>
      <c r="AM130" s="199">
        <f>$N130*AM$34</f>
        <v/>
      </c>
      <c r="AN130" s="199">
        <f>$N130*AN$34</f>
        <v/>
      </c>
      <c r="AO130" s="199">
        <f>$N130*AO$34</f>
        <v/>
      </c>
      <c r="AP130" s="199">
        <f>$N130*AP$34</f>
        <v/>
      </c>
      <c r="AR130" s="198">
        <f>$G130</f>
        <v/>
      </c>
      <c r="AS130" s="199">
        <f>$H130</f>
        <v/>
      </c>
      <c r="AT130" s="199">
        <f>$O130*AT$34-$Q130</f>
        <v/>
      </c>
      <c r="AU130" s="199">
        <f>$O130*AU$34-$Q130</f>
        <v/>
      </c>
      <c r="AV130" s="199">
        <f>$O130*AV$34-$Q130</f>
        <v/>
      </c>
      <c r="AW130" s="199">
        <f>$O130*AW$34-$Q130</f>
        <v/>
      </c>
      <c r="AX130" s="199">
        <f>$O130*AX$34-$Q130</f>
        <v/>
      </c>
      <c r="AZ130" s="198">
        <f>$G130</f>
        <v/>
      </c>
      <c r="BA130" s="199">
        <f>$H130</f>
        <v/>
      </c>
      <c r="BB130" s="199">
        <f>$P130*BB$34-$Q130</f>
        <v/>
      </c>
      <c r="BC130" s="199">
        <f>$P130*BC$34-$Q130</f>
        <v/>
      </c>
      <c r="BD130" s="199">
        <f>$P130*BD$34-$Q130</f>
        <v/>
      </c>
      <c r="BE130" s="199">
        <f>$P130*BE$34-$Q130</f>
        <v/>
      </c>
      <c r="BF130" s="199">
        <f>$P130*BF$34-$Q130</f>
        <v/>
      </c>
      <c r="BH130" s="198">
        <f>$G130</f>
        <v/>
      </c>
      <c r="BI130" s="197">
        <f>$I130</f>
        <v/>
      </c>
      <c r="BJ130" s="197">
        <f>+BJ131</f>
        <v/>
      </c>
      <c r="BK130" s="197">
        <f>+BK131</f>
        <v/>
      </c>
      <c r="BL130" s="197">
        <f>+BL131</f>
        <v/>
      </c>
      <c r="BM130" s="197">
        <f>+BM131</f>
        <v/>
      </c>
      <c r="BN130" s="197">
        <f>+BN131</f>
        <v/>
      </c>
      <c r="BP130" s="198">
        <f>$G130</f>
        <v/>
      </c>
      <c r="BQ130" s="197">
        <f>$J130</f>
        <v/>
      </c>
      <c r="BR130" s="197">
        <f>+BR131</f>
        <v/>
      </c>
      <c r="BS130" s="197">
        <f>+BS131</f>
        <v/>
      </c>
      <c r="BT130" s="197">
        <f>+BT131</f>
        <v/>
      </c>
      <c r="BU130" s="197">
        <f>+BU131</f>
        <v/>
      </c>
      <c r="BV130" s="197">
        <f>+BV131</f>
        <v/>
      </c>
      <c r="BX130" s="198">
        <f>$G130</f>
        <v/>
      </c>
      <c r="BY130" s="197">
        <f>$K130</f>
        <v/>
      </c>
      <c r="BZ130" s="197">
        <f>+BZ131</f>
        <v/>
      </c>
      <c r="CA130" s="197">
        <f>+CA131</f>
        <v/>
      </c>
      <c r="CB130" s="197">
        <f>+CB131</f>
        <v/>
      </c>
      <c r="CC130" s="197">
        <f>+CC131</f>
        <v/>
      </c>
      <c r="CD130" s="197">
        <f>+CD131</f>
        <v/>
      </c>
      <c r="CF130" s="198">
        <f>$G130</f>
        <v/>
      </c>
      <c r="CG130" s="197">
        <f>$L130</f>
        <v/>
      </c>
      <c r="CH130" s="197">
        <f>+CH131</f>
        <v/>
      </c>
      <c r="CI130" s="197">
        <f>+CI131</f>
        <v/>
      </c>
      <c r="CJ130" s="197">
        <f>+CJ131</f>
        <v/>
      </c>
      <c r="CK130" s="197">
        <f>+CK131</f>
        <v/>
      </c>
      <c r="CL130" s="197">
        <f>+CL131</f>
        <v/>
      </c>
      <c r="CO130" s="199" t="n"/>
      <c r="CP130" s="199" t="n">
        <v>2.53</v>
      </c>
      <c r="CR130" s="199" t="inlineStr">
        <is>
          <t>#N/A N/A</t>
        </is>
      </c>
      <c r="CS130" s="970" t="n">
        <v>1.01533</v>
      </c>
    </row>
    <row r="131">
      <c r="B131" s="204">
        <f>+C131-1</f>
        <v/>
      </c>
      <c r="C131" s="204">
        <f>IF('bands_A-H_Avg'!$D$9+1&gt;MONTH(G131),YEAR(G131),YEAR(G131)+1)</f>
        <v/>
      </c>
      <c r="D131" s="204">
        <f>+C131+1</f>
        <v/>
      </c>
      <c r="E131" s="203">
        <f>IF(C131&gt;C130,1,E130+1)</f>
        <v/>
      </c>
      <c r="F131" s="203">
        <f>COUNTIF(C:C,C131)</f>
        <v/>
      </c>
      <c r="G131" s="198">
        <f>+G130+7</f>
        <v/>
      </c>
      <c r="H131" s="361">
        <f>IF(ISBLANK(CO131),CP131,SUMPRODUCT(CO$32:CP$32,CO131:CP131))</f>
        <v/>
      </c>
      <c r="I131" s="968">
        <f>H131/M131</f>
        <v/>
      </c>
      <c r="J131" s="968">
        <f>H131/N131</f>
        <v/>
      </c>
      <c r="K131" s="968">
        <f>(H131+Q131)/O131</f>
        <v/>
      </c>
      <c r="L131" s="968">
        <f>(H131+Q131)/P131</f>
        <v/>
      </c>
      <c r="M131" s="199">
        <f>HLOOKUP(C:C,$4:$10,3,FALSE)+((HLOOKUP(D:D,$4:$10,3,FALSE)-HLOOKUP(C:C,$4:$10,3,FALSE))*E131/F131)</f>
        <v/>
      </c>
      <c r="N131" s="199">
        <f>HLOOKUP(C:C,$4:$10,2,FALSE)+((HLOOKUP(D:D,$4:$10,2,FALSE)-HLOOKUP(C:C,$4:$10,2,FALSE))*E131/F131)</f>
        <v/>
      </c>
      <c r="O131" s="199">
        <f>HLOOKUP(C:C,$4:$10,5,FALSE)+((HLOOKUP(D:D,$4:$10,5,FALSE)-HLOOKUP(C:C,$4:$10,5,FALSE))*E131/F131)</f>
        <v/>
      </c>
      <c r="P131" s="199">
        <f>HLOOKUP(C:C,$4:$10,4,FALSE)+((HLOOKUP(D:D,$4:$10,4,FALSE)-HLOOKUP(C:C,$4:$10,4,FALSE))*E131/F131)</f>
        <v/>
      </c>
      <c r="Q131" s="199">
        <f>HLOOKUP(B:B,$4:$10,6,FALSE)+((HLOOKUP(C:C,$4:$10,6,FALSE)-HLOOKUP(B:B,$4:$10,6,FALSE))*E131/F131)</f>
        <v/>
      </c>
      <c r="T131" s="198">
        <f>$G131</f>
        <v/>
      </c>
      <c r="U131" s="199">
        <f>H131/(HLOOKUP(B:B,$4:$10,3,FALSE)+((HLOOKUP(C:C,$4:$10,3,FALSE)-HLOOKUP(B:B,$4:$10,3,FALSE))*E131/F131))</f>
        <v/>
      </c>
      <c r="V131" s="969">
        <f>HLOOKUP(B:B,$4:$10,7,FALSE)+((HLOOKUP(C:C,$4:$10,7,FALSE)-HLOOKUP(B:B,$4:$10,7,FALSE))*E131/F131)</f>
        <v/>
      </c>
      <c r="AB131" s="198">
        <f>$G131</f>
        <v/>
      </c>
      <c r="AC131" s="199">
        <f>$H131</f>
        <v/>
      </c>
      <c r="AD131" s="199">
        <f>$M131*AD$34</f>
        <v/>
      </c>
      <c r="AE131" s="199">
        <f>$M131*AE$34</f>
        <v/>
      </c>
      <c r="AF131" s="199">
        <f>$M131*AF$34</f>
        <v/>
      </c>
      <c r="AG131" s="199">
        <f>$M131*AG$34</f>
        <v/>
      </c>
      <c r="AH131" s="199">
        <f>$M131*AH$34</f>
        <v/>
      </c>
      <c r="AJ131" s="198">
        <f>$G131</f>
        <v/>
      </c>
      <c r="AK131" s="199">
        <f>$H131</f>
        <v/>
      </c>
      <c r="AL131" s="199">
        <f>$N131*AL$34</f>
        <v/>
      </c>
      <c r="AM131" s="199">
        <f>$N131*AM$34</f>
        <v/>
      </c>
      <c r="AN131" s="199">
        <f>$N131*AN$34</f>
        <v/>
      </c>
      <c r="AO131" s="199">
        <f>$N131*AO$34</f>
        <v/>
      </c>
      <c r="AP131" s="199">
        <f>$N131*AP$34</f>
        <v/>
      </c>
      <c r="AR131" s="198">
        <f>$G131</f>
        <v/>
      </c>
      <c r="AS131" s="199">
        <f>$H131</f>
        <v/>
      </c>
      <c r="AT131" s="199">
        <f>$O131*AT$34-$Q131</f>
        <v/>
      </c>
      <c r="AU131" s="199">
        <f>$O131*AU$34-$Q131</f>
        <v/>
      </c>
      <c r="AV131" s="199">
        <f>$O131*AV$34-$Q131</f>
        <v/>
      </c>
      <c r="AW131" s="199">
        <f>$O131*AW$34-$Q131</f>
        <v/>
      </c>
      <c r="AX131" s="199">
        <f>$O131*AX$34-$Q131</f>
        <v/>
      </c>
      <c r="AZ131" s="198">
        <f>$G131</f>
        <v/>
      </c>
      <c r="BA131" s="199">
        <f>$H131</f>
        <v/>
      </c>
      <c r="BB131" s="199">
        <f>$P131*BB$34-$Q131</f>
        <v/>
      </c>
      <c r="BC131" s="199">
        <f>$P131*BC$34-$Q131</f>
        <v/>
      </c>
      <c r="BD131" s="199">
        <f>$P131*BD$34-$Q131</f>
        <v/>
      </c>
      <c r="BE131" s="199">
        <f>$P131*BE$34-$Q131</f>
        <v/>
      </c>
      <c r="BF131" s="199">
        <f>$P131*BF$34-$Q131</f>
        <v/>
      </c>
      <c r="BH131" s="198">
        <f>$G131</f>
        <v/>
      </c>
      <c r="BI131" s="197">
        <f>$I131</f>
        <v/>
      </c>
      <c r="BJ131" s="197">
        <f>+BJ132</f>
        <v/>
      </c>
      <c r="BK131" s="197">
        <f>+BK132</f>
        <v/>
      </c>
      <c r="BL131" s="197">
        <f>+BL132</f>
        <v/>
      </c>
      <c r="BM131" s="197">
        <f>+BM132</f>
        <v/>
      </c>
      <c r="BN131" s="197">
        <f>+BN132</f>
        <v/>
      </c>
      <c r="BP131" s="198">
        <f>$G131</f>
        <v/>
      </c>
      <c r="BQ131" s="197">
        <f>$J131</f>
        <v/>
      </c>
      <c r="BR131" s="197">
        <f>+BR132</f>
        <v/>
      </c>
      <c r="BS131" s="197">
        <f>+BS132</f>
        <v/>
      </c>
      <c r="BT131" s="197">
        <f>+BT132</f>
        <v/>
      </c>
      <c r="BU131" s="197">
        <f>+BU132</f>
        <v/>
      </c>
      <c r="BV131" s="197">
        <f>+BV132</f>
        <v/>
      </c>
      <c r="BX131" s="198">
        <f>$G131</f>
        <v/>
      </c>
      <c r="BY131" s="197">
        <f>$K131</f>
        <v/>
      </c>
      <c r="BZ131" s="197">
        <f>+BZ132</f>
        <v/>
      </c>
      <c r="CA131" s="197">
        <f>+CA132</f>
        <v/>
      </c>
      <c r="CB131" s="197">
        <f>+CB132</f>
        <v/>
      </c>
      <c r="CC131" s="197">
        <f>+CC132</f>
        <v/>
      </c>
      <c r="CD131" s="197">
        <f>+CD132</f>
        <v/>
      </c>
      <c r="CF131" s="198">
        <f>$G131</f>
        <v/>
      </c>
      <c r="CG131" s="197">
        <f>$L131</f>
        <v/>
      </c>
      <c r="CH131" s="197">
        <f>+CH132</f>
        <v/>
      </c>
      <c r="CI131" s="197">
        <f>+CI132</f>
        <v/>
      </c>
      <c r="CJ131" s="197">
        <f>+CJ132</f>
        <v/>
      </c>
      <c r="CK131" s="197">
        <f>+CK132</f>
        <v/>
      </c>
      <c r="CL131" s="197">
        <f>+CL132</f>
        <v/>
      </c>
      <c r="CO131" s="199" t="n"/>
      <c r="CP131" s="199" t="n">
        <v>2.74</v>
      </c>
      <c r="CR131" s="199" t="inlineStr">
        <is>
          <t>#N/A N/A</t>
        </is>
      </c>
      <c r="CS131" s="970" t="n">
        <v>1.01469</v>
      </c>
    </row>
    <row r="132">
      <c r="B132" s="204">
        <f>+C132-1</f>
        <v/>
      </c>
      <c r="C132" s="204">
        <f>IF('bands_A-H_Avg'!$D$9+1&gt;MONTH(G132),YEAR(G132),YEAR(G132)+1)</f>
        <v/>
      </c>
      <c r="D132" s="204">
        <f>+C132+1</f>
        <v/>
      </c>
      <c r="E132" s="203">
        <f>IF(C132&gt;C131,1,E131+1)</f>
        <v/>
      </c>
      <c r="F132" s="203">
        <f>COUNTIF(C:C,C132)</f>
        <v/>
      </c>
      <c r="G132" s="198">
        <f>+G131+7</f>
        <v/>
      </c>
      <c r="H132" s="361">
        <f>IF(ISBLANK(CO132),CP132,SUMPRODUCT(CO$32:CP$32,CO132:CP132))</f>
        <v/>
      </c>
      <c r="I132" s="968">
        <f>H132/M132</f>
        <v/>
      </c>
      <c r="J132" s="968">
        <f>H132/N132</f>
        <v/>
      </c>
      <c r="K132" s="968">
        <f>(H132+Q132)/O132</f>
        <v/>
      </c>
      <c r="L132" s="968">
        <f>(H132+Q132)/P132</f>
        <v/>
      </c>
      <c r="M132" s="199">
        <f>HLOOKUP(C:C,$4:$10,3,FALSE)+((HLOOKUP(D:D,$4:$10,3,FALSE)-HLOOKUP(C:C,$4:$10,3,FALSE))*E132/F132)</f>
        <v/>
      </c>
      <c r="N132" s="199">
        <f>HLOOKUP(C:C,$4:$10,2,FALSE)+((HLOOKUP(D:D,$4:$10,2,FALSE)-HLOOKUP(C:C,$4:$10,2,FALSE))*E132/F132)</f>
        <v/>
      </c>
      <c r="O132" s="199">
        <f>HLOOKUP(C:C,$4:$10,5,FALSE)+((HLOOKUP(D:D,$4:$10,5,FALSE)-HLOOKUP(C:C,$4:$10,5,FALSE))*E132/F132)</f>
        <v/>
      </c>
      <c r="P132" s="199">
        <f>HLOOKUP(C:C,$4:$10,4,FALSE)+((HLOOKUP(D:D,$4:$10,4,FALSE)-HLOOKUP(C:C,$4:$10,4,FALSE))*E132/F132)</f>
        <v/>
      </c>
      <c r="Q132" s="199">
        <f>HLOOKUP(B:B,$4:$10,6,FALSE)+((HLOOKUP(C:C,$4:$10,6,FALSE)-HLOOKUP(B:B,$4:$10,6,FALSE))*E132/F132)</f>
        <v/>
      </c>
      <c r="T132" s="198">
        <f>$G132</f>
        <v/>
      </c>
      <c r="U132" s="199">
        <f>H132/(HLOOKUP(B:B,$4:$10,3,FALSE)+((HLOOKUP(C:C,$4:$10,3,FALSE)-HLOOKUP(B:B,$4:$10,3,FALSE))*E132/F132))</f>
        <v/>
      </c>
      <c r="V132" s="969">
        <f>HLOOKUP(B:B,$4:$10,7,FALSE)+((HLOOKUP(C:C,$4:$10,7,FALSE)-HLOOKUP(B:B,$4:$10,7,FALSE))*E132/F132)</f>
        <v/>
      </c>
      <c r="AB132" s="198">
        <f>$G132</f>
        <v/>
      </c>
      <c r="AC132" s="199">
        <f>$H132</f>
        <v/>
      </c>
      <c r="AD132" s="199">
        <f>$M132*AD$34</f>
        <v/>
      </c>
      <c r="AE132" s="199">
        <f>$M132*AE$34</f>
        <v/>
      </c>
      <c r="AF132" s="199">
        <f>$M132*AF$34</f>
        <v/>
      </c>
      <c r="AG132" s="199">
        <f>$M132*AG$34</f>
        <v/>
      </c>
      <c r="AH132" s="199">
        <f>$M132*AH$34</f>
        <v/>
      </c>
      <c r="AJ132" s="198">
        <f>$G132</f>
        <v/>
      </c>
      <c r="AK132" s="199">
        <f>$H132</f>
        <v/>
      </c>
      <c r="AL132" s="199">
        <f>$N132*AL$34</f>
        <v/>
      </c>
      <c r="AM132" s="199">
        <f>$N132*AM$34</f>
        <v/>
      </c>
      <c r="AN132" s="199">
        <f>$N132*AN$34</f>
        <v/>
      </c>
      <c r="AO132" s="199">
        <f>$N132*AO$34</f>
        <v/>
      </c>
      <c r="AP132" s="199">
        <f>$N132*AP$34</f>
        <v/>
      </c>
      <c r="AR132" s="198">
        <f>$G132</f>
        <v/>
      </c>
      <c r="AS132" s="199">
        <f>$H132</f>
        <v/>
      </c>
      <c r="AT132" s="199">
        <f>$O132*AT$34-$Q132</f>
        <v/>
      </c>
      <c r="AU132" s="199">
        <f>$O132*AU$34-$Q132</f>
        <v/>
      </c>
      <c r="AV132" s="199">
        <f>$O132*AV$34-$Q132</f>
        <v/>
      </c>
      <c r="AW132" s="199">
        <f>$O132*AW$34-$Q132</f>
        <v/>
      </c>
      <c r="AX132" s="199">
        <f>$O132*AX$34-$Q132</f>
        <v/>
      </c>
      <c r="AZ132" s="198">
        <f>$G132</f>
        <v/>
      </c>
      <c r="BA132" s="199">
        <f>$H132</f>
        <v/>
      </c>
      <c r="BB132" s="199">
        <f>$P132*BB$34-$Q132</f>
        <v/>
      </c>
      <c r="BC132" s="199">
        <f>$P132*BC$34-$Q132</f>
        <v/>
      </c>
      <c r="BD132" s="199">
        <f>$P132*BD$34-$Q132</f>
        <v/>
      </c>
      <c r="BE132" s="199">
        <f>$P132*BE$34-$Q132</f>
        <v/>
      </c>
      <c r="BF132" s="199">
        <f>$P132*BF$34-$Q132</f>
        <v/>
      </c>
      <c r="BH132" s="198">
        <f>$G132</f>
        <v/>
      </c>
      <c r="BI132" s="197">
        <f>$I132</f>
        <v/>
      </c>
      <c r="BJ132" s="197">
        <f>+BJ133</f>
        <v/>
      </c>
      <c r="BK132" s="197">
        <f>+BK133</f>
        <v/>
      </c>
      <c r="BL132" s="197">
        <f>+BL133</f>
        <v/>
      </c>
      <c r="BM132" s="197">
        <f>+BM133</f>
        <v/>
      </c>
      <c r="BN132" s="197">
        <f>+BN133</f>
        <v/>
      </c>
      <c r="BP132" s="198">
        <f>$G132</f>
        <v/>
      </c>
      <c r="BQ132" s="197">
        <f>$J132</f>
        <v/>
      </c>
      <c r="BR132" s="197">
        <f>+BR133</f>
        <v/>
      </c>
      <c r="BS132" s="197">
        <f>+BS133</f>
        <v/>
      </c>
      <c r="BT132" s="197">
        <f>+BT133</f>
        <v/>
      </c>
      <c r="BU132" s="197">
        <f>+BU133</f>
        <v/>
      </c>
      <c r="BV132" s="197">
        <f>+BV133</f>
        <v/>
      </c>
      <c r="BX132" s="198">
        <f>$G132</f>
        <v/>
      </c>
      <c r="BY132" s="197">
        <f>$K132</f>
        <v/>
      </c>
      <c r="BZ132" s="197">
        <f>+BZ133</f>
        <v/>
      </c>
      <c r="CA132" s="197">
        <f>+CA133</f>
        <v/>
      </c>
      <c r="CB132" s="197">
        <f>+CB133</f>
        <v/>
      </c>
      <c r="CC132" s="197">
        <f>+CC133</f>
        <v/>
      </c>
      <c r="CD132" s="197">
        <f>+CD133</f>
        <v/>
      </c>
      <c r="CF132" s="198">
        <f>$G132</f>
        <v/>
      </c>
      <c r="CG132" s="197">
        <f>$L132</f>
        <v/>
      </c>
      <c r="CH132" s="197">
        <f>+CH133</f>
        <v/>
      </c>
      <c r="CI132" s="197">
        <f>+CI133</f>
        <v/>
      </c>
      <c r="CJ132" s="197">
        <f>+CJ133</f>
        <v/>
      </c>
      <c r="CK132" s="197">
        <f>+CK133</f>
        <v/>
      </c>
      <c r="CL132" s="197">
        <f>+CL133</f>
        <v/>
      </c>
      <c r="CO132" s="199" t="n"/>
      <c r="CP132" s="199" t="n">
        <v>2.9</v>
      </c>
      <c r="CR132" s="199" t="inlineStr">
        <is>
          <t>#N/A N/A</t>
        </is>
      </c>
      <c r="CS132" s="970" t="n">
        <v>1.01214</v>
      </c>
    </row>
    <row r="133">
      <c r="B133" s="204">
        <f>+C133-1</f>
        <v/>
      </c>
      <c r="C133" s="204">
        <f>IF('bands_A-H_Avg'!$D$9+1&gt;MONTH(G133),YEAR(G133),YEAR(G133)+1)</f>
        <v/>
      </c>
      <c r="D133" s="204">
        <f>+C133+1</f>
        <v/>
      </c>
      <c r="E133" s="203">
        <f>IF(C133&gt;C132,1,E132+1)</f>
        <v/>
      </c>
      <c r="F133" s="203">
        <f>COUNTIF(C:C,C133)</f>
        <v/>
      </c>
      <c r="G133" s="198">
        <f>+G132+7</f>
        <v/>
      </c>
      <c r="H133" s="361">
        <f>IF(ISBLANK(CO133),CP133,SUMPRODUCT(CO$32:CP$32,CO133:CP133))</f>
        <v/>
      </c>
      <c r="I133" s="968">
        <f>H133/M133</f>
        <v/>
      </c>
      <c r="J133" s="968">
        <f>H133/N133</f>
        <v/>
      </c>
      <c r="K133" s="968">
        <f>(H133+Q133)/O133</f>
        <v/>
      </c>
      <c r="L133" s="968">
        <f>(H133+Q133)/P133</f>
        <v/>
      </c>
      <c r="M133" s="199">
        <f>HLOOKUP(C:C,$4:$10,3,FALSE)+((HLOOKUP(D:D,$4:$10,3,FALSE)-HLOOKUP(C:C,$4:$10,3,FALSE))*E133/F133)</f>
        <v/>
      </c>
      <c r="N133" s="199">
        <f>HLOOKUP(C:C,$4:$10,2,FALSE)+((HLOOKUP(D:D,$4:$10,2,FALSE)-HLOOKUP(C:C,$4:$10,2,FALSE))*E133/F133)</f>
        <v/>
      </c>
      <c r="O133" s="199">
        <f>HLOOKUP(C:C,$4:$10,5,FALSE)+((HLOOKUP(D:D,$4:$10,5,FALSE)-HLOOKUP(C:C,$4:$10,5,FALSE))*E133/F133)</f>
        <v/>
      </c>
      <c r="P133" s="199">
        <f>HLOOKUP(C:C,$4:$10,4,FALSE)+((HLOOKUP(D:D,$4:$10,4,FALSE)-HLOOKUP(C:C,$4:$10,4,FALSE))*E133/F133)</f>
        <v/>
      </c>
      <c r="Q133" s="199">
        <f>HLOOKUP(B:B,$4:$10,6,FALSE)+((HLOOKUP(C:C,$4:$10,6,FALSE)-HLOOKUP(B:B,$4:$10,6,FALSE))*E133/F133)</f>
        <v/>
      </c>
      <c r="T133" s="198">
        <f>$G133</f>
        <v/>
      </c>
      <c r="U133" s="199">
        <f>H133/(HLOOKUP(B:B,$4:$10,3,FALSE)+((HLOOKUP(C:C,$4:$10,3,FALSE)-HLOOKUP(B:B,$4:$10,3,FALSE))*E133/F133))</f>
        <v/>
      </c>
      <c r="V133" s="969">
        <f>HLOOKUP(B:B,$4:$10,7,FALSE)+((HLOOKUP(C:C,$4:$10,7,FALSE)-HLOOKUP(B:B,$4:$10,7,FALSE))*E133/F133)</f>
        <v/>
      </c>
      <c r="AB133" s="198">
        <f>$G133</f>
        <v/>
      </c>
      <c r="AC133" s="199">
        <f>$H133</f>
        <v/>
      </c>
      <c r="AD133" s="199">
        <f>$M133*AD$34</f>
        <v/>
      </c>
      <c r="AE133" s="199">
        <f>$M133*AE$34</f>
        <v/>
      </c>
      <c r="AF133" s="199">
        <f>$M133*AF$34</f>
        <v/>
      </c>
      <c r="AG133" s="199">
        <f>$M133*AG$34</f>
        <v/>
      </c>
      <c r="AH133" s="199">
        <f>$M133*AH$34</f>
        <v/>
      </c>
      <c r="AJ133" s="198">
        <f>$G133</f>
        <v/>
      </c>
      <c r="AK133" s="199">
        <f>$H133</f>
        <v/>
      </c>
      <c r="AL133" s="199">
        <f>$N133*AL$34</f>
        <v/>
      </c>
      <c r="AM133" s="199">
        <f>$N133*AM$34</f>
        <v/>
      </c>
      <c r="AN133" s="199">
        <f>$N133*AN$34</f>
        <v/>
      </c>
      <c r="AO133" s="199">
        <f>$N133*AO$34</f>
        <v/>
      </c>
      <c r="AP133" s="199">
        <f>$N133*AP$34</f>
        <v/>
      </c>
      <c r="AR133" s="198">
        <f>$G133</f>
        <v/>
      </c>
      <c r="AS133" s="199">
        <f>$H133</f>
        <v/>
      </c>
      <c r="AT133" s="199">
        <f>$O133*AT$34-$Q133</f>
        <v/>
      </c>
      <c r="AU133" s="199">
        <f>$O133*AU$34-$Q133</f>
        <v/>
      </c>
      <c r="AV133" s="199">
        <f>$O133*AV$34-$Q133</f>
        <v/>
      </c>
      <c r="AW133" s="199">
        <f>$O133*AW$34-$Q133</f>
        <v/>
      </c>
      <c r="AX133" s="199">
        <f>$O133*AX$34-$Q133</f>
        <v/>
      </c>
      <c r="AZ133" s="198">
        <f>$G133</f>
        <v/>
      </c>
      <c r="BA133" s="199">
        <f>$H133</f>
        <v/>
      </c>
      <c r="BB133" s="199">
        <f>$P133*BB$34-$Q133</f>
        <v/>
      </c>
      <c r="BC133" s="199">
        <f>$P133*BC$34-$Q133</f>
        <v/>
      </c>
      <c r="BD133" s="199">
        <f>$P133*BD$34-$Q133</f>
        <v/>
      </c>
      <c r="BE133" s="199">
        <f>$P133*BE$34-$Q133</f>
        <v/>
      </c>
      <c r="BF133" s="199">
        <f>$P133*BF$34-$Q133</f>
        <v/>
      </c>
      <c r="BH133" s="198">
        <f>$G133</f>
        <v/>
      </c>
      <c r="BI133" s="197">
        <f>$I133</f>
        <v/>
      </c>
      <c r="BJ133" s="197">
        <f>+BJ134</f>
        <v/>
      </c>
      <c r="BK133" s="197">
        <f>+BK134</f>
        <v/>
      </c>
      <c r="BL133" s="197">
        <f>+BL134</f>
        <v/>
      </c>
      <c r="BM133" s="197">
        <f>+BM134</f>
        <v/>
      </c>
      <c r="BN133" s="197">
        <f>+BN134</f>
        <v/>
      </c>
      <c r="BP133" s="198">
        <f>$G133</f>
        <v/>
      </c>
      <c r="BQ133" s="197">
        <f>$J133</f>
        <v/>
      </c>
      <c r="BR133" s="197">
        <f>+BR134</f>
        <v/>
      </c>
      <c r="BS133" s="197">
        <f>+BS134</f>
        <v/>
      </c>
      <c r="BT133" s="197">
        <f>+BT134</f>
        <v/>
      </c>
      <c r="BU133" s="197">
        <f>+BU134</f>
        <v/>
      </c>
      <c r="BV133" s="197">
        <f>+BV134</f>
        <v/>
      </c>
      <c r="BX133" s="198">
        <f>$G133</f>
        <v/>
      </c>
      <c r="BY133" s="197">
        <f>$K133</f>
        <v/>
      </c>
      <c r="BZ133" s="197">
        <f>+BZ134</f>
        <v/>
      </c>
      <c r="CA133" s="197">
        <f>+CA134</f>
        <v/>
      </c>
      <c r="CB133" s="197">
        <f>+CB134</f>
        <v/>
      </c>
      <c r="CC133" s="197">
        <f>+CC134</f>
        <v/>
      </c>
      <c r="CD133" s="197">
        <f>+CD134</f>
        <v/>
      </c>
      <c r="CF133" s="198">
        <f>$G133</f>
        <v/>
      </c>
      <c r="CG133" s="197">
        <f>$L133</f>
        <v/>
      </c>
      <c r="CH133" s="197">
        <f>+CH134</f>
        <v/>
      </c>
      <c r="CI133" s="197">
        <f>+CI134</f>
        <v/>
      </c>
      <c r="CJ133" s="197">
        <f>+CJ134</f>
        <v/>
      </c>
      <c r="CK133" s="197">
        <f>+CK134</f>
        <v/>
      </c>
      <c r="CL133" s="197">
        <f>+CL134</f>
        <v/>
      </c>
      <c r="CO133" s="199" t="n"/>
      <c r="CP133" s="199" t="n">
        <v>2.81</v>
      </c>
      <c r="CR133" s="199" t="inlineStr">
        <is>
          <t>#N/A N/A</t>
        </is>
      </c>
      <c r="CS133" s="970" t="n">
        <v>1.01064</v>
      </c>
    </row>
    <row r="134">
      <c r="B134" s="204">
        <f>+C134-1</f>
        <v/>
      </c>
      <c r="C134" s="204">
        <f>IF('bands_A-H_Avg'!$D$9+1&gt;MONTH(G134),YEAR(G134),YEAR(G134)+1)</f>
        <v/>
      </c>
      <c r="D134" s="204">
        <f>+C134+1</f>
        <v/>
      </c>
      <c r="E134" s="203">
        <f>IF(C134&gt;C133,1,E133+1)</f>
        <v/>
      </c>
      <c r="F134" s="203">
        <f>COUNTIF(C:C,C134)</f>
        <v/>
      </c>
      <c r="G134" s="198">
        <f>+G133+7</f>
        <v/>
      </c>
      <c r="H134" s="361">
        <f>IF(ISBLANK(CO134),CP134,SUMPRODUCT(CO$32:CP$32,CO134:CP134))</f>
        <v/>
      </c>
      <c r="I134" s="968">
        <f>H134/M134</f>
        <v/>
      </c>
      <c r="J134" s="968">
        <f>H134/N134</f>
        <v/>
      </c>
      <c r="K134" s="968">
        <f>(H134+Q134)/O134</f>
        <v/>
      </c>
      <c r="L134" s="968">
        <f>(H134+Q134)/P134</f>
        <v/>
      </c>
      <c r="M134" s="199">
        <f>HLOOKUP(C:C,$4:$10,3,FALSE)+((HLOOKUP(D:D,$4:$10,3,FALSE)-HLOOKUP(C:C,$4:$10,3,FALSE))*E134/F134)</f>
        <v/>
      </c>
      <c r="N134" s="199">
        <f>HLOOKUP(C:C,$4:$10,2,FALSE)+((HLOOKUP(D:D,$4:$10,2,FALSE)-HLOOKUP(C:C,$4:$10,2,FALSE))*E134/F134)</f>
        <v/>
      </c>
      <c r="O134" s="199">
        <f>HLOOKUP(C:C,$4:$10,5,FALSE)+((HLOOKUP(D:D,$4:$10,5,FALSE)-HLOOKUP(C:C,$4:$10,5,FALSE))*E134/F134)</f>
        <v/>
      </c>
      <c r="P134" s="199">
        <f>HLOOKUP(C:C,$4:$10,4,FALSE)+((HLOOKUP(D:D,$4:$10,4,FALSE)-HLOOKUP(C:C,$4:$10,4,FALSE))*E134/F134)</f>
        <v/>
      </c>
      <c r="Q134" s="199">
        <f>HLOOKUP(B:B,$4:$10,6,FALSE)+((HLOOKUP(C:C,$4:$10,6,FALSE)-HLOOKUP(B:B,$4:$10,6,FALSE))*E134/F134)</f>
        <v/>
      </c>
      <c r="T134" s="198">
        <f>$G134</f>
        <v/>
      </c>
      <c r="U134" s="199">
        <f>H134/(HLOOKUP(B:B,$4:$10,3,FALSE)+((HLOOKUP(C:C,$4:$10,3,FALSE)-HLOOKUP(B:B,$4:$10,3,FALSE))*E134/F134))</f>
        <v/>
      </c>
      <c r="V134" s="969">
        <f>HLOOKUP(B:B,$4:$10,7,FALSE)+((HLOOKUP(C:C,$4:$10,7,FALSE)-HLOOKUP(B:B,$4:$10,7,FALSE))*E134/F134)</f>
        <v/>
      </c>
      <c r="AB134" s="198">
        <f>$G134</f>
        <v/>
      </c>
      <c r="AC134" s="199">
        <f>$H134</f>
        <v/>
      </c>
      <c r="AD134" s="199">
        <f>$M134*AD$34</f>
        <v/>
      </c>
      <c r="AE134" s="199">
        <f>$M134*AE$34</f>
        <v/>
      </c>
      <c r="AF134" s="199">
        <f>$M134*AF$34</f>
        <v/>
      </c>
      <c r="AG134" s="199">
        <f>$M134*AG$34</f>
        <v/>
      </c>
      <c r="AH134" s="199">
        <f>$M134*AH$34</f>
        <v/>
      </c>
      <c r="AJ134" s="198">
        <f>$G134</f>
        <v/>
      </c>
      <c r="AK134" s="199">
        <f>$H134</f>
        <v/>
      </c>
      <c r="AL134" s="199">
        <f>$N134*AL$34</f>
        <v/>
      </c>
      <c r="AM134" s="199">
        <f>$N134*AM$34</f>
        <v/>
      </c>
      <c r="AN134" s="199">
        <f>$N134*AN$34</f>
        <v/>
      </c>
      <c r="AO134" s="199">
        <f>$N134*AO$34</f>
        <v/>
      </c>
      <c r="AP134" s="199">
        <f>$N134*AP$34</f>
        <v/>
      </c>
      <c r="AR134" s="198">
        <f>$G134</f>
        <v/>
      </c>
      <c r="AS134" s="199">
        <f>$H134</f>
        <v/>
      </c>
      <c r="AT134" s="199">
        <f>$O134*AT$34-$Q134</f>
        <v/>
      </c>
      <c r="AU134" s="199">
        <f>$O134*AU$34-$Q134</f>
        <v/>
      </c>
      <c r="AV134" s="199">
        <f>$O134*AV$34-$Q134</f>
        <v/>
      </c>
      <c r="AW134" s="199">
        <f>$O134*AW$34-$Q134</f>
        <v/>
      </c>
      <c r="AX134" s="199">
        <f>$O134*AX$34-$Q134</f>
        <v/>
      </c>
      <c r="AZ134" s="198">
        <f>$G134</f>
        <v/>
      </c>
      <c r="BA134" s="199">
        <f>$H134</f>
        <v/>
      </c>
      <c r="BB134" s="199">
        <f>$P134*BB$34-$Q134</f>
        <v/>
      </c>
      <c r="BC134" s="199">
        <f>$P134*BC$34-$Q134</f>
        <v/>
      </c>
      <c r="BD134" s="199">
        <f>$P134*BD$34-$Q134</f>
        <v/>
      </c>
      <c r="BE134" s="199">
        <f>$P134*BE$34-$Q134</f>
        <v/>
      </c>
      <c r="BF134" s="199">
        <f>$P134*BF$34-$Q134</f>
        <v/>
      </c>
      <c r="BH134" s="198">
        <f>$G134</f>
        <v/>
      </c>
      <c r="BI134" s="197">
        <f>$I134</f>
        <v/>
      </c>
      <c r="BJ134" s="197">
        <f>+BJ135</f>
        <v/>
      </c>
      <c r="BK134" s="197">
        <f>+BK135</f>
        <v/>
      </c>
      <c r="BL134" s="197">
        <f>+BL135</f>
        <v/>
      </c>
      <c r="BM134" s="197">
        <f>+BM135</f>
        <v/>
      </c>
      <c r="BN134" s="197">
        <f>+BN135</f>
        <v/>
      </c>
      <c r="BP134" s="198">
        <f>$G134</f>
        <v/>
      </c>
      <c r="BQ134" s="197">
        <f>$J134</f>
        <v/>
      </c>
      <c r="BR134" s="197">
        <f>+BR135</f>
        <v/>
      </c>
      <c r="BS134" s="197">
        <f>+BS135</f>
        <v/>
      </c>
      <c r="BT134" s="197">
        <f>+BT135</f>
        <v/>
      </c>
      <c r="BU134" s="197">
        <f>+BU135</f>
        <v/>
      </c>
      <c r="BV134" s="197">
        <f>+BV135</f>
        <v/>
      </c>
      <c r="BX134" s="198">
        <f>$G134</f>
        <v/>
      </c>
      <c r="BY134" s="197">
        <f>$K134</f>
        <v/>
      </c>
      <c r="BZ134" s="197">
        <f>+BZ135</f>
        <v/>
      </c>
      <c r="CA134" s="197">
        <f>+CA135</f>
        <v/>
      </c>
      <c r="CB134" s="197">
        <f>+CB135</f>
        <v/>
      </c>
      <c r="CC134" s="197">
        <f>+CC135</f>
        <v/>
      </c>
      <c r="CD134" s="197">
        <f>+CD135</f>
        <v/>
      </c>
      <c r="CF134" s="198">
        <f>$G134</f>
        <v/>
      </c>
      <c r="CG134" s="197">
        <f>$L134</f>
        <v/>
      </c>
      <c r="CH134" s="197">
        <f>+CH135</f>
        <v/>
      </c>
      <c r="CI134" s="197">
        <f>+CI135</f>
        <v/>
      </c>
      <c r="CJ134" s="197">
        <f>+CJ135</f>
        <v/>
      </c>
      <c r="CK134" s="197">
        <f>+CK135</f>
        <v/>
      </c>
      <c r="CL134" s="197">
        <f>+CL135</f>
        <v/>
      </c>
      <c r="CO134" s="199" t="n"/>
      <c r="CP134" s="199" t="n">
        <v>2.83</v>
      </c>
      <c r="CR134" s="199" t="inlineStr">
        <is>
          <t>#N/A N/A</t>
        </is>
      </c>
      <c r="CS134" s="970" t="n">
        <v>1.01095</v>
      </c>
    </row>
    <row r="135">
      <c r="B135" s="204">
        <f>+C135-1</f>
        <v/>
      </c>
      <c r="C135" s="204">
        <f>IF('bands_A-H_Avg'!$D$9+1&gt;MONTH(G135),YEAR(G135),YEAR(G135)+1)</f>
        <v/>
      </c>
      <c r="D135" s="204">
        <f>+C135+1</f>
        <v/>
      </c>
      <c r="E135" s="203">
        <f>IF(C135&gt;C134,1,E134+1)</f>
        <v/>
      </c>
      <c r="F135" s="203">
        <f>COUNTIF(C:C,C135)</f>
        <v/>
      </c>
      <c r="G135" s="198">
        <f>+G134+7</f>
        <v/>
      </c>
      <c r="H135" s="361">
        <f>IF(ISBLANK(CO135),CP135,SUMPRODUCT(CO$32:CP$32,CO135:CP135))</f>
        <v/>
      </c>
      <c r="I135" s="968">
        <f>H135/M135</f>
        <v/>
      </c>
      <c r="J135" s="968">
        <f>H135/N135</f>
        <v/>
      </c>
      <c r="K135" s="968">
        <f>(H135+Q135)/O135</f>
        <v/>
      </c>
      <c r="L135" s="968">
        <f>(H135+Q135)/P135</f>
        <v/>
      </c>
      <c r="M135" s="199">
        <f>HLOOKUP(C:C,$4:$10,3,FALSE)+((HLOOKUP(D:D,$4:$10,3,FALSE)-HLOOKUP(C:C,$4:$10,3,FALSE))*E135/F135)</f>
        <v/>
      </c>
      <c r="N135" s="199">
        <f>HLOOKUP(C:C,$4:$10,2,FALSE)+((HLOOKUP(D:D,$4:$10,2,FALSE)-HLOOKUP(C:C,$4:$10,2,FALSE))*E135/F135)</f>
        <v/>
      </c>
      <c r="O135" s="199">
        <f>HLOOKUP(C:C,$4:$10,5,FALSE)+((HLOOKUP(D:D,$4:$10,5,FALSE)-HLOOKUP(C:C,$4:$10,5,FALSE))*E135/F135)</f>
        <v/>
      </c>
      <c r="P135" s="199">
        <f>HLOOKUP(C:C,$4:$10,4,FALSE)+((HLOOKUP(D:D,$4:$10,4,FALSE)-HLOOKUP(C:C,$4:$10,4,FALSE))*E135/F135)</f>
        <v/>
      </c>
      <c r="Q135" s="199">
        <f>HLOOKUP(B:B,$4:$10,6,FALSE)+((HLOOKUP(C:C,$4:$10,6,FALSE)-HLOOKUP(B:B,$4:$10,6,FALSE))*E135/F135)</f>
        <v/>
      </c>
      <c r="T135" s="198">
        <f>$G135</f>
        <v/>
      </c>
      <c r="U135" s="199">
        <f>H135/(HLOOKUP(B:B,$4:$10,3,FALSE)+((HLOOKUP(C:C,$4:$10,3,FALSE)-HLOOKUP(B:B,$4:$10,3,FALSE))*E135/F135))</f>
        <v/>
      </c>
      <c r="V135" s="969">
        <f>HLOOKUP(B:B,$4:$10,7,FALSE)+((HLOOKUP(C:C,$4:$10,7,FALSE)-HLOOKUP(B:B,$4:$10,7,FALSE))*E135/F135)</f>
        <v/>
      </c>
      <c r="AB135" s="198">
        <f>$G135</f>
        <v/>
      </c>
      <c r="AC135" s="199">
        <f>$H135</f>
        <v/>
      </c>
      <c r="AD135" s="199">
        <f>$M135*AD$34</f>
        <v/>
      </c>
      <c r="AE135" s="199">
        <f>$M135*AE$34</f>
        <v/>
      </c>
      <c r="AF135" s="199">
        <f>$M135*AF$34</f>
        <v/>
      </c>
      <c r="AG135" s="199">
        <f>$M135*AG$34</f>
        <v/>
      </c>
      <c r="AH135" s="199">
        <f>$M135*AH$34</f>
        <v/>
      </c>
      <c r="AJ135" s="198">
        <f>$G135</f>
        <v/>
      </c>
      <c r="AK135" s="199">
        <f>$H135</f>
        <v/>
      </c>
      <c r="AL135" s="199">
        <f>$N135*AL$34</f>
        <v/>
      </c>
      <c r="AM135" s="199">
        <f>$N135*AM$34</f>
        <v/>
      </c>
      <c r="AN135" s="199">
        <f>$N135*AN$34</f>
        <v/>
      </c>
      <c r="AO135" s="199">
        <f>$N135*AO$34</f>
        <v/>
      </c>
      <c r="AP135" s="199">
        <f>$N135*AP$34</f>
        <v/>
      </c>
      <c r="AR135" s="198">
        <f>$G135</f>
        <v/>
      </c>
      <c r="AS135" s="199">
        <f>$H135</f>
        <v/>
      </c>
      <c r="AT135" s="199">
        <f>$O135*AT$34-$Q135</f>
        <v/>
      </c>
      <c r="AU135" s="199">
        <f>$O135*AU$34-$Q135</f>
        <v/>
      </c>
      <c r="AV135" s="199">
        <f>$O135*AV$34-$Q135</f>
        <v/>
      </c>
      <c r="AW135" s="199">
        <f>$O135*AW$34-$Q135</f>
        <v/>
      </c>
      <c r="AX135" s="199">
        <f>$O135*AX$34-$Q135</f>
        <v/>
      </c>
      <c r="AZ135" s="198">
        <f>$G135</f>
        <v/>
      </c>
      <c r="BA135" s="199">
        <f>$H135</f>
        <v/>
      </c>
      <c r="BB135" s="199">
        <f>$P135*BB$34-$Q135</f>
        <v/>
      </c>
      <c r="BC135" s="199">
        <f>$P135*BC$34-$Q135</f>
        <v/>
      </c>
      <c r="BD135" s="199">
        <f>$P135*BD$34-$Q135</f>
        <v/>
      </c>
      <c r="BE135" s="199">
        <f>$P135*BE$34-$Q135</f>
        <v/>
      </c>
      <c r="BF135" s="199">
        <f>$P135*BF$34-$Q135</f>
        <v/>
      </c>
      <c r="BH135" s="198">
        <f>$G135</f>
        <v/>
      </c>
      <c r="BI135" s="197">
        <f>$I135</f>
        <v/>
      </c>
      <c r="BJ135" s="197">
        <f>+BJ136</f>
        <v/>
      </c>
      <c r="BK135" s="197">
        <f>+BK136</f>
        <v/>
      </c>
      <c r="BL135" s="197">
        <f>+BL136</f>
        <v/>
      </c>
      <c r="BM135" s="197">
        <f>+BM136</f>
        <v/>
      </c>
      <c r="BN135" s="197">
        <f>+BN136</f>
        <v/>
      </c>
      <c r="BP135" s="198">
        <f>$G135</f>
        <v/>
      </c>
      <c r="BQ135" s="197">
        <f>$J135</f>
        <v/>
      </c>
      <c r="BR135" s="197">
        <f>+BR136</f>
        <v/>
      </c>
      <c r="BS135" s="197">
        <f>+BS136</f>
        <v/>
      </c>
      <c r="BT135" s="197">
        <f>+BT136</f>
        <v/>
      </c>
      <c r="BU135" s="197">
        <f>+BU136</f>
        <v/>
      </c>
      <c r="BV135" s="197">
        <f>+BV136</f>
        <v/>
      </c>
      <c r="BX135" s="198">
        <f>$G135</f>
        <v/>
      </c>
      <c r="BY135" s="197">
        <f>$K135</f>
        <v/>
      </c>
      <c r="BZ135" s="197">
        <f>+BZ136</f>
        <v/>
      </c>
      <c r="CA135" s="197">
        <f>+CA136</f>
        <v/>
      </c>
      <c r="CB135" s="197">
        <f>+CB136</f>
        <v/>
      </c>
      <c r="CC135" s="197">
        <f>+CC136</f>
        <v/>
      </c>
      <c r="CD135" s="197">
        <f>+CD136</f>
        <v/>
      </c>
      <c r="CF135" s="198">
        <f>$G135</f>
        <v/>
      </c>
      <c r="CG135" s="197">
        <f>$L135</f>
        <v/>
      </c>
      <c r="CH135" s="197">
        <f>+CH136</f>
        <v/>
      </c>
      <c r="CI135" s="197">
        <f>+CI136</f>
        <v/>
      </c>
      <c r="CJ135" s="197">
        <f>+CJ136</f>
        <v/>
      </c>
      <c r="CK135" s="197">
        <f>+CK136</f>
        <v/>
      </c>
      <c r="CL135" s="197">
        <f>+CL136</f>
        <v/>
      </c>
      <c r="CO135" s="199" t="n"/>
      <c r="CP135" s="199" t="n">
        <v>2.8</v>
      </c>
      <c r="CR135" s="199" t="inlineStr">
        <is>
          <t>#N/A N/A</t>
        </is>
      </c>
      <c r="CS135" s="970" t="n">
        <v>1.00932</v>
      </c>
    </row>
    <row r="136">
      <c r="B136" s="204">
        <f>+C136-1</f>
        <v/>
      </c>
      <c r="C136" s="204">
        <f>IF('bands_A-H_Avg'!$D$9+1&gt;MONTH(G136),YEAR(G136),YEAR(G136)+1)</f>
        <v/>
      </c>
      <c r="D136" s="204">
        <f>+C136+1</f>
        <v/>
      </c>
      <c r="E136" s="203">
        <f>IF(C136&gt;C135,1,E135+1)</f>
        <v/>
      </c>
      <c r="F136" s="203">
        <f>COUNTIF(C:C,C136)</f>
        <v/>
      </c>
      <c r="G136" s="198">
        <f>+G135+7</f>
        <v/>
      </c>
      <c r="H136" s="361">
        <f>IF(ISBLANK(CO136),CP136,SUMPRODUCT(CO$32:CP$32,CO136:CP136))</f>
        <v/>
      </c>
      <c r="I136" s="968">
        <f>H136/M136</f>
        <v/>
      </c>
      <c r="J136" s="968">
        <f>H136/N136</f>
        <v/>
      </c>
      <c r="K136" s="968">
        <f>(H136+Q136)/O136</f>
        <v/>
      </c>
      <c r="L136" s="968">
        <f>(H136+Q136)/P136</f>
        <v/>
      </c>
      <c r="M136" s="199">
        <f>HLOOKUP(C:C,$4:$10,3,FALSE)+((HLOOKUP(D:D,$4:$10,3,FALSE)-HLOOKUP(C:C,$4:$10,3,FALSE))*E136/F136)</f>
        <v/>
      </c>
      <c r="N136" s="199">
        <f>HLOOKUP(C:C,$4:$10,2,FALSE)+((HLOOKUP(D:D,$4:$10,2,FALSE)-HLOOKUP(C:C,$4:$10,2,FALSE))*E136/F136)</f>
        <v/>
      </c>
      <c r="O136" s="199">
        <f>HLOOKUP(C:C,$4:$10,5,FALSE)+((HLOOKUP(D:D,$4:$10,5,FALSE)-HLOOKUP(C:C,$4:$10,5,FALSE))*E136/F136)</f>
        <v/>
      </c>
      <c r="P136" s="199">
        <f>HLOOKUP(C:C,$4:$10,4,FALSE)+((HLOOKUP(D:D,$4:$10,4,FALSE)-HLOOKUP(C:C,$4:$10,4,FALSE))*E136/F136)</f>
        <v/>
      </c>
      <c r="Q136" s="199">
        <f>HLOOKUP(B:B,$4:$10,6,FALSE)+((HLOOKUP(C:C,$4:$10,6,FALSE)-HLOOKUP(B:B,$4:$10,6,FALSE))*E136/F136)</f>
        <v/>
      </c>
      <c r="T136" s="198">
        <f>$G136</f>
        <v/>
      </c>
      <c r="U136" s="199">
        <f>H136/(HLOOKUP(B:B,$4:$10,3,FALSE)+((HLOOKUP(C:C,$4:$10,3,FALSE)-HLOOKUP(B:B,$4:$10,3,FALSE))*E136/F136))</f>
        <v/>
      </c>
      <c r="V136" s="969">
        <f>HLOOKUP(B:B,$4:$10,7,FALSE)+((HLOOKUP(C:C,$4:$10,7,FALSE)-HLOOKUP(B:B,$4:$10,7,FALSE))*E136/F136)</f>
        <v/>
      </c>
      <c r="AB136" s="198">
        <f>$G136</f>
        <v/>
      </c>
      <c r="AC136" s="199">
        <f>$H136</f>
        <v/>
      </c>
      <c r="AD136" s="199">
        <f>$M136*AD$34</f>
        <v/>
      </c>
      <c r="AE136" s="199">
        <f>$M136*AE$34</f>
        <v/>
      </c>
      <c r="AF136" s="199">
        <f>$M136*AF$34</f>
        <v/>
      </c>
      <c r="AG136" s="199">
        <f>$M136*AG$34</f>
        <v/>
      </c>
      <c r="AH136" s="199">
        <f>$M136*AH$34</f>
        <v/>
      </c>
      <c r="AJ136" s="198">
        <f>$G136</f>
        <v/>
      </c>
      <c r="AK136" s="199">
        <f>$H136</f>
        <v/>
      </c>
      <c r="AL136" s="199">
        <f>$N136*AL$34</f>
        <v/>
      </c>
      <c r="AM136" s="199">
        <f>$N136*AM$34</f>
        <v/>
      </c>
      <c r="AN136" s="199">
        <f>$N136*AN$34</f>
        <v/>
      </c>
      <c r="AO136" s="199">
        <f>$N136*AO$34</f>
        <v/>
      </c>
      <c r="AP136" s="199">
        <f>$N136*AP$34</f>
        <v/>
      </c>
      <c r="AR136" s="198">
        <f>$G136</f>
        <v/>
      </c>
      <c r="AS136" s="199">
        <f>$H136</f>
        <v/>
      </c>
      <c r="AT136" s="199">
        <f>$O136*AT$34-$Q136</f>
        <v/>
      </c>
      <c r="AU136" s="199">
        <f>$O136*AU$34-$Q136</f>
        <v/>
      </c>
      <c r="AV136" s="199">
        <f>$O136*AV$34-$Q136</f>
        <v/>
      </c>
      <c r="AW136" s="199">
        <f>$O136*AW$34-$Q136</f>
        <v/>
      </c>
      <c r="AX136" s="199">
        <f>$O136*AX$34-$Q136</f>
        <v/>
      </c>
      <c r="AZ136" s="198">
        <f>$G136</f>
        <v/>
      </c>
      <c r="BA136" s="199">
        <f>$H136</f>
        <v/>
      </c>
      <c r="BB136" s="199">
        <f>$P136*BB$34-$Q136</f>
        <v/>
      </c>
      <c r="BC136" s="199">
        <f>$P136*BC$34-$Q136</f>
        <v/>
      </c>
      <c r="BD136" s="199">
        <f>$P136*BD$34-$Q136</f>
        <v/>
      </c>
      <c r="BE136" s="199">
        <f>$P136*BE$34-$Q136</f>
        <v/>
      </c>
      <c r="BF136" s="199">
        <f>$P136*BF$34-$Q136</f>
        <v/>
      </c>
      <c r="BH136" s="198">
        <f>$G136</f>
        <v/>
      </c>
      <c r="BI136" s="197">
        <f>$I136</f>
        <v/>
      </c>
      <c r="BJ136" s="197">
        <f>+BJ137</f>
        <v/>
      </c>
      <c r="BK136" s="197">
        <f>+BK137</f>
        <v/>
      </c>
      <c r="BL136" s="197">
        <f>+BL137</f>
        <v/>
      </c>
      <c r="BM136" s="197">
        <f>+BM137</f>
        <v/>
      </c>
      <c r="BN136" s="197">
        <f>+BN137</f>
        <v/>
      </c>
      <c r="BP136" s="198">
        <f>$G136</f>
        <v/>
      </c>
      <c r="BQ136" s="197">
        <f>$J136</f>
        <v/>
      </c>
      <c r="BR136" s="197">
        <f>+BR137</f>
        <v/>
      </c>
      <c r="BS136" s="197">
        <f>+BS137</f>
        <v/>
      </c>
      <c r="BT136" s="197">
        <f>+BT137</f>
        <v/>
      </c>
      <c r="BU136" s="197">
        <f>+BU137</f>
        <v/>
      </c>
      <c r="BV136" s="197">
        <f>+BV137</f>
        <v/>
      </c>
      <c r="BX136" s="198">
        <f>$G136</f>
        <v/>
      </c>
      <c r="BY136" s="197">
        <f>$K136</f>
        <v/>
      </c>
      <c r="BZ136" s="197">
        <f>+BZ137</f>
        <v/>
      </c>
      <c r="CA136" s="197">
        <f>+CA137</f>
        <v/>
      </c>
      <c r="CB136" s="197">
        <f>+CB137</f>
        <v/>
      </c>
      <c r="CC136" s="197">
        <f>+CC137</f>
        <v/>
      </c>
      <c r="CD136" s="197">
        <f>+CD137</f>
        <v/>
      </c>
      <c r="CF136" s="198">
        <f>$G136</f>
        <v/>
      </c>
      <c r="CG136" s="197">
        <f>$L136</f>
        <v/>
      </c>
      <c r="CH136" s="197">
        <f>+CH137</f>
        <v/>
      </c>
      <c r="CI136" s="197">
        <f>+CI137</f>
        <v/>
      </c>
      <c r="CJ136" s="197">
        <f>+CJ137</f>
        <v/>
      </c>
      <c r="CK136" s="197">
        <f>+CK137</f>
        <v/>
      </c>
      <c r="CL136" s="197">
        <f>+CL137</f>
        <v/>
      </c>
      <c r="CO136" s="199" t="n"/>
      <c r="CP136" s="199" t="n">
        <v>2.76</v>
      </c>
      <c r="CR136" s="199" t="inlineStr">
        <is>
          <t>#N/A N/A</t>
        </is>
      </c>
      <c r="CS136" s="970" t="n">
        <v>1.00768</v>
      </c>
    </row>
    <row r="137">
      <c r="B137" s="204">
        <f>+C137-1</f>
        <v/>
      </c>
      <c r="C137" s="204">
        <f>IF('bands_A-H_Avg'!$D$9+1&gt;MONTH(G137),YEAR(G137),YEAR(G137)+1)</f>
        <v/>
      </c>
      <c r="D137" s="204">
        <f>+C137+1</f>
        <v/>
      </c>
      <c r="E137" s="203">
        <f>IF(C137&gt;C136,1,E136+1)</f>
        <v/>
      </c>
      <c r="F137" s="203">
        <f>COUNTIF(C:C,C137)</f>
        <v/>
      </c>
      <c r="G137" s="198">
        <f>+G136+7</f>
        <v/>
      </c>
      <c r="H137" s="361">
        <f>IF(ISBLANK(CO137),CP137,SUMPRODUCT(CO$32:CP$32,CO137:CP137))</f>
        <v/>
      </c>
      <c r="I137" s="968">
        <f>H137/M137</f>
        <v/>
      </c>
      <c r="J137" s="968">
        <f>H137/N137</f>
        <v/>
      </c>
      <c r="K137" s="968">
        <f>(H137+Q137)/O137</f>
        <v/>
      </c>
      <c r="L137" s="968">
        <f>(H137+Q137)/P137</f>
        <v/>
      </c>
      <c r="M137" s="199">
        <f>HLOOKUP(C:C,$4:$10,3,FALSE)+((HLOOKUP(D:D,$4:$10,3,FALSE)-HLOOKUP(C:C,$4:$10,3,FALSE))*E137/F137)</f>
        <v/>
      </c>
      <c r="N137" s="199">
        <f>HLOOKUP(C:C,$4:$10,2,FALSE)+((HLOOKUP(D:D,$4:$10,2,FALSE)-HLOOKUP(C:C,$4:$10,2,FALSE))*E137/F137)</f>
        <v/>
      </c>
      <c r="O137" s="199">
        <f>HLOOKUP(C:C,$4:$10,5,FALSE)+((HLOOKUP(D:D,$4:$10,5,FALSE)-HLOOKUP(C:C,$4:$10,5,FALSE))*E137/F137)</f>
        <v/>
      </c>
      <c r="P137" s="199">
        <f>HLOOKUP(C:C,$4:$10,4,FALSE)+((HLOOKUP(D:D,$4:$10,4,FALSE)-HLOOKUP(C:C,$4:$10,4,FALSE))*E137/F137)</f>
        <v/>
      </c>
      <c r="Q137" s="199">
        <f>HLOOKUP(B:B,$4:$10,6,FALSE)+((HLOOKUP(C:C,$4:$10,6,FALSE)-HLOOKUP(B:B,$4:$10,6,FALSE))*E137/F137)</f>
        <v/>
      </c>
      <c r="T137" s="198">
        <f>$G137</f>
        <v/>
      </c>
      <c r="U137" s="199">
        <f>H137/(HLOOKUP(B:B,$4:$10,3,FALSE)+((HLOOKUP(C:C,$4:$10,3,FALSE)-HLOOKUP(B:B,$4:$10,3,FALSE))*E137/F137))</f>
        <v/>
      </c>
      <c r="V137" s="969">
        <f>HLOOKUP(B:B,$4:$10,7,FALSE)+((HLOOKUP(C:C,$4:$10,7,FALSE)-HLOOKUP(B:B,$4:$10,7,FALSE))*E137/F137)</f>
        <v/>
      </c>
      <c r="AB137" s="198">
        <f>$G137</f>
        <v/>
      </c>
      <c r="AC137" s="199">
        <f>$H137</f>
        <v/>
      </c>
      <c r="AD137" s="199">
        <f>$M137*AD$34</f>
        <v/>
      </c>
      <c r="AE137" s="199">
        <f>$M137*AE$34</f>
        <v/>
      </c>
      <c r="AF137" s="199">
        <f>$M137*AF$34</f>
        <v/>
      </c>
      <c r="AG137" s="199">
        <f>$M137*AG$34</f>
        <v/>
      </c>
      <c r="AH137" s="199">
        <f>$M137*AH$34</f>
        <v/>
      </c>
      <c r="AJ137" s="198">
        <f>$G137</f>
        <v/>
      </c>
      <c r="AK137" s="199">
        <f>$H137</f>
        <v/>
      </c>
      <c r="AL137" s="199">
        <f>$N137*AL$34</f>
        <v/>
      </c>
      <c r="AM137" s="199">
        <f>$N137*AM$34</f>
        <v/>
      </c>
      <c r="AN137" s="199">
        <f>$N137*AN$34</f>
        <v/>
      </c>
      <c r="AO137" s="199">
        <f>$N137*AO$34</f>
        <v/>
      </c>
      <c r="AP137" s="199">
        <f>$N137*AP$34</f>
        <v/>
      </c>
      <c r="AR137" s="198">
        <f>$G137</f>
        <v/>
      </c>
      <c r="AS137" s="199">
        <f>$H137</f>
        <v/>
      </c>
      <c r="AT137" s="199">
        <f>$O137*AT$34-$Q137</f>
        <v/>
      </c>
      <c r="AU137" s="199">
        <f>$O137*AU$34-$Q137</f>
        <v/>
      </c>
      <c r="AV137" s="199">
        <f>$O137*AV$34-$Q137</f>
        <v/>
      </c>
      <c r="AW137" s="199">
        <f>$O137*AW$34-$Q137</f>
        <v/>
      </c>
      <c r="AX137" s="199">
        <f>$O137*AX$34-$Q137</f>
        <v/>
      </c>
      <c r="AZ137" s="198">
        <f>$G137</f>
        <v/>
      </c>
      <c r="BA137" s="199">
        <f>$H137</f>
        <v/>
      </c>
      <c r="BB137" s="199">
        <f>$P137*BB$34-$Q137</f>
        <v/>
      </c>
      <c r="BC137" s="199">
        <f>$P137*BC$34-$Q137</f>
        <v/>
      </c>
      <c r="BD137" s="199">
        <f>$P137*BD$34-$Q137</f>
        <v/>
      </c>
      <c r="BE137" s="199">
        <f>$P137*BE$34-$Q137</f>
        <v/>
      </c>
      <c r="BF137" s="199">
        <f>$P137*BF$34-$Q137</f>
        <v/>
      </c>
      <c r="BH137" s="198">
        <f>$G137</f>
        <v/>
      </c>
      <c r="BI137" s="197">
        <f>$I137</f>
        <v/>
      </c>
      <c r="BJ137" s="197">
        <f>+BJ138</f>
        <v/>
      </c>
      <c r="BK137" s="197">
        <f>+BK138</f>
        <v/>
      </c>
      <c r="BL137" s="197">
        <f>+BL138</f>
        <v/>
      </c>
      <c r="BM137" s="197">
        <f>+BM138</f>
        <v/>
      </c>
      <c r="BN137" s="197">
        <f>+BN138</f>
        <v/>
      </c>
      <c r="BP137" s="198">
        <f>$G137</f>
        <v/>
      </c>
      <c r="BQ137" s="197">
        <f>$J137</f>
        <v/>
      </c>
      <c r="BR137" s="197">
        <f>+BR138</f>
        <v/>
      </c>
      <c r="BS137" s="197">
        <f>+BS138</f>
        <v/>
      </c>
      <c r="BT137" s="197">
        <f>+BT138</f>
        <v/>
      </c>
      <c r="BU137" s="197">
        <f>+BU138</f>
        <v/>
      </c>
      <c r="BV137" s="197">
        <f>+BV138</f>
        <v/>
      </c>
      <c r="BX137" s="198">
        <f>$G137</f>
        <v/>
      </c>
      <c r="BY137" s="197">
        <f>$K137</f>
        <v/>
      </c>
      <c r="BZ137" s="197">
        <f>+BZ138</f>
        <v/>
      </c>
      <c r="CA137" s="197">
        <f>+CA138</f>
        <v/>
      </c>
      <c r="CB137" s="197">
        <f>+CB138</f>
        <v/>
      </c>
      <c r="CC137" s="197">
        <f>+CC138</f>
        <v/>
      </c>
      <c r="CD137" s="197">
        <f>+CD138</f>
        <v/>
      </c>
      <c r="CF137" s="198">
        <f>$G137</f>
        <v/>
      </c>
      <c r="CG137" s="197">
        <f>$L137</f>
        <v/>
      </c>
      <c r="CH137" s="197">
        <f>+CH138</f>
        <v/>
      </c>
      <c r="CI137" s="197">
        <f>+CI138</f>
        <v/>
      </c>
      <c r="CJ137" s="197">
        <f>+CJ138</f>
        <v/>
      </c>
      <c r="CK137" s="197">
        <f>+CK138</f>
        <v/>
      </c>
      <c r="CL137" s="197">
        <f>+CL138</f>
        <v/>
      </c>
      <c r="CO137" s="199" t="n"/>
      <c r="CP137" s="199" t="n">
        <v>2.82</v>
      </c>
      <c r="CR137" s="199" t="inlineStr">
        <is>
          <t>#N/A N/A</t>
        </is>
      </c>
      <c r="CS137" s="970" t="n">
        <v>1.00665</v>
      </c>
    </row>
    <row r="138">
      <c r="B138" s="204">
        <f>+C138-1</f>
        <v/>
      </c>
      <c r="C138" s="204">
        <f>IF('bands_A-H_Avg'!$D$9+1&gt;MONTH(G138),YEAR(G138),YEAR(G138)+1)</f>
        <v/>
      </c>
      <c r="D138" s="204">
        <f>+C138+1</f>
        <v/>
      </c>
      <c r="E138" s="203">
        <f>IF(C138&gt;C137,1,E137+1)</f>
        <v/>
      </c>
      <c r="F138" s="203">
        <f>COUNTIF(C:C,C138)</f>
        <v/>
      </c>
      <c r="G138" s="198">
        <f>+G137+7</f>
        <v/>
      </c>
      <c r="H138" s="361">
        <f>IF(ISBLANK(CO138),CP138,SUMPRODUCT(CO$32:CP$32,CO138:CP138))</f>
        <v/>
      </c>
      <c r="I138" s="968">
        <f>H138/M138</f>
        <v/>
      </c>
      <c r="J138" s="968">
        <f>H138/N138</f>
        <v/>
      </c>
      <c r="K138" s="968">
        <f>(H138+Q138)/O138</f>
        <v/>
      </c>
      <c r="L138" s="968">
        <f>(H138+Q138)/P138</f>
        <v/>
      </c>
      <c r="M138" s="199">
        <f>HLOOKUP(C:C,$4:$10,3,FALSE)+((HLOOKUP(D:D,$4:$10,3,FALSE)-HLOOKUP(C:C,$4:$10,3,FALSE))*E138/F138)</f>
        <v/>
      </c>
      <c r="N138" s="199">
        <f>HLOOKUP(C:C,$4:$10,2,FALSE)+((HLOOKUP(D:D,$4:$10,2,FALSE)-HLOOKUP(C:C,$4:$10,2,FALSE))*E138/F138)</f>
        <v/>
      </c>
      <c r="O138" s="199">
        <f>HLOOKUP(C:C,$4:$10,5,FALSE)+((HLOOKUP(D:D,$4:$10,5,FALSE)-HLOOKUP(C:C,$4:$10,5,FALSE))*E138/F138)</f>
        <v/>
      </c>
      <c r="P138" s="199">
        <f>HLOOKUP(C:C,$4:$10,4,FALSE)+((HLOOKUP(D:D,$4:$10,4,FALSE)-HLOOKUP(C:C,$4:$10,4,FALSE))*E138/F138)</f>
        <v/>
      </c>
      <c r="Q138" s="199">
        <f>HLOOKUP(B:B,$4:$10,6,FALSE)+((HLOOKUP(C:C,$4:$10,6,FALSE)-HLOOKUP(B:B,$4:$10,6,FALSE))*E138/F138)</f>
        <v/>
      </c>
      <c r="T138" s="198">
        <f>$G138</f>
        <v/>
      </c>
      <c r="U138" s="199">
        <f>H138/(HLOOKUP(B:B,$4:$10,3,FALSE)+((HLOOKUP(C:C,$4:$10,3,FALSE)-HLOOKUP(B:B,$4:$10,3,FALSE))*E138/F138))</f>
        <v/>
      </c>
      <c r="V138" s="969">
        <f>HLOOKUP(B:B,$4:$10,7,FALSE)+((HLOOKUP(C:C,$4:$10,7,FALSE)-HLOOKUP(B:B,$4:$10,7,FALSE))*E138/F138)</f>
        <v/>
      </c>
      <c r="AB138" s="198">
        <f>$G138</f>
        <v/>
      </c>
      <c r="AC138" s="199">
        <f>$H138</f>
        <v/>
      </c>
      <c r="AD138" s="199">
        <f>$M138*AD$34</f>
        <v/>
      </c>
      <c r="AE138" s="199">
        <f>$M138*AE$34</f>
        <v/>
      </c>
      <c r="AF138" s="199">
        <f>$M138*AF$34</f>
        <v/>
      </c>
      <c r="AG138" s="199">
        <f>$M138*AG$34</f>
        <v/>
      </c>
      <c r="AH138" s="199">
        <f>$M138*AH$34</f>
        <v/>
      </c>
      <c r="AJ138" s="198">
        <f>$G138</f>
        <v/>
      </c>
      <c r="AK138" s="199">
        <f>$H138</f>
        <v/>
      </c>
      <c r="AL138" s="199">
        <f>$N138*AL$34</f>
        <v/>
      </c>
      <c r="AM138" s="199">
        <f>$N138*AM$34</f>
        <v/>
      </c>
      <c r="AN138" s="199">
        <f>$N138*AN$34</f>
        <v/>
      </c>
      <c r="AO138" s="199">
        <f>$N138*AO$34</f>
        <v/>
      </c>
      <c r="AP138" s="199">
        <f>$N138*AP$34</f>
        <v/>
      </c>
      <c r="AR138" s="198">
        <f>$G138</f>
        <v/>
      </c>
      <c r="AS138" s="199">
        <f>$H138</f>
        <v/>
      </c>
      <c r="AT138" s="199">
        <f>$O138*AT$34-$Q138</f>
        <v/>
      </c>
      <c r="AU138" s="199">
        <f>$O138*AU$34-$Q138</f>
        <v/>
      </c>
      <c r="AV138" s="199">
        <f>$O138*AV$34-$Q138</f>
        <v/>
      </c>
      <c r="AW138" s="199">
        <f>$O138*AW$34-$Q138</f>
        <v/>
      </c>
      <c r="AX138" s="199">
        <f>$O138*AX$34-$Q138</f>
        <v/>
      </c>
      <c r="AZ138" s="198">
        <f>$G138</f>
        <v/>
      </c>
      <c r="BA138" s="199">
        <f>$H138</f>
        <v/>
      </c>
      <c r="BB138" s="199">
        <f>$P138*BB$34-$Q138</f>
        <v/>
      </c>
      <c r="BC138" s="199">
        <f>$P138*BC$34-$Q138</f>
        <v/>
      </c>
      <c r="BD138" s="199">
        <f>$P138*BD$34-$Q138</f>
        <v/>
      </c>
      <c r="BE138" s="199">
        <f>$P138*BE$34-$Q138</f>
        <v/>
      </c>
      <c r="BF138" s="199">
        <f>$P138*BF$34-$Q138</f>
        <v/>
      </c>
      <c r="BH138" s="198">
        <f>$G138</f>
        <v/>
      </c>
      <c r="BI138" s="197">
        <f>$I138</f>
        <v/>
      </c>
      <c r="BJ138" s="197">
        <f>+BJ139</f>
        <v/>
      </c>
      <c r="BK138" s="197">
        <f>+BK139</f>
        <v/>
      </c>
      <c r="BL138" s="197">
        <f>+BL139</f>
        <v/>
      </c>
      <c r="BM138" s="197">
        <f>+BM139</f>
        <v/>
      </c>
      <c r="BN138" s="197">
        <f>+BN139</f>
        <v/>
      </c>
      <c r="BP138" s="198">
        <f>$G138</f>
        <v/>
      </c>
      <c r="BQ138" s="197">
        <f>$J138</f>
        <v/>
      </c>
      <c r="BR138" s="197">
        <f>+BR139</f>
        <v/>
      </c>
      <c r="BS138" s="197">
        <f>+BS139</f>
        <v/>
      </c>
      <c r="BT138" s="197">
        <f>+BT139</f>
        <v/>
      </c>
      <c r="BU138" s="197">
        <f>+BU139</f>
        <v/>
      </c>
      <c r="BV138" s="197">
        <f>+BV139</f>
        <v/>
      </c>
      <c r="BX138" s="198">
        <f>$G138</f>
        <v/>
      </c>
      <c r="BY138" s="197">
        <f>$K138</f>
        <v/>
      </c>
      <c r="BZ138" s="197">
        <f>+BZ139</f>
        <v/>
      </c>
      <c r="CA138" s="197">
        <f>+CA139</f>
        <v/>
      </c>
      <c r="CB138" s="197">
        <f>+CB139</f>
        <v/>
      </c>
      <c r="CC138" s="197">
        <f>+CC139</f>
        <v/>
      </c>
      <c r="CD138" s="197">
        <f>+CD139</f>
        <v/>
      </c>
      <c r="CF138" s="198">
        <f>$G138</f>
        <v/>
      </c>
      <c r="CG138" s="197">
        <f>$L138</f>
        <v/>
      </c>
      <c r="CH138" s="197">
        <f>+CH139</f>
        <v/>
      </c>
      <c r="CI138" s="197">
        <f>+CI139</f>
        <v/>
      </c>
      <c r="CJ138" s="197">
        <f>+CJ139</f>
        <v/>
      </c>
      <c r="CK138" s="197">
        <f>+CK139</f>
        <v/>
      </c>
      <c r="CL138" s="197">
        <f>+CL139</f>
        <v/>
      </c>
      <c r="CO138" s="199" t="n"/>
      <c r="CP138" s="199" t="n">
        <v>3.15</v>
      </c>
      <c r="CR138" s="199" t="inlineStr">
        <is>
          <t>#N/A N/A</t>
        </is>
      </c>
      <c r="CS138" s="970" t="n">
        <v>1.00719</v>
      </c>
    </row>
    <row r="139">
      <c r="B139" s="204">
        <f>+C139-1</f>
        <v/>
      </c>
      <c r="C139" s="204">
        <f>IF('bands_A-H_Avg'!$D$9+1&gt;MONTH(G139),YEAR(G139),YEAR(G139)+1)</f>
        <v/>
      </c>
      <c r="D139" s="204">
        <f>+C139+1</f>
        <v/>
      </c>
      <c r="E139" s="203">
        <f>IF(C139&gt;C138,1,E138+1)</f>
        <v/>
      </c>
      <c r="F139" s="203">
        <f>COUNTIF(C:C,C139)</f>
        <v/>
      </c>
      <c r="G139" s="198">
        <f>+G138+7</f>
        <v/>
      </c>
      <c r="H139" s="361">
        <f>IF(ISBLANK(CO139),CP139,SUMPRODUCT(CO$32:CP$32,CO139:CP139))</f>
        <v/>
      </c>
      <c r="I139" s="968">
        <f>H139/M139</f>
        <v/>
      </c>
      <c r="J139" s="968">
        <f>H139/N139</f>
        <v/>
      </c>
      <c r="K139" s="968">
        <f>(H139+Q139)/O139</f>
        <v/>
      </c>
      <c r="L139" s="968">
        <f>(H139+Q139)/P139</f>
        <v/>
      </c>
      <c r="M139" s="199">
        <f>HLOOKUP(C:C,$4:$10,3,FALSE)+((HLOOKUP(D:D,$4:$10,3,FALSE)-HLOOKUP(C:C,$4:$10,3,FALSE))*E139/F139)</f>
        <v/>
      </c>
      <c r="N139" s="199">
        <f>HLOOKUP(C:C,$4:$10,2,FALSE)+((HLOOKUP(D:D,$4:$10,2,FALSE)-HLOOKUP(C:C,$4:$10,2,FALSE))*E139/F139)</f>
        <v/>
      </c>
      <c r="O139" s="199">
        <f>HLOOKUP(C:C,$4:$10,5,FALSE)+((HLOOKUP(D:D,$4:$10,5,FALSE)-HLOOKUP(C:C,$4:$10,5,FALSE))*E139/F139)</f>
        <v/>
      </c>
      <c r="P139" s="199">
        <f>HLOOKUP(C:C,$4:$10,4,FALSE)+((HLOOKUP(D:D,$4:$10,4,FALSE)-HLOOKUP(C:C,$4:$10,4,FALSE))*E139/F139)</f>
        <v/>
      </c>
      <c r="Q139" s="199">
        <f>HLOOKUP(B:B,$4:$10,6,FALSE)+((HLOOKUP(C:C,$4:$10,6,FALSE)-HLOOKUP(B:B,$4:$10,6,FALSE))*E139/F139)</f>
        <v/>
      </c>
      <c r="T139" s="198">
        <f>$G139</f>
        <v/>
      </c>
      <c r="U139" s="199">
        <f>H139/(HLOOKUP(B:B,$4:$10,3,FALSE)+((HLOOKUP(C:C,$4:$10,3,FALSE)-HLOOKUP(B:B,$4:$10,3,FALSE))*E139/F139))</f>
        <v/>
      </c>
      <c r="V139" s="969">
        <f>HLOOKUP(B:B,$4:$10,7,FALSE)+((HLOOKUP(C:C,$4:$10,7,FALSE)-HLOOKUP(B:B,$4:$10,7,FALSE))*E139/F139)</f>
        <v/>
      </c>
      <c r="AB139" s="198">
        <f>$G139</f>
        <v/>
      </c>
      <c r="AC139" s="199">
        <f>$H139</f>
        <v/>
      </c>
      <c r="AD139" s="199">
        <f>$M139*AD$34</f>
        <v/>
      </c>
      <c r="AE139" s="199">
        <f>$M139*AE$34</f>
        <v/>
      </c>
      <c r="AF139" s="199">
        <f>$M139*AF$34</f>
        <v/>
      </c>
      <c r="AG139" s="199">
        <f>$M139*AG$34</f>
        <v/>
      </c>
      <c r="AH139" s="199">
        <f>$M139*AH$34</f>
        <v/>
      </c>
      <c r="AJ139" s="198">
        <f>$G139</f>
        <v/>
      </c>
      <c r="AK139" s="199">
        <f>$H139</f>
        <v/>
      </c>
      <c r="AL139" s="199">
        <f>$N139*AL$34</f>
        <v/>
      </c>
      <c r="AM139" s="199">
        <f>$N139*AM$34</f>
        <v/>
      </c>
      <c r="AN139" s="199">
        <f>$N139*AN$34</f>
        <v/>
      </c>
      <c r="AO139" s="199">
        <f>$N139*AO$34</f>
        <v/>
      </c>
      <c r="AP139" s="199">
        <f>$N139*AP$34</f>
        <v/>
      </c>
      <c r="AR139" s="198">
        <f>$G139</f>
        <v/>
      </c>
      <c r="AS139" s="199">
        <f>$H139</f>
        <v/>
      </c>
      <c r="AT139" s="199">
        <f>$O139*AT$34-$Q139</f>
        <v/>
      </c>
      <c r="AU139" s="199">
        <f>$O139*AU$34-$Q139</f>
        <v/>
      </c>
      <c r="AV139" s="199">
        <f>$O139*AV$34-$Q139</f>
        <v/>
      </c>
      <c r="AW139" s="199">
        <f>$O139*AW$34-$Q139</f>
        <v/>
      </c>
      <c r="AX139" s="199">
        <f>$O139*AX$34-$Q139</f>
        <v/>
      </c>
      <c r="AZ139" s="198">
        <f>$G139</f>
        <v/>
      </c>
      <c r="BA139" s="199">
        <f>$H139</f>
        <v/>
      </c>
      <c r="BB139" s="199">
        <f>$P139*BB$34-$Q139</f>
        <v/>
      </c>
      <c r="BC139" s="199">
        <f>$P139*BC$34-$Q139</f>
        <v/>
      </c>
      <c r="BD139" s="199">
        <f>$P139*BD$34-$Q139</f>
        <v/>
      </c>
      <c r="BE139" s="199">
        <f>$P139*BE$34-$Q139</f>
        <v/>
      </c>
      <c r="BF139" s="199">
        <f>$P139*BF$34-$Q139</f>
        <v/>
      </c>
      <c r="BH139" s="198">
        <f>$G139</f>
        <v/>
      </c>
      <c r="BI139" s="197">
        <f>$I139</f>
        <v/>
      </c>
      <c r="BJ139" s="197">
        <f>+BJ140</f>
        <v/>
      </c>
      <c r="BK139" s="197">
        <f>+BK140</f>
        <v/>
      </c>
      <c r="BL139" s="197">
        <f>+BL140</f>
        <v/>
      </c>
      <c r="BM139" s="197">
        <f>+BM140</f>
        <v/>
      </c>
      <c r="BN139" s="197">
        <f>+BN140</f>
        <v/>
      </c>
      <c r="BP139" s="198">
        <f>$G139</f>
        <v/>
      </c>
      <c r="BQ139" s="197">
        <f>$J139</f>
        <v/>
      </c>
      <c r="BR139" s="197">
        <f>+BR140</f>
        <v/>
      </c>
      <c r="BS139" s="197">
        <f>+BS140</f>
        <v/>
      </c>
      <c r="BT139" s="197">
        <f>+BT140</f>
        <v/>
      </c>
      <c r="BU139" s="197">
        <f>+BU140</f>
        <v/>
      </c>
      <c r="BV139" s="197">
        <f>+BV140</f>
        <v/>
      </c>
      <c r="BX139" s="198">
        <f>$G139</f>
        <v/>
      </c>
      <c r="BY139" s="197">
        <f>$K139</f>
        <v/>
      </c>
      <c r="BZ139" s="197">
        <f>+BZ140</f>
        <v/>
      </c>
      <c r="CA139" s="197">
        <f>+CA140</f>
        <v/>
      </c>
      <c r="CB139" s="197">
        <f>+CB140</f>
        <v/>
      </c>
      <c r="CC139" s="197">
        <f>+CC140</f>
        <v/>
      </c>
      <c r="CD139" s="197">
        <f>+CD140</f>
        <v/>
      </c>
      <c r="CF139" s="198">
        <f>$G139</f>
        <v/>
      </c>
      <c r="CG139" s="197">
        <f>$L139</f>
        <v/>
      </c>
      <c r="CH139" s="197">
        <f>+CH140</f>
        <v/>
      </c>
      <c r="CI139" s="197">
        <f>+CI140</f>
        <v/>
      </c>
      <c r="CJ139" s="197">
        <f>+CJ140</f>
        <v/>
      </c>
      <c r="CK139" s="197">
        <f>+CK140</f>
        <v/>
      </c>
      <c r="CL139" s="197">
        <f>+CL140</f>
        <v/>
      </c>
      <c r="CO139" s="199" t="n"/>
      <c r="CP139" s="199" t="n">
        <v>3.28</v>
      </c>
      <c r="CR139" s="199" t="inlineStr">
        <is>
          <t>#N/A N/A</t>
        </is>
      </c>
      <c r="CS139" s="970" t="n">
        <v>1.00491</v>
      </c>
    </row>
    <row r="140">
      <c r="B140" s="204">
        <f>+C140-1</f>
        <v/>
      </c>
      <c r="C140" s="204">
        <f>IF('bands_A-H_Avg'!$D$9+1&gt;MONTH(G140),YEAR(G140),YEAR(G140)+1)</f>
        <v/>
      </c>
      <c r="D140" s="204">
        <f>+C140+1</f>
        <v/>
      </c>
      <c r="E140" s="203">
        <f>IF(C140&gt;C139,1,E139+1)</f>
        <v/>
      </c>
      <c r="F140" s="203">
        <f>COUNTIF(C:C,C140)</f>
        <v/>
      </c>
      <c r="G140" s="198">
        <f>+G139+7</f>
        <v/>
      </c>
      <c r="H140" s="361">
        <f>IF(ISBLANK(CO140),CP140,SUMPRODUCT(CO$32:CP$32,CO140:CP140))</f>
        <v/>
      </c>
      <c r="I140" s="968">
        <f>H140/M140</f>
        <v/>
      </c>
      <c r="J140" s="968">
        <f>H140/N140</f>
        <v/>
      </c>
      <c r="K140" s="968">
        <f>(H140+Q140)/O140</f>
        <v/>
      </c>
      <c r="L140" s="968">
        <f>(H140+Q140)/P140</f>
        <v/>
      </c>
      <c r="M140" s="199">
        <f>HLOOKUP(C:C,$4:$10,3,FALSE)+((HLOOKUP(D:D,$4:$10,3,FALSE)-HLOOKUP(C:C,$4:$10,3,FALSE))*E140/F140)</f>
        <v/>
      </c>
      <c r="N140" s="199">
        <f>HLOOKUP(C:C,$4:$10,2,FALSE)+((HLOOKUP(D:D,$4:$10,2,FALSE)-HLOOKUP(C:C,$4:$10,2,FALSE))*E140/F140)</f>
        <v/>
      </c>
      <c r="O140" s="199">
        <f>HLOOKUP(C:C,$4:$10,5,FALSE)+((HLOOKUP(D:D,$4:$10,5,FALSE)-HLOOKUP(C:C,$4:$10,5,FALSE))*E140/F140)</f>
        <v/>
      </c>
      <c r="P140" s="199">
        <f>HLOOKUP(C:C,$4:$10,4,FALSE)+((HLOOKUP(D:D,$4:$10,4,FALSE)-HLOOKUP(C:C,$4:$10,4,FALSE))*E140/F140)</f>
        <v/>
      </c>
      <c r="Q140" s="199">
        <f>HLOOKUP(B:B,$4:$10,6,FALSE)+((HLOOKUP(C:C,$4:$10,6,FALSE)-HLOOKUP(B:B,$4:$10,6,FALSE))*E140/F140)</f>
        <v/>
      </c>
      <c r="T140" s="198">
        <f>$G140</f>
        <v/>
      </c>
      <c r="U140" s="199">
        <f>H140/(HLOOKUP(B:B,$4:$10,3,FALSE)+((HLOOKUP(C:C,$4:$10,3,FALSE)-HLOOKUP(B:B,$4:$10,3,FALSE))*E140/F140))</f>
        <v/>
      </c>
      <c r="V140" s="969">
        <f>HLOOKUP(B:B,$4:$10,7,FALSE)+((HLOOKUP(C:C,$4:$10,7,FALSE)-HLOOKUP(B:B,$4:$10,7,FALSE))*E140/F140)</f>
        <v/>
      </c>
      <c r="AB140" s="198">
        <f>$G140</f>
        <v/>
      </c>
      <c r="AC140" s="199">
        <f>$H140</f>
        <v/>
      </c>
      <c r="AD140" s="199">
        <f>$M140*AD$34</f>
        <v/>
      </c>
      <c r="AE140" s="199">
        <f>$M140*AE$34</f>
        <v/>
      </c>
      <c r="AF140" s="199">
        <f>$M140*AF$34</f>
        <v/>
      </c>
      <c r="AG140" s="199">
        <f>$M140*AG$34</f>
        <v/>
      </c>
      <c r="AH140" s="199">
        <f>$M140*AH$34</f>
        <v/>
      </c>
      <c r="AJ140" s="198">
        <f>$G140</f>
        <v/>
      </c>
      <c r="AK140" s="199">
        <f>$H140</f>
        <v/>
      </c>
      <c r="AL140" s="199">
        <f>$N140*AL$34</f>
        <v/>
      </c>
      <c r="AM140" s="199">
        <f>$N140*AM$34</f>
        <v/>
      </c>
      <c r="AN140" s="199">
        <f>$N140*AN$34</f>
        <v/>
      </c>
      <c r="AO140" s="199">
        <f>$N140*AO$34</f>
        <v/>
      </c>
      <c r="AP140" s="199">
        <f>$N140*AP$34</f>
        <v/>
      </c>
      <c r="AR140" s="198">
        <f>$G140</f>
        <v/>
      </c>
      <c r="AS140" s="199">
        <f>$H140</f>
        <v/>
      </c>
      <c r="AT140" s="199">
        <f>$O140*AT$34-$Q140</f>
        <v/>
      </c>
      <c r="AU140" s="199">
        <f>$O140*AU$34-$Q140</f>
        <v/>
      </c>
      <c r="AV140" s="199">
        <f>$O140*AV$34-$Q140</f>
        <v/>
      </c>
      <c r="AW140" s="199">
        <f>$O140*AW$34-$Q140</f>
        <v/>
      </c>
      <c r="AX140" s="199">
        <f>$O140*AX$34-$Q140</f>
        <v/>
      </c>
      <c r="AZ140" s="198">
        <f>$G140</f>
        <v/>
      </c>
      <c r="BA140" s="199">
        <f>$H140</f>
        <v/>
      </c>
      <c r="BB140" s="199">
        <f>$P140*BB$34-$Q140</f>
        <v/>
      </c>
      <c r="BC140" s="199">
        <f>$P140*BC$34-$Q140</f>
        <v/>
      </c>
      <c r="BD140" s="199">
        <f>$P140*BD$34-$Q140</f>
        <v/>
      </c>
      <c r="BE140" s="199">
        <f>$P140*BE$34-$Q140</f>
        <v/>
      </c>
      <c r="BF140" s="199">
        <f>$P140*BF$34-$Q140</f>
        <v/>
      </c>
      <c r="BH140" s="198">
        <f>$G140</f>
        <v/>
      </c>
      <c r="BI140" s="197">
        <f>$I140</f>
        <v/>
      </c>
      <c r="BJ140" s="197">
        <f>+BJ141</f>
        <v/>
      </c>
      <c r="BK140" s="197">
        <f>+BK141</f>
        <v/>
      </c>
      <c r="BL140" s="197">
        <f>+BL141</f>
        <v/>
      </c>
      <c r="BM140" s="197">
        <f>+BM141</f>
        <v/>
      </c>
      <c r="BN140" s="197">
        <f>+BN141</f>
        <v/>
      </c>
      <c r="BP140" s="198">
        <f>$G140</f>
        <v/>
      </c>
      <c r="BQ140" s="197">
        <f>$J140</f>
        <v/>
      </c>
      <c r="BR140" s="197">
        <f>+BR141</f>
        <v/>
      </c>
      <c r="BS140" s="197">
        <f>+BS141</f>
        <v/>
      </c>
      <c r="BT140" s="197">
        <f>+BT141</f>
        <v/>
      </c>
      <c r="BU140" s="197">
        <f>+BU141</f>
        <v/>
      </c>
      <c r="BV140" s="197">
        <f>+BV141</f>
        <v/>
      </c>
      <c r="BX140" s="198">
        <f>$G140</f>
        <v/>
      </c>
      <c r="BY140" s="197">
        <f>$K140</f>
        <v/>
      </c>
      <c r="BZ140" s="197">
        <f>+BZ141</f>
        <v/>
      </c>
      <c r="CA140" s="197">
        <f>+CA141</f>
        <v/>
      </c>
      <c r="CB140" s="197">
        <f>+CB141</f>
        <v/>
      </c>
      <c r="CC140" s="197">
        <f>+CC141</f>
        <v/>
      </c>
      <c r="CD140" s="197">
        <f>+CD141</f>
        <v/>
      </c>
      <c r="CF140" s="198">
        <f>$G140</f>
        <v/>
      </c>
      <c r="CG140" s="197">
        <f>$L140</f>
        <v/>
      </c>
      <c r="CH140" s="197">
        <f>+CH141</f>
        <v/>
      </c>
      <c r="CI140" s="197">
        <f>+CI141</f>
        <v/>
      </c>
      <c r="CJ140" s="197">
        <f>+CJ141</f>
        <v/>
      </c>
      <c r="CK140" s="197">
        <f>+CK141</f>
        <v/>
      </c>
      <c r="CL140" s="197">
        <f>+CL141</f>
        <v/>
      </c>
      <c r="CO140" s="199" t="n"/>
      <c r="CP140" s="199" t="n">
        <v>3.27</v>
      </c>
      <c r="CR140" s="199" t="inlineStr">
        <is>
          <t>#N/A N/A</t>
        </is>
      </c>
      <c r="CS140" s="970" t="n">
        <v>1.00351</v>
      </c>
    </row>
    <row r="141">
      <c r="B141" s="204">
        <f>+C141-1</f>
        <v/>
      </c>
      <c r="C141" s="204">
        <f>IF('bands_A-H_Avg'!$D$9+1&gt;MONTH(G141),YEAR(G141),YEAR(G141)+1)</f>
        <v/>
      </c>
      <c r="D141" s="204">
        <f>+C141+1</f>
        <v/>
      </c>
      <c r="E141" s="203">
        <f>IF(C141&gt;C140,1,E140+1)</f>
        <v/>
      </c>
      <c r="F141" s="203">
        <f>COUNTIF(C:C,C141)</f>
        <v/>
      </c>
      <c r="G141" s="198">
        <f>+G140+7</f>
        <v/>
      </c>
      <c r="H141" s="361">
        <f>IF(ISBLANK(CO141),CP141,SUMPRODUCT(CO$32:CP$32,CO141:CP141))</f>
        <v/>
      </c>
      <c r="I141" s="968">
        <f>H141/M141</f>
        <v/>
      </c>
      <c r="J141" s="968">
        <f>H141/N141</f>
        <v/>
      </c>
      <c r="K141" s="968">
        <f>(H141+Q141)/O141</f>
        <v/>
      </c>
      <c r="L141" s="968">
        <f>(H141+Q141)/P141</f>
        <v/>
      </c>
      <c r="M141" s="199">
        <f>HLOOKUP(C:C,$4:$10,3,FALSE)+((HLOOKUP(D:D,$4:$10,3,FALSE)-HLOOKUP(C:C,$4:$10,3,FALSE))*E141/F141)</f>
        <v/>
      </c>
      <c r="N141" s="199">
        <f>HLOOKUP(C:C,$4:$10,2,FALSE)+((HLOOKUP(D:D,$4:$10,2,FALSE)-HLOOKUP(C:C,$4:$10,2,FALSE))*E141/F141)</f>
        <v/>
      </c>
      <c r="O141" s="199">
        <f>HLOOKUP(C:C,$4:$10,5,FALSE)+((HLOOKUP(D:D,$4:$10,5,FALSE)-HLOOKUP(C:C,$4:$10,5,FALSE))*E141/F141)</f>
        <v/>
      </c>
      <c r="P141" s="199">
        <f>HLOOKUP(C:C,$4:$10,4,FALSE)+((HLOOKUP(D:D,$4:$10,4,FALSE)-HLOOKUP(C:C,$4:$10,4,FALSE))*E141/F141)</f>
        <v/>
      </c>
      <c r="Q141" s="199">
        <f>HLOOKUP(B:B,$4:$10,6,FALSE)+((HLOOKUP(C:C,$4:$10,6,FALSE)-HLOOKUP(B:B,$4:$10,6,FALSE))*E141/F141)</f>
        <v/>
      </c>
      <c r="T141" s="198">
        <f>$G141</f>
        <v/>
      </c>
      <c r="U141" s="199">
        <f>H141/(HLOOKUP(B:B,$4:$10,3,FALSE)+((HLOOKUP(C:C,$4:$10,3,FALSE)-HLOOKUP(B:B,$4:$10,3,FALSE))*E141/F141))</f>
        <v/>
      </c>
      <c r="V141" s="969">
        <f>HLOOKUP(B:B,$4:$10,7,FALSE)+((HLOOKUP(C:C,$4:$10,7,FALSE)-HLOOKUP(B:B,$4:$10,7,FALSE))*E141/F141)</f>
        <v/>
      </c>
      <c r="AB141" s="198">
        <f>$G141</f>
        <v/>
      </c>
      <c r="AC141" s="199">
        <f>$H141</f>
        <v/>
      </c>
      <c r="AD141" s="199">
        <f>$M141*AD$34</f>
        <v/>
      </c>
      <c r="AE141" s="199">
        <f>$M141*AE$34</f>
        <v/>
      </c>
      <c r="AF141" s="199">
        <f>$M141*AF$34</f>
        <v/>
      </c>
      <c r="AG141" s="199">
        <f>$M141*AG$34</f>
        <v/>
      </c>
      <c r="AH141" s="199">
        <f>$M141*AH$34</f>
        <v/>
      </c>
      <c r="AJ141" s="198">
        <f>$G141</f>
        <v/>
      </c>
      <c r="AK141" s="199">
        <f>$H141</f>
        <v/>
      </c>
      <c r="AL141" s="199">
        <f>$N141*AL$34</f>
        <v/>
      </c>
      <c r="AM141" s="199">
        <f>$N141*AM$34</f>
        <v/>
      </c>
      <c r="AN141" s="199">
        <f>$N141*AN$34</f>
        <v/>
      </c>
      <c r="AO141" s="199">
        <f>$N141*AO$34</f>
        <v/>
      </c>
      <c r="AP141" s="199">
        <f>$N141*AP$34</f>
        <v/>
      </c>
      <c r="AR141" s="198">
        <f>$G141</f>
        <v/>
      </c>
      <c r="AS141" s="199">
        <f>$H141</f>
        <v/>
      </c>
      <c r="AT141" s="199">
        <f>$O141*AT$34-$Q141</f>
        <v/>
      </c>
      <c r="AU141" s="199">
        <f>$O141*AU$34-$Q141</f>
        <v/>
      </c>
      <c r="AV141" s="199">
        <f>$O141*AV$34-$Q141</f>
        <v/>
      </c>
      <c r="AW141" s="199">
        <f>$O141*AW$34-$Q141</f>
        <v/>
      </c>
      <c r="AX141" s="199">
        <f>$O141*AX$34-$Q141</f>
        <v/>
      </c>
      <c r="AZ141" s="198">
        <f>$G141</f>
        <v/>
      </c>
      <c r="BA141" s="199">
        <f>$H141</f>
        <v/>
      </c>
      <c r="BB141" s="199">
        <f>$P141*BB$34-$Q141</f>
        <v/>
      </c>
      <c r="BC141" s="199">
        <f>$P141*BC$34-$Q141</f>
        <v/>
      </c>
      <c r="BD141" s="199">
        <f>$P141*BD$34-$Q141</f>
        <v/>
      </c>
      <c r="BE141" s="199">
        <f>$P141*BE$34-$Q141</f>
        <v/>
      </c>
      <c r="BF141" s="199">
        <f>$P141*BF$34-$Q141</f>
        <v/>
      </c>
      <c r="BH141" s="198">
        <f>$G141</f>
        <v/>
      </c>
      <c r="BI141" s="197">
        <f>$I141</f>
        <v/>
      </c>
      <c r="BJ141" s="197">
        <f>+BJ142</f>
        <v/>
      </c>
      <c r="BK141" s="197">
        <f>+BK142</f>
        <v/>
      </c>
      <c r="BL141" s="197">
        <f>+BL142</f>
        <v/>
      </c>
      <c r="BM141" s="197">
        <f>+BM142</f>
        <v/>
      </c>
      <c r="BN141" s="197">
        <f>+BN142</f>
        <v/>
      </c>
      <c r="BP141" s="198">
        <f>$G141</f>
        <v/>
      </c>
      <c r="BQ141" s="197">
        <f>$J141</f>
        <v/>
      </c>
      <c r="BR141" s="197">
        <f>+BR142</f>
        <v/>
      </c>
      <c r="BS141" s="197">
        <f>+BS142</f>
        <v/>
      </c>
      <c r="BT141" s="197">
        <f>+BT142</f>
        <v/>
      </c>
      <c r="BU141" s="197">
        <f>+BU142</f>
        <v/>
      </c>
      <c r="BV141" s="197">
        <f>+BV142</f>
        <v/>
      </c>
      <c r="BX141" s="198">
        <f>$G141</f>
        <v/>
      </c>
      <c r="BY141" s="197">
        <f>$K141</f>
        <v/>
      </c>
      <c r="BZ141" s="197">
        <f>+BZ142</f>
        <v/>
      </c>
      <c r="CA141" s="197">
        <f>+CA142</f>
        <v/>
      </c>
      <c r="CB141" s="197">
        <f>+CB142</f>
        <v/>
      </c>
      <c r="CC141" s="197">
        <f>+CC142</f>
        <v/>
      </c>
      <c r="CD141" s="197">
        <f>+CD142</f>
        <v/>
      </c>
      <c r="CF141" s="198">
        <f>$G141</f>
        <v/>
      </c>
      <c r="CG141" s="197">
        <f>$L141</f>
        <v/>
      </c>
      <c r="CH141" s="197">
        <f>+CH142</f>
        <v/>
      </c>
      <c r="CI141" s="197">
        <f>+CI142</f>
        <v/>
      </c>
      <c r="CJ141" s="197">
        <f>+CJ142</f>
        <v/>
      </c>
      <c r="CK141" s="197">
        <f>+CK142</f>
        <v/>
      </c>
      <c r="CL141" s="197">
        <f>+CL142</f>
        <v/>
      </c>
      <c r="CO141" s="199" t="n"/>
      <c r="CP141" s="199" t="n">
        <v>3.33</v>
      </c>
      <c r="CR141" s="199" t="inlineStr">
        <is>
          <t>#N/A N/A</t>
        </is>
      </c>
      <c r="CS141" s="970" t="n">
        <v>1.00171</v>
      </c>
    </row>
    <row r="142">
      <c r="B142" s="204">
        <f>+C142-1</f>
        <v/>
      </c>
      <c r="C142" s="204">
        <f>IF('bands_A-H_Avg'!$D$9+1&gt;MONTH(G142),YEAR(G142),YEAR(G142)+1)</f>
        <v/>
      </c>
      <c r="D142" s="204">
        <f>+C142+1</f>
        <v/>
      </c>
      <c r="E142" s="203">
        <f>IF(C142&gt;C141,1,E141+1)</f>
        <v/>
      </c>
      <c r="F142" s="203">
        <f>COUNTIF(C:C,C142)</f>
        <v/>
      </c>
      <c r="G142" s="198">
        <f>+G141+7</f>
        <v/>
      </c>
      <c r="H142" s="361">
        <f>IF(ISBLANK(CO142),CP142,SUMPRODUCT(CO$32:CP$32,CO142:CP142))</f>
        <v/>
      </c>
      <c r="I142" s="968">
        <f>H142/M142</f>
        <v/>
      </c>
      <c r="J142" s="968">
        <f>H142/N142</f>
        <v/>
      </c>
      <c r="K142" s="968">
        <f>(H142+Q142)/O142</f>
        <v/>
      </c>
      <c r="L142" s="968">
        <f>(H142+Q142)/P142</f>
        <v/>
      </c>
      <c r="M142" s="199">
        <f>HLOOKUP(C:C,$4:$10,3,FALSE)+((HLOOKUP(D:D,$4:$10,3,FALSE)-HLOOKUP(C:C,$4:$10,3,FALSE))*E142/F142)</f>
        <v/>
      </c>
      <c r="N142" s="199">
        <f>HLOOKUP(C:C,$4:$10,2,FALSE)+((HLOOKUP(D:D,$4:$10,2,FALSE)-HLOOKUP(C:C,$4:$10,2,FALSE))*E142/F142)</f>
        <v/>
      </c>
      <c r="O142" s="199">
        <f>HLOOKUP(C:C,$4:$10,5,FALSE)+((HLOOKUP(D:D,$4:$10,5,FALSE)-HLOOKUP(C:C,$4:$10,5,FALSE))*E142/F142)</f>
        <v/>
      </c>
      <c r="P142" s="199">
        <f>HLOOKUP(C:C,$4:$10,4,FALSE)+((HLOOKUP(D:D,$4:$10,4,FALSE)-HLOOKUP(C:C,$4:$10,4,FALSE))*E142/F142)</f>
        <v/>
      </c>
      <c r="Q142" s="199">
        <f>HLOOKUP(B:B,$4:$10,6,FALSE)+((HLOOKUP(C:C,$4:$10,6,FALSE)-HLOOKUP(B:B,$4:$10,6,FALSE))*E142/F142)</f>
        <v/>
      </c>
      <c r="T142" s="198">
        <f>$G142</f>
        <v/>
      </c>
      <c r="U142" s="199">
        <f>H142/(HLOOKUP(B:B,$4:$10,3,FALSE)+((HLOOKUP(C:C,$4:$10,3,FALSE)-HLOOKUP(B:B,$4:$10,3,FALSE))*E142/F142))</f>
        <v/>
      </c>
      <c r="V142" s="969">
        <f>HLOOKUP(B:B,$4:$10,7,FALSE)+((HLOOKUP(C:C,$4:$10,7,FALSE)-HLOOKUP(B:B,$4:$10,7,FALSE))*E142/F142)</f>
        <v/>
      </c>
      <c r="AB142" s="198">
        <f>$G142</f>
        <v/>
      </c>
      <c r="AC142" s="199">
        <f>$H142</f>
        <v/>
      </c>
      <c r="AD142" s="199">
        <f>$M142*AD$34</f>
        <v/>
      </c>
      <c r="AE142" s="199">
        <f>$M142*AE$34</f>
        <v/>
      </c>
      <c r="AF142" s="199">
        <f>$M142*AF$34</f>
        <v/>
      </c>
      <c r="AG142" s="199">
        <f>$M142*AG$34</f>
        <v/>
      </c>
      <c r="AH142" s="199">
        <f>$M142*AH$34</f>
        <v/>
      </c>
      <c r="AJ142" s="198">
        <f>$G142</f>
        <v/>
      </c>
      <c r="AK142" s="199">
        <f>$H142</f>
        <v/>
      </c>
      <c r="AL142" s="199">
        <f>$N142*AL$34</f>
        <v/>
      </c>
      <c r="AM142" s="199">
        <f>$N142*AM$34</f>
        <v/>
      </c>
      <c r="AN142" s="199">
        <f>$N142*AN$34</f>
        <v/>
      </c>
      <c r="AO142" s="199">
        <f>$N142*AO$34</f>
        <v/>
      </c>
      <c r="AP142" s="199">
        <f>$N142*AP$34</f>
        <v/>
      </c>
      <c r="AR142" s="198">
        <f>$G142</f>
        <v/>
      </c>
      <c r="AS142" s="199">
        <f>$H142</f>
        <v/>
      </c>
      <c r="AT142" s="199">
        <f>$O142*AT$34-$Q142</f>
        <v/>
      </c>
      <c r="AU142" s="199">
        <f>$O142*AU$34-$Q142</f>
        <v/>
      </c>
      <c r="AV142" s="199">
        <f>$O142*AV$34-$Q142</f>
        <v/>
      </c>
      <c r="AW142" s="199">
        <f>$O142*AW$34-$Q142</f>
        <v/>
      </c>
      <c r="AX142" s="199">
        <f>$O142*AX$34-$Q142</f>
        <v/>
      </c>
      <c r="AZ142" s="198">
        <f>$G142</f>
        <v/>
      </c>
      <c r="BA142" s="199">
        <f>$H142</f>
        <v/>
      </c>
      <c r="BB142" s="199">
        <f>$P142*BB$34-$Q142</f>
        <v/>
      </c>
      <c r="BC142" s="199">
        <f>$P142*BC$34-$Q142</f>
        <v/>
      </c>
      <c r="BD142" s="199">
        <f>$P142*BD$34-$Q142</f>
        <v/>
      </c>
      <c r="BE142" s="199">
        <f>$P142*BE$34-$Q142</f>
        <v/>
      </c>
      <c r="BF142" s="199">
        <f>$P142*BF$34-$Q142</f>
        <v/>
      </c>
      <c r="BH142" s="198">
        <f>$G142</f>
        <v/>
      </c>
      <c r="BI142" s="197">
        <f>$I142</f>
        <v/>
      </c>
      <c r="BJ142" s="197">
        <f>+BJ143</f>
        <v/>
      </c>
      <c r="BK142" s="197">
        <f>+BK143</f>
        <v/>
      </c>
      <c r="BL142" s="197">
        <f>+BL143</f>
        <v/>
      </c>
      <c r="BM142" s="197">
        <f>+BM143</f>
        <v/>
      </c>
      <c r="BN142" s="197">
        <f>+BN143</f>
        <v/>
      </c>
      <c r="BP142" s="198">
        <f>$G142</f>
        <v/>
      </c>
      <c r="BQ142" s="197">
        <f>$J142</f>
        <v/>
      </c>
      <c r="BR142" s="197">
        <f>+BR143</f>
        <v/>
      </c>
      <c r="BS142" s="197">
        <f>+BS143</f>
        <v/>
      </c>
      <c r="BT142" s="197">
        <f>+BT143</f>
        <v/>
      </c>
      <c r="BU142" s="197">
        <f>+BU143</f>
        <v/>
      </c>
      <c r="BV142" s="197">
        <f>+BV143</f>
        <v/>
      </c>
      <c r="BX142" s="198">
        <f>$G142</f>
        <v/>
      </c>
      <c r="BY142" s="197">
        <f>$K142</f>
        <v/>
      </c>
      <c r="BZ142" s="197">
        <f>+BZ143</f>
        <v/>
      </c>
      <c r="CA142" s="197">
        <f>+CA143</f>
        <v/>
      </c>
      <c r="CB142" s="197">
        <f>+CB143</f>
        <v/>
      </c>
      <c r="CC142" s="197">
        <f>+CC143</f>
        <v/>
      </c>
      <c r="CD142" s="197">
        <f>+CD143</f>
        <v/>
      </c>
      <c r="CF142" s="198">
        <f>$G142</f>
        <v/>
      </c>
      <c r="CG142" s="197">
        <f>$L142</f>
        <v/>
      </c>
      <c r="CH142" s="197">
        <f>+CH143</f>
        <v/>
      </c>
      <c r="CI142" s="197">
        <f>+CI143</f>
        <v/>
      </c>
      <c r="CJ142" s="197">
        <f>+CJ143</f>
        <v/>
      </c>
      <c r="CK142" s="197">
        <f>+CK143</f>
        <v/>
      </c>
      <c r="CL142" s="197">
        <f>+CL143</f>
        <v/>
      </c>
      <c r="CO142" s="199" t="n"/>
      <c r="CP142" s="199" t="n">
        <v>3.31</v>
      </c>
      <c r="CR142" s="199" t="inlineStr">
        <is>
          <t>#N/A N/A</t>
        </is>
      </c>
      <c r="CS142" s="970" t="n">
        <v>0.99983</v>
      </c>
    </row>
    <row r="143">
      <c r="B143" s="204">
        <f>+C143-1</f>
        <v/>
      </c>
      <c r="C143" s="204">
        <f>IF('bands_A-H_Avg'!$D$9+1&gt;MONTH(G143),YEAR(G143),YEAR(G143)+1)</f>
        <v/>
      </c>
      <c r="D143" s="204">
        <f>+C143+1</f>
        <v/>
      </c>
      <c r="E143" s="203">
        <f>IF(C143&gt;C142,1,E142+1)</f>
        <v/>
      </c>
      <c r="F143" s="203">
        <f>COUNTIF(C:C,C143)</f>
        <v/>
      </c>
      <c r="G143" s="198">
        <f>+G142+7</f>
        <v/>
      </c>
      <c r="H143" s="361">
        <f>IF(ISBLANK(CO143),CP143,SUMPRODUCT(CO$32:CP$32,CO143:CP143))</f>
        <v/>
      </c>
      <c r="I143" s="968">
        <f>H143/M143</f>
        <v/>
      </c>
      <c r="J143" s="968">
        <f>H143/N143</f>
        <v/>
      </c>
      <c r="K143" s="968">
        <f>(H143+Q143)/O143</f>
        <v/>
      </c>
      <c r="L143" s="968">
        <f>(H143+Q143)/P143</f>
        <v/>
      </c>
      <c r="M143" s="199">
        <f>HLOOKUP(C:C,$4:$10,3,FALSE)+((HLOOKUP(D:D,$4:$10,3,FALSE)-HLOOKUP(C:C,$4:$10,3,FALSE))*E143/F143)</f>
        <v/>
      </c>
      <c r="N143" s="199">
        <f>HLOOKUP(C:C,$4:$10,2,FALSE)+((HLOOKUP(D:D,$4:$10,2,FALSE)-HLOOKUP(C:C,$4:$10,2,FALSE))*E143/F143)</f>
        <v/>
      </c>
      <c r="O143" s="199">
        <f>HLOOKUP(C:C,$4:$10,5,FALSE)+((HLOOKUP(D:D,$4:$10,5,FALSE)-HLOOKUP(C:C,$4:$10,5,FALSE))*E143/F143)</f>
        <v/>
      </c>
      <c r="P143" s="199">
        <f>HLOOKUP(C:C,$4:$10,4,FALSE)+((HLOOKUP(D:D,$4:$10,4,FALSE)-HLOOKUP(C:C,$4:$10,4,FALSE))*E143/F143)</f>
        <v/>
      </c>
      <c r="Q143" s="199">
        <f>HLOOKUP(B:B,$4:$10,6,FALSE)+((HLOOKUP(C:C,$4:$10,6,FALSE)-HLOOKUP(B:B,$4:$10,6,FALSE))*E143/F143)</f>
        <v/>
      </c>
      <c r="T143" s="198">
        <f>$G143</f>
        <v/>
      </c>
      <c r="U143" s="199">
        <f>H143/(HLOOKUP(B:B,$4:$10,3,FALSE)+((HLOOKUP(C:C,$4:$10,3,FALSE)-HLOOKUP(B:B,$4:$10,3,FALSE))*E143/F143))</f>
        <v/>
      </c>
      <c r="V143" s="969">
        <f>HLOOKUP(B:B,$4:$10,7,FALSE)+((HLOOKUP(C:C,$4:$10,7,FALSE)-HLOOKUP(B:B,$4:$10,7,FALSE))*E143/F143)</f>
        <v/>
      </c>
      <c r="AB143" s="198">
        <f>$G143</f>
        <v/>
      </c>
      <c r="AC143" s="199">
        <f>$H143</f>
        <v/>
      </c>
      <c r="AD143" s="199">
        <f>$M143*AD$34</f>
        <v/>
      </c>
      <c r="AE143" s="199">
        <f>$M143*AE$34</f>
        <v/>
      </c>
      <c r="AF143" s="199">
        <f>$M143*AF$34</f>
        <v/>
      </c>
      <c r="AG143" s="199">
        <f>$M143*AG$34</f>
        <v/>
      </c>
      <c r="AH143" s="199">
        <f>$M143*AH$34</f>
        <v/>
      </c>
      <c r="AJ143" s="198">
        <f>$G143</f>
        <v/>
      </c>
      <c r="AK143" s="199">
        <f>$H143</f>
        <v/>
      </c>
      <c r="AL143" s="199">
        <f>$N143*AL$34</f>
        <v/>
      </c>
      <c r="AM143" s="199">
        <f>$N143*AM$34</f>
        <v/>
      </c>
      <c r="AN143" s="199">
        <f>$N143*AN$34</f>
        <v/>
      </c>
      <c r="AO143" s="199">
        <f>$N143*AO$34</f>
        <v/>
      </c>
      <c r="AP143" s="199">
        <f>$N143*AP$34</f>
        <v/>
      </c>
      <c r="AR143" s="198">
        <f>$G143</f>
        <v/>
      </c>
      <c r="AS143" s="199">
        <f>$H143</f>
        <v/>
      </c>
      <c r="AT143" s="199">
        <f>$O143*AT$34-$Q143</f>
        <v/>
      </c>
      <c r="AU143" s="199">
        <f>$O143*AU$34-$Q143</f>
        <v/>
      </c>
      <c r="AV143" s="199">
        <f>$O143*AV$34-$Q143</f>
        <v/>
      </c>
      <c r="AW143" s="199">
        <f>$O143*AW$34-$Q143</f>
        <v/>
      </c>
      <c r="AX143" s="199">
        <f>$O143*AX$34-$Q143</f>
        <v/>
      </c>
      <c r="AZ143" s="198">
        <f>$G143</f>
        <v/>
      </c>
      <c r="BA143" s="199">
        <f>$H143</f>
        <v/>
      </c>
      <c r="BB143" s="199">
        <f>$P143*BB$34-$Q143</f>
        <v/>
      </c>
      <c r="BC143" s="199">
        <f>$P143*BC$34-$Q143</f>
        <v/>
      </c>
      <c r="BD143" s="199">
        <f>$P143*BD$34-$Q143</f>
        <v/>
      </c>
      <c r="BE143" s="199">
        <f>$P143*BE$34-$Q143</f>
        <v/>
      </c>
      <c r="BF143" s="199">
        <f>$P143*BF$34-$Q143</f>
        <v/>
      </c>
      <c r="BH143" s="198">
        <f>$G143</f>
        <v/>
      </c>
      <c r="BI143" s="197">
        <f>$I143</f>
        <v/>
      </c>
      <c r="BJ143" s="197">
        <f>+BJ144</f>
        <v/>
      </c>
      <c r="BK143" s="197">
        <f>+BK144</f>
        <v/>
      </c>
      <c r="BL143" s="197">
        <f>+BL144</f>
        <v/>
      </c>
      <c r="BM143" s="197">
        <f>+BM144</f>
        <v/>
      </c>
      <c r="BN143" s="197">
        <f>+BN144</f>
        <v/>
      </c>
      <c r="BP143" s="198">
        <f>$G143</f>
        <v/>
      </c>
      <c r="BQ143" s="197">
        <f>$J143</f>
        <v/>
      </c>
      <c r="BR143" s="197">
        <f>+BR144</f>
        <v/>
      </c>
      <c r="BS143" s="197">
        <f>+BS144</f>
        <v/>
      </c>
      <c r="BT143" s="197">
        <f>+BT144</f>
        <v/>
      </c>
      <c r="BU143" s="197">
        <f>+BU144</f>
        <v/>
      </c>
      <c r="BV143" s="197">
        <f>+BV144</f>
        <v/>
      </c>
      <c r="BX143" s="198">
        <f>$G143</f>
        <v/>
      </c>
      <c r="BY143" s="197">
        <f>$K143</f>
        <v/>
      </c>
      <c r="BZ143" s="197">
        <f>+BZ144</f>
        <v/>
      </c>
      <c r="CA143" s="197">
        <f>+CA144</f>
        <v/>
      </c>
      <c r="CB143" s="197">
        <f>+CB144</f>
        <v/>
      </c>
      <c r="CC143" s="197">
        <f>+CC144</f>
        <v/>
      </c>
      <c r="CD143" s="197">
        <f>+CD144</f>
        <v/>
      </c>
      <c r="CF143" s="198">
        <f>$G143</f>
        <v/>
      </c>
      <c r="CG143" s="197">
        <f>$L143</f>
        <v/>
      </c>
      <c r="CH143" s="197">
        <f>+CH144</f>
        <v/>
      </c>
      <c r="CI143" s="197">
        <f>+CI144</f>
        <v/>
      </c>
      <c r="CJ143" s="197">
        <f>+CJ144</f>
        <v/>
      </c>
      <c r="CK143" s="197">
        <f>+CK144</f>
        <v/>
      </c>
      <c r="CL143" s="197">
        <f>+CL144</f>
        <v/>
      </c>
      <c r="CO143" s="199" t="n"/>
      <c r="CP143" s="199" t="n">
        <v>3.45</v>
      </c>
      <c r="CR143" s="199" t="inlineStr">
        <is>
          <t>#N/A N/A</t>
        </is>
      </c>
      <c r="CS143" s="970" t="n">
        <v>0.99564</v>
      </c>
    </row>
    <row r="144">
      <c r="B144" s="204">
        <f>+C144-1</f>
        <v/>
      </c>
      <c r="C144" s="204">
        <f>IF('bands_A-H_Avg'!$D$9+1&gt;MONTH(G144),YEAR(G144),YEAR(G144)+1)</f>
        <v/>
      </c>
      <c r="D144" s="204">
        <f>+C144+1</f>
        <v/>
      </c>
      <c r="E144" s="203">
        <f>IF(C144&gt;C143,1,E143+1)</f>
        <v/>
      </c>
      <c r="F144" s="203">
        <f>COUNTIF(C:C,C144)</f>
        <v/>
      </c>
      <c r="G144" s="198">
        <f>+G143+7</f>
        <v/>
      </c>
      <c r="H144" s="361">
        <f>IF(ISBLANK(CO144),CP144,SUMPRODUCT(CO$32:CP$32,CO144:CP144))</f>
        <v/>
      </c>
      <c r="I144" s="968">
        <f>H144/M144</f>
        <v/>
      </c>
      <c r="J144" s="968">
        <f>H144/N144</f>
        <v/>
      </c>
      <c r="K144" s="968">
        <f>(H144+Q144)/O144</f>
        <v/>
      </c>
      <c r="L144" s="968">
        <f>(H144+Q144)/P144</f>
        <v/>
      </c>
      <c r="M144" s="199">
        <f>HLOOKUP(C:C,$4:$10,3,FALSE)+((HLOOKUP(D:D,$4:$10,3,FALSE)-HLOOKUP(C:C,$4:$10,3,FALSE))*E144/F144)</f>
        <v/>
      </c>
      <c r="N144" s="199">
        <f>HLOOKUP(C:C,$4:$10,2,FALSE)+((HLOOKUP(D:D,$4:$10,2,FALSE)-HLOOKUP(C:C,$4:$10,2,FALSE))*E144/F144)</f>
        <v/>
      </c>
      <c r="O144" s="199">
        <f>HLOOKUP(C:C,$4:$10,5,FALSE)+((HLOOKUP(D:D,$4:$10,5,FALSE)-HLOOKUP(C:C,$4:$10,5,FALSE))*E144/F144)</f>
        <v/>
      </c>
      <c r="P144" s="199">
        <f>HLOOKUP(C:C,$4:$10,4,FALSE)+((HLOOKUP(D:D,$4:$10,4,FALSE)-HLOOKUP(C:C,$4:$10,4,FALSE))*E144/F144)</f>
        <v/>
      </c>
      <c r="Q144" s="199">
        <f>HLOOKUP(B:B,$4:$10,6,FALSE)+((HLOOKUP(C:C,$4:$10,6,FALSE)-HLOOKUP(B:B,$4:$10,6,FALSE))*E144/F144)</f>
        <v/>
      </c>
      <c r="T144" s="198">
        <f>$G144</f>
        <v/>
      </c>
      <c r="U144" s="199">
        <f>H144/(HLOOKUP(B:B,$4:$10,3,FALSE)+((HLOOKUP(C:C,$4:$10,3,FALSE)-HLOOKUP(B:B,$4:$10,3,FALSE))*E144/F144))</f>
        <v/>
      </c>
      <c r="V144" s="969">
        <f>HLOOKUP(B:B,$4:$10,7,FALSE)+((HLOOKUP(C:C,$4:$10,7,FALSE)-HLOOKUP(B:B,$4:$10,7,FALSE))*E144/F144)</f>
        <v/>
      </c>
      <c r="AB144" s="198">
        <f>$G144</f>
        <v/>
      </c>
      <c r="AC144" s="199">
        <f>$H144</f>
        <v/>
      </c>
      <c r="AD144" s="199">
        <f>$M144*AD$34</f>
        <v/>
      </c>
      <c r="AE144" s="199">
        <f>$M144*AE$34</f>
        <v/>
      </c>
      <c r="AF144" s="199">
        <f>$M144*AF$34</f>
        <v/>
      </c>
      <c r="AG144" s="199">
        <f>$M144*AG$34</f>
        <v/>
      </c>
      <c r="AH144" s="199">
        <f>$M144*AH$34</f>
        <v/>
      </c>
      <c r="AJ144" s="198">
        <f>$G144</f>
        <v/>
      </c>
      <c r="AK144" s="199">
        <f>$H144</f>
        <v/>
      </c>
      <c r="AL144" s="199">
        <f>$N144*AL$34</f>
        <v/>
      </c>
      <c r="AM144" s="199">
        <f>$N144*AM$34</f>
        <v/>
      </c>
      <c r="AN144" s="199">
        <f>$N144*AN$34</f>
        <v/>
      </c>
      <c r="AO144" s="199">
        <f>$N144*AO$34</f>
        <v/>
      </c>
      <c r="AP144" s="199">
        <f>$N144*AP$34</f>
        <v/>
      </c>
      <c r="AR144" s="198">
        <f>$G144</f>
        <v/>
      </c>
      <c r="AS144" s="199">
        <f>$H144</f>
        <v/>
      </c>
      <c r="AT144" s="199">
        <f>$O144*AT$34-$Q144</f>
        <v/>
      </c>
      <c r="AU144" s="199">
        <f>$O144*AU$34-$Q144</f>
        <v/>
      </c>
      <c r="AV144" s="199">
        <f>$O144*AV$34-$Q144</f>
        <v/>
      </c>
      <c r="AW144" s="199">
        <f>$O144*AW$34-$Q144</f>
        <v/>
      </c>
      <c r="AX144" s="199">
        <f>$O144*AX$34-$Q144</f>
        <v/>
      </c>
      <c r="AZ144" s="198">
        <f>$G144</f>
        <v/>
      </c>
      <c r="BA144" s="199">
        <f>$H144</f>
        <v/>
      </c>
      <c r="BB144" s="199">
        <f>$P144*BB$34-$Q144</f>
        <v/>
      </c>
      <c r="BC144" s="199">
        <f>$P144*BC$34-$Q144</f>
        <v/>
      </c>
      <c r="BD144" s="199">
        <f>$P144*BD$34-$Q144</f>
        <v/>
      </c>
      <c r="BE144" s="199">
        <f>$P144*BE$34-$Q144</f>
        <v/>
      </c>
      <c r="BF144" s="199">
        <f>$P144*BF$34-$Q144</f>
        <v/>
      </c>
      <c r="BH144" s="198">
        <f>$G144</f>
        <v/>
      </c>
      <c r="BI144" s="197">
        <f>$I144</f>
        <v/>
      </c>
      <c r="BJ144" s="197">
        <f>+BJ145</f>
        <v/>
      </c>
      <c r="BK144" s="197">
        <f>+BK145</f>
        <v/>
      </c>
      <c r="BL144" s="197">
        <f>+BL145</f>
        <v/>
      </c>
      <c r="BM144" s="197">
        <f>+BM145</f>
        <v/>
      </c>
      <c r="BN144" s="197">
        <f>+BN145</f>
        <v/>
      </c>
      <c r="BP144" s="198">
        <f>$G144</f>
        <v/>
      </c>
      <c r="BQ144" s="197">
        <f>$J144</f>
        <v/>
      </c>
      <c r="BR144" s="197">
        <f>+BR145</f>
        <v/>
      </c>
      <c r="BS144" s="197">
        <f>+BS145</f>
        <v/>
      </c>
      <c r="BT144" s="197">
        <f>+BT145</f>
        <v/>
      </c>
      <c r="BU144" s="197">
        <f>+BU145</f>
        <v/>
      </c>
      <c r="BV144" s="197">
        <f>+BV145</f>
        <v/>
      </c>
      <c r="BX144" s="198">
        <f>$G144</f>
        <v/>
      </c>
      <c r="BY144" s="197">
        <f>$K144</f>
        <v/>
      </c>
      <c r="BZ144" s="197">
        <f>+BZ145</f>
        <v/>
      </c>
      <c r="CA144" s="197">
        <f>+CA145</f>
        <v/>
      </c>
      <c r="CB144" s="197">
        <f>+CB145</f>
        <v/>
      </c>
      <c r="CC144" s="197">
        <f>+CC145</f>
        <v/>
      </c>
      <c r="CD144" s="197">
        <f>+CD145</f>
        <v/>
      </c>
      <c r="CF144" s="198">
        <f>$G144</f>
        <v/>
      </c>
      <c r="CG144" s="197">
        <f>$L144</f>
        <v/>
      </c>
      <c r="CH144" s="197">
        <f>+CH145</f>
        <v/>
      </c>
      <c r="CI144" s="197">
        <f>+CI145</f>
        <v/>
      </c>
      <c r="CJ144" s="197">
        <f>+CJ145</f>
        <v/>
      </c>
      <c r="CK144" s="197">
        <f>+CK145</f>
        <v/>
      </c>
      <c r="CL144" s="197">
        <f>+CL145</f>
        <v/>
      </c>
      <c r="CO144" s="199" t="n"/>
      <c r="CP144" s="199" t="n">
        <v>3.69</v>
      </c>
      <c r="CR144" s="199" t="inlineStr">
        <is>
          <t>#N/A N/A</t>
        </is>
      </c>
      <c r="CS144" s="970" t="n">
        <v>0.9954</v>
      </c>
    </row>
    <row r="145">
      <c r="B145" s="204">
        <f>+C145-1</f>
        <v/>
      </c>
      <c r="C145" s="204">
        <f>IF('bands_A-H_Avg'!$D$9+1&gt;MONTH(G145),YEAR(G145),YEAR(G145)+1)</f>
        <v/>
      </c>
      <c r="D145" s="204">
        <f>+C145+1</f>
        <v/>
      </c>
      <c r="E145" s="203">
        <f>IF(C145&gt;C144,1,E144+1)</f>
        <v/>
      </c>
      <c r="F145" s="203">
        <f>COUNTIF(C:C,C145)</f>
        <v/>
      </c>
      <c r="G145" s="198">
        <f>+G144+7</f>
        <v/>
      </c>
      <c r="H145" s="361">
        <f>IF(ISBLANK(CO145),CP145,SUMPRODUCT(CO$32:CP$32,CO145:CP145))</f>
        <v/>
      </c>
      <c r="I145" s="968">
        <f>H145/M145</f>
        <v/>
      </c>
      <c r="J145" s="968">
        <f>H145/N145</f>
        <v/>
      </c>
      <c r="K145" s="968">
        <f>(H145+Q145)/O145</f>
        <v/>
      </c>
      <c r="L145" s="968">
        <f>(H145+Q145)/P145</f>
        <v/>
      </c>
      <c r="M145" s="199">
        <f>HLOOKUP(C:C,$4:$10,3,FALSE)+((HLOOKUP(D:D,$4:$10,3,FALSE)-HLOOKUP(C:C,$4:$10,3,FALSE))*E145/F145)</f>
        <v/>
      </c>
      <c r="N145" s="199">
        <f>HLOOKUP(C:C,$4:$10,2,FALSE)+((HLOOKUP(D:D,$4:$10,2,FALSE)-HLOOKUP(C:C,$4:$10,2,FALSE))*E145/F145)</f>
        <v/>
      </c>
      <c r="O145" s="199">
        <f>HLOOKUP(C:C,$4:$10,5,FALSE)+((HLOOKUP(D:D,$4:$10,5,FALSE)-HLOOKUP(C:C,$4:$10,5,FALSE))*E145/F145)</f>
        <v/>
      </c>
      <c r="P145" s="199">
        <f>HLOOKUP(C:C,$4:$10,4,FALSE)+((HLOOKUP(D:D,$4:$10,4,FALSE)-HLOOKUP(C:C,$4:$10,4,FALSE))*E145/F145)</f>
        <v/>
      </c>
      <c r="Q145" s="199">
        <f>HLOOKUP(B:B,$4:$10,6,FALSE)+((HLOOKUP(C:C,$4:$10,6,FALSE)-HLOOKUP(B:B,$4:$10,6,FALSE))*E145/F145)</f>
        <v/>
      </c>
      <c r="T145" s="198">
        <f>$G145</f>
        <v/>
      </c>
      <c r="U145" s="199">
        <f>H145/(HLOOKUP(B:B,$4:$10,3,FALSE)+((HLOOKUP(C:C,$4:$10,3,FALSE)-HLOOKUP(B:B,$4:$10,3,FALSE))*E145/F145))</f>
        <v/>
      </c>
      <c r="V145" s="969">
        <f>HLOOKUP(B:B,$4:$10,7,FALSE)+((HLOOKUP(C:C,$4:$10,7,FALSE)-HLOOKUP(B:B,$4:$10,7,FALSE))*E145/F145)</f>
        <v/>
      </c>
      <c r="AB145" s="198">
        <f>$G145</f>
        <v/>
      </c>
      <c r="AC145" s="199">
        <f>$H145</f>
        <v/>
      </c>
      <c r="AD145" s="199">
        <f>$M145*AD$34</f>
        <v/>
      </c>
      <c r="AE145" s="199">
        <f>$M145*AE$34</f>
        <v/>
      </c>
      <c r="AF145" s="199">
        <f>$M145*AF$34</f>
        <v/>
      </c>
      <c r="AG145" s="199">
        <f>$M145*AG$34</f>
        <v/>
      </c>
      <c r="AH145" s="199">
        <f>$M145*AH$34</f>
        <v/>
      </c>
      <c r="AJ145" s="198">
        <f>$G145</f>
        <v/>
      </c>
      <c r="AK145" s="199">
        <f>$H145</f>
        <v/>
      </c>
      <c r="AL145" s="199">
        <f>$N145*AL$34</f>
        <v/>
      </c>
      <c r="AM145" s="199">
        <f>$N145*AM$34</f>
        <v/>
      </c>
      <c r="AN145" s="199">
        <f>$N145*AN$34</f>
        <v/>
      </c>
      <c r="AO145" s="199">
        <f>$N145*AO$34</f>
        <v/>
      </c>
      <c r="AP145" s="199">
        <f>$N145*AP$34</f>
        <v/>
      </c>
      <c r="AR145" s="198">
        <f>$G145</f>
        <v/>
      </c>
      <c r="AS145" s="199">
        <f>$H145</f>
        <v/>
      </c>
      <c r="AT145" s="199">
        <f>$O145*AT$34-$Q145</f>
        <v/>
      </c>
      <c r="AU145" s="199">
        <f>$O145*AU$34-$Q145</f>
        <v/>
      </c>
      <c r="AV145" s="199">
        <f>$O145*AV$34-$Q145</f>
        <v/>
      </c>
      <c r="AW145" s="199">
        <f>$O145*AW$34-$Q145</f>
        <v/>
      </c>
      <c r="AX145" s="199">
        <f>$O145*AX$34-$Q145</f>
        <v/>
      </c>
      <c r="AZ145" s="198">
        <f>$G145</f>
        <v/>
      </c>
      <c r="BA145" s="199">
        <f>$H145</f>
        <v/>
      </c>
      <c r="BB145" s="199">
        <f>$P145*BB$34-$Q145</f>
        <v/>
      </c>
      <c r="BC145" s="199">
        <f>$P145*BC$34-$Q145</f>
        <v/>
      </c>
      <c r="BD145" s="199">
        <f>$P145*BD$34-$Q145</f>
        <v/>
      </c>
      <c r="BE145" s="199">
        <f>$P145*BE$34-$Q145</f>
        <v/>
      </c>
      <c r="BF145" s="199">
        <f>$P145*BF$34-$Q145</f>
        <v/>
      </c>
      <c r="BH145" s="198">
        <f>$G145</f>
        <v/>
      </c>
      <c r="BI145" s="197">
        <f>$I145</f>
        <v/>
      </c>
      <c r="BJ145" s="197">
        <f>+BJ146</f>
        <v/>
      </c>
      <c r="BK145" s="197">
        <f>+BK146</f>
        <v/>
      </c>
      <c r="BL145" s="197">
        <f>+BL146</f>
        <v/>
      </c>
      <c r="BM145" s="197">
        <f>+BM146</f>
        <v/>
      </c>
      <c r="BN145" s="197">
        <f>+BN146</f>
        <v/>
      </c>
      <c r="BP145" s="198">
        <f>$G145</f>
        <v/>
      </c>
      <c r="BQ145" s="197">
        <f>$J145</f>
        <v/>
      </c>
      <c r="BR145" s="197">
        <f>+BR146</f>
        <v/>
      </c>
      <c r="BS145" s="197">
        <f>+BS146</f>
        <v/>
      </c>
      <c r="BT145" s="197">
        <f>+BT146</f>
        <v/>
      </c>
      <c r="BU145" s="197">
        <f>+BU146</f>
        <v/>
      </c>
      <c r="BV145" s="197">
        <f>+BV146</f>
        <v/>
      </c>
      <c r="BX145" s="198">
        <f>$G145</f>
        <v/>
      </c>
      <c r="BY145" s="197">
        <f>$K145</f>
        <v/>
      </c>
      <c r="BZ145" s="197">
        <f>+BZ146</f>
        <v/>
      </c>
      <c r="CA145" s="197">
        <f>+CA146</f>
        <v/>
      </c>
      <c r="CB145" s="197">
        <f>+CB146</f>
        <v/>
      </c>
      <c r="CC145" s="197">
        <f>+CC146</f>
        <v/>
      </c>
      <c r="CD145" s="197">
        <f>+CD146</f>
        <v/>
      </c>
      <c r="CF145" s="198">
        <f>$G145</f>
        <v/>
      </c>
      <c r="CG145" s="197">
        <f>$L145</f>
        <v/>
      </c>
      <c r="CH145" s="197">
        <f>+CH146</f>
        <v/>
      </c>
      <c r="CI145" s="197">
        <f>+CI146</f>
        <v/>
      </c>
      <c r="CJ145" s="197">
        <f>+CJ146</f>
        <v/>
      </c>
      <c r="CK145" s="197">
        <f>+CK146</f>
        <v/>
      </c>
      <c r="CL145" s="197">
        <f>+CL146</f>
        <v/>
      </c>
      <c r="CO145" s="199" t="n"/>
      <c r="CP145" s="199" t="n">
        <v>3.91</v>
      </c>
      <c r="CR145" s="199" t="inlineStr">
        <is>
          <t>#N/A N/A</t>
        </is>
      </c>
      <c r="CS145" s="970" t="n">
        <v>0.99335</v>
      </c>
    </row>
    <row r="146">
      <c r="B146" s="204">
        <f>+C146-1</f>
        <v/>
      </c>
      <c r="C146" s="204">
        <f>IF('bands_A-H_Avg'!$D$9+1&gt;MONTH(G146),YEAR(G146),YEAR(G146)+1)</f>
        <v/>
      </c>
      <c r="D146" s="204">
        <f>+C146+1</f>
        <v/>
      </c>
      <c r="E146" s="203">
        <f>IF(C146&gt;C145,1,E145+1)</f>
        <v/>
      </c>
      <c r="F146" s="203">
        <f>COUNTIF(C:C,C146)</f>
        <v/>
      </c>
      <c r="G146" s="198">
        <f>+G145+7</f>
        <v/>
      </c>
      <c r="H146" s="361">
        <f>IF(ISBLANK(CO146),CP146,SUMPRODUCT(CO$32:CP$32,CO146:CP146))</f>
        <v/>
      </c>
      <c r="I146" s="968">
        <f>H146/M146</f>
        <v/>
      </c>
      <c r="J146" s="968">
        <f>H146/N146</f>
        <v/>
      </c>
      <c r="K146" s="968">
        <f>(H146+Q146)/O146</f>
        <v/>
      </c>
      <c r="L146" s="968">
        <f>(H146+Q146)/P146</f>
        <v/>
      </c>
      <c r="M146" s="199">
        <f>HLOOKUP(C:C,$4:$10,3,FALSE)+((HLOOKUP(D:D,$4:$10,3,FALSE)-HLOOKUP(C:C,$4:$10,3,FALSE))*E146/F146)</f>
        <v/>
      </c>
      <c r="N146" s="199">
        <f>HLOOKUP(C:C,$4:$10,2,FALSE)+((HLOOKUP(D:D,$4:$10,2,FALSE)-HLOOKUP(C:C,$4:$10,2,FALSE))*E146/F146)</f>
        <v/>
      </c>
      <c r="O146" s="199">
        <f>HLOOKUP(C:C,$4:$10,5,FALSE)+((HLOOKUP(D:D,$4:$10,5,FALSE)-HLOOKUP(C:C,$4:$10,5,FALSE))*E146/F146)</f>
        <v/>
      </c>
      <c r="P146" s="199">
        <f>HLOOKUP(C:C,$4:$10,4,FALSE)+((HLOOKUP(D:D,$4:$10,4,FALSE)-HLOOKUP(C:C,$4:$10,4,FALSE))*E146/F146)</f>
        <v/>
      </c>
      <c r="Q146" s="199">
        <f>HLOOKUP(B:B,$4:$10,6,FALSE)+((HLOOKUP(C:C,$4:$10,6,FALSE)-HLOOKUP(B:B,$4:$10,6,FALSE))*E146/F146)</f>
        <v/>
      </c>
      <c r="T146" s="198">
        <f>$G146</f>
        <v/>
      </c>
      <c r="U146" s="199">
        <f>H146/(HLOOKUP(B:B,$4:$10,3,FALSE)+((HLOOKUP(C:C,$4:$10,3,FALSE)-HLOOKUP(B:B,$4:$10,3,FALSE))*E146/F146))</f>
        <v/>
      </c>
      <c r="V146" s="969">
        <f>HLOOKUP(B:B,$4:$10,7,FALSE)+((HLOOKUP(C:C,$4:$10,7,FALSE)-HLOOKUP(B:B,$4:$10,7,FALSE))*E146/F146)</f>
        <v/>
      </c>
      <c r="AB146" s="198">
        <f>$G146</f>
        <v/>
      </c>
      <c r="AC146" s="199">
        <f>$H146</f>
        <v/>
      </c>
      <c r="AD146" s="199">
        <f>$M146*AD$34</f>
        <v/>
      </c>
      <c r="AE146" s="199">
        <f>$M146*AE$34</f>
        <v/>
      </c>
      <c r="AF146" s="199">
        <f>$M146*AF$34</f>
        <v/>
      </c>
      <c r="AG146" s="199">
        <f>$M146*AG$34</f>
        <v/>
      </c>
      <c r="AH146" s="199">
        <f>$M146*AH$34</f>
        <v/>
      </c>
      <c r="AJ146" s="198">
        <f>$G146</f>
        <v/>
      </c>
      <c r="AK146" s="199">
        <f>$H146</f>
        <v/>
      </c>
      <c r="AL146" s="199">
        <f>$N146*AL$34</f>
        <v/>
      </c>
      <c r="AM146" s="199">
        <f>$N146*AM$34</f>
        <v/>
      </c>
      <c r="AN146" s="199">
        <f>$N146*AN$34</f>
        <v/>
      </c>
      <c r="AO146" s="199">
        <f>$N146*AO$34</f>
        <v/>
      </c>
      <c r="AP146" s="199">
        <f>$N146*AP$34</f>
        <v/>
      </c>
      <c r="AR146" s="198">
        <f>$G146</f>
        <v/>
      </c>
      <c r="AS146" s="199">
        <f>$H146</f>
        <v/>
      </c>
      <c r="AT146" s="199">
        <f>$O146*AT$34-$Q146</f>
        <v/>
      </c>
      <c r="AU146" s="199">
        <f>$O146*AU$34-$Q146</f>
        <v/>
      </c>
      <c r="AV146" s="199">
        <f>$O146*AV$34-$Q146</f>
        <v/>
      </c>
      <c r="AW146" s="199">
        <f>$O146*AW$34-$Q146</f>
        <v/>
      </c>
      <c r="AX146" s="199">
        <f>$O146*AX$34-$Q146</f>
        <v/>
      </c>
      <c r="AZ146" s="198">
        <f>$G146</f>
        <v/>
      </c>
      <c r="BA146" s="199">
        <f>$H146</f>
        <v/>
      </c>
      <c r="BB146" s="199">
        <f>$P146*BB$34-$Q146</f>
        <v/>
      </c>
      <c r="BC146" s="199">
        <f>$P146*BC$34-$Q146</f>
        <v/>
      </c>
      <c r="BD146" s="199">
        <f>$P146*BD$34-$Q146</f>
        <v/>
      </c>
      <c r="BE146" s="199">
        <f>$P146*BE$34-$Q146</f>
        <v/>
      </c>
      <c r="BF146" s="199">
        <f>$P146*BF$34-$Q146</f>
        <v/>
      </c>
      <c r="BH146" s="198">
        <f>$G146</f>
        <v/>
      </c>
      <c r="BI146" s="197">
        <f>$I146</f>
        <v/>
      </c>
      <c r="BJ146" s="197">
        <f>+BJ147</f>
        <v/>
      </c>
      <c r="BK146" s="197">
        <f>+BK147</f>
        <v/>
      </c>
      <c r="BL146" s="197">
        <f>+BL147</f>
        <v/>
      </c>
      <c r="BM146" s="197">
        <f>+BM147</f>
        <v/>
      </c>
      <c r="BN146" s="197">
        <f>+BN147</f>
        <v/>
      </c>
      <c r="BP146" s="198">
        <f>$G146</f>
        <v/>
      </c>
      <c r="BQ146" s="197">
        <f>$J146</f>
        <v/>
      </c>
      <c r="BR146" s="197">
        <f>+BR147</f>
        <v/>
      </c>
      <c r="BS146" s="197">
        <f>+BS147</f>
        <v/>
      </c>
      <c r="BT146" s="197">
        <f>+BT147</f>
        <v/>
      </c>
      <c r="BU146" s="197">
        <f>+BU147</f>
        <v/>
      </c>
      <c r="BV146" s="197">
        <f>+BV147</f>
        <v/>
      </c>
      <c r="BX146" s="198">
        <f>$G146</f>
        <v/>
      </c>
      <c r="BY146" s="197">
        <f>$K146</f>
        <v/>
      </c>
      <c r="BZ146" s="197">
        <f>+BZ147</f>
        <v/>
      </c>
      <c r="CA146" s="197">
        <f>+CA147</f>
        <v/>
      </c>
      <c r="CB146" s="197">
        <f>+CB147</f>
        <v/>
      </c>
      <c r="CC146" s="197">
        <f>+CC147</f>
        <v/>
      </c>
      <c r="CD146" s="197">
        <f>+CD147</f>
        <v/>
      </c>
      <c r="CF146" s="198">
        <f>$G146</f>
        <v/>
      </c>
      <c r="CG146" s="197">
        <f>$L146</f>
        <v/>
      </c>
      <c r="CH146" s="197">
        <f>+CH147</f>
        <v/>
      </c>
      <c r="CI146" s="197">
        <f>+CI147</f>
        <v/>
      </c>
      <c r="CJ146" s="197">
        <f>+CJ147</f>
        <v/>
      </c>
      <c r="CK146" s="197">
        <f>+CK147</f>
        <v/>
      </c>
      <c r="CL146" s="197">
        <f>+CL147</f>
        <v/>
      </c>
      <c r="CO146" s="199" t="n"/>
      <c r="CP146" s="199" t="n">
        <v>4.07</v>
      </c>
      <c r="CR146" s="199" t="inlineStr">
        <is>
          <t>#N/A N/A</t>
        </is>
      </c>
      <c r="CS146" s="970" t="n">
        <v>0.9913</v>
      </c>
    </row>
    <row r="147">
      <c r="B147" s="204">
        <f>+C147-1</f>
        <v/>
      </c>
      <c r="C147" s="204">
        <f>IF('bands_A-H_Avg'!$D$9+1&gt;MONTH(G147),YEAR(G147),YEAR(G147)+1)</f>
        <v/>
      </c>
      <c r="D147" s="204">
        <f>+C147+1</f>
        <v/>
      </c>
      <c r="E147" s="203">
        <f>IF(C147&gt;C146,1,E146+1)</f>
        <v/>
      </c>
      <c r="F147" s="203">
        <f>COUNTIF(C:C,C147)</f>
        <v/>
      </c>
      <c r="G147" s="198">
        <f>+G146+7</f>
        <v/>
      </c>
      <c r="H147" s="361">
        <f>IF(ISBLANK(CO147),CP147,SUMPRODUCT(CO$32:CP$32,CO147:CP147))</f>
        <v/>
      </c>
      <c r="I147" s="968">
        <f>H147/M147</f>
        <v/>
      </c>
      <c r="J147" s="968">
        <f>H147/N147</f>
        <v/>
      </c>
      <c r="K147" s="968">
        <f>(H147+Q147)/O147</f>
        <v/>
      </c>
      <c r="L147" s="968">
        <f>(H147+Q147)/P147</f>
        <v/>
      </c>
      <c r="M147" s="199">
        <f>HLOOKUP(C:C,$4:$10,3,FALSE)+((HLOOKUP(D:D,$4:$10,3,FALSE)-HLOOKUP(C:C,$4:$10,3,FALSE))*E147/F147)</f>
        <v/>
      </c>
      <c r="N147" s="199">
        <f>HLOOKUP(C:C,$4:$10,2,FALSE)+((HLOOKUP(D:D,$4:$10,2,FALSE)-HLOOKUP(C:C,$4:$10,2,FALSE))*E147/F147)</f>
        <v/>
      </c>
      <c r="O147" s="199">
        <f>HLOOKUP(C:C,$4:$10,5,FALSE)+((HLOOKUP(D:D,$4:$10,5,FALSE)-HLOOKUP(C:C,$4:$10,5,FALSE))*E147/F147)</f>
        <v/>
      </c>
      <c r="P147" s="199">
        <f>HLOOKUP(C:C,$4:$10,4,FALSE)+((HLOOKUP(D:D,$4:$10,4,FALSE)-HLOOKUP(C:C,$4:$10,4,FALSE))*E147/F147)</f>
        <v/>
      </c>
      <c r="Q147" s="199">
        <f>HLOOKUP(B:B,$4:$10,6,FALSE)+((HLOOKUP(C:C,$4:$10,6,FALSE)-HLOOKUP(B:B,$4:$10,6,FALSE))*E147/F147)</f>
        <v/>
      </c>
      <c r="T147" s="198">
        <f>$G147</f>
        <v/>
      </c>
      <c r="U147" s="199">
        <f>H147/(HLOOKUP(B:B,$4:$10,3,FALSE)+((HLOOKUP(C:C,$4:$10,3,FALSE)-HLOOKUP(B:B,$4:$10,3,FALSE))*E147/F147))</f>
        <v/>
      </c>
      <c r="V147" s="969">
        <f>HLOOKUP(B:B,$4:$10,7,FALSE)+((HLOOKUP(C:C,$4:$10,7,FALSE)-HLOOKUP(B:B,$4:$10,7,FALSE))*E147/F147)</f>
        <v/>
      </c>
      <c r="AB147" s="198">
        <f>$G147</f>
        <v/>
      </c>
      <c r="AC147" s="199">
        <f>$H147</f>
        <v/>
      </c>
      <c r="AD147" s="199">
        <f>$M147*AD$34</f>
        <v/>
      </c>
      <c r="AE147" s="199">
        <f>$M147*AE$34</f>
        <v/>
      </c>
      <c r="AF147" s="199">
        <f>$M147*AF$34</f>
        <v/>
      </c>
      <c r="AG147" s="199">
        <f>$M147*AG$34</f>
        <v/>
      </c>
      <c r="AH147" s="199">
        <f>$M147*AH$34</f>
        <v/>
      </c>
      <c r="AJ147" s="198">
        <f>$G147</f>
        <v/>
      </c>
      <c r="AK147" s="199">
        <f>$H147</f>
        <v/>
      </c>
      <c r="AL147" s="199">
        <f>$N147*AL$34</f>
        <v/>
      </c>
      <c r="AM147" s="199">
        <f>$N147*AM$34</f>
        <v/>
      </c>
      <c r="AN147" s="199">
        <f>$N147*AN$34</f>
        <v/>
      </c>
      <c r="AO147" s="199">
        <f>$N147*AO$34</f>
        <v/>
      </c>
      <c r="AP147" s="199">
        <f>$N147*AP$34</f>
        <v/>
      </c>
      <c r="AR147" s="198">
        <f>$G147</f>
        <v/>
      </c>
      <c r="AS147" s="199">
        <f>$H147</f>
        <v/>
      </c>
      <c r="AT147" s="199">
        <f>$O147*AT$34-$Q147</f>
        <v/>
      </c>
      <c r="AU147" s="199">
        <f>$O147*AU$34-$Q147</f>
        <v/>
      </c>
      <c r="AV147" s="199">
        <f>$O147*AV$34-$Q147</f>
        <v/>
      </c>
      <c r="AW147" s="199">
        <f>$O147*AW$34-$Q147</f>
        <v/>
      </c>
      <c r="AX147" s="199">
        <f>$O147*AX$34-$Q147</f>
        <v/>
      </c>
      <c r="AZ147" s="198">
        <f>$G147</f>
        <v/>
      </c>
      <c r="BA147" s="199">
        <f>$H147</f>
        <v/>
      </c>
      <c r="BB147" s="199">
        <f>$P147*BB$34-$Q147</f>
        <v/>
      </c>
      <c r="BC147" s="199">
        <f>$P147*BC$34-$Q147</f>
        <v/>
      </c>
      <c r="BD147" s="199">
        <f>$P147*BD$34-$Q147</f>
        <v/>
      </c>
      <c r="BE147" s="199">
        <f>$P147*BE$34-$Q147</f>
        <v/>
      </c>
      <c r="BF147" s="199">
        <f>$P147*BF$34-$Q147</f>
        <v/>
      </c>
      <c r="BH147" s="198">
        <f>$G147</f>
        <v/>
      </c>
      <c r="BI147" s="197">
        <f>$I147</f>
        <v/>
      </c>
      <c r="BJ147" s="197">
        <f>+BJ148</f>
        <v/>
      </c>
      <c r="BK147" s="197">
        <f>+BK148</f>
        <v/>
      </c>
      <c r="BL147" s="197">
        <f>+BL148</f>
        <v/>
      </c>
      <c r="BM147" s="197">
        <f>+BM148</f>
        <v/>
      </c>
      <c r="BN147" s="197">
        <f>+BN148</f>
        <v/>
      </c>
      <c r="BP147" s="198">
        <f>$G147</f>
        <v/>
      </c>
      <c r="BQ147" s="197">
        <f>$J147</f>
        <v/>
      </c>
      <c r="BR147" s="197">
        <f>+BR148</f>
        <v/>
      </c>
      <c r="BS147" s="197">
        <f>+BS148</f>
        <v/>
      </c>
      <c r="BT147" s="197">
        <f>+BT148</f>
        <v/>
      </c>
      <c r="BU147" s="197">
        <f>+BU148</f>
        <v/>
      </c>
      <c r="BV147" s="197">
        <f>+BV148</f>
        <v/>
      </c>
      <c r="BX147" s="198">
        <f>$G147</f>
        <v/>
      </c>
      <c r="BY147" s="197">
        <f>$K147</f>
        <v/>
      </c>
      <c r="BZ147" s="197">
        <f>+BZ148</f>
        <v/>
      </c>
      <c r="CA147" s="197">
        <f>+CA148</f>
        <v/>
      </c>
      <c r="CB147" s="197">
        <f>+CB148</f>
        <v/>
      </c>
      <c r="CC147" s="197">
        <f>+CC148</f>
        <v/>
      </c>
      <c r="CD147" s="197">
        <f>+CD148</f>
        <v/>
      </c>
      <c r="CF147" s="198">
        <f>$G147</f>
        <v/>
      </c>
      <c r="CG147" s="197">
        <f>$L147</f>
        <v/>
      </c>
      <c r="CH147" s="197">
        <f>+CH148</f>
        <v/>
      </c>
      <c r="CI147" s="197">
        <f>+CI148</f>
        <v/>
      </c>
      <c r="CJ147" s="197">
        <f>+CJ148</f>
        <v/>
      </c>
      <c r="CK147" s="197">
        <f>+CK148</f>
        <v/>
      </c>
      <c r="CL147" s="197">
        <f>+CL148</f>
        <v/>
      </c>
      <c r="CO147" s="199" t="n"/>
      <c r="CP147" s="199" t="n">
        <v>4.06</v>
      </c>
      <c r="CR147" s="199" t="inlineStr">
        <is>
          <t>#N/A N/A</t>
        </is>
      </c>
      <c r="CS147" s="970" t="n">
        <v>0.99117</v>
      </c>
    </row>
    <row r="148">
      <c r="B148" s="204">
        <f>+C148-1</f>
        <v/>
      </c>
      <c r="C148" s="204">
        <f>IF('bands_A-H_Avg'!$D$9+1&gt;MONTH(G148),YEAR(G148),YEAR(G148)+1)</f>
        <v/>
      </c>
      <c r="D148" s="204">
        <f>+C148+1</f>
        <v/>
      </c>
      <c r="E148" s="203">
        <f>IF(C148&gt;C147,1,E147+1)</f>
        <v/>
      </c>
      <c r="F148" s="203">
        <f>COUNTIF(C:C,C148)</f>
        <v/>
      </c>
      <c r="G148" s="198">
        <f>+G147+7</f>
        <v/>
      </c>
      <c r="H148" s="361">
        <f>IF(ISBLANK(CO148),CP148,SUMPRODUCT(CO$32:CP$32,CO148:CP148))</f>
        <v/>
      </c>
      <c r="I148" s="968">
        <f>H148/M148</f>
        <v/>
      </c>
      <c r="J148" s="968">
        <f>H148/N148</f>
        <v/>
      </c>
      <c r="K148" s="968">
        <f>(H148+Q148)/O148</f>
        <v/>
      </c>
      <c r="L148" s="968">
        <f>(H148+Q148)/P148</f>
        <v/>
      </c>
      <c r="M148" s="199">
        <f>HLOOKUP(C:C,$4:$10,3,FALSE)+((HLOOKUP(D:D,$4:$10,3,FALSE)-HLOOKUP(C:C,$4:$10,3,FALSE))*E148/F148)</f>
        <v/>
      </c>
      <c r="N148" s="199">
        <f>HLOOKUP(C:C,$4:$10,2,FALSE)+((HLOOKUP(D:D,$4:$10,2,FALSE)-HLOOKUP(C:C,$4:$10,2,FALSE))*E148/F148)</f>
        <v/>
      </c>
      <c r="O148" s="199">
        <f>HLOOKUP(C:C,$4:$10,5,FALSE)+((HLOOKUP(D:D,$4:$10,5,FALSE)-HLOOKUP(C:C,$4:$10,5,FALSE))*E148/F148)</f>
        <v/>
      </c>
      <c r="P148" s="199">
        <f>HLOOKUP(C:C,$4:$10,4,FALSE)+((HLOOKUP(D:D,$4:$10,4,FALSE)-HLOOKUP(C:C,$4:$10,4,FALSE))*E148/F148)</f>
        <v/>
      </c>
      <c r="Q148" s="199">
        <f>HLOOKUP(B:B,$4:$10,6,FALSE)+((HLOOKUP(C:C,$4:$10,6,FALSE)-HLOOKUP(B:B,$4:$10,6,FALSE))*E148/F148)</f>
        <v/>
      </c>
      <c r="T148" s="198">
        <f>$G148</f>
        <v/>
      </c>
      <c r="U148" s="199">
        <f>H148/(HLOOKUP(B:B,$4:$10,3,FALSE)+((HLOOKUP(C:C,$4:$10,3,FALSE)-HLOOKUP(B:B,$4:$10,3,FALSE))*E148/F148))</f>
        <v/>
      </c>
      <c r="V148" s="969">
        <f>HLOOKUP(B:B,$4:$10,7,FALSE)+((HLOOKUP(C:C,$4:$10,7,FALSE)-HLOOKUP(B:B,$4:$10,7,FALSE))*E148/F148)</f>
        <v/>
      </c>
      <c r="AB148" s="198">
        <f>$G148</f>
        <v/>
      </c>
      <c r="AC148" s="199">
        <f>$H148</f>
        <v/>
      </c>
      <c r="AD148" s="199">
        <f>$M148*AD$34</f>
        <v/>
      </c>
      <c r="AE148" s="199">
        <f>$M148*AE$34</f>
        <v/>
      </c>
      <c r="AF148" s="199">
        <f>$M148*AF$34</f>
        <v/>
      </c>
      <c r="AG148" s="199">
        <f>$M148*AG$34</f>
        <v/>
      </c>
      <c r="AH148" s="199">
        <f>$M148*AH$34</f>
        <v/>
      </c>
      <c r="AJ148" s="198">
        <f>$G148</f>
        <v/>
      </c>
      <c r="AK148" s="199">
        <f>$H148</f>
        <v/>
      </c>
      <c r="AL148" s="199">
        <f>$N148*AL$34</f>
        <v/>
      </c>
      <c r="AM148" s="199">
        <f>$N148*AM$34</f>
        <v/>
      </c>
      <c r="AN148" s="199">
        <f>$N148*AN$34</f>
        <v/>
      </c>
      <c r="AO148" s="199">
        <f>$N148*AO$34</f>
        <v/>
      </c>
      <c r="AP148" s="199">
        <f>$N148*AP$34</f>
        <v/>
      </c>
      <c r="AR148" s="198">
        <f>$G148</f>
        <v/>
      </c>
      <c r="AS148" s="199">
        <f>$H148</f>
        <v/>
      </c>
      <c r="AT148" s="199">
        <f>$O148*AT$34-$Q148</f>
        <v/>
      </c>
      <c r="AU148" s="199">
        <f>$O148*AU$34-$Q148</f>
        <v/>
      </c>
      <c r="AV148" s="199">
        <f>$O148*AV$34-$Q148</f>
        <v/>
      </c>
      <c r="AW148" s="199">
        <f>$O148*AW$34-$Q148</f>
        <v/>
      </c>
      <c r="AX148" s="199">
        <f>$O148*AX$34-$Q148</f>
        <v/>
      </c>
      <c r="AZ148" s="198">
        <f>$G148</f>
        <v/>
      </c>
      <c r="BA148" s="199">
        <f>$H148</f>
        <v/>
      </c>
      <c r="BB148" s="199">
        <f>$P148*BB$34-$Q148</f>
        <v/>
      </c>
      <c r="BC148" s="199">
        <f>$P148*BC$34-$Q148</f>
        <v/>
      </c>
      <c r="BD148" s="199">
        <f>$P148*BD$34-$Q148</f>
        <v/>
      </c>
      <c r="BE148" s="199">
        <f>$P148*BE$34-$Q148</f>
        <v/>
      </c>
      <c r="BF148" s="199">
        <f>$P148*BF$34-$Q148</f>
        <v/>
      </c>
      <c r="BH148" s="198">
        <f>$G148</f>
        <v/>
      </c>
      <c r="BI148" s="197">
        <f>$I148</f>
        <v/>
      </c>
      <c r="BJ148" s="197">
        <f>+BJ149</f>
        <v/>
      </c>
      <c r="BK148" s="197">
        <f>+BK149</f>
        <v/>
      </c>
      <c r="BL148" s="197">
        <f>+BL149</f>
        <v/>
      </c>
      <c r="BM148" s="197">
        <f>+BM149</f>
        <v/>
      </c>
      <c r="BN148" s="197">
        <f>+BN149</f>
        <v/>
      </c>
      <c r="BP148" s="198">
        <f>$G148</f>
        <v/>
      </c>
      <c r="BQ148" s="197">
        <f>$J148</f>
        <v/>
      </c>
      <c r="BR148" s="197">
        <f>+BR149</f>
        <v/>
      </c>
      <c r="BS148" s="197">
        <f>+BS149</f>
        <v/>
      </c>
      <c r="BT148" s="197">
        <f>+BT149</f>
        <v/>
      </c>
      <c r="BU148" s="197">
        <f>+BU149</f>
        <v/>
      </c>
      <c r="BV148" s="197">
        <f>+BV149</f>
        <v/>
      </c>
      <c r="BX148" s="198">
        <f>$G148</f>
        <v/>
      </c>
      <c r="BY148" s="197">
        <f>$K148</f>
        <v/>
      </c>
      <c r="BZ148" s="197">
        <f>+BZ149</f>
        <v/>
      </c>
      <c r="CA148" s="197">
        <f>+CA149</f>
        <v/>
      </c>
      <c r="CB148" s="197">
        <f>+CB149</f>
        <v/>
      </c>
      <c r="CC148" s="197">
        <f>+CC149</f>
        <v/>
      </c>
      <c r="CD148" s="197">
        <f>+CD149</f>
        <v/>
      </c>
      <c r="CF148" s="198">
        <f>$G148</f>
        <v/>
      </c>
      <c r="CG148" s="197">
        <f>$L148</f>
        <v/>
      </c>
      <c r="CH148" s="197">
        <f>+CH149</f>
        <v/>
      </c>
      <c r="CI148" s="197">
        <f>+CI149</f>
        <v/>
      </c>
      <c r="CJ148" s="197">
        <f>+CJ149</f>
        <v/>
      </c>
      <c r="CK148" s="197">
        <f>+CK149</f>
        <v/>
      </c>
      <c r="CL148" s="197">
        <f>+CL149</f>
        <v/>
      </c>
      <c r="CO148" s="199" t="n"/>
      <c r="CP148" s="199" t="n">
        <v>4.18</v>
      </c>
      <c r="CR148" s="199" t="inlineStr">
        <is>
          <t>#N/A N/A</t>
        </is>
      </c>
      <c r="CS148" s="970" t="n">
        <v>0.99141</v>
      </c>
    </row>
    <row r="149">
      <c r="B149" s="204">
        <f>+C149-1</f>
        <v/>
      </c>
      <c r="C149" s="204">
        <f>IF('bands_A-H_Avg'!$D$9+1&gt;MONTH(G149),YEAR(G149),YEAR(G149)+1)</f>
        <v/>
      </c>
      <c r="D149" s="204">
        <f>+C149+1</f>
        <v/>
      </c>
      <c r="E149" s="203">
        <f>IF(C149&gt;C148,1,E148+1)</f>
        <v/>
      </c>
      <c r="F149" s="203">
        <f>COUNTIF(C:C,C149)</f>
        <v/>
      </c>
      <c r="G149" s="198">
        <f>+G148+7</f>
        <v/>
      </c>
      <c r="H149" s="361">
        <f>IF(ISBLANK(CO149),CP149,SUMPRODUCT(CO$32:CP$32,CO149:CP149))</f>
        <v/>
      </c>
      <c r="I149" s="968">
        <f>H149/M149</f>
        <v/>
      </c>
      <c r="J149" s="968">
        <f>H149/N149</f>
        <v/>
      </c>
      <c r="K149" s="968">
        <f>(H149+Q149)/O149</f>
        <v/>
      </c>
      <c r="L149" s="968">
        <f>(H149+Q149)/P149</f>
        <v/>
      </c>
      <c r="M149" s="199">
        <f>HLOOKUP(C:C,$4:$10,3,FALSE)+((HLOOKUP(D:D,$4:$10,3,FALSE)-HLOOKUP(C:C,$4:$10,3,FALSE))*E149/F149)</f>
        <v/>
      </c>
      <c r="N149" s="199">
        <f>HLOOKUP(C:C,$4:$10,2,FALSE)+((HLOOKUP(D:D,$4:$10,2,FALSE)-HLOOKUP(C:C,$4:$10,2,FALSE))*E149/F149)</f>
        <v/>
      </c>
      <c r="O149" s="199">
        <f>HLOOKUP(C:C,$4:$10,5,FALSE)+((HLOOKUP(D:D,$4:$10,5,FALSE)-HLOOKUP(C:C,$4:$10,5,FALSE))*E149/F149)</f>
        <v/>
      </c>
      <c r="P149" s="199">
        <f>HLOOKUP(C:C,$4:$10,4,FALSE)+((HLOOKUP(D:D,$4:$10,4,FALSE)-HLOOKUP(C:C,$4:$10,4,FALSE))*E149/F149)</f>
        <v/>
      </c>
      <c r="Q149" s="199">
        <f>HLOOKUP(B:B,$4:$10,6,FALSE)+((HLOOKUP(C:C,$4:$10,6,FALSE)-HLOOKUP(B:B,$4:$10,6,FALSE))*E149/F149)</f>
        <v/>
      </c>
      <c r="T149" s="198">
        <f>$G149</f>
        <v/>
      </c>
      <c r="U149" s="199">
        <f>H149/(HLOOKUP(B:B,$4:$10,3,FALSE)+((HLOOKUP(C:C,$4:$10,3,FALSE)-HLOOKUP(B:B,$4:$10,3,FALSE))*E149/F149))</f>
        <v/>
      </c>
      <c r="V149" s="969">
        <f>HLOOKUP(B:B,$4:$10,7,FALSE)+((HLOOKUP(C:C,$4:$10,7,FALSE)-HLOOKUP(B:B,$4:$10,7,FALSE))*E149/F149)</f>
        <v/>
      </c>
      <c r="AB149" s="198">
        <f>$G149</f>
        <v/>
      </c>
      <c r="AC149" s="199">
        <f>$H149</f>
        <v/>
      </c>
      <c r="AD149" s="199">
        <f>$M149*AD$34</f>
        <v/>
      </c>
      <c r="AE149" s="199">
        <f>$M149*AE$34</f>
        <v/>
      </c>
      <c r="AF149" s="199">
        <f>$M149*AF$34</f>
        <v/>
      </c>
      <c r="AG149" s="199">
        <f>$M149*AG$34</f>
        <v/>
      </c>
      <c r="AH149" s="199">
        <f>$M149*AH$34</f>
        <v/>
      </c>
      <c r="AJ149" s="198">
        <f>$G149</f>
        <v/>
      </c>
      <c r="AK149" s="199">
        <f>$H149</f>
        <v/>
      </c>
      <c r="AL149" s="199">
        <f>$N149*AL$34</f>
        <v/>
      </c>
      <c r="AM149" s="199">
        <f>$N149*AM$34</f>
        <v/>
      </c>
      <c r="AN149" s="199">
        <f>$N149*AN$34</f>
        <v/>
      </c>
      <c r="AO149" s="199">
        <f>$N149*AO$34</f>
        <v/>
      </c>
      <c r="AP149" s="199">
        <f>$N149*AP$34</f>
        <v/>
      </c>
      <c r="AR149" s="198">
        <f>$G149</f>
        <v/>
      </c>
      <c r="AS149" s="199">
        <f>$H149</f>
        <v/>
      </c>
      <c r="AT149" s="199">
        <f>$O149*AT$34-$Q149</f>
        <v/>
      </c>
      <c r="AU149" s="199">
        <f>$O149*AU$34-$Q149</f>
        <v/>
      </c>
      <c r="AV149" s="199">
        <f>$O149*AV$34-$Q149</f>
        <v/>
      </c>
      <c r="AW149" s="199">
        <f>$O149*AW$34-$Q149</f>
        <v/>
      </c>
      <c r="AX149" s="199">
        <f>$O149*AX$34-$Q149</f>
        <v/>
      </c>
      <c r="AZ149" s="198">
        <f>$G149</f>
        <v/>
      </c>
      <c r="BA149" s="199">
        <f>$H149</f>
        <v/>
      </c>
      <c r="BB149" s="199">
        <f>$P149*BB$34-$Q149</f>
        <v/>
      </c>
      <c r="BC149" s="199">
        <f>$P149*BC$34-$Q149</f>
        <v/>
      </c>
      <c r="BD149" s="199">
        <f>$P149*BD$34-$Q149</f>
        <v/>
      </c>
      <c r="BE149" s="199">
        <f>$P149*BE$34-$Q149</f>
        <v/>
      </c>
      <c r="BF149" s="199">
        <f>$P149*BF$34-$Q149</f>
        <v/>
      </c>
      <c r="BH149" s="198">
        <f>$G149</f>
        <v/>
      </c>
      <c r="BI149" s="197">
        <f>$I149</f>
        <v/>
      </c>
      <c r="BJ149" s="197">
        <f>+BJ150</f>
        <v/>
      </c>
      <c r="BK149" s="197">
        <f>+BK150</f>
        <v/>
      </c>
      <c r="BL149" s="197">
        <f>+BL150</f>
        <v/>
      </c>
      <c r="BM149" s="197">
        <f>+BM150</f>
        <v/>
      </c>
      <c r="BN149" s="197">
        <f>+BN150</f>
        <v/>
      </c>
      <c r="BP149" s="198">
        <f>$G149</f>
        <v/>
      </c>
      <c r="BQ149" s="197">
        <f>$J149</f>
        <v/>
      </c>
      <c r="BR149" s="197">
        <f>+BR150</f>
        <v/>
      </c>
      <c r="BS149" s="197">
        <f>+BS150</f>
        <v/>
      </c>
      <c r="BT149" s="197">
        <f>+BT150</f>
        <v/>
      </c>
      <c r="BU149" s="197">
        <f>+BU150</f>
        <v/>
      </c>
      <c r="BV149" s="197">
        <f>+BV150</f>
        <v/>
      </c>
      <c r="BX149" s="198">
        <f>$G149</f>
        <v/>
      </c>
      <c r="BY149" s="197">
        <f>$K149</f>
        <v/>
      </c>
      <c r="BZ149" s="197">
        <f>+BZ150</f>
        <v/>
      </c>
      <c r="CA149" s="197">
        <f>+CA150</f>
        <v/>
      </c>
      <c r="CB149" s="197">
        <f>+CB150</f>
        <v/>
      </c>
      <c r="CC149" s="197">
        <f>+CC150</f>
        <v/>
      </c>
      <c r="CD149" s="197">
        <f>+CD150</f>
        <v/>
      </c>
      <c r="CF149" s="198">
        <f>$G149</f>
        <v/>
      </c>
      <c r="CG149" s="197">
        <f>$L149</f>
        <v/>
      </c>
      <c r="CH149" s="197">
        <f>+CH150</f>
        <v/>
      </c>
      <c r="CI149" s="197">
        <f>+CI150</f>
        <v/>
      </c>
      <c r="CJ149" s="197">
        <f>+CJ150</f>
        <v/>
      </c>
      <c r="CK149" s="197">
        <f>+CK150</f>
        <v/>
      </c>
      <c r="CL149" s="197">
        <f>+CL150</f>
        <v/>
      </c>
      <c r="CO149" s="199" t="n"/>
      <c r="CP149" s="199" t="n">
        <v>3.62</v>
      </c>
      <c r="CR149" s="199" t="inlineStr">
        <is>
          <t>#N/A N/A</t>
        </is>
      </c>
      <c r="CS149" s="970" t="n">
        <v>0.99134</v>
      </c>
    </row>
    <row r="150">
      <c r="B150" s="204">
        <f>+C150-1</f>
        <v/>
      </c>
      <c r="C150" s="204">
        <f>IF('bands_A-H_Avg'!$D$9+1&gt;MONTH(G150),YEAR(G150),YEAR(G150)+1)</f>
        <v/>
      </c>
      <c r="D150" s="204">
        <f>+C150+1</f>
        <v/>
      </c>
      <c r="E150" s="203">
        <f>IF(C150&gt;C149,1,E149+1)</f>
        <v/>
      </c>
      <c r="F150" s="203">
        <f>COUNTIF(C:C,C150)</f>
        <v/>
      </c>
      <c r="G150" s="198">
        <f>+G149+7</f>
        <v/>
      </c>
      <c r="H150" s="361">
        <f>IF(ISBLANK(CO150),CP150,SUMPRODUCT(CO$32:CP$32,CO150:CP150))</f>
        <v/>
      </c>
      <c r="I150" s="968">
        <f>H150/M150</f>
        <v/>
      </c>
      <c r="J150" s="968">
        <f>H150/N150</f>
        <v/>
      </c>
      <c r="K150" s="968">
        <f>(H150+Q150)/O150</f>
        <v/>
      </c>
      <c r="L150" s="968">
        <f>(H150+Q150)/P150</f>
        <v/>
      </c>
      <c r="M150" s="199">
        <f>HLOOKUP(C:C,$4:$10,3,FALSE)+((HLOOKUP(D:D,$4:$10,3,FALSE)-HLOOKUP(C:C,$4:$10,3,FALSE))*E150/F150)</f>
        <v/>
      </c>
      <c r="N150" s="199">
        <f>HLOOKUP(C:C,$4:$10,2,FALSE)+((HLOOKUP(D:D,$4:$10,2,FALSE)-HLOOKUP(C:C,$4:$10,2,FALSE))*E150/F150)</f>
        <v/>
      </c>
      <c r="O150" s="199">
        <f>HLOOKUP(C:C,$4:$10,5,FALSE)+((HLOOKUP(D:D,$4:$10,5,FALSE)-HLOOKUP(C:C,$4:$10,5,FALSE))*E150/F150)</f>
        <v/>
      </c>
      <c r="P150" s="199">
        <f>HLOOKUP(C:C,$4:$10,4,FALSE)+((HLOOKUP(D:D,$4:$10,4,FALSE)-HLOOKUP(C:C,$4:$10,4,FALSE))*E150/F150)</f>
        <v/>
      </c>
      <c r="Q150" s="199">
        <f>HLOOKUP(B:B,$4:$10,6,FALSE)+((HLOOKUP(C:C,$4:$10,6,FALSE)-HLOOKUP(B:B,$4:$10,6,FALSE))*E150/F150)</f>
        <v/>
      </c>
      <c r="T150" s="198">
        <f>$G150</f>
        <v/>
      </c>
      <c r="U150" s="199">
        <f>H150/(HLOOKUP(B:B,$4:$10,3,FALSE)+((HLOOKUP(C:C,$4:$10,3,FALSE)-HLOOKUP(B:B,$4:$10,3,FALSE))*E150/F150))</f>
        <v/>
      </c>
      <c r="V150" s="969">
        <f>HLOOKUP(B:B,$4:$10,7,FALSE)+((HLOOKUP(C:C,$4:$10,7,FALSE)-HLOOKUP(B:B,$4:$10,7,FALSE))*E150/F150)</f>
        <v/>
      </c>
      <c r="AB150" s="198">
        <f>$G150</f>
        <v/>
      </c>
      <c r="AC150" s="199">
        <f>$H150</f>
        <v/>
      </c>
      <c r="AD150" s="199">
        <f>$M150*AD$34</f>
        <v/>
      </c>
      <c r="AE150" s="199">
        <f>$M150*AE$34</f>
        <v/>
      </c>
      <c r="AF150" s="199">
        <f>$M150*AF$34</f>
        <v/>
      </c>
      <c r="AG150" s="199">
        <f>$M150*AG$34</f>
        <v/>
      </c>
      <c r="AH150" s="199">
        <f>$M150*AH$34</f>
        <v/>
      </c>
      <c r="AJ150" s="198">
        <f>$G150</f>
        <v/>
      </c>
      <c r="AK150" s="199">
        <f>$H150</f>
        <v/>
      </c>
      <c r="AL150" s="199">
        <f>$N150*AL$34</f>
        <v/>
      </c>
      <c r="AM150" s="199">
        <f>$N150*AM$34</f>
        <v/>
      </c>
      <c r="AN150" s="199">
        <f>$N150*AN$34</f>
        <v/>
      </c>
      <c r="AO150" s="199">
        <f>$N150*AO$34</f>
        <v/>
      </c>
      <c r="AP150" s="199">
        <f>$N150*AP$34</f>
        <v/>
      </c>
      <c r="AR150" s="198">
        <f>$G150</f>
        <v/>
      </c>
      <c r="AS150" s="199">
        <f>$H150</f>
        <v/>
      </c>
      <c r="AT150" s="199">
        <f>$O150*AT$34-$Q150</f>
        <v/>
      </c>
      <c r="AU150" s="199">
        <f>$O150*AU$34-$Q150</f>
        <v/>
      </c>
      <c r="AV150" s="199">
        <f>$O150*AV$34-$Q150</f>
        <v/>
      </c>
      <c r="AW150" s="199">
        <f>$O150*AW$34-$Q150</f>
        <v/>
      </c>
      <c r="AX150" s="199">
        <f>$O150*AX$34-$Q150</f>
        <v/>
      </c>
      <c r="AZ150" s="198">
        <f>$G150</f>
        <v/>
      </c>
      <c r="BA150" s="199">
        <f>$H150</f>
        <v/>
      </c>
      <c r="BB150" s="199">
        <f>$P150*BB$34-$Q150</f>
        <v/>
      </c>
      <c r="BC150" s="199">
        <f>$P150*BC$34-$Q150</f>
        <v/>
      </c>
      <c r="BD150" s="199">
        <f>$P150*BD$34-$Q150</f>
        <v/>
      </c>
      <c r="BE150" s="199">
        <f>$P150*BE$34-$Q150</f>
        <v/>
      </c>
      <c r="BF150" s="199">
        <f>$P150*BF$34-$Q150</f>
        <v/>
      </c>
      <c r="BH150" s="198">
        <f>$G150</f>
        <v/>
      </c>
      <c r="BI150" s="197">
        <f>$I150</f>
        <v/>
      </c>
      <c r="BJ150" s="197">
        <f>+BJ151</f>
        <v/>
      </c>
      <c r="BK150" s="197">
        <f>+BK151</f>
        <v/>
      </c>
      <c r="BL150" s="197">
        <f>+BL151</f>
        <v/>
      </c>
      <c r="BM150" s="197">
        <f>+BM151</f>
        <v/>
      </c>
      <c r="BN150" s="197">
        <f>+BN151</f>
        <v/>
      </c>
      <c r="BP150" s="198">
        <f>$G150</f>
        <v/>
      </c>
      <c r="BQ150" s="197">
        <f>$J150</f>
        <v/>
      </c>
      <c r="BR150" s="197">
        <f>+BR151</f>
        <v/>
      </c>
      <c r="BS150" s="197">
        <f>+BS151</f>
        <v/>
      </c>
      <c r="BT150" s="197">
        <f>+BT151</f>
        <v/>
      </c>
      <c r="BU150" s="197">
        <f>+BU151</f>
        <v/>
      </c>
      <c r="BV150" s="197">
        <f>+BV151</f>
        <v/>
      </c>
      <c r="BX150" s="198">
        <f>$G150</f>
        <v/>
      </c>
      <c r="BY150" s="197">
        <f>$K150</f>
        <v/>
      </c>
      <c r="BZ150" s="197">
        <f>+BZ151</f>
        <v/>
      </c>
      <c r="CA150" s="197">
        <f>+CA151</f>
        <v/>
      </c>
      <c r="CB150" s="197">
        <f>+CB151</f>
        <v/>
      </c>
      <c r="CC150" s="197">
        <f>+CC151</f>
        <v/>
      </c>
      <c r="CD150" s="197">
        <f>+CD151</f>
        <v/>
      </c>
      <c r="CF150" s="198">
        <f>$G150</f>
        <v/>
      </c>
      <c r="CG150" s="197">
        <f>$L150</f>
        <v/>
      </c>
      <c r="CH150" s="197">
        <f>+CH151</f>
        <v/>
      </c>
      <c r="CI150" s="197">
        <f>+CI151</f>
        <v/>
      </c>
      <c r="CJ150" s="197">
        <f>+CJ151</f>
        <v/>
      </c>
      <c r="CK150" s="197">
        <f>+CK151</f>
        <v/>
      </c>
      <c r="CL150" s="197">
        <f>+CL151</f>
        <v/>
      </c>
      <c r="CO150" s="199" t="n"/>
      <c r="CP150" s="199" t="n">
        <v>3.55</v>
      </c>
      <c r="CR150" s="199" t="inlineStr">
        <is>
          <t>#N/A N/A</t>
        </is>
      </c>
      <c r="CS150" s="970" t="n">
        <v>0.991</v>
      </c>
    </row>
    <row r="151">
      <c r="B151" s="204">
        <f>+C151-1</f>
        <v/>
      </c>
      <c r="C151" s="204">
        <f>IF('bands_A-H_Avg'!$D$9+1&gt;MONTH(G151),YEAR(G151),YEAR(G151)+1)</f>
        <v/>
      </c>
      <c r="D151" s="204">
        <f>+C151+1</f>
        <v/>
      </c>
      <c r="E151" s="203">
        <f>IF(C151&gt;C150,1,E150+1)</f>
        <v/>
      </c>
      <c r="F151" s="203">
        <f>COUNTIF(C:C,C151)</f>
        <v/>
      </c>
      <c r="G151" s="198">
        <f>+G150+7</f>
        <v/>
      </c>
      <c r="H151" s="361">
        <f>IF(ISBLANK(CO151),CP151,SUMPRODUCT(CO$32:CP$32,CO151:CP151))</f>
        <v/>
      </c>
      <c r="I151" s="968">
        <f>H151/M151</f>
        <v/>
      </c>
      <c r="J151" s="968">
        <f>H151/N151</f>
        <v/>
      </c>
      <c r="K151" s="968">
        <f>(H151+Q151)/O151</f>
        <v/>
      </c>
      <c r="L151" s="968">
        <f>(H151+Q151)/P151</f>
        <v/>
      </c>
      <c r="M151" s="199">
        <f>HLOOKUP(C:C,$4:$10,3,FALSE)+((HLOOKUP(D:D,$4:$10,3,FALSE)-HLOOKUP(C:C,$4:$10,3,FALSE))*E151/F151)</f>
        <v/>
      </c>
      <c r="N151" s="199">
        <f>HLOOKUP(C:C,$4:$10,2,FALSE)+((HLOOKUP(D:D,$4:$10,2,FALSE)-HLOOKUP(C:C,$4:$10,2,FALSE))*E151/F151)</f>
        <v/>
      </c>
      <c r="O151" s="199">
        <f>HLOOKUP(C:C,$4:$10,5,FALSE)+((HLOOKUP(D:D,$4:$10,5,FALSE)-HLOOKUP(C:C,$4:$10,5,FALSE))*E151/F151)</f>
        <v/>
      </c>
      <c r="P151" s="199">
        <f>HLOOKUP(C:C,$4:$10,4,FALSE)+((HLOOKUP(D:D,$4:$10,4,FALSE)-HLOOKUP(C:C,$4:$10,4,FALSE))*E151/F151)</f>
        <v/>
      </c>
      <c r="Q151" s="199">
        <f>HLOOKUP(B:B,$4:$10,6,FALSE)+((HLOOKUP(C:C,$4:$10,6,FALSE)-HLOOKUP(B:B,$4:$10,6,FALSE))*E151/F151)</f>
        <v/>
      </c>
      <c r="T151" s="198">
        <f>$G151</f>
        <v/>
      </c>
      <c r="U151" s="199">
        <f>H151/(HLOOKUP(B:B,$4:$10,3,FALSE)+((HLOOKUP(C:C,$4:$10,3,FALSE)-HLOOKUP(B:B,$4:$10,3,FALSE))*E151/F151))</f>
        <v/>
      </c>
      <c r="V151" s="969">
        <f>HLOOKUP(B:B,$4:$10,7,FALSE)+((HLOOKUP(C:C,$4:$10,7,FALSE)-HLOOKUP(B:B,$4:$10,7,FALSE))*E151/F151)</f>
        <v/>
      </c>
      <c r="AB151" s="198">
        <f>$G151</f>
        <v/>
      </c>
      <c r="AC151" s="199">
        <f>$H151</f>
        <v/>
      </c>
      <c r="AD151" s="199">
        <f>$M151*AD$34</f>
        <v/>
      </c>
      <c r="AE151" s="199">
        <f>$M151*AE$34</f>
        <v/>
      </c>
      <c r="AF151" s="199">
        <f>$M151*AF$34</f>
        <v/>
      </c>
      <c r="AG151" s="199">
        <f>$M151*AG$34</f>
        <v/>
      </c>
      <c r="AH151" s="199">
        <f>$M151*AH$34</f>
        <v/>
      </c>
      <c r="AJ151" s="198">
        <f>$G151</f>
        <v/>
      </c>
      <c r="AK151" s="199">
        <f>$H151</f>
        <v/>
      </c>
      <c r="AL151" s="199">
        <f>$N151*AL$34</f>
        <v/>
      </c>
      <c r="AM151" s="199">
        <f>$N151*AM$34</f>
        <v/>
      </c>
      <c r="AN151" s="199">
        <f>$N151*AN$34</f>
        <v/>
      </c>
      <c r="AO151" s="199">
        <f>$N151*AO$34</f>
        <v/>
      </c>
      <c r="AP151" s="199">
        <f>$N151*AP$34</f>
        <v/>
      </c>
      <c r="AR151" s="198">
        <f>$G151</f>
        <v/>
      </c>
      <c r="AS151" s="199">
        <f>$H151</f>
        <v/>
      </c>
      <c r="AT151" s="199">
        <f>$O151*AT$34-$Q151</f>
        <v/>
      </c>
      <c r="AU151" s="199">
        <f>$O151*AU$34-$Q151</f>
        <v/>
      </c>
      <c r="AV151" s="199">
        <f>$O151*AV$34-$Q151</f>
        <v/>
      </c>
      <c r="AW151" s="199">
        <f>$O151*AW$34-$Q151</f>
        <v/>
      </c>
      <c r="AX151" s="199">
        <f>$O151*AX$34-$Q151</f>
        <v/>
      </c>
      <c r="AZ151" s="198">
        <f>$G151</f>
        <v/>
      </c>
      <c r="BA151" s="199">
        <f>$H151</f>
        <v/>
      </c>
      <c r="BB151" s="199">
        <f>$P151*BB$34-$Q151</f>
        <v/>
      </c>
      <c r="BC151" s="199">
        <f>$P151*BC$34-$Q151</f>
        <v/>
      </c>
      <c r="BD151" s="199">
        <f>$P151*BD$34-$Q151</f>
        <v/>
      </c>
      <c r="BE151" s="199">
        <f>$P151*BE$34-$Q151</f>
        <v/>
      </c>
      <c r="BF151" s="199">
        <f>$P151*BF$34-$Q151</f>
        <v/>
      </c>
      <c r="BH151" s="198">
        <f>$G151</f>
        <v/>
      </c>
      <c r="BI151" s="197">
        <f>$I151</f>
        <v/>
      </c>
      <c r="BJ151" s="197">
        <f>+BJ152</f>
        <v/>
      </c>
      <c r="BK151" s="197">
        <f>+BK152</f>
        <v/>
      </c>
      <c r="BL151" s="197">
        <f>+BL152</f>
        <v/>
      </c>
      <c r="BM151" s="197">
        <f>+BM152</f>
        <v/>
      </c>
      <c r="BN151" s="197">
        <f>+BN152</f>
        <v/>
      </c>
      <c r="BP151" s="198">
        <f>$G151</f>
        <v/>
      </c>
      <c r="BQ151" s="197">
        <f>$J151</f>
        <v/>
      </c>
      <c r="BR151" s="197">
        <f>+BR152</f>
        <v/>
      </c>
      <c r="BS151" s="197">
        <f>+BS152</f>
        <v/>
      </c>
      <c r="BT151" s="197">
        <f>+BT152</f>
        <v/>
      </c>
      <c r="BU151" s="197">
        <f>+BU152</f>
        <v/>
      </c>
      <c r="BV151" s="197">
        <f>+BV152</f>
        <v/>
      </c>
      <c r="BX151" s="198">
        <f>$G151</f>
        <v/>
      </c>
      <c r="BY151" s="197">
        <f>$K151</f>
        <v/>
      </c>
      <c r="BZ151" s="197">
        <f>+BZ152</f>
        <v/>
      </c>
      <c r="CA151" s="197">
        <f>+CA152</f>
        <v/>
      </c>
      <c r="CB151" s="197">
        <f>+CB152</f>
        <v/>
      </c>
      <c r="CC151" s="197">
        <f>+CC152</f>
        <v/>
      </c>
      <c r="CD151" s="197">
        <f>+CD152</f>
        <v/>
      </c>
      <c r="CF151" s="198">
        <f>$G151</f>
        <v/>
      </c>
      <c r="CG151" s="197">
        <f>$L151</f>
        <v/>
      </c>
      <c r="CH151" s="197">
        <f>+CH152</f>
        <v/>
      </c>
      <c r="CI151" s="197">
        <f>+CI152</f>
        <v/>
      </c>
      <c r="CJ151" s="197">
        <f>+CJ152</f>
        <v/>
      </c>
      <c r="CK151" s="197">
        <f>+CK152</f>
        <v/>
      </c>
      <c r="CL151" s="197">
        <f>+CL152</f>
        <v/>
      </c>
      <c r="CO151" s="199" t="n"/>
      <c r="CP151" s="199" t="n">
        <v>3.41</v>
      </c>
      <c r="CR151" s="199" t="inlineStr">
        <is>
          <t>#N/A N/A</t>
        </is>
      </c>
      <c r="CS151" s="970" t="n">
        <v>0.9903</v>
      </c>
    </row>
    <row r="152">
      <c r="B152" s="204">
        <f>+C152-1</f>
        <v/>
      </c>
      <c r="C152" s="204">
        <f>IF('bands_A-H_Avg'!$D$9+1&gt;MONTH(G152),YEAR(G152),YEAR(G152)+1)</f>
        <v/>
      </c>
      <c r="D152" s="204">
        <f>+C152+1</f>
        <v/>
      </c>
      <c r="E152" s="203">
        <f>IF(C152&gt;C151,1,E151+1)</f>
        <v/>
      </c>
      <c r="F152" s="203">
        <f>COUNTIF(C:C,C152)</f>
        <v/>
      </c>
      <c r="G152" s="198">
        <f>+G151+7</f>
        <v/>
      </c>
      <c r="H152" s="361">
        <f>IF(ISBLANK(CO152),CP152,SUMPRODUCT(CO$32:CP$32,CO152:CP152))</f>
        <v/>
      </c>
      <c r="I152" s="968">
        <f>H152/M152</f>
        <v/>
      </c>
      <c r="J152" s="968">
        <f>H152/N152</f>
        <v/>
      </c>
      <c r="K152" s="968">
        <f>(H152+Q152)/O152</f>
        <v/>
      </c>
      <c r="L152" s="968">
        <f>(H152+Q152)/P152</f>
        <v/>
      </c>
      <c r="M152" s="199">
        <f>HLOOKUP(C:C,$4:$10,3,FALSE)+((HLOOKUP(D:D,$4:$10,3,FALSE)-HLOOKUP(C:C,$4:$10,3,FALSE))*E152/F152)</f>
        <v/>
      </c>
      <c r="N152" s="199">
        <f>HLOOKUP(C:C,$4:$10,2,FALSE)+((HLOOKUP(D:D,$4:$10,2,FALSE)-HLOOKUP(C:C,$4:$10,2,FALSE))*E152/F152)</f>
        <v/>
      </c>
      <c r="O152" s="199">
        <f>HLOOKUP(C:C,$4:$10,5,FALSE)+((HLOOKUP(D:D,$4:$10,5,FALSE)-HLOOKUP(C:C,$4:$10,5,FALSE))*E152/F152)</f>
        <v/>
      </c>
      <c r="P152" s="199">
        <f>HLOOKUP(C:C,$4:$10,4,FALSE)+((HLOOKUP(D:D,$4:$10,4,FALSE)-HLOOKUP(C:C,$4:$10,4,FALSE))*E152/F152)</f>
        <v/>
      </c>
      <c r="Q152" s="199">
        <f>HLOOKUP(B:B,$4:$10,6,FALSE)+((HLOOKUP(C:C,$4:$10,6,FALSE)-HLOOKUP(B:B,$4:$10,6,FALSE))*E152/F152)</f>
        <v/>
      </c>
      <c r="T152" s="198">
        <f>$G152</f>
        <v/>
      </c>
      <c r="U152" s="199">
        <f>H152/(HLOOKUP(B:B,$4:$10,3,FALSE)+((HLOOKUP(C:C,$4:$10,3,FALSE)-HLOOKUP(B:B,$4:$10,3,FALSE))*E152/F152))</f>
        <v/>
      </c>
      <c r="V152" s="969">
        <f>HLOOKUP(B:B,$4:$10,7,FALSE)+((HLOOKUP(C:C,$4:$10,7,FALSE)-HLOOKUP(B:B,$4:$10,7,FALSE))*E152/F152)</f>
        <v/>
      </c>
      <c r="AB152" s="198">
        <f>$G152</f>
        <v/>
      </c>
      <c r="AC152" s="199">
        <f>$H152</f>
        <v/>
      </c>
      <c r="AD152" s="199">
        <f>$M152*AD$34</f>
        <v/>
      </c>
      <c r="AE152" s="199">
        <f>$M152*AE$34</f>
        <v/>
      </c>
      <c r="AF152" s="199">
        <f>$M152*AF$34</f>
        <v/>
      </c>
      <c r="AG152" s="199">
        <f>$M152*AG$34</f>
        <v/>
      </c>
      <c r="AH152" s="199">
        <f>$M152*AH$34</f>
        <v/>
      </c>
      <c r="AJ152" s="198">
        <f>$G152</f>
        <v/>
      </c>
      <c r="AK152" s="199">
        <f>$H152</f>
        <v/>
      </c>
      <c r="AL152" s="199">
        <f>$N152*AL$34</f>
        <v/>
      </c>
      <c r="AM152" s="199">
        <f>$N152*AM$34</f>
        <v/>
      </c>
      <c r="AN152" s="199">
        <f>$N152*AN$34</f>
        <v/>
      </c>
      <c r="AO152" s="199">
        <f>$N152*AO$34</f>
        <v/>
      </c>
      <c r="AP152" s="199">
        <f>$N152*AP$34</f>
        <v/>
      </c>
      <c r="AR152" s="198">
        <f>$G152</f>
        <v/>
      </c>
      <c r="AS152" s="199">
        <f>$H152</f>
        <v/>
      </c>
      <c r="AT152" s="199">
        <f>$O152*AT$34-$Q152</f>
        <v/>
      </c>
      <c r="AU152" s="199">
        <f>$O152*AU$34-$Q152</f>
        <v/>
      </c>
      <c r="AV152" s="199">
        <f>$O152*AV$34-$Q152</f>
        <v/>
      </c>
      <c r="AW152" s="199">
        <f>$O152*AW$34-$Q152</f>
        <v/>
      </c>
      <c r="AX152" s="199">
        <f>$O152*AX$34-$Q152</f>
        <v/>
      </c>
      <c r="AZ152" s="198">
        <f>$G152</f>
        <v/>
      </c>
      <c r="BA152" s="199">
        <f>$H152</f>
        <v/>
      </c>
      <c r="BB152" s="199">
        <f>$P152*BB$34-$Q152</f>
        <v/>
      </c>
      <c r="BC152" s="199">
        <f>$P152*BC$34-$Q152</f>
        <v/>
      </c>
      <c r="BD152" s="199">
        <f>$P152*BD$34-$Q152</f>
        <v/>
      </c>
      <c r="BE152" s="199">
        <f>$P152*BE$34-$Q152</f>
        <v/>
      </c>
      <c r="BF152" s="199">
        <f>$P152*BF$34-$Q152</f>
        <v/>
      </c>
      <c r="BH152" s="198">
        <f>$G152</f>
        <v/>
      </c>
      <c r="BI152" s="197">
        <f>$I152</f>
        <v/>
      </c>
      <c r="BJ152" s="197">
        <f>+BJ153</f>
        <v/>
      </c>
      <c r="BK152" s="197">
        <f>+BK153</f>
        <v/>
      </c>
      <c r="BL152" s="197">
        <f>+BL153</f>
        <v/>
      </c>
      <c r="BM152" s="197">
        <f>+BM153</f>
        <v/>
      </c>
      <c r="BN152" s="197">
        <f>+BN153</f>
        <v/>
      </c>
      <c r="BP152" s="198">
        <f>$G152</f>
        <v/>
      </c>
      <c r="BQ152" s="197">
        <f>$J152</f>
        <v/>
      </c>
      <c r="BR152" s="197">
        <f>+BR153</f>
        <v/>
      </c>
      <c r="BS152" s="197">
        <f>+BS153</f>
        <v/>
      </c>
      <c r="BT152" s="197">
        <f>+BT153</f>
        <v/>
      </c>
      <c r="BU152" s="197">
        <f>+BU153</f>
        <v/>
      </c>
      <c r="BV152" s="197">
        <f>+BV153</f>
        <v/>
      </c>
      <c r="BX152" s="198">
        <f>$G152</f>
        <v/>
      </c>
      <c r="BY152" s="197">
        <f>$K152</f>
        <v/>
      </c>
      <c r="BZ152" s="197">
        <f>+BZ153</f>
        <v/>
      </c>
      <c r="CA152" s="197">
        <f>+CA153</f>
        <v/>
      </c>
      <c r="CB152" s="197">
        <f>+CB153</f>
        <v/>
      </c>
      <c r="CC152" s="197">
        <f>+CC153</f>
        <v/>
      </c>
      <c r="CD152" s="197">
        <f>+CD153</f>
        <v/>
      </c>
      <c r="CF152" s="198">
        <f>$G152</f>
        <v/>
      </c>
      <c r="CG152" s="197">
        <f>$L152</f>
        <v/>
      </c>
      <c r="CH152" s="197">
        <f>+CH153</f>
        <v/>
      </c>
      <c r="CI152" s="197">
        <f>+CI153</f>
        <v/>
      </c>
      <c r="CJ152" s="197">
        <f>+CJ153</f>
        <v/>
      </c>
      <c r="CK152" s="197">
        <f>+CK153</f>
        <v/>
      </c>
      <c r="CL152" s="197">
        <f>+CL153</f>
        <v/>
      </c>
      <c r="CO152" s="199" t="n"/>
      <c r="CP152" s="199" t="n">
        <v>3.64</v>
      </c>
      <c r="CR152" s="199" t="inlineStr">
        <is>
          <t>#N/A N/A</t>
        </is>
      </c>
      <c r="CS152" s="970" t="n">
        <v>0.98985</v>
      </c>
    </row>
    <row r="153">
      <c r="B153" s="204">
        <f>+C153-1</f>
        <v/>
      </c>
      <c r="C153" s="204">
        <f>IF('bands_A-H_Avg'!$D$9+1&gt;MONTH(G153),YEAR(G153),YEAR(G153)+1)</f>
        <v/>
      </c>
      <c r="D153" s="204">
        <f>+C153+1</f>
        <v/>
      </c>
      <c r="E153" s="203">
        <f>IF(C153&gt;C152,1,E152+1)</f>
        <v/>
      </c>
      <c r="F153" s="203">
        <f>COUNTIF(C:C,C153)</f>
        <v/>
      </c>
      <c r="G153" s="198">
        <f>+G152+7</f>
        <v/>
      </c>
      <c r="H153" s="361">
        <f>IF(ISBLANK(CO153),CP153,SUMPRODUCT(CO$32:CP$32,CO153:CP153))</f>
        <v/>
      </c>
      <c r="I153" s="968">
        <f>H153/M153</f>
        <v/>
      </c>
      <c r="J153" s="968">
        <f>H153/N153</f>
        <v/>
      </c>
      <c r="K153" s="968">
        <f>(H153+Q153)/O153</f>
        <v/>
      </c>
      <c r="L153" s="968">
        <f>(H153+Q153)/P153</f>
        <v/>
      </c>
      <c r="M153" s="199">
        <f>HLOOKUP(C:C,$4:$10,3,FALSE)+((HLOOKUP(D:D,$4:$10,3,FALSE)-HLOOKUP(C:C,$4:$10,3,FALSE))*E153/F153)</f>
        <v/>
      </c>
      <c r="N153" s="199">
        <f>HLOOKUP(C:C,$4:$10,2,FALSE)+((HLOOKUP(D:D,$4:$10,2,FALSE)-HLOOKUP(C:C,$4:$10,2,FALSE))*E153/F153)</f>
        <v/>
      </c>
      <c r="O153" s="199">
        <f>HLOOKUP(C:C,$4:$10,5,FALSE)+((HLOOKUP(D:D,$4:$10,5,FALSE)-HLOOKUP(C:C,$4:$10,5,FALSE))*E153/F153)</f>
        <v/>
      </c>
      <c r="P153" s="199">
        <f>HLOOKUP(C:C,$4:$10,4,FALSE)+((HLOOKUP(D:D,$4:$10,4,FALSE)-HLOOKUP(C:C,$4:$10,4,FALSE))*E153/F153)</f>
        <v/>
      </c>
      <c r="Q153" s="199">
        <f>HLOOKUP(B:B,$4:$10,6,FALSE)+((HLOOKUP(C:C,$4:$10,6,FALSE)-HLOOKUP(B:B,$4:$10,6,FALSE))*E153/F153)</f>
        <v/>
      </c>
      <c r="T153" s="198">
        <f>$G153</f>
        <v/>
      </c>
      <c r="U153" s="199">
        <f>H153/(HLOOKUP(B:B,$4:$10,3,FALSE)+((HLOOKUP(C:C,$4:$10,3,FALSE)-HLOOKUP(B:B,$4:$10,3,FALSE))*E153/F153))</f>
        <v/>
      </c>
      <c r="V153" s="969">
        <f>HLOOKUP(B:B,$4:$10,7,FALSE)+((HLOOKUP(C:C,$4:$10,7,FALSE)-HLOOKUP(B:B,$4:$10,7,FALSE))*E153/F153)</f>
        <v/>
      </c>
      <c r="AB153" s="198">
        <f>$G153</f>
        <v/>
      </c>
      <c r="AC153" s="199">
        <f>$H153</f>
        <v/>
      </c>
      <c r="AD153" s="199">
        <f>$M153*AD$34</f>
        <v/>
      </c>
      <c r="AE153" s="199">
        <f>$M153*AE$34</f>
        <v/>
      </c>
      <c r="AF153" s="199">
        <f>$M153*AF$34</f>
        <v/>
      </c>
      <c r="AG153" s="199">
        <f>$M153*AG$34</f>
        <v/>
      </c>
      <c r="AH153" s="199">
        <f>$M153*AH$34</f>
        <v/>
      </c>
      <c r="AJ153" s="198">
        <f>$G153</f>
        <v/>
      </c>
      <c r="AK153" s="199">
        <f>$H153</f>
        <v/>
      </c>
      <c r="AL153" s="199">
        <f>$N153*AL$34</f>
        <v/>
      </c>
      <c r="AM153" s="199">
        <f>$N153*AM$34</f>
        <v/>
      </c>
      <c r="AN153" s="199">
        <f>$N153*AN$34</f>
        <v/>
      </c>
      <c r="AO153" s="199">
        <f>$N153*AO$34</f>
        <v/>
      </c>
      <c r="AP153" s="199">
        <f>$N153*AP$34</f>
        <v/>
      </c>
      <c r="AR153" s="198">
        <f>$G153</f>
        <v/>
      </c>
      <c r="AS153" s="199">
        <f>$H153</f>
        <v/>
      </c>
      <c r="AT153" s="199">
        <f>$O153*AT$34-$Q153</f>
        <v/>
      </c>
      <c r="AU153" s="199">
        <f>$O153*AU$34-$Q153</f>
        <v/>
      </c>
      <c r="AV153" s="199">
        <f>$O153*AV$34-$Q153</f>
        <v/>
      </c>
      <c r="AW153" s="199">
        <f>$O153*AW$34-$Q153</f>
        <v/>
      </c>
      <c r="AX153" s="199">
        <f>$O153*AX$34-$Q153</f>
        <v/>
      </c>
      <c r="AZ153" s="198">
        <f>$G153</f>
        <v/>
      </c>
      <c r="BA153" s="199">
        <f>$H153</f>
        <v/>
      </c>
      <c r="BB153" s="199">
        <f>$P153*BB$34-$Q153</f>
        <v/>
      </c>
      <c r="BC153" s="199">
        <f>$P153*BC$34-$Q153</f>
        <v/>
      </c>
      <c r="BD153" s="199">
        <f>$P153*BD$34-$Q153</f>
        <v/>
      </c>
      <c r="BE153" s="199">
        <f>$P153*BE$34-$Q153</f>
        <v/>
      </c>
      <c r="BF153" s="199">
        <f>$P153*BF$34-$Q153</f>
        <v/>
      </c>
      <c r="BH153" s="198">
        <f>$G153</f>
        <v/>
      </c>
      <c r="BI153" s="197">
        <f>$I153</f>
        <v/>
      </c>
      <c r="BJ153" s="197">
        <f>+BJ154</f>
        <v/>
      </c>
      <c r="BK153" s="197">
        <f>+BK154</f>
        <v/>
      </c>
      <c r="BL153" s="197">
        <f>+BL154</f>
        <v/>
      </c>
      <c r="BM153" s="197">
        <f>+BM154</f>
        <v/>
      </c>
      <c r="BN153" s="197">
        <f>+BN154</f>
        <v/>
      </c>
      <c r="BP153" s="198">
        <f>$G153</f>
        <v/>
      </c>
      <c r="BQ153" s="197">
        <f>$J153</f>
        <v/>
      </c>
      <c r="BR153" s="197">
        <f>+BR154</f>
        <v/>
      </c>
      <c r="BS153" s="197">
        <f>+BS154</f>
        <v/>
      </c>
      <c r="BT153" s="197">
        <f>+BT154</f>
        <v/>
      </c>
      <c r="BU153" s="197">
        <f>+BU154</f>
        <v/>
      </c>
      <c r="BV153" s="197">
        <f>+BV154</f>
        <v/>
      </c>
      <c r="BX153" s="198">
        <f>$G153</f>
        <v/>
      </c>
      <c r="BY153" s="197">
        <f>$K153</f>
        <v/>
      </c>
      <c r="BZ153" s="197">
        <f>+BZ154</f>
        <v/>
      </c>
      <c r="CA153" s="197">
        <f>+CA154</f>
        <v/>
      </c>
      <c r="CB153" s="197">
        <f>+CB154</f>
        <v/>
      </c>
      <c r="CC153" s="197">
        <f>+CC154</f>
        <v/>
      </c>
      <c r="CD153" s="197">
        <f>+CD154</f>
        <v/>
      </c>
      <c r="CF153" s="198">
        <f>$G153</f>
        <v/>
      </c>
      <c r="CG153" s="197">
        <f>$L153</f>
        <v/>
      </c>
      <c r="CH153" s="197">
        <f>+CH154</f>
        <v/>
      </c>
      <c r="CI153" s="197">
        <f>+CI154</f>
        <v/>
      </c>
      <c r="CJ153" s="197">
        <f>+CJ154</f>
        <v/>
      </c>
      <c r="CK153" s="197">
        <f>+CK154</f>
        <v/>
      </c>
      <c r="CL153" s="197">
        <f>+CL154</f>
        <v/>
      </c>
      <c r="CO153" s="199" t="n"/>
      <c r="CP153" s="199" t="n">
        <v>3.65</v>
      </c>
      <c r="CR153" s="199" t="inlineStr">
        <is>
          <t>#N/A N/A</t>
        </is>
      </c>
      <c r="CS153" s="970" t="n">
        <v>0.98891</v>
      </c>
    </row>
    <row r="154">
      <c r="B154" s="204">
        <f>+C154-1</f>
        <v/>
      </c>
      <c r="C154" s="204">
        <f>IF('bands_A-H_Avg'!$D$9+1&gt;MONTH(G154),YEAR(G154),YEAR(G154)+1)</f>
        <v/>
      </c>
      <c r="D154" s="204">
        <f>+C154+1</f>
        <v/>
      </c>
      <c r="E154" s="203">
        <f>IF(C154&gt;C153,1,E153+1)</f>
        <v/>
      </c>
      <c r="F154" s="203">
        <f>COUNTIF(C:C,C154)</f>
        <v/>
      </c>
      <c r="G154" s="198">
        <f>+G153+7</f>
        <v/>
      </c>
      <c r="H154" s="361">
        <f>IF(ISBLANK(CO154),CP154,SUMPRODUCT(CO$32:CP$32,CO154:CP154))</f>
        <v/>
      </c>
      <c r="I154" s="968">
        <f>H154/M154</f>
        <v/>
      </c>
      <c r="J154" s="968">
        <f>H154/N154</f>
        <v/>
      </c>
      <c r="K154" s="968">
        <f>(H154+Q154)/O154</f>
        <v/>
      </c>
      <c r="L154" s="968">
        <f>(H154+Q154)/P154</f>
        <v/>
      </c>
      <c r="M154" s="199">
        <f>HLOOKUP(C:C,$4:$10,3,FALSE)+((HLOOKUP(D:D,$4:$10,3,FALSE)-HLOOKUP(C:C,$4:$10,3,FALSE))*E154/F154)</f>
        <v/>
      </c>
      <c r="N154" s="199">
        <f>HLOOKUP(C:C,$4:$10,2,FALSE)+((HLOOKUP(D:D,$4:$10,2,FALSE)-HLOOKUP(C:C,$4:$10,2,FALSE))*E154/F154)</f>
        <v/>
      </c>
      <c r="O154" s="199">
        <f>HLOOKUP(C:C,$4:$10,5,FALSE)+((HLOOKUP(D:D,$4:$10,5,FALSE)-HLOOKUP(C:C,$4:$10,5,FALSE))*E154/F154)</f>
        <v/>
      </c>
      <c r="P154" s="199">
        <f>HLOOKUP(C:C,$4:$10,4,FALSE)+((HLOOKUP(D:D,$4:$10,4,FALSE)-HLOOKUP(C:C,$4:$10,4,FALSE))*E154/F154)</f>
        <v/>
      </c>
      <c r="Q154" s="199">
        <f>HLOOKUP(B:B,$4:$10,6,FALSE)+((HLOOKUP(C:C,$4:$10,6,FALSE)-HLOOKUP(B:B,$4:$10,6,FALSE))*E154/F154)</f>
        <v/>
      </c>
      <c r="T154" s="198">
        <f>$G154</f>
        <v/>
      </c>
      <c r="U154" s="199">
        <f>H154/(HLOOKUP(B:B,$4:$10,3,FALSE)+((HLOOKUP(C:C,$4:$10,3,FALSE)-HLOOKUP(B:B,$4:$10,3,FALSE))*E154/F154))</f>
        <v/>
      </c>
      <c r="V154" s="969">
        <f>HLOOKUP(B:B,$4:$10,7,FALSE)+((HLOOKUP(C:C,$4:$10,7,FALSE)-HLOOKUP(B:B,$4:$10,7,FALSE))*E154/F154)</f>
        <v/>
      </c>
      <c r="AB154" s="198">
        <f>$G154</f>
        <v/>
      </c>
      <c r="AC154" s="199">
        <f>$H154</f>
        <v/>
      </c>
      <c r="AD154" s="199">
        <f>$M154*AD$34</f>
        <v/>
      </c>
      <c r="AE154" s="199">
        <f>$M154*AE$34</f>
        <v/>
      </c>
      <c r="AF154" s="199">
        <f>$M154*AF$34</f>
        <v/>
      </c>
      <c r="AG154" s="199">
        <f>$M154*AG$34</f>
        <v/>
      </c>
      <c r="AH154" s="199">
        <f>$M154*AH$34</f>
        <v/>
      </c>
      <c r="AJ154" s="198">
        <f>$G154</f>
        <v/>
      </c>
      <c r="AK154" s="199">
        <f>$H154</f>
        <v/>
      </c>
      <c r="AL154" s="199">
        <f>$N154*AL$34</f>
        <v/>
      </c>
      <c r="AM154" s="199">
        <f>$N154*AM$34</f>
        <v/>
      </c>
      <c r="AN154" s="199">
        <f>$N154*AN$34</f>
        <v/>
      </c>
      <c r="AO154" s="199">
        <f>$N154*AO$34</f>
        <v/>
      </c>
      <c r="AP154" s="199">
        <f>$N154*AP$34</f>
        <v/>
      </c>
      <c r="AR154" s="198">
        <f>$G154</f>
        <v/>
      </c>
      <c r="AS154" s="199">
        <f>$H154</f>
        <v/>
      </c>
      <c r="AT154" s="199">
        <f>$O154*AT$34-$Q154</f>
        <v/>
      </c>
      <c r="AU154" s="199">
        <f>$O154*AU$34-$Q154</f>
        <v/>
      </c>
      <c r="AV154" s="199">
        <f>$O154*AV$34-$Q154</f>
        <v/>
      </c>
      <c r="AW154" s="199">
        <f>$O154*AW$34-$Q154</f>
        <v/>
      </c>
      <c r="AX154" s="199">
        <f>$O154*AX$34-$Q154</f>
        <v/>
      </c>
      <c r="AZ154" s="198">
        <f>$G154</f>
        <v/>
      </c>
      <c r="BA154" s="199">
        <f>$H154</f>
        <v/>
      </c>
      <c r="BB154" s="199">
        <f>$P154*BB$34-$Q154</f>
        <v/>
      </c>
      <c r="BC154" s="199">
        <f>$P154*BC$34-$Q154</f>
        <v/>
      </c>
      <c r="BD154" s="199">
        <f>$P154*BD$34-$Q154</f>
        <v/>
      </c>
      <c r="BE154" s="199">
        <f>$P154*BE$34-$Q154</f>
        <v/>
      </c>
      <c r="BF154" s="199">
        <f>$P154*BF$34-$Q154</f>
        <v/>
      </c>
      <c r="BH154" s="198">
        <f>$G154</f>
        <v/>
      </c>
      <c r="BI154" s="197">
        <f>$I154</f>
        <v/>
      </c>
      <c r="BJ154" s="197">
        <f>+BJ155</f>
        <v/>
      </c>
      <c r="BK154" s="197">
        <f>+BK155</f>
        <v/>
      </c>
      <c r="BL154" s="197">
        <f>+BL155</f>
        <v/>
      </c>
      <c r="BM154" s="197">
        <f>+BM155</f>
        <v/>
      </c>
      <c r="BN154" s="197">
        <f>+BN155</f>
        <v/>
      </c>
      <c r="BP154" s="198">
        <f>$G154</f>
        <v/>
      </c>
      <c r="BQ154" s="197">
        <f>$J154</f>
        <v/>
      </c>
      <c r="BR154" s="197">
        <f>+BR155</f>
        <v/>
      </c>
      <c r="BS154" s="197">
        <f>+BS155</f>
        <v/>
      </c>
      <c r="BT154" s="197">
        <f>+BT155</f>
        <v/>
      </c>
      <c r="BU154" s="197">
        <f>+BU155</f>
        <v/>
      </c>
      <c r="BV154" s="197">
        <f>+BV155</f>
        <v/>
      </c>
      <c r="BX154" s="198">
        <f>$G154</f>
        <v/>
      </c>
      <c r="BY154" s="197">
        <f>$K154</f>
        <v/>
      </c>
      <c r="BZ154" s="197">
        <f>+BZ155</f>
        <v/>
      </c>
      <c r="CA154" s="197">
        <f>+CA155</f>
        <v/>
      </c>
      <c r="CB154" s="197">
        <f>+CB155</f>
        <v/>
      </c>
      <c r="CC154" s="197">
        <f>+CC155</f>
        <v/>
      </c>
      <c r="CD154" s="197">
        <f>+CD155</f>
        <v/>
      </c>
      <c r="CF154" s="198">
        <f>$G154</f>
        <v/>
      </c>
      <c r="CG154" s="197">
        <f>$L154</f>
        <v/>
      </c>
      <c r="CH154" s="197">
        <f>+CH155</f>
        <v/>
      </c>
      <c r="CI154" s="197">
        <f>+CI155</f>
        <v/>
      </c>
      <c r="CJ154" s="197">
        <f>+CJ155</f>
        <v/>
      </c>
      <c r="CK154" s="197">
        <f>+CK155</f>
        <v/>
      </c>
      <c r="CL154" s="197">
        <f>+CL155</f>
        <v/>
      </c>
      <c r="CO154" s="199" t="n"/>
      <c r="CP154" s="199" t="n">
        <v>3.88</v>
      </c>
      <c r="CR154" s="199" t="inlineStr">
        <is>
          <t>#N/A N/A</t>
        </is>
      </c>
      <c r="CS154" s="970" t="n">
        <v>0.98814</v>
      </c>
    </row>
    <row r="155">
      <c r="B155" s="204">
        <f>+C155-1</f>
        <v/>
      </c>
      <c r="C155" s="204">
        <f>IF('bands_A-H_Avg'!$D$9+1&gt;MONTH(G155),YEAR(G155),YEAR(G155)+1)</f>
        <v/>
      </c>
      <c r="D155" s="204">
        <f>+C155+1</f>
        <v/>
      </c>
      <c r="E155" s="203">
        <f>IF(C155&gt;C154,1,E154+1)</f>
        <v/>
      </c>
      <c r="F155" s="203">
        <f>COUNTIF(C:C,C155)</f>
        <v/>
      </c>
      <c r="G155" s="198">
        <f>+G154+7</f>
        <v/>
      </c>
      <c r="H155" s="361">
        <f>IF(ISBLANK(CO155),CP155,SUMPRODUCT(CO$32:CP$32,CO155:CP155))</f>
        <v/>
      </c>
      <c r="I155" s="968">
        <f>H155/M155</f>
        <v/>
      </c>
      <c r="J155" s="968">
        <f>H155/N155</f>
        <v/>
      </c>
      <c r="K155" s="968">
        <f>(H155+Q155)/O155</f>
        <v/>
      </c>
      <c r="L155" s="968">
        <f>(H155+Q155)/P155</f>
        <v/>
      </c>
      <c r="M155" s="199">
        <f>HLOOKUP(C:C,$4:$10,3,FALSE)+((HLOOKUP(D:D,$4:$10,3,FALSE)-HLOOKUP(C:C,$4:$10,3,FALSE))*E155/F155)</f>
        <v/>
      </c>
      <c r="N155" s="199">
        <f>HLOOKUP(C:C,$4:$10,2,FALSE)+((HLOOKUP(D:D,$4:$10,2,FALSE)-HLOOKUP(C:C,$4:$10,2,FALSE))*E155/F155)</f>
        <v/>
      </c>
      <c r="O155" s="199">
        <f>HLOOKUP(C:C,$4:$10,5,FALSE)+((HLOOKUP(D:D,$4:$10,5,FALSE)-HLOOKUP(C:C,$4:$10,5,FALSE))*E155/F155)</f>
        <v/>
      </c>
      <c r="P155" s="199">
        <f>HLOOKUP(C:C,$4:$10,4,FALSE)+((HLOOKUP(D:D,$4:$10,4,FALSE)-HLOOKUP(C:C,$4:$10,4,FALSE))*E155/F155)</f>
        <v/>
      </c>
      <c r="Q155" s="199">
        <f>HLOOKUP(B:B,$4:$10,6,FALSE)+((HLOOKUP(C:C,$4:$10,6,FALSE)-HLOOKUP(B:B,$4:$10,6,FALSE))*E155/F155)</f>
        <v/>
      </c>
      <c r="T155" s="198">
        <f>$G155</f>
        <v/>
      </c>
      <c r="U155" s="199">
        <f>H155/(HLOOKUP(B:B,$4:$10,3,FALSE)+((HLOOKUP(C:C,$4:$10,3,FALSE)-HLOOKUP(B:B,$4:$10,3,FALSE))*E155/F155))</f>
        <v/>
      </c>
      <c r="V155" s="969">
        <f>HLOOKUP(B:B,$4:$10,7,FALSE)+((HLOOKUP(C:C,$4:$10,7,FALSE)-HLOOKUP(B:B,$4:$10,7,FALSE))*E155/F155)</f>
        <v/>
      </c>
      <c r="AB155" s="198">
        <f>$G155</f>
        <v/>
      </c>
      <c r="AC155" s="199">
        <f>$H155</f>
        <v/>
      </c>
      <c r="AD155" s="199">
        <f>$M155*AD$34</f>
        <v/>
      </c>
      <c r="AE155" s="199">
        <f>$M155*AE$34</f>
        <v/>
      </c>
      <c r="AF155" s="199">
        <f>$M155*AF$34</f>
        <v/>
      </c>
      <c r="AG155" s="199">
        <f>$M155*AG$34</f>
        <v/>
      </c>
      <c r="AH155" s="199">
        <f>$M155*AH$34</f>
        <v/>
      </c>
      <c r="AJ155" s="198">
        <f>$G155</f>
        <v/>
      </c>
      <c r="AK155" s="199">
        <f>$H155</f>
        <v/>
      </c>
      <c r="AL155" s="199">
        <f>$N155*AL$34</f>
        <v/>
      </c>
      <c r="AM155" s="199">
        <f>$N155*AM$34</f>
        <v/>
      </c>
      <c r="AN155" s="199">
        <f>$N155*AN$34</f>
        <v/>
      </c>
      <c r="AO155" s="199">
        <f>$N155*AO$34</f>
        <v/>
      </c>
      <c r="AP155" s="199">
        <f>$N155*AP$34</f>
        <v/>
      </c>
      <c r="AR155" s="198">
        <f>$G155</f>
        <v/>
      </c>
      <c r="AS155" s="199">
        <f>$H155</f>
        <v/>
      </c>
      <c r="AT155" s="199">
        <f>$O155*AT$34-$Q155</f>
        <v/>
      </c>
      <c r="AU155" s="199">
        <f>$O155*AU$34-$Q155</f>
        <v/>
      </c>
      <c r="AV155" s="199">
        <f>$O155*AV$34-$Q155</f>
        <v/>
      </c>
      <c r="AW155" s="199">
        <f>$O155*AW$34-$Q155</f>
        <v/>
      </c>
      <c r="AX155" s="199">
        <f>$O155*AX$34-$Q155</f>
        <v/>
      </c>
      <c r="AZ155" s="198">
        <f>$G155</f>
        <v/>
      </c>
      <c r="BA155" s="199">
        <f>$H155</f>
        <v/>
      </c>
      <c r="BB155" s="199">
        <f>$P155*BB$34-$Q155</f>
        <v/>
      </c>
      <c r="BC155" s="199">
        <f>$P155*BC$34-$Q155</f>
        <v/>
      </c>
      <c r="BD155" s="199">
        <f>$P155*BD$34-$Q155</f>
        <v/>
      </c>
      <c r="BE155" s="199">
        <f>$P155*BE$34-$Q155</f>
        <v/>
      </c>
      <c r="BF155" s="199">
        <f>$P155*BF$34-$Q155</f>
        <v/>
      </c>
      <c r="BH155" s="198">
        <f>$G155</f>
        <v/>
      </c>
      <c r="BI155" s="197">
        <f>$I155</f>
        <v/>
      </c>
      <c r="BJ155" s="197">
        <f>+BJ156</f>
        <v/>
      </c>
      <c r="BK155" s="197">
        <f>+BK156</f>
        <v/>
      </c>
      <c r="BL155" s="197">
        <f>+BL156</f>
        <v/>
      </c>
      <c r="BM155" s="197">
        <f>+BM156</f>
        <v/>
      </c>
      <c r="BN155" s="197">
        <f>+BN156</f>
        <v/>
      </c>
      <c r="BP155" s="198">
        <f>$G155</f>
        <v/>
      </c>
      <c r="BQ155" s="197">
        <f>$J155</f>
        <v/>
      </c>
      <c r="BR155" s="197">
        <f>+BR156</f>
        <v/>
      </c>
      <c r="BS155" s="197">
        <f>+BS156</f>
        <v/>
      </c>
      <c r="BT155" s="197">
        <f>+BT156</f>
        <v/>
      </c>
      <c r="BU155" s="197">
        <f>+BU156</f>
        <v/>
      </c>
      <c r="BV155" s="197">
        <f>+BV156</f>
        <v/>
      </c>
      <c r="BX155" s="198">
        <f>$G155</f>
        <v/>
      </c>
      <c r="BY155" s="197">
        <f>$K155</f>
        <v/>
      </c>
      <c r="BZ155" s="197">
        <f>+BZ156</f>
        <v/>
      </c>
      <c r="CA155" s="197">
        <f>+CA156</f>
        <v/>
      </c>
      <c r="CB155" s="197">
        <f>+CB156</f>
        <v/>
      </c>
      <c r="CC155" s="197">
        <f>+CC156</f>
        <v/>
      </c>
      <c r="CD155" s="197">
        <f>+CD156</f>
        <v/>
      </c>
      <c r="CF155" s="198">
        <f>$G155</f>
        <v/>
      </c>
      <c r="CG155" s="197">
        <f>$L155</f>
        <v/>
      </c>
      <c r="CH155" s="197">
        <f>+CH156</f>
        <v/>
      </c>
      <c r="CI155" s="197">
        <f>+CI156</f>
        <v/>
      </c>
      <c r="CJ155" s="197">
        <f>+CJ156</f>
        <v/>
      </c>
      <c r="CK155" s="197">
        <f>+CK156</f>
        <v/>
      </c>
      <c r="CL155" s="197">
        <f>+CL156</f>
        <v/>
      </c>
      <c r="CO155" s="199" t="n"/>
      <c r="CP155" s="199" t="n">
        <v>3.96</v>
      </c>
      <c r="CR155" s="199" t="inlineStr">
        <is>
          <t>#N/A N/A</t>
        </is>
      </c>
      <c r="CS155" s="970" t="n">
        <v>0.98827</v>
      </c>
    </row>
    <row r="156">
      <c r="B156" s="204">
        <f>+C156-1</f>
        <v/>
      </c>
      <c r="C156" s="204">
        <f>IF('bands_A-H_Avg'!$D$9+1&gt;MONTH(G156),YEAR(G156),YEAR(G156)+1)</f>
        <v/>
      </c>
      <c r="D156" s="204">
        <f>+C156+1</f>
        <v/>
      </c>
      <c r="E156" s="203">
        <f>IF(C156&gt;C155,1,E155+1)</f>
        <v/>
      </c>
      <c r="F156" s="203">
        <f>COUNTIF(C:C,C156)</f>
        <v/>
      </c>
      <c r="G156" s="198">
        <f>+G155+7</f>
        <v/>
      </c>
      <c r="H156" s="361">
        <f>IF(ISBLANK(CO156),CP156,SUMPRODUCT(CO$32:CP$32,CO156:CP156))</f>
        <v/>
      </c>
      <c r="I156" s="968">
        <f>H156/M156</f>
        <v/>
      </c>
      <c r="J156" s="968">
        <f>H156/N156</f>
        <v/>
      </c>
      <c r="K156" s="968">
        <f>(H156+Q156)/O156</f>
        <v/>
      </c>
      <c r="L156" s="968">
        <f>(H156+Q156)/P156</f>
        <v/>
      </c>
      <c r="M156" s="199">
        <f>HLOOKUP(C:C,$4:$10,3,FALSE)+((HLOOKUP(D:D,$4:$10,3,FALSE)-HLOOKUP(C:C,$4:$10,3,FALSE))*E156/F156)</f>
        <v/>
      </c>
      <c r="N156" s="199">
        <f>HLOOKUP(C:C,$4:$10,2,FALSE)+((HLOOKUP(D:D,$4:$10,2,FALSE)-HLOOKUP(C:C,$4:$10,2,FALSE))*E156/F156)</f>
        <v/>
      </c>
      <c r="O156" s="199">
        <f>HLOOKUP(C:C,$4:$10,5,FALSE)+((HLOOKUP(D:D,$4:$10,5,FALSE)-HLOOKUP(C:C,$4:$10,5,FALSE))*E156/F156)</f>
        <v/>
      </c>
      <c r="P156" s="199">
        <f>HLOOKUP(C:C,$4:$10,4,FALSE)+((HLOOKUP(D:D,$4:$10,4,FALSE)-HLOOKUP(C:C,$4:$10,4,FALSE))*E156/F156)</f>
        <v/>
      </c>
      <c r="Q156" s="199">
        <f>HLOOKUP(B:B,$4:$10,6,FALSE)+((HLOOKUP(C:C,$4:$10,6,FALSE)-HLOOKUP(B:B,$4:$10,6,FALSE))*E156/F156)</f>
        <v/>
      </c>
      <c r="T156" s="198">
        <f>$G156</f>
        <v/>
      </c>
      <c r="U156" s="199">
        <f>H156/(HLOOKUP(B:B,$4:$10,3,FALSE)+((HLOOKUP(C:C,$4:$10,3,FALSE)-HLOOKUP(B:B,$4:$10,3,FALSE))*E156/F156))</f>
        <v/>
      </c>
      <c r="V156" s="969">
        <f>HLOOKUP(B:B,$4:$10,7,FALSE)+((HLOOKUP(C:C,$4:$10,7,FALSE)-HLOOKUP(B:B,$4:$10,7,FALSE))*E156/F156)</f>
        <v/>
      </c>
      <c r="AB156" s="198">
        <f>$G156</f>
        <v/>
      </c>
      <c r="AC156" s="199">
        <f>$H156</f>
        <v/>
      </c>
      <c r="AD156" s="199">
        <f>$M156*AD$34</f>
        <v/>
      </c>
      <c r="AE156" s="199">
        <f>$M156*AE$34</f>
        <v/>
      </c>
      <c r="AF156" s="199">
        <f>$M156*AF$34</f>
        <v/>
      </c>
      <c r="AG156" s="199">
        <f>$M156*AG$34</f>
        <v/>
      </c>
      <c r="AH156" s="199">
        <f>$M156*AH$34</f>
        <v/>
      </c>
      <c r="AJ156" s="198">
        <f>$G156</f>
        <v/>
      </c>
      <c r="AK156" s="199">
        <f>$H156</f>
        <v/>
      </c>
      <c r="AL156" s="199">
        <f>$N156*AL$34</f>
        <v/>
      </c>
      <c r="AM156" s="199">
        <f>$N156*AM$34</f>
        <v/>
      </c>
      <c r="AN156" s="199">
        <f>$N156*AN$34</f>
        <v/>
      </c>
      <c r="AO156" s="199">
        <f>$N156*AO$34</f>
        <v/>
      </c>
      <c r="AP156" s="199">
        <f>$N156*AP$34</f>
        <v/>
      </c>
      <c r="AR156" s="198">
        <f>$G156</f>
        <v/>
      </c>
      <c r="AS156" s="199">
        <f>$H156</f>
        <v/>
      </c>
      <c r="AT156" s="199">
        <f>$O156*AT$34-$Q156</f>
        <v/>
      </c>
      <c r="AU156" s="199">
        <f>$O156*AU$34-$Q156</f>
        <v/>
      </c>
      <c r="AV156" s="199">
        <f>$O156*AV$34-$Q156</f>
        <v/>
      </c>
      <c r="AW156" s="199">
        <f>$O156*AW$34-$Q156</f>
        <v/>
      </c>
      <c r="AX156" s="199">
        <f>$O156*AX$34-$Q156</f>
        <v/>
      </c>
      <c r="AZ156" s="198">
        <f>$G156</f>
        <v/>
      </c>
      <c r="BA156" s="199">
        <f>$H156</f>
        <v/>
      </c>
      <c r="BB156" s="199">
        <f>$P156*BB$34-$Q156</f>
        <v/>
      </c>
      <c r="BC156" s="199">
        <f>$P156*BC$34-$Q156</f>
        <v/>
      </c>
      <c r="BD156" s="199">
        <f>$P156*BD$34-$Q156</f>
        <v/>
      </c>
      <c r="BE156" s="199">
        <f>$P156*BE$34-$Q156</f>
        <v/>
      </c>
      <c r="BF156" s="199">
        <f>$P156*BF$34-$Q156</f>
        <v/>
      </c>
      <c r="BH156" s="198">
        <f>$G156</f>
        <v/>
      </c>
      <c r="BI156" s="197">
        <f>$I156</f>
        <v/>
      </c>
      <c r="BJ156" s="197">
        <f>+BJ157</f>
        <v/>
      </c>
      <c r="BK156" s="197">
        <f>+BK157</f>
        <v/>
      </c>
      <c r="BL156" s="197">
        <f>+BL157</f>
        <v/>
      </c>
      <c r="BM156" s="197">
        <f>+BM157</f>
        <v/>
      </c>
      <c r="BN156" s="197">
        <f>+BN157</f>
        <v/>
      </c>
      <c r="BP156" s="198">
        <f>$G156</f>
        <v/>
      </c>
      <c r="BQ156" s="197">
        <f>$J156</f>
        <v/>
      </c>
      <c r="BR156" s="197">
        <f>+BR157</f>
        <v/>
      </c>
      <c r="BS156" s="197">
        <f>+BS157</f>
        <v/>
      </c>
      <c r="BT156" s="197">
        <f>+BT157</f>
        <v/>
      </c>
      <c r="BU156" s="197">
        <f>+BU157</f>
        <v/>
      </c>
      <c r="BV156" s="197">
        <f>+BV157</f>
        <v/>
      </c>
      <c r="BX156" s="198">
        <f>$G156</f>
        <v/>
      </c>
      <c r="BY156" s="197">
        <f>$K156</f>
        <v/>
      </c>
      <c r="BZ156" s="197">
        <f>+BZ157</f>
        <v/>
      </c>
      <c r="CA156" s="197">
        <f>+CA157</f>
        <v/>
      </c>
      <c r="CB156" s="197">
        <f>+CB157</f>
        <v/>
      </c>
      <c r="CC156" s="197">
        <f>+CC157</f>
        <v/>
      </c>
      <c r="CD156" s="197">
        <f>+CD157</f>
        <v/>
      </c>
      <c r="CF156" s="198">
        <f>$G156</f>
        <v/>
      </c>
      <c r="CG156" s="197">
        <f>$L156</f>
        <v/>
      </c>
      <c r="CH156" s="197">
        <f>+CH157</f>
        <v/>
      </c>
      <c r="CI156" s="197">
        <f>+CI157</f>
        <v/>
      </c>
      <c r="CJ156" s="197">
        <f>+CJ157</f>
        <v/>
      </c>
      <c r="CK156" s="197">
        <f>+CK157</f>
        <v/>
      </c>
      <c r="CL156" s="197">
        <f>+CL157</f>
        <v/>
      </c>
      <c r="CO156" s="199" t="n"/>
      <c r="CP156" s="199" t="n">
        <v>3.4</v>
      </c>
      <c r="CR156" s="199" t="inlineStr">
        <is>
          <t>#N/A N/A</t>
        </is>
      </c>
      <c r="CS156" s="970" t="n">
        <v>0.98727</v>
      </c>
    </row>
    <row r="157">
      <c r="B157" s="204">
        <f>+C157-1</f>
        <v/>
      </c>
      <c r="C157" s="204">
        <f>IF('bands_A-H_Avg'!$D$9+1&gt;MONTH(G157),YEAR(G157),YEAR(G157)+1)</f>
        <v/>
      </c>
      <c r="D157" s="204">
        <f>+C157+1</f>
        <v/>
      </c>
      <c r="E157" s="203">
        <f>IF(C157&gt;C156,1,E156+1)</f>
        <v/>
      </c>
      <c r="F157" s="203">
        <f>COUNTIF(C:C,C157)</f>
        <v/>
      </c>
      <c r="G157" s="198">
        <f>+G156+7</f>
        <v/>
      </c>
      <c r="H157" s="361">
        <f>IF(ISBLANK(CO157),CP157,SUMPRODUCT(CO$32:CP$32,CO157:CP157))</f>
        <v/>
      </c>
      <c r="I157" s="968">
        <f>H157/M157</f>
        <v/>
      </c>
      <c r="J157" s="968">
        <f>H157/N157</f>
        <v/>
      </c>
      <c r="K157" s="968">
        <f>(H157+Q157)/O157</f>
        <v/>
      </c>
      <c r="L157" s="968">
        <f>(H157+Q157)/P157</f>
        <v/>
      </c>
      <c r="M157" s="199">
        <f>HLOOKUP(C:C,$4:$10,3,FALSE)+((HLOOKUP(D:D,$4:$10,3,FALSE)-HLOOKUP(C:C,$4:$10,3,FALSE))*E157/F157)</f>
        <v/>
      </c>
      <c r="N157" s="199">
        <f>HLOOKUP(C:C,$4:$10,2,FALSE)+((HLOOKUP(D:D,$4:$10,2,FALSE)-HLOOKUP(C:C,$4:$10,2,FALSE))*E157/F157)</f>
        <v/>
      </c>
      <c r="O157" s="199">
        <f>HLOOKUP(C:C,$4:$10,5,FALSE)+((HLOOKUP(D:D,$4:$10,5,FALSE)-HLOOKUP(C:C,$4:$10,5,FALSE))*E157/F157)</f>
        <v/>
      </c>
      <c r="P157" s="199">
        <f>HLOOKUP(C:C,$4:$10,4,FALSE)+((HLOOKUP(D:D,$4:$10,4,FALSE)-HLOOKUP(C:C,$4:$10,4,FALSE))*E157/F157)</f>
        <v/>
      </c>
      <c r="Q157" s="199">
        <f>HLOOKUP(B:B,$4:$10,6,FALSE)+((HLOOKUP(C:C,$4:$10,6,FALSE)-HLOOKUP(B:B,$4:$10,6,FALSE))*E157/F157)</f>
        <v/>
      </c>
      <c r="T157" s="198">
        <f>$G157</f>
        <v/>
      </c>
      <c r="U157" s="199">
        <f>H157/(HLOOKUP(B:B,$4:$10,3,FALSE)+((HLOOKUP(C:C,$4:$10,3,FALSE)-HLOOKUP(B:B,$4:$10,3,FALSE))*E157/F157))</f>
        <v/>
      </c>
      <c r="V157" s="969">
        <f>HLOOKUP(B:B,$4:$10,7,FALSE)+((HLOOKUP(C:C,$4:$10,7,FALSE)-HLOOKUP(B:B,$4:$10,7,FALSE))*E157/F157)</f>
        <v/>
      </c>
      <c r="AB157" s="198">
        <f>$G157</f>
        <v/>
      </c>
      <c r="AC157" s="199">
        <f>$H157</f>
        <v/>
      </c>
      <c r="AD157" s="199">
        <f>$M157*AD$34</f>
        <v/>
      </c>
      <c r="AE157" s="199">
        <f>$M157*AE$34</f>
        <v/>
      </c>
      <c r="AF157" s="199">
        <f>$M157*AF$34</f>
        <v/>
      </c>
      <c r="AG157" s="199">
        <f>$M157*AG$34</f>
        <v/>
      </c>
      <c r="AH157" s="199">
        <f>$M157*AH$34</f>
        <v/>
      </c>
      <c r="AJ157" s="198">
        <f>$G157</f>
        <v/>
      </c>
      <c r="AK157" s="199">
        <f>$H157</f>
        <v/>
      </c>
      <c r="AL157" s="199">
        <f>$N157*AL$34</f>
        <v/>
      </c>
      <c r="AM157" s="199">
        <f>$N157*AM$34</f>
        <v/>
      </c>
      <c r="AN157" s="199">
        <f>$N157*AN$34</f>
        <v/>
      </c>
      <c r="AO157" s="199">
        <f>$N157*AO$34</f>
        <v/>
      </c>
      <c r="AP157" s="199">
        <f>$N157*AP$34</f>
        <v/>
      </c>
      <c r="AR157" s="198">
        <f>$G157</f>
        <v/>
      </c>
      <c r="AS157" s="199">
        <f>$H157</f>
        <v/>
      </c>
      <c r="AT157" s="199">
        <f>$O157*AT$34-$Q157</f>
        <v/>
      </c>
      <c r="AU157" s="199">
        <f>$O157*AU$34-$Q157</f>
        <v/>
      </c>
      <c r="AV157" s="199">
        <f>$O157*AV$34-$Q157</f>
        <v/>
      </c>
      <c r="AW157" s="199">
        <f>$O157*AW$34-$Q157</f>
        <v/>
      </c>
      <c r="AX157" s="199">
        <f>$O157*AX$34-$Q157</f>
        <v/>
      </c>
      <c r="AZ157" s="198">
        <f>$G157</f>
        <v/>
      </c>
      <c r="BA157" s="199">
        <f>$H157</f>
        <v/>
      </c>
      <c r="BB157" s="199">
        <f>$P157*BB$34-$Q157</f>
        <v/>
      </c>
      <c r="BC157" s="199">
        <f>$P157*BC$34-$Q157</f>
        <v/>
      </c>
      <c r="BD157" s="199">
        <f>$P157*BD$34-$Q157</f>
        <v/>
      </c>
      <c r="BE157" s="199">
        <f>$P157*BE$34-$Q157</f>
        <v/>
      </c>
      <c r="BF157" s="199">
        <f>$P157*BF$34-$Q157</f>
        <v/>
      </c>
      <c r="BH157" s="198">
        <f>$G157</f>
        <v/>
      </c>
      <c r="BI157" s="197">
        <f>$I157</f>
        <v/>
      </c>
      <c r="BJ157" s="197">
        <f>+BJ158</f>
        <v/>
      </c>
      <c r="BK157" s="197">
        <f>+BK158</f>
        <v/>
      </c>
      <c r="BL157" s="197">
        <f>+BL158</f>
        <v/>
      </c>
      <c r="BM157" s="197">
        <f>+BM158</f>
        <v/>
      </c>
      <c r="BN157" s="197">
        <f>+BN158</f>
        <v/>
      </c>
      <c r="BP157" s="198">
        <f>$G157</f>
        <v/>
      </c>
      <c r="BQ157" s="197">
        <f>$J157</f>
        <v/>
      </c>
      <c r="BR157" s="197">
        <f>+BR158</f>
        <v/>
      </c>
      <c r="BS157" s="197">
        <f>+BS158</f>
        <v/>
      </c>
      <c r="BT157" s="197">
        <f>+BT158</f>
        <v/>
      </c>
      <c r="BU157" s="197">
        <f>+BU158</f>
        <v/>
      </c>
      <c r="BV157" s="197">
        <f>+BV158</f>
        <v/>
      </c>
      <c r="BX157" s="198">
        <f>$G157</f>
        <v/>
      </c>
      <c r="BY157" s="197">
        <f>$K157</f>
        <v/>
      </c>
      <c r="BZ157" s="197">
        <f>+BZ158</f>
        <v/>
      </c>
      <c r="CA157" s="197">
        <f>+CA158</f>
        <v/>
      </c>
      <c r="CB157" s="197">
        <f>+CB158</f>
        <v/>
      </c>
      <c r="CC157" s="197">
        <f>+CC158</f>
        <v/>
      </c>
      <c r="CD157" s="197">
        <f>+CD158</f>
        <v/>
      </c>
      <c r="CF157" s="198">
        <f>$G157</f>
        <v/>
      </c>
      <c r="CG157" s="197">
        <f>$L157</f>
        <v/>
      </c>
      <c r="CH157" s="197">
        <f>+CH158</f>
        <v/>
      </c>
      <c r="CI157" s="197">
        <f>+CI158</f>
        <v/>
      </c>
      <c r="CJ157" s="197">
        <f>+CJ158</f>
        <v/>
      </c>
      <c r="CK157" s="197">
        <f>+CK158</f>
        <v/>
      </c>
      <c r="CL157" s="197">
        <f>+CL158</f>
        <v/>
      </c>
      <c r="CO157" s="199" t="n"/>
      <c r="CP157" s="199" t="n">
        <v>3.39</v>
      </c>
      <c r="CR157" s="199" t="inlineStr">
        <is>
          <t>#N/A N/A</t>
        </is>
      </c>
      <c r="CS157" s="970" t="n">
        <v>0.98629</v>
      </c>
    </row>
    <row r="158">
      <c r="B158" s="204">
        <f>+C158-1</f>
        <v/>
      </c>
      <c r="C158" s="204">
        <f>IF('bands_A-H_Avg'!$D$9+1&gt;MONTH(G158),YEAR(G158),YEAR(G158)+1)</f>
        <v/>
      </c>
      <c r="D158" s="204">
        <f>+C158+1</f>
        <v/>
      </c>
      <c r="E158" s="203">
        <f>IF(C158&gt;C157,1,E157+1)</f>
        <v/>
      </c>
      <c r="F158" s="203">
        <f>COUNTIF(C:C,C158)</f>
        <v/>
      </c>
      <c r="G158" s="198">
        <f>+G157+7</f>
        <v/>
      </c>
      <c r="H158" s="361">
        <f>IF(ISBLANK(CO158),CP158,SUMPRODUCT(CO$32:CP$32,CO158:CP158))</f>
        <v/>
      </c>
      <c r="I158" s="968">
        <f>H158/M158</f>
        <v/>
      </c>
      <c r="J158" s="968">
        <f>H158/N158</f>
        <v/>
      </c>
      <c r="K158" s="968">
        <f>(H158+Q158)/O158</f>
        <v/>
      </c>
      <c r="L158" s="968">
        <f>(H158+Q158)/P158</f>
        <v/>
      </c>
      <c r="M158" s="199">
        <f>HLOOKUP(C:C,$4:$10,3,FALSE)+((HLOOKUP(D:D,$4:$10,3,FALSE)-HLOOKUP(C:C,$4:$10,3,FALSE))*E158/F158)</f>
        <v/>
      </c>
      <c r="N158" s="199">
        <f>HLOOKUP(C:C,$4:$10,2,FALSE)+((HLOOKUP(D:D,$4:$10,2,FALSE)-HLOOKUP(C:C,$4:$10,2,FALSE))*E158/F158)</f>
        <v/>
      </c>
      <c r="O158" s="199">
        <f>HLOOKUP(C:C,$4:$10,5,FALSE)+((HLOOKUP(D:D,$4:$10,5,FALSE)-HLOOKUP(C:C,$4:$10,5,FALSE))*E158/F158)</f>
        <v/>
      </c>
      <c r="P158" s="199">
        <f>HLOOKUP(C:C,$4:$10,4,FALSE)+((HLOOKUP(D:D,$4:$10,4,FALSE)-HLOOKUP(C:C,$4:$10,4,FALSE))*E158/F158)</f>
        <v/>
      </c>
      <c r="Q158" s="199">
        <f>HLOOKUP(B:B,$4:$10,6,FALSE)+((HLOOKUP(C:C,$4:$10,6,FALSE)-HLOOKUP(B:B,$4:$10,6,FALSE))*E158/F158)</f>
        <v/>
      </c>
      <c r="T158" s="198">
        <f>$G158</f>
        <v/>
      </c>
      <c r="U158" s="199">
        <f>H158/(HLOOKUP(B:B,$4:$10,3,FALSE)+((HLOOKUP(C:C,$4:$10,3,FALSE)-HLOOKUP(B:B,$4:$10,3,FALSE))*E158/F158))</f>
        <v/>
      </c>
      <c r="V158" s="969">
        <f>HLOOKUP(B:B,$4:$10,7,FALSE)+((HLOOKUP(C:C,$4:$10,7,FALSE)-HLOOKUP(B:B,$4:$10,7,FALSE))*E158/F158)</f>
        <v/>
      </c>
      <c r="AB158" s="198">
        <f>$G158</f>
        <v/>
      </c>
      <c r="AC158" s="199">
        <f>$H158</f>
        <v/>
      </c>
      <c r="AD158" s="199">
        <f>$M158*AD$34</f>
        <v/>
      </c>
      <c r="AE158" s="199">
        <f>$M158*AE$34</f>
        <v/>
      </c>
      <c r="AF158" s="199">
        <f>$M158*AF$34</f>
        <v/>
      </c>
      <c r="AG158" s="199">
        <f>$M158*AG$34</f>
        <v/>
      </c>
      <c r="AH158" s="199">
        <f>$M158*AH$34</f>
        <v/>
      </c>
      <c r="AJ158" s="198">
        <f>$G158</f>
        <v/>
      </c>
      <c r="AK158" s="199">
        <f>$H158</f>
        <v/>
      </c>
      <c r="AL158" s="199">
        <f>$N158*AL$34</f>
        <v/>
      </c>
      <c r="AM158" s="199">
        <f>$N158*AM$34</f>
        <v/>
      </c>
      <c r="AN158" s="199">
        <f>$N158*AN$34</f>
        <v/>
      </c>
      <c r="AO158" s="199">
        <f>$N158*AO$34</f>
        <v/>
      </c>
      <c r="AP158" s="199">
        <f>$N158*AP$34</f>
        <v/>
      </c>
      <c r="AR158" s="198">
        <f>$G158</f>
        <v/>
      </c>
      <c r="AS158" s="199">
        <f>$H158</f>
        <v/>
      </c>
      <c r="AT158" s="199">
        <f>$O158*AT$34-$Q158</f>
        <v/>
      </c>
      <c r="AU158" s="199">
        <f>$O158*AU$34-$Q158</f>
        <v/>
      </c>
      <c r="AV158" s="199">
        <f>$O158*AV$34-$Q158</f>
        <v/>
      </c>
      <c r="AW158" s="199">
        <f>$O158*AW$34-$Q158</f>
        <v/>
      </c>
      <c r="AX158" s="199">
        <f>$O158*AX$34-$Q158</f>
        <v/>
      </c>
      <c r="AZ158" s="198">
        <f>$G158</f>
        <v/>
      </c>
      <c r="BA158" s="199">
        <f>$H158</f>
        <v/>
      </c>
      <c r="BB158" s="199">
        <f>$P158*BB$34-$Q158</f>
        <v/>
      </c>
      <c r="BC158" s="199">
        <f>$P158*BC$34-$Q158</f>
        <v/>
      </c>
      <c r="BD158" s="199">
        <f>$P158*BD$34-$Q158</f>
        <v/>
      </c>
      <c r="BE158" s="199">
        <f>$P158*BE$34-$Q158</f>
        <v/>
      </c>
      <c r="BF158" s="199">
        <f>$P158*BF$34-$Q158</f>
        <v/>
      </c>
      <c r="BH158" s="198">
        <f>$G158</f>
        <v/>
      </c>
      <c r="BI158" s="197">
        <f>$I158</f>
        <v/>
      </c>
      <c r="BJ158" s="197">
        <f>+BJ159</f>
        <v/>
      </c>
      <c r="BK158" s="197">
        <f>+BK159</f>
        <v/>
      </c>
      <c r="BL158" s="197">
        <f>+BL159</f>
        <v/>
      </c>
      <c r="BM158" s="197">
        <f>+BM159</f>
        <v/>
      </c>
      <c r="BN158" s="197">
        <f>+BN159</f>
        <v/>
      </c>
      <c r="BP158" s="198">
        <f>$G158</f>
        <v/>
      </c>
      <c r="BQ158" s="197">
        <f>$J158</f>
        <v/>
      </c>
      <c r="BR158" s="197">
        <f>+BR159</f>
        <v/>
      </c>
      <c r="BS158" s="197">
        <f>+BS159</f>
        <v/>
      </c>
      <c r="BT158" s="197">
        <f>+BT159</f>
        <v/>
      </c>
      <c r="BU158" s="197">
        <f>+BU159</f>
        <v/>
      </c>
      <c r="BV158" s="197">
        <f>+BV159</f>
        <v/>
      </c>
      <c r="BX158" s="198">
        <f>$G158</f>
        <v/>
      </c>
      <c r="BY158" s="197">
        <f>$K158</f>
        <v/>
      </c>
      <c r="BZ158" s="197">
        <f>+BZ159</f>
        <v/>
      </c>
      <c r="CA158" s="197">
        <f>+CA159</f>
        <v/>
      </c>
      <c r="CB158" s="197">
        <f>+CB159</f>
        <v/>
      </c>
      <c r="CC158" s="197">
        <f>+CC159</f>
        <v/>
      </c>
      <c r="CD158" s="197">
        <f>+CD159</f>
        <v/>
      </c>
      <c r="CF158" s="198">
        <f>$G158</f>
        <v/>
      </c>
      <c r="CG158" s="197">
        <f>$L158</f>
        <v/>
      </c>
      <c r="CH158" s="197">
        <f>+CH159</f>
        <v/>
      </c>
      <c r="CI158" s="197">
        <f>+CI159</f>
        <v/>
      </c>
      <c r="CJ158" s="197">
        <f>+CJ159</f>
        <v/>
      </c>
      <c r="CK158" s="197">
        <f>+CK159</f>
        <v/>
      </c>
      <c r="CL158" s="197">
        <f>+CL159</f>
        <v/>
      </c>
      <c r="CO158" s="199" t="n"/>
      <c r="CP158" s="199" t="n">
        <v>3.51</v>
      </c>
      <c r="CR158" s="199" t="inlineStr">
        <is>
          <t>#N/A N/A</t>
        </is>
      </c>
      <c r="CS158" s="970" t="n">
        <v>0.9846200000000001</v>
      </c>
    </row>
    <row r="159">
      <c r="B159" s="204">
        <f>+C159-1</f>
        <v/>
      </c>
      <c r="C159" s="204">
        <f>IF('bands_A-H_Avg'!$D$9+1&gt;MONTH(G159),YEAR(G159),YEAR(G159)+1)</f>
        <v/>
      </c>
      <c r="D159" s="204">
        <f>+C159+1</f>
        <v/>
      </c>
      <c r="E159" s="203">
        <f>IF(C159&gt;C158,1,E158+1)</f>
        <v/>
      </c>
      <c r="F159" s="203">
        <f>COUNTIF(C:C,C159)</f>
        <v/>
      </c>
      <c r="G159" s="198">
        <f>+G158+7</f>
        <v/>
      </c>
      <c r="H159" s="361">
        <f>IF(ISBLANK(CO159),CP159,SUMPRODUCT(CO$32:CP$32,CO159:CP159))</f>
        <v/>
      </c>
      <c r="I159" s="968">
        <f>H159/M159</f>
        <v/>
      </c>
      <c r="J159" s="968">
        <f>H159/N159</f>
        <v/>
      </c>
      <c r="K159" s="968">
        <f>(H159+Q159)/O159</f>
        <v/>
      </c>
      <c r="L159" s="968">
        <f>(H159+Q159)/P159</f>
        <v/>
      </c>
      <c r="M159" s="199">
        <f>HLOOKUP(C:C,$4:$10,3,FALSE)+((HLOOKUP(D:D,$4:$10,3,FALSE)-HLOOKUP(C:C,$4:$10,3,FALSE))*E159/F159)</f>
        <v/>
      </c>
      <c r="N159" s="199">
        <f>HLOOKUP(C:C,$4:$10,2,FALSE)+((HLOOKUP(D:D,$4:$10,2,FALSE)-HLOOKUP(C:C,$4:$10,2,FALSE))*E159/F159)</f>
        <v/>
      </c>
      <c r="O159" s="199">
        <f>HLOOKUP(C:C,$4:$10,5,FALSE)+((HLOOKUP(D:D,$4:$10,5,FALSE)-HLOOKUP(C:C,$4:$10,5,FALSE))*E159/F159)</f>
        <v/>
      </c>
      <c r="P159" s="199">
        <f>HLOOKUP(C:C,$4:$10,4,FALSE)+((HLOOKUP(D:D,$4:$10,4,FALSE)-HLOOKUP(C:C,$4:$10,4,FALSE))*E159/F159)</f>
        <v/>
      </c>
      <c r="Q159" s="199">
        <f>HLOOKUP(B:B,$4:$10,6,FALSE)+((HLOOKUP(C:C,$4:$10,6,FALSE)-HLOOKUP(B:B,$4:$10,6,FALSE))*E159/F159)</f>
        <v/>
      </c>
      <c r="T159" s="198">
        <f>$G159</f>
        <v/>
      </c>
      <c r="U159" s="199">
        <f>H159/(HLOOKUP(B:B,$4:$10,3,FALSE)+((HLOOKUP(C:C,$4:$10,3,FALSE)-HLOOKUP(B:B,$4:$10,3,FALSE))*E159/F159))</f>
        <v/>
      </c>
      <c r="V159" s="969">
        <f>HLOOKUP(B:B,$4:$10,7,FALSE)+((HLOOKUP(C:C,$4:$10,7,FALSE)-HLOOKUP(B:B,$4:$10,7,FALSE))*E159/F159)</f>
        <v/>
      </c>
      <c r="AB159" s="198">
        <f>$G159</f>
        <v/>
      </c>
      <c r="AC159" s="199">
        <f>$H159</f>
        <v/>
      </c>
      <c r="AD159" s="199">
        <f>$M159*AD$34</f>
        <v/>
      </c>
      <c r="AE159" s="199">
        <f>$M159*AE$34</f>
        <v/>
      </c>
      <c r="AF159" s="199">
        <f>$M159*AF$34</f>
        <v/>
      </c>
      <c r="AG159" s="199">
        <f>$M159*AG$34</f>
        <v/>
      </c>
      <c r="AH159" s="199">
        <f>$M159*AH$34</f>
        <v/>
      </c>
      <c r="AJ159" s="198">
        <f>$G159</f>
        <v/>
      </c>
      <c r="AK159" s="199">
        <f>$H159</f>
        <v/>
      </c>
      <c r="AL159" s="199">
        <f>$N159*AL$34</f>
        <v/>
      </c>
      <c r="AM159" s="199">
        <f>$N159*AM$34</f>
        <v/>
      </c>
      <c r="AN159" s="199">
        <f>$N159*AN$34</f>
        <v/>
      </c>
      <c r="AO159" s="199">
        <f>$N159*AO$34</f>
        <v/>
      </c>
      <c r="AP159" s="199">
        <f>$N159*AP$34</f>
        <v/>
      </c>
      <c r="AR159" s="198">
        <f>$G159</f>
        <v/>
      </c>
      <c r="AS159" s="199">
        <f>$H159</f>
        <v/>
      </c>
      <c r="AT159" s="199">
        <f>$O159*AT$34-$Q159</f>
        <v/>
      </c>
      <c r="AU159" s="199">
        <f>$O159*AU$34-$Q159</f>
        <v/>
      </c>
      <c r="AV159" s="199">
        <f>$O159*AV$34-$Q159</f>
        <v/>
      </c>
      <c r="AW159" s="199">
        <f>$O159*AW$34-$Q159</f>
        <v/>
      </c>
      <c r="AX159" s="199">
        <f>$O159*AX$34-$Q159</f>
        <v/>
      </c>
      <c r="AZ159" s="198">
        <f>$G159</f>
        <v/>
      </c>
      <c r="BA159" s="199">
        <f>$H159</f>
        <v/>
      </c>
      <c r="BB159" s="199">
        <f>$P159*BB$34-$Q159</f>
        <v/>
      </c>
      <c r="BC159" s="199">
        <f>$P159*BC$34-$Q159</f>
        <v/>
      </c>
      <c r="BD159" s="199">
        <f>$P159*BD$34-$Q159</f>
        <v/>
      </c>
      <c r="BE159" s="199">
        <f>$P159*BE$34-$Q159</f>
        <v/>
      </c>
      <c r="BF159" s="199">
        <f>$P159*BF$34-$Q159</f>
        <v/>
      </c>
      <c r="BH159" s="198">
        <f>$G159</f>
        <v/>
      </c>
      <c r="BI159" s="197">
        <f>$I159</f>
        <v/>
      </c>
      <c r="BJ159" s="197">
        <f>+BJ160</f>
        <v/>
      </c>
      <c r="BK159" s="197">
        <f>+BK160</f>
        <v/>
      </c>
      <c r="BL159" s="197">
        <f>+BL160</f>
        <v/>
      </c>
      <c r="BM159" s="197">
        <f>+BM160</f>
        <v/>
      </c>
      <c r="BN159" s="197">
        <f>+BN160</f>
        <v/>
      </c>
      <c r="BP159" s="198">
        <f>$G159</f>
        <v/>
      </c>
      <c r="BQ159" s="197">
        <f>$J159</f>
        <v/>
      </c>
      <c r="BR159" s="197">
        <f>+BR160</f>
        <v/>
      </c>
      <c r="BS159" s="197">
        <f>+BS160</f>
        <v/>
      </c>
      <c r="BT159" s="197">
        <f>+BT160</f>
        <v/>
      </c>
      <c r="BU159" s="197">
        <f>+BU160</f>
        <v/>
      </c>
      <c r="BV159" s="197">
        <f>+BV160</f>
        <v/>
      </c>
      <c r="BX159" s="198">
        <f>$G159</f>
        <v/>
      </c>
      <c r="BY159" s="197">
        <f>$K159</f>
        <v/>
      </c>
      <c r="BZ159" s="197">
        <f>+BZ160</f>
        <v/>
      </c>
      <c r="CA159" s="197">
        <f>+CA160</f>
        <v/>
      </c>
      <c r="CB159" s="197">
        <f>+CB160</f>
        <v/>
      </c>
      <c r="CC159" s="197">
        <f>+CC160</f>
        <v/>
      </c>
      <c r="CD159" s="197">
        <f>+CD160</f>
        <v/>
      </c>
      <c r="CF159" s="198">
        <f>$G159</f>
        <v/>
      </c>
      <c r="CG159" s="197">
        <f>$L159</f>
        <v/>
      </c>
      <c r="CH159" s="197">
        <f>+CH160</f>
        <v/>
      </c>
      <c r="CI159" s="197">
        <f>+CI160</f>
        <v/>
      </c>
      <c r="CJ159" s="197">
        <f>+CJ160</f>
        <v/>
      </c>
      <c r="CK159" s="197">
        <f>+CK160</f>
        <v/>
      </c>
      <c r="CL159" s="197">
        <f>+CL160</f>
        <v/>
      </c>
      <c r="CO159" s="199" t="n"/>
      <c r="CP159" s="199" t="n">
        <v>3.56</v>
      </c>
      <c r="CR159" s="199" t="inlineStr">
        <is>
          <t>#N/A N/A</t>
        </is>
      </c>
      <c r="CS159" s="970" t="n">
        <v>0.98225</v>
      </c>
    </row>
    <row r="160">
      <c r="B160" s="204">
        <f>+C160-1</f>
        <v/>
      </c>
      <c r="C160" s="204">
        <f>IF('bands_A-H_Avg'!$D$9+1&gt;MONTH(G160),YEAR(G160),YEAR(G160)+1)</f>
        <v/>
      </c>
      <c r="D160" s="204">
        <f>+C160+1</f>
        <v/>
      </c>
      <c r="E160" s="203">
        <f>IF(C160&gt;C159,1,E159+1)</f>
        <v/>
      </c>
      <c r="F160" s="203">
        <f>COUNTIF(C:C,C160)</f>
        <v/>
      </c>
      <c r="G160" s="198">
        <f>+G159+7</f>
        <v/>
      </c>
      <c r="H160" s="361">
        <f>IF(ISBLANK(CO160),CP160,SUMPRODUCT(CO$32:CP$32,CO160:CP160))</f>
        <v/>
      </c>
      <c r="I160" s="968">
        <f>H160/M160</f>
        <v/>
      </c>
      <c r="J160" s="968">
        <f>H160/N160</f>
        <v/>
      </c>
      <c r="K160" s="968">
        <f>(H160+Q160)/O160</f>
        <v/>
      </c>
      <c r="L160" s="968">
        <f>(H160+Q160)/P160</f>
        <v/>
      </c>
      <c r="M160" s="199">
        <f>HLOOKUP(C:C,$4:$10,3,FALSE)+((HLOOKUP(D:D,$4:$10,3,FALSE)-HLOOKUP(C:C,$4:$10,3,FALSE))*E160/F160)</f>
        <v/>
      </c>
      <c r="N160" s="199">
        <f>HLOOKUP(C:C,$4:$10,2,FALSE)+((HLOOKUP(D:D,$4:$10,2,FALSE)-HLOOKUP(C:C,$4:$10,2,FALSE))*E160/F160)</f>
        <v/>
      </c>
      <c r="O160" s="199">
        <f>HLOOKUP(C:C,$4:$10,5,FALSE)+((HLOOKUP(D:D,$4:$10,5,FALSE)-HLOOKUP(C:C,$4:$10,5,FALSE))*E160/F160)</f>
        <v/>
      </c>
      <c r="P160" s="199">
        <f>HLOOKUP(C:C,$4:$10,4,FALSE)+((HLOOKUP(D:D,$4:$10,4,FALSE)-HLOOKUP(C:C,$4:$10,4,FALSE))*E160/F160)</f>
        <v/>
      </c>
      <c r="Q160" s="199">
        <f>HLOOKUP(B:B,$4:$10,6,FALSE)+((HLOOKUP(C:C,$4:$10,6,FALSE)-HLOOKUP(B:B,$4:$10,6,FALSE))*E160/F160)</f>
        <v/>
      </c>
      <c r="T160" s="198">
        <f>$G160</f>
        <v/>
      </c>
      <c r="U160" s="199">
        <f>H160/(HLOOKUP(B:B,$4:$10,3,FALSE)+((HLOOKUP(C:C,$4:$10,3,FALSE)-HLOOKUP(B:B,$4:$10,3,FALSE))*E160/F160))</f>
        <v/>
      </c>
      <c r="V160" s="969">
        <f>HLOOKUP(B:B,$4:$10,7,FALSE)+((HLOOKUP(C:C,$4:$10,7,FALSE)-HLOOKUP(B:B,$4:$10,7,FALSE))*E160/F160)</f>
        <v/>
      </c>
      <c r="AB160" s="198">
        <f>$G160</f>
        <v/>
      </c>
      <c r="AC160" s="199">
        <f>$H160</f>
        <v/>
      </c>
      <c r="AD160" s="199">
        <f>$M160*AD$34</f>
        <v/>
      </c>
      <c r="AE160" s="199">
        <f>$M160*AE$34</f>
        <v/>
      </c>
      <c r="AF160" s="199">
        <f>$M160*AF$34</f>
        <v/>
      </c>
      <c r="AG160" s="199">
        <f>$M160*AG$34</f>
        <v/>
      </c>
      <c r="AH160" s="199">
        <f>$M160*AH$34</f>
        <v/>
      </c>
      <c r="AJ160" s="198">
        <f>$G160</f>
        <v/>
      </c>
      <c r="AK160" s="199">
        <f>$H160</f>
        <v/>
      </c>
      <c r="AL160" s="199">
        <f>$N160*AL$34</f>
        <v/>
      </c>
      <c r="AM160" s="199">
        <f>$N160*AM$34</f>
        <v/>
      </c>
      <c r="AN160" s="199">
        <f>$N160*AN$34</f>
        <v/>
      </c>
      <c r="AO160" s="199">
        <f>$N160*AO$34</f>
        <v/>
      </c>
      <c r="AP160" s="199">
        <f>$N160*AP$34</f>
        <v/>
      </c>
      <c r="AR160" s="198">
        <f>$G160</f>
        <v/>
      </c>
      <c r="AS160" s="199">
        <f>$H160</f>
        <v/>
      </c>
      <c r="AT160" s="199">
        <f>$O160*AT$34-$Q160</f>
        <v/>
      </c>
      <c r="AU160" s="199">
        <f>$O160*AU$34-$Q160</f>
        <v/>
      </c>
      <c r="AV160" s="199">
        <f>$O160*AV$34-$Q160</f>
        <v/>
      </c>
      <c r="AW160" s="199">
        <f>$O160*AW$34-$Q160</f>
        <v/>
      </c>
      <c r="AX160" s="199">
        <f>$O160*AX$34-$Q160</f>
        <v/>
      </c>
      <c r="AZ160" s="198">
        <f>$G160</f>
        <v/>
      </c>
      <c r="BA160" s="199">
        <f>$H160</f>
        <v/>
      </c>
      <c r="BB160" s="199">
        <f>$P160*BB$34-$Q160</f>
        <v/>
      </c>
      <c r="BC160" s="199">
        <f>$P160*BC$34-$Q160</f>
        <v/>
      </c>
      <c r="BD160" s="199">
        <f>$P160*BD$34-$Q160</f>
        <v/>
      </c>
      <c r="BE160" s="199">
        <f>$P160*BE$34-$Q160</f>
        <v/>
      </c>
      <c r="BF160" s="199">
        <f>$P160*BF$34-$Q160</f>
        <v/>
      </c>
      <c r="BH160" s="198">
        <f>$G160</f>
        <v/>
      </c>
      <c r="BI160" s="197">
        <f>$I160</f>
        <v/>
      </c>
      <c r="BJ160" s="197">
        <f>+BJ161</f>
        <v/>
      </c>
      <c r="BK160" s="197">
        <f>+BK161</f>
        <v/>
      </c>
      <c r="BL160" s="197">
        <f>+BL161</f>
        <v/>
      </c>
      <c r="BM160" s="197">
        <f>+BM161</f>
        <v/>
      </c>
      <c r="BN160" s="197">
        <f>+BN161</f>
        <v/>
      </c>
      <c r="BP160" s="198">
        <f>$G160</f>
        <v/>
      </c>
      <c r="BQ160" s="197">
        <f>$J160</f>
        <v/>
      </c>
      <c r="BR160" s="197">
        <f>+BR161</f>
        <v/>
      </c>
      <c r="BS160" s="197">
        <f>+BS161</f>
        <v/>
      </c>
      <c r="BT160" s="197">
        <f>+BT161</f>
        <v/>
      </c>
      <c r="BU160" s="197">
        <f>+BU161</f>
        <v/>
      </c>
      <c r="BV160" s="197">
        <f>+BV161</f>
        <v/>
      </c>
      <c r="BX160" s="198">
        <f>$G160</f>
        <v/>
      </c>
      <c r="BY160" s="197">
        <f>$K160</f>
        <v/>
      </c>
      <c r="BZ160" s="197">
        <f>+BZ161</f>
        <v/>
      </c>
      <c r="CA160" s="197">
        <f>+CA161</f>
        <v/>
      </c>
      <c r="CB160" s="197">
        <f>+CB161</f>
        <v/>
      </c>
      <c r="CC160" s="197">
        <f>+CC161</f>
        <v/>
      </c>
      <c r="CD160" s="197">
        <f>+CD161</f>
        <v/>
      </c>
      <c r="CF160" s="198">
        <f>$G160</f>
        <v/>
      </c>
      <c r="CG160" s="197">
        <f>$L160</f>
        <v/>
      </c>
      <c r="CH160" s="197">
        <f>+CH161</f>
        <v/>
      </c>
      <c r="CI160" s="197">
        <f>+CI161</f>
        <v/>
      </c>
      <c r="CJ160" s="197">
        <f>+CJ161</f>
        <v/>
      </c>
      <c r="CK160" s="197">
        <f>+CK161</f>
        <v/>
      </c>
      <c r="CL160" s="197">
        <f>+CL161</f>
        <v/>
      </c>
      <c r="CO160" s="199" t="n"/>
      <c r="CP160" s="199" t="n">
        <v>3.46</v>
      </c>
      <c r="CR160" s="199" t="inlineStr">
        <is>
          <t>#N/A N/A</t>
        </is>
      </c>
      <c r="CS160" s="970" t="n">
        <v>0.98102</v>
      </c>
    </row>
    <row r="161">
      <c r="B161" s="204">
        <f>+C161-1</f>
        <v/>
      </c>
      <c r="C161" s="204">
        <f>IF('bands_A-H_Avg'!$D$9+1&gt;MONTH(G161),YEAR(G161),YEAR(G161)+1)</f>
        <v/>
      </c>
      <c r="D161" s="204">
        <f>+C161+1</f>
        <v/>
      </c>
      <c r="E161" s="203">
        <f>IF(C161&gt;C160,1,E160+1)</f>
        <v/>
      </c>
      <c r="F161" s="203">
        <f>COUNTIF(C:C,C161)</f>
        <v/>
      </c>
      <c r="G161" s="198">
        <f>+G160+7</f>
        <v/>
      </c>
      <c r="H161" s="361">
        <f>IF(ISBLANK(CO161),CP161,SUMPRODUCT(CO$32:CP$32,CO161:CP161))</f>
        <v/>
      </c>
      <c r="I161" s="968">
        <f>H161/M161</f>
        <v/>
      </c>
      <c r="J161" s="968">
        <f>H161/N161</f>
        <v/>
      </c>
      <c r="K161" s="968">
        <f>(H161+Q161)/O161</f>
        <v/>
      </c>
      <c r="L161" s="968">
        <f>(H161+Q161)/P161</f>
        <v/>
      </c>
      <c r="M161" s="199">
        <f>HLOOKUP(C:C,$4:$10,3,FALSE)+((HLOOKUP(D:D,$4:$10,3,FALSE)-HLOOKUP(C:C,$4:$10,3,FALSE))*E161/F161)</f>
        <v/>
      </c>
      <c r="N161" s="199">
        <f>HLOOKUP(C:C,$4:$10,2,FALSE)+((HLOOKUP(D:D,$4:$10,2,FALSE)-HLOOKUP(C:C,$4:$10,2,FALSE))*E161/F161)</f>
        <v/>
      </c>
      <c r="O161" s="199">
        <f>HLOOKUP(C:C,$4:$10,5,FALSE)+((HLOOKUP(D:D,$4:$10,5,FALSE)-HLOOKUP(C:C,$4:$10,5,FALSE))*E161/F161)</f>
        <v/>
      </c>
      <c r="P161" s="199">
        <f>HLOOKUP(C:C,$4:$10,4,FALSE)+((HLOOKUP(D:D,$4:$10,4,FALSE)-HLOOKUP(C:C,$4:$10,4,FALSE))*E161/F161)</f>
        <v/>
      </c>
      <c r="Q161" s="199">
        <f>HLOOKUP(B:B,$4:$10,6,FALSE)+((HLOOKUP(C:C,$4:$10,6,FALSE)-HLOOKUP(B:B,$4:$10,6,FALSE))*E161/F161)</f>
        <v/>
      </c>
      <c r="T161" s="198">
        <f>$G161</f>
        <v/>
      </c>
      <c r="U161" s="199">
        <f>H161/(HLOOKUP(B:B,$4:$10,3,FALSE)+((HLOOKUP(C:C,$4:$10,3,FALSE)-HLOOKUP(B:B,$4:$10,3,FALSE))*E161/F161))</f>
        <v/>
      </c>
      <c r="V161" s="969">
        <f>HLOOKUP(B:B,$4:$10,7,FALSE)+((HLOOKUP(C:C,$4:$10,7,FALSE)-HLOOKUP(B:B,$4:$10,7,FALSE))*E161/F161)</f>
        <v/>
      </c>
      <c r="AB161" s="198">
        <f>$G161</f>
        <v/>
      </c>
      <c r="AC161" s="199">
        <f>$H161</f>
        <v/>
      </c>
      <c r="AD161" s="199">
        <f>$M161*AD$34</f>
        <v/>
      </c>
      <c r="AE161" s="199">
        <f>$M161*AE$34</f>
        <v/>
      </c>
      <c r="AF161" s="199">
        <f>$M161*AF$34</f>
        <v/>
      </c>
      <c r="AG161" s="199">
        <f>$M161*AG$34</f>
        <v/>
      </c>
      <c r="AH161" s="199">
        <f>$M161*AH$34</f>
        <v/>
      </c>
      <c r="AJ161" s="198">
        <f>$G161</f>
        <v/>
      </c>
      <c r="AK161" s="199">
        <f>$H161</f>
        <v/>
      </c>
      <c r="AL161" s="199">
        <f>$N161*AL$34</f>
        <v/>
      </c>
      <c r="AM161" s="199">
        <f>$N161*AM$34</f>
        <v/>
      </c>
      <c r="AN161" s="199">
        <f>$N161*AN$34</f>
        <v/>
      </c>
      <c r="AO161" s="199">
        <f>$N161*AO$34</f>
        <v/>
      </c>
      <c r="AP161" s="199">
        <f>$N161*AP$34</f>
        <v/>
      </c>
      <c r="AR161" s="198">
        <f>$G161</f>
        <v/>
      </c>
      <c r="AS161" s="199">
        <f>$H161</f>
        <v/>
      </c>
      <c r="AT161" s="199">
        <f>$O161*AT$34-$Q161</f>
        <v/>
      </c>
      <c r="AU161" s="199">
        <f>$O161*AU$34-$Q161</f>
        <v/>
      </c>
      <c r="AV161" s="199">
        <f>$O161*AV$34-$Q161</f>
        <v/>
      </c>
      <c r="AW161" s="199">
        <f>$O161*AW$34-$Q161</f>
        <v/>
      </c>
      <c r="AX161" s="199">
        <f>$O161*AX$34-$Q161</f>
        <v/>
      </c>
      <c r="AZ161" s="198">
        <f>$G161</f>
        <v/>
      </c>
      <c r="BA161" s="199">
        <f>$H161</f>
        <v/>
      </c>
      <c r="BB161" s="199">
        <f>$P161*BB$34-$Q161</f>
        <v/>
      </c>
      <c r="BC161" s="199">
        <f>$P161*BC$34-$Q161</f>
        <v/>
      </c>
      <c r="BD161" s="199">
        <f>$P161*BD$34-$Q161</f>
        <v/>
      </c>
      <c r="BE161" s="199">
        <f>$P161*BE$34-$Q161</f>
        <v/>
      </c>
      <c r="BF161" s="199">
        <f>$P161*BF$34-$Q161</f>
        <v/>
      </c>
      <c r="BH161" s="198">
        <f>$G161</f>
        <v/>
      </c>
      <c r="BI161" s="197">
        <f>$I161</f>
        <v/>
      </c>
      <c r="BJ161" s="197">
        <f>+BJ162</f>
        <v/>
      </c>
      <c r="BK161" s="197">
        <f>+BK162</f>
        <v/>
      </c>
      <c r="BL161" s="197">
        <f>+BL162</f>
        <v/>
      </c>
      <c r="BM161" s="197">
        <f>+BM162</f>
        <v/>
      </c>
      <c r="BN161" s="197">
        <f>+BN162</f>
        <v/>
      </c>
      <c r="BP161" s="198">
        <f>$G161</f>
        <v/>
      </c>
      <c r="BQ161" s="197">
        <f>$J161</f>
        <v/>
      </c>
      <c r="BR161" s="197">
        <f>+BR162</f>
        <v/>
      </c>
      <c r="BS161" s="197">
        <f>+BS162</f>
        <v/>
      </c>
      <c r="BT161" s="197">
        <f>+BT162</f>
        <v/>
      </c>
      <c r="BU161" s="197">
        <f>+BU162</f>
        <v/>
      </c>
      <c r="BV161" s="197">
        <f>+BV162</f>
        <v/>
      </c>
      <c r="BX161" s="198">
        <f>$G161</f>
        <v/>
      </c>
      <c r="BY161" s="197">
        <f>$K161</f>
        <v/>
      </c>
      <c r="BZ161" s="197">
        <f>+BZ162</f>
        <v/>
      </c>
      <c r="CA161" s="197">
        <f>+CA162</f>
        <v/>
      </c>
      <c r="CB161" s="197">
        <f>+CB162</f>
        <v/>
      </c>
      <c r="CC161" s="197">
        <f>+CC162</f>
        <v/>
      </c>
      <c r="CD161" s="197">
        <f>+CD162</f>
        <v/>
      </c>
      <c r="CF161" s="198">
        <f>$G161</f>
        <v/>
      </c>
      <c r="CG161" s="197">
        <f>$L161</f>
        <v/>
      </c>
      <c r="CH161" s="197">
        <f>+CH162</f>
        <v/>
      </c>
      <c r="CI161" s="197">
        <f>+CI162</f>
        <v/>
      </c>
      <c r="CJ161" s="197">
        <f>+CJ162</f>
        <v/>
      </c>
      <c r="CK161" s="197">
        <f>+CK162</f>
        <v/>
      </c>
      <c r="CL161" s="197">
        <f>+CL162</f>
        <v/>
      </c>
      <c r="CO161" s="199" t="n"/>
      <c r="CP161" s="199" t="n">
        <v>3.3</v>
      </c>
      <c r="CR161" s="199" t="inlineStr">
        <is>
          <t>#N/A N/A</t>
        </is>
      </c>
      <c r="CS161" s="970" t="n">
        <v>0.97821</v>
      </c>
    </row>
    <row r="162">
      <c r="B162" s="204">
        <f>+C162-1</f>
        <v/>
      </c>
      <c r="C162" s="204">
        <f>IF('bands_A-H_Avg'!$D$9+1&gt;MONTH(G162),YEAR(G162),YEAR(G162)+1)</f>
        <v/>
      </c>
      <c r="D162" s="204">
        <f>+C162+1</f>
        <v/>
      </c>
      <c r="E162" s="203">
        <f>IF(C162&gt;C161,1,E161+1)</f>
        <v/>
      </c>
      <c r="F162" s="203">
        <f>COUNTIF(C:C,C162)</f>
        <v/>
      </c>
      <c r="G162" s="198">
        <f>+G161+7</f>
        <v/>
      </c>
      <c r="H162" s="361">
        <f>IF(ISBLANK(CO162),CP162,SUMPRODUCT(CO$32:CP$32,CO162:CP162))</f>
        <v/>
      </c>
      <c r="I162" s="968">
        <f>H162/M162</f>
        <v/>
      </c>
      <c r="J162" s="968">
        <f>H162/N162</f>
        <v/>
      </c>
      <c r="K162" s="968">
        <f>(H162+Q162)/O162</f>
        <v/>
      </c>
      <c r="L162" s="968">
        <f>(H162+Q162)/P162</f>
        <v/>
      </c>
      <c r="M162" s="199">
        <f>HLOOKUP(C:C,$4:$10,3,FALSE)+((HLOOKUP(D:D,$4:$10,3,FALSE)-HLOOKUP(C:C,$4:$10,3,FALSE))*E162/F162)</f>
        <v/>
      </c>
      <c r="N162" s="199">
        <f>HLOOKUP(C:C,$4:$10,2,FALSE)+((HLOOKUP(D:D,$4:$10,2,FALSE)-HLOOKUP(C:C,$4:$10,2,FALSE))*E162/F162)</f>
        <v/>
      </c>
      <c r="O162" s="199">
        <f>HLOOKUP(C:C,$4:$10,5,FALSE)+((HLOOKUP(D:D,$4:$10,5,FALSE)-HLOOKUP(C:C,$4:$10,5,FALSE))*E162/F162)</f>
        <v/>
      </c>
      <c r="P162" s="199">
        <f>HLOOKUP(C:C,$4:$10,4,FALSE)+((HLOOKUP(D:D,$4:$10,4,FALSE)-HLOOKUP(C:C,$4:$10,4,FALSE))*E162/F162)</f>
        <v/>
      </c>
      <c r="Q162" s="199">
        <f>HLOOKUP(B:B,$4:$10,6,FALSE)+((HLOOKUP(C:C,$4:$10,6,FALSE)-HLOOKUP(B:B,$4:$10,6,FALSE))*E162/F162)</f>
        <v/>
      </c>
      <c r="T162" s="198">
        <f>$G162</f>
        <v/>
      </c>
      <c r="U162" s="199">
        <f>H162/(HLOOKUP(B:B,$4:$10,3,FALSE)+((HLOOKUP(C:C,$4:$10,3,FALSE)-HLOOKUP(B:B,$4:$10,3,FALSE))*E162/F162))</f>
        <v/>
      </c>
      <c r="V162" s="969">
        <f>HLOOKUP(B:B,$4:$10,7,FALSE)+((HLOOKUP(C:C,$4:$10,7,FALSE)-HLOOKUP(B:B,$4:$10,7,FALSE))*E162/F162)</f>
        <v/>
      </c>
      <c r="AB162" s="198">
        <f>$G162</f>
        <v/>
      </c>
      <c r="AC162" s="199">
        <f>$H162</f>
        <v/>
      </c>
      <c r="AD162" s="199">
        <f>$M162*AD$34</f>
        <v/>
      </c>
      <c r="AE162" s="199">
        <f>$M162*AE$34</f>
        <v/>
      </c>
      <c r="AF162" s="199">
        <f>$M162*AF$34</f>
        <v/>
      </c>
      <c r="AG162" s="199">
        <f>$M162*AG$34</f>
        <v/>
      </c>
      <c r="AH162" s="199">
        <f>$M162*AH$34</f>
        <v/>
      </c>
      <c r="AJ162" s="198">
        <f>$G162</f>
        <v/>
      </c>
      <c r="AK162" s="199">
        <f>$H162</f>
        <v/>
      </c>
      <c r="AL162" s="199">
        <f>$N162*AL$34</f>
        <v/>
      </c>
      <c r="AM162" s="199">
        <f>$N162*AM$34</f>
        <v/>
      </c>
      <c r="AN162" s="199">
        <f>$N162*AN$34</f>
        <v/>
      </c>
      <c r="AO162" s="199">
        <f>$N162*AO$34</f>
        <v/>
      </c>
      <c r="AP162" s="199">
        <f>$N162*AP$34</f>
        <v/>
      </c>
      <c r="AR162" s="198">
        <f>$G162</f>
        <v/>
      </c>
      <c r="AS162" s="199">
        <f>$H162</f>
        <v/>
      </c>
      <c r="AT162" s="199">
        <f>$O162*AT$34-$Q162</f>
        <v/>
      </c>
      <c r="AU162" s="199">
        <f>$O162*AU$34-$Q162</f>
        <v/>
      </c>
      <c r="AV162" s="199">
        <f>$O162*AV$34-$Q162</f>
        <v/>
      </c>
      <c r="AW162" s="199">
        <f>$O162*AW$34-$Q162</f>
        <v/>
      </c>
      <c r="AX162" s="199">
        <f>$O162*AX$34-$Q162</f>
        <v/>
      </c>
      <c r="AZ162" s="198">
        <f>$G162</f>
        <v/>
      </c>
      <c r="BA162" s="199">
        <f>$H162</f>
        <v/>
      </c>
      <c r="BB162" s="199">
        <f>$P162*BB$34-$Q162</f>
        <v/>
      </c>
      <c r="BC162" s="199">
        <f>$P162*BC$34-$Q162</f>
        <v/>
      </c>
      <c r="BD162" s="199">
        <f>$P162*BD$34-$Q162</f>
        <v/>
      </c>
      <c r="BE162" s="199">
        <f>$P162*BE$34-$Q162</f>
        <v/>
      </c>
      <c r="BF162" s="199">
        <f>$P162*BF$34-$Q162</f>
        <v/>
      </c>
      <c r="BH162" s="198">
        <f>$G162</f>
        <v/>
      </c>
      <c r="BI162" s="197">
        <f>$I162</f>
        <v/>
      </c>
      <c r="BJ162" s="197">
        <f>+BJ163</f>
        <v/>
      </c>
      <c r="BK162" s="197">
        <f>+BK163</f>
        <v/>
      </c>
      <c r="BL162" s="197">
        <f>+BL163</f>
        <v/>
      </c>
      <c r="BM162" s="197">
        <f>+BM163</f>
        <v/>
      </c>
      <c r="BN162" s="197">
        <f>+BN163</f>
        <v/>
      </c>
      <c r="BP162" s="198">
        <f>$G162</f>
        <v/>
      </c>
      <c r="BQ162" s="197">
        <f>$J162</f>
        <v/>
      </c>
      <c r="BR162" s="197">
        <f>+BR163</f>
        <v/>
      </c>
      <c r="BS162" s="197">
        <f>+BS163</f>
        <v/>
      </c>
      <c r="BT162" s="197">
        <f>+BT163</f>
        <v/>
      </c>
      <c r="BU162" s="197">
        <f>+BU163</f>
        <v/>
      </c>
      <c r="BV162" s="197">
        <f>+BV163</f>
        <v/>
      </c>
      <c r="BX162" s="198">
        <f>$G162</f>
        <v/>
      </c>
      <c r="BY162" s="197">
        <f>$K162</f>
        <v/>
      </c>
      <c r="BZ162" s="197">
        <f>+BZ163</f>
        <v/>
      </c>
      <c r="CA162" s="197">
        <f>+CA163</f>
        <v/>
      </c>
      <c r="CB162" s="197">
        <f>+CB163</f>
        <v/>
      </c>
      <c r="CC162" s="197">
        <f>+CC163</f>
        <v/>
      </c>
      <c r="CD162" s="197">
        <f>+CD163</f>
        <v/>
      </c>
      <c r="CF162" s="198">
        <f>$G162</f>
        <v/>
      </c>
      <c r="CG162" s="197">
        <f>$L162</f>
        <v/>
      </c>
      <c r="CH162" s="197">
        <f>+CH163</f>
        <v/>
      </c>
      <c r="CI162" s="197">
        <f>+CI163</f>
        <v/>
      </c>
      <c r="CJ162" s="197">
        <f>+CJ163</f>
        <v/>
      </c>
      <c r="CK162" s="197">
        <f>+CK163</f>
        <v/>
      </c>
      <c r="CL162" s="197">
        <f>+CL163</f>
        <v/>
      </c>
      <c r="CO162" s="199" t="n"/>
      <c r="CP162" s="199" t="n">
        <v>3.28</v>
      </c>
      <c r="CR162" s="199" t="inlineStr">
        <is>
          <t>#N/A N/A</t>
        </is>
      </c>
      <c r="CS162" s="970" t="n">
        <v>0.97922</v>
      </c>
    </row>
    <row r="163">
      <c r="B163" s="204">
        <f>+C163-1</f>
        <v/>
      </c>
      <c r="C163" s="204">
        <f>IF('bands_A-H_Avg'!$D$9+1&gt;MONTH(G163),YEAR(G163),YEAR(G163)+1)</f>
        <v/>
      </c>
      <c r="D163" s="204">
        <f>+C163+1</f>
        <v/>
      </c>
      <c r="E163" s="203">
        <f>IF(C163&gt;C162,1,E162+1)</f>
        <v/>
      </c>
      <c r="F163" s="203">
        <f>COUNTIF(C:C,C163)</f>
        <v/>
      </c>
      <c r="G163" s="198">
        <f>+G162+7</f>
        <v/>
      </c>
      <c r="H163" s="361">
        <f>IF(ISBLANK(CO163),CP163,SUMPRODUCT(CO$32:CP$32,CO163:CP163))</f>
        <v/>
      </c>
      <c r="I163" s="968">
        <f>H163/M163</f>
        <v/>
      </c>
      <c r="J163" s="968">
        <f>H163/N163</f>
        <v/>
      </c>
      <c r="K163" s="968">
        <f>(H163+Q163)/O163</f>
        <v/>
      </c>
      <c r="L163" s="968">
        <f>(H163+Q163)/P163</f>
        <v/>
      </c>
      <c r="M163" s="199">
        <f>HLOOKUP(C:C,$4:$10,3,FALSE)+((HLOOKUP(D:D,$4:$10,3,FALSE)-HLOOKUP(C:C,$4:$10,3,FALSE))*E163/F163)</f>
        <v/>
      </c>
      <c r="N163" s="199">
        <f>HLOOKUP(C:C,$4:$10,2,FALSE)+((HLOOKUP(D:D,$4:$10,2,FALSE)-HLOOKUP(C:C,$4:$10,2,FALSE))*E163/F163)</f>
        <v/>
      </c>
      <c r="O163" s="199">
        <f>HLOOKUP(C:C,$4:$10,5,FALSE)+((HLOOKUP(D:D,$4:$10,5,FALSE)-HLOOKUP(C:C,$4:$10,5,FALSE))*E163/F163)</f>
        <v/>
      </c>
      <c r="P163" s="199">
        <f>HLOOKUP(C:C,$4:$10,4,FALSE)+((HLOOKUP(D:D,$4:$10,4,FALSE)-HLOOKUP(C:C,$4:$10,4,FALSE))*E163/F163)</f>
        <v/>
      </c>
      <c r="Q163" s="199">
        <f>HLOOKUP(B:B,$4:$10,6,FALSE)+((HLOOKUP(C:C,$4:$10,6,FALSE)-HLOOKUP(B:B,$4:$10,6,FALSE))*E163/F163)</f>
        <v/>
      </c>
      <c r="T163" s="198">
        <f>$G163</f>
        <v/>
      </c>
      <c r="U163" s="199">
        <f>H163/(HLOOKUP(B:B,$4:$10,3,FALSE)+((HLOOKUP(C:C,$4:$10,3,FALSE)-HLOOKUP(B:B,$4:$10,3,FALSE))*E163/F163))</f>
        <v/>
      </c>
      <c r="V163" s="969">
        <f>HLOOKUP(B:B,$4:$10,7,FALSE)+((HLOOKUP(C:C,$4:$10,7,FALSE)-HLOOKUP(B:B,$4:$10,7,FALSE))*E163/F163)</f>
        <v/>
      </c>
      <c r="AB163" s="198">
        <f>$G163</f>
        <v/>
      </c>
      <c r="AC163" s="199">
        <f>$H163</f>
        <v/>
      </c>
      <c r="AD163" s="199">
        <f>$M163*AD$34</f>
        <v/>
      </c>
      <c r="AE163" s="199">
        <f>$M163*AE$34</f>
        <v/>
      </c>
      <c r="AF163" s="199">
        <f>$M163*AF$34</f>
        <v/>
      </c>
      <c r="AG163" s="199">
        <f>$M163*AG$34</f>
        <v/>
      </c>
      <c r="AH163" s="199">
        <f>$M163*AH$34</f>
        <v/>
      </c>
      <c r="AJ163" s="198">
        <f>$G163</f>
        <v/>
      </c>
      <c r="AK163" s="199">
        <f>$H163</f>
        <v/>
      </c>
      <c r="AL163" s="199">
        <f>$N163*AL$34</f>
        <v/>
      </c>
      <c r="AM163" s="199">
        <f>$N163*AM$34</f>
        <v/>
      </c>
      <c r="AN163" s="199">
        <f>$N163*AN$34</f>
        <v/>
      </c>
      <c r="AO163" s="199">
        <f>$N163*AO$34</f>
        <v/>
      </c>
      <c r="AP163" s="199">
        <f>$N163*AP$34</f>
        <v/>
      </c>
      <c r="AR163" s="198">
        <f>$G163</f>
        <v/>
      </c>
      <c r="AS163" s="199">
        <f>$H163</f>
        <v/>
      </c>
      <c r="AT163" s="199">
        <f>$O163*AT$34-$Q163</f>
        <v/>
      </c>
      <c r="AU163" s="199">
        <f>$O163*AU$34-$Q163</f>
        <v/>
      </c>
      <c r="AV163" s="199">
        <f>$O163*AV$34-$Q163</f>
        <v/>
      </c>
      <c r="AW163" s="199">
        <f>$O163*AW$34-$Q163</f>
        <v/>
      </c>
      <c r="AX163" s="199">
        <f>$O163*AX$34-$Q163</f>
        <v/>
      </c>
      <c r="AZ163" s="198">
        <f>$G163</f>
        <v/>
      </c>
      <c r="BA163" s="199">
        <f>$H163</f>
        <v/>
      </c>
      <c r="BB163" s="199">
        <f>$P163*BB$34-$Q163</f>
        <v/>
      </c>
      <c r="BC163" s="199">
        <f>$P163*BC$34-$Q163</f>
        <v/>
      </c>
      <c r="BD163" s="199">
        <f>$P163*BD$34-$Q163</f>
        <v/>
      </c>
      <c r="BE163" s="199">
        <f>$P163*BE$34-$Q163</f>
        <v/>
      </c>
      <c r="BF163" s="199">
        <f>$P163*BF$34-$Q163</f>
        <v/>
      </c>
      <c r="BH163" s="198">
        <f>$G163</f>
        <v/>
      </c>
      <c r="BI163" s="197">
        <f>$I163</f>
        <v/>
      </c>
      <c r="BJ163" s="197">
        <f>+BJ164</f>
        <v/>
      </c>
      <c r="BK163" s="197">
        <f>+BK164</f>
        <v/>
      </c>
      <c r="BL163" s="197">
        <f>+BL164</f>
        <v/>
      </c>
      <c r="BM163" s="197">
        <f>+BM164</f>
        <v/>
      </c>
      <c r="BN163" s="197">
        <f>+BN164</f>
        <v/>
      </c>
      <c r="BP163" s="198">
        <f>$G163</f>
        <v/>
      </c>
      <c r="BQ163" s="197">
        <f>$J163</f>
        <v/>
      </c>
      <c r="BR163" s="197">
        <f>+BR164</f>
        <v/>
      </c>
      <c r="BS163" s="197">
        <f>+BS164</f>
        <v/>
      </c>
      <c r="BT163" s="197">
        <f>+BT164</f>
        <v/>
      </c>
      <c r="BU163" s="197">
        <f>+BU164</f>
        <v/>
      </c>
      <c r="BV163" s="197">
        <f>+BV164</f>
        <v/>
      </c>
      <c r="BX163" s="198">
        <f>$G163</f>
        <v/>
      </c>
      <c r="BY163" s="197">
        <f>$K163</f>
        <v/>
      </c>
      <c r="BZ163" s="197">
        <f>+BZ164</f>
        <v/>
      </c>
      <c r="CA163" s="197">
        <f>+CA164</f>
        <v/>
      </c>
      <c r="CB163" s="197">
        <f>+CB164</f>
        <v/>
      </c>
      <c r="CC163" s="197">
        <f>+CC164</f>
        <v/>
      </c>
      <c r="CD163" s="197">
        <f>+CD164</f>
        <v/>
      </c>
      <c r="CF163" s="198">
        <f>$G163</f>
        <v/>
      </c>
      <c r="CG163" s="197">
        <f>$L163</f>
        <v/>
      </c>
      <c r="CH163" s="197">
        <f>+CH164</f>
        <v/>
      </c>
      <c r="CI163" s="197">
        <f>+CI164</f>
        <v/>
      </c>
      <c r="CJ163" s="197">
        <f>+CJ164</f>
        <v/>
      </c>
      <c r="CK163" s="197">
        <f>+CK164</f>
        <v/>
      </c>
      <c r="CL163" s="197">
        <f>+CL164</f>
        <v/>
      </c>
      <c r="CO163" s="199" t="n"/>
      <c r="CP163" s="199" t="n">
        <v>3.27</v>
      </c>
      <c r="CR163" s="199" t="inlineStr">
        <is>
          <t>#N/A N/A</t>
        </is>
      </c>
      <c r="CS163" s="970" t="n">
        <v>0.97973</v>
      </c>
    </row>
    <row r="164">
      <c r="B164" s="204">
        <f>+C164-1</f>
        <v/>
      </c>
      <c r="C164" s="204">
        <f>IF('bands_A-H_Avg'!$D$9+1&gt;MONTH(G164),YEAR(G164),YEAR(G164)+1)</f>
        <v/>
      </c>
      <c r="D164" s="204">
        <f>+C164+1</f>
        <v/>
      </c>
      <c r="E164" s="203">
        <f>IF(C164&gt;C163,1,E163+1)</f>
        <v/>
      </c>
      <c r="F164" s="203">
        <f>COUNTIF(C:C,C164)</f>
        <v/>
      </c>
      <c r="G164" s="198">
        <f>+G163+7</f>
        <v/>
      </c>
      <c r="H164" s="361">
        <f>IF(ISBLANK(CO164),CP164,SUMPRODUCT(CO$32:CP$32,CO164:CP164))</f>
        <v/>
      </c>
      <c r="I164" s="968">
        <f>H164/M164</f>
        <v/>
      </c>
      <c r="J164" s="968">
        <f>H164/N164</f>
        <v/>
      </c>
      <c r="K164" s="968">
        <f>(H164+Q164)/O164</f>
        <v/>
      </c>
      <c r="L164" s="968">
        <f>(H164+Q164)/P164</f>
        <v/>
      </c>
      <c r="M164" s="199">
        <f>HLOOKUP(C:C,$4:$10,3,FALSE)+((HLOOKUP(D:D,$4:$10,3,FALSE)-HLOOKUP(C:C,$4:$10,3,FALSE))*E164/F164)</f>
        <v/>
      </c>
      <c r="N164" s="199">
        <f>HLOOKUP(C:C,$4:$10,2,FALSE)+((HLOOKUP(D:D,$4:$10,2,FALSE)-HLOOKUP(C:C,$4:$10,2,FALSE))*E164/F164)</f>
        <v/>
      </c>
      <c r="O164" s="199">
        <f>HLOOKUP(C:C,$4:$10,5,FALSE)+((HLOOKUP(D:D,$4:$10,5,FALSE)-HLOOKUP(C:C,$4:$10,5,FALSE))*E164/F164)</f>
        <v/>
      </c>
      <c r="P164" s="199">
        <f>HLOOKUP(C:C,$4:$10,4,FALSE)+((HLOOKUP(D:D,$4:$10,4,FALSE)-HLOOKUP(C:C,$4:$10,4,FALSE))*E164/F164)</f>
        <v/>
      </c>
      <c r="Q164" s="199">
        <f>HLOOKUP(B:B,$4:$10,6,FALSE)+((HLOOKUP(C:C,$4:$10,6,FALSE)-HLOOKUP(B:B,$4:$10,6,FALSE))*E164/F164)</f>
        <v/>
      </c>
      <c r="T164" s="198">
        <f>$G164</f>
        <v/>
      </c>
      <c r="U164" s="199">
        <f>H164/(HLOOKUP(B:B,$4:$10,3,FALSE)+((HLOOKUP(C:C,$4:$10,3,FALSE)-HLOOKUP(B:B,$4:$10,3,FALSE))*E164/F164))</f>
        <v/>
      </c>
      <c r="V164" s="969">
        <f>HLOOKUP(B:B,$4:$10,7,FALSE)+((HLOOKUP(C:C,$4:$10,7,FALSE)-HLOOKUP(B:B,$4:$10,7,FALSE))*E164/F164)</f>
        <v/>
      </c>
      <c r="AB164" s="198">
        <f>$G164</f>
        <v/>
      </c>
      <c r="AC164" s="199">
        <f>$H164</f>
        <v/>
      </c>
      <c r="AD164" s="199">
        <f>$M164*AD$34</f>
        <v/>
      </c>
      <c r="AE164" s="199">
        <f>$M164*AE$34</f>
        <v/>
      </c>
      <c r="AF164" s="199">
        <f>$M164*AF$34</f>
        <v/>
      </c>
      <c r="AG164" s="199">
        <f>$M164*AG$34</f>
        <v/>
      </c>
      <c r="AH164" s="199">
        <f>$M164*AH$34</f>
        <v/>
      </c>
      <c r="AJ164" s="198">
        <f>$G164</f>
        <v/>
      </c>
      <c r="AK164" s="199">
        <f>$H164</f>
        <v/>
      </c>
      <c r="AL164" s="199">
        <f>$N164*AL$34</f>
        <v/>
      </c>
      <c r="AM164" s="199">
        <f>$N164*AM$34</f>
        <v/>
      </c>
      <c r="AN164" s="199">
        <f>$N164*AN$34</f>
        <v/>
      </c>
      <c r="AO164" s="199">
        <f>$N164*AO$34</f>
        <v/>
      </c>
      <c r="AP164" s="199">
        <f>$N164*AP$34</f>
        <v/>
      </c>
      <c r="AR164" s="198">
        <f>$G164</f>
        <v/>
      </c>
      <c r="AS164" s="199">
        <f>$H164</f>
        <v/>
      </c>
      <c r="AT164" s="199">
        <f>$O164*AT$34-$Q164</f>
        <v/>
      </c>
      <c r="AU164" s="199">
        <f>$O164*AU$34-$Q164</f>
        <v/>
      </c>
      <c r="AV164" s="199">
        <f>$O164*AV$34-$Q164</f>
        <v/>
      </c>
      <c r="AW164" s="199">
        <f>$O164*AW$34-$Q164</f>
        <v/>
      </c>
      <c r="AX164" s="199">
        <f>$O164*AX$34-$Q164</f>
        <v/>
      </c>
      <c r="AZ164" s="198">
        <f>$G164</f>
        <v/>
      </c>
      <c r="BA164" s="199">
        <f>$H164</f>
        <v/>
      </c>
      <c r="BB164" s="199">
        <f>$P164*BB$34-$Q164</f>
        <v/>
      </c>
      <c r="BC164" s="199">
        <f>$P164*BC$34-$Q164</f>
        <v/>
      </c>
      <c r="BD164" s="199">
        <f>$P164*BD$34-$Q164</f>
        <v/>
      </c>
      <c r="BE164" s="199">
        <f>$P164*BE$34-$Q164</f>
        <v/>
      </c>
      <c r="BF164" s="199">
        <f>$P164*BF$34-$Q164</f>
        <v/>
      </c>
      <c r="BH164" s="198">
        <f>$G164</f>
        <v/>
      </c>
      <c r="BI164" s="197">
        <f>$I164</f>
        <v/>
      </c>
      <c r="BJ164" s="197">
        <f>+BJ165</f>
        <v/>
      </c>
      <c r="BK164" s="197">
        <f>+BK165</f>
        <v/>
      </c>
      <c r="BL164" s="197">
        <f>+BL165</f>
        <v/>
      </c>
      <c r="BM164" s="197">
        <f>+BM165</f>
        <v/>
      </c>
      <c r="BN164" s="197">
        <f>+BN165</f>
        <v/>
      </c>
      <c r="BP164" s="198">
        <f>$G164</f>
        <v/>
      </c>
      <c r="BQ164" s="197">
        <f>$J164</f>
        <v/>
      </c>
      <c r="BR164" s="197">
        <f>+BR165</f>
        <v/>
      </c>
      <c r="BS164" s="197">
        <f>+BS165</f>
        <v/>
      </c>
      <c r="BT164" s="197">
        <f>+BT165</f>
        <v/>
      </c>
      <c r="BU164" s="197">
        <f>+BU165</f>
        <v/>
      </c>
      <c r="BV164" s="197">
        <f>+BV165</f>
        <v/>
      </c>
      <c r="BX164" s="198">
        <f>$G164</f>
        <v/>
      </c>
      <c r="BY164" s="197">
        <f>$K164</f>
        <v/>
      </c>
      <c r="BZ164" s="197">
        <f>+BZ165</f>
        <v/>
      </c>
      <c r="CA164" s="197">
        <f>+CA165</f>
        <v/>
      </c>
      <c r="CB164" s="197">
        <f>+CB165</f>
        <v/>
      </c>
      <c r="CC164" s="197">
        <f>+CC165</f>
        <v/>
      </c>
      <c r="CD164" s="197">
        <f>+CD165</f>
        <v/>
      </c>
      <c r="CF164" s="198">
        <f>$G164</f>
        <v/>
      </c>
      <c r="CG164" s="197">
        <f>$L164</f>
        <v/>
      </c>
      <c r="CH164" s="197">
        <f>+CH165</f>
        <v/>
      </c>
      <c r="CI164" s="197">
        <f>+CI165</f>
        <v/>
      </c>
      <c r="CJ164" s="197">
        <f>+CJ165</f>
        <v/>
      </c>
      <c r="CK164" s="197">
        <f>+CK165</f>
        <v/>
      </c>
      <c r="CL164" s="197">
        <f>+CL165</f>
        <v/>
      </c>
      <c r="CO164" s="199" t="n"/>
      <c r="CP164" s="199" t="n">
        <v>3.24</v>
      </c>
      <c r="CR164" s="199" t="inlineStr">
        <is>
          <t>#N/A N/A</t>
        </is>
      </c>
      <c r="CS164" s="970" t="n">
        <v>0.97529</v>
      </c>
    </row>
    <row r="165">
      <c r="B165" s="204">
        <f>+C165-1</f>
        <v/>
      </c>
      <c r="C165" s="204">
        <f>IF('bands_A-H_Avg'!$D$9+1&gt;MONTH(G165),YEAR(G165),YEAR(G165)+1)</f>
        <v/>
      </c>
      <c r="D165" s="204">
        <f>+C165+1</f>
        <v/>
      </c>
      <c r="E165" s="203">
        <f>IF(C165&gt;C164,1,E164+1)</f>
        <v/>
      </c>
      <c r="F165" s="203">
        <f>COUNTIF(C:C,C165)</f>
        <v/>
      </c>
      <c r="G165" s="198">
        <f>+G164+7</f>
        <v/>
      </c>
      <c r="H165" s="361">
        <f>IF(ISBLANK(CO165),CP165,SUMPRODUCT(CO$32:CP$32,CO165:CP165))</f>
        <v/>
      </c>
      <c r="I165" s="968">
        <f>H165/M165</f>
        <v/>
      </c>
      <c r="J165" s="968">
        <f>H165/N165</f>
        <v/>
      </c>
      <c r="K165" s="968">
        <f>(H165+Q165)/O165</f>
        <v/>
      </c>
      <c r="L165" s="968">
        <f>(H165+Q165)/P165</f>
        <v/>
      </c>
      <c r="M165" s="199">
        <f>HLOOKUP(C:C,$4:$10,3,FALSE)+((HLOOKUP(D:D,$4:$10,3,FALSE)-HLOOKUP(C:C,$4:$10,3,FALSE))*E165/F165)</f>
        <v/>
      </c>
      <c r="N165" s="199">
        <f>HLOOKUP(C:C,$4:$10,2,FALSE)+((HLOOKUP(D:D,$4:$10,2,FALSE)-HLOOKUP(C:C,$4:$10,2,FALSE))*E165/F165)</f>
        <v/>
      </c>
      <c r="O165" s="199">
        <f>HLOOKUP(C:C,$4:$10,5,FALSE)+((HLOOKUP(D:D,$4:$10,5,FALSE)-HLOOKUP(C:C,$4:$10,5,FALSE))*E165/F165)</f>
        <v/>
      </c>
      <c r="P165" s="199">
        <f>HLOOKUP(C:C,$4:$10,4,FALSE)+((HLOOKUP(D:D,$4:$10,4,FALSE)-HLOOKUP(C:C,$4:$10,4,FALSE))*E165/F165)</f>
        <v/>
      </c>
      <c r="Q165" s="199">
        <f>HLOOKUP(B:B,$4:$10,6,FALSE)+((HLOOKUP(C:C,$4:$10,6,FALSE)-HLOOKUP(B:B,$4:$10,6,FALSE))*E165/F165)</f>
        <v/>
      </c>
      <c r="T165" s="198">
        <f>$G165</f>
        <v/>
      </c>
      <c r="U165" s="199">
        <f>H165/(HLOOKUP(B:B,$4:$10,3,FALSE)+((HLOOKUP(C:C,$4:$10,3,FALSE)-HLOOKUP(B:B,$4:$10,3,FALSE))*E165/F165))</f>
        <v/>
      </c>
      <c r="V165" s="969">
        <f>HLOOKUP(B:B,$4:$10,7,FALSE)+((HLOOKUP(C:C,$4:$10,7,FALSE)-HLOOKUP(B:B,$4:$10,7,FALSE))*E165/F165)</f>
        <v/>
      </c>
      <c r="AB165" s="198">
        <f>$G165</f>
        <v/>
      </c>
      <c r="AC165" s="199">
        <f>$H165</f>
        <v/>
      </c>
      <c r="AD165" s="199">
        <f>$M165*AD$34</f>
        <v/>
      </c>
      <c r="AE165" s="199">
        <f>$M165*AE$34</f>
        <v/>
      </c>
      <c r="AF165" s="199">
        <f>$M165*AF$34</f>
        <v/>
      </c>
      <c r="AG165" s="199">
        <f>$M165*AG$34</f>
        <v/>
      </c>
      <c r="AH165" s="199">
        <f>$M165*AH$34</f>
        <v/>
      </c>
      <c r="AJ165" s="198">
        <f>$G165</f>
        <v/>
      </c>
      <c r="AK165" s="199">
        <f>$H165</f>
        <v/>
      </c>
      <c r="AL165" s="199">
        <f>$N165*AL$34</f>
        <v/>
      </c>
      <c r="AM165" s="199">
        <f>$N165*AM$34</f>
        <v/>
      </c>
      <c r="AN165" s="199">
        <f>$N165*AN$34</f>
        <v/>
      </c>
      <c r="AO165" s="199">
        <f>$N165*AO$34</f>
        <v/>
      </c>
      <c r="AP165" s="199">
        <f>$N165*AP$34</f>
        <v/>
      </c>
      <c r="AR165" s="198">
        <f>$G165</f>
        <v/>
      </c>
      <c r="AS165" s="199">
        <f>$H165</f>
        <v/>
      </c>
      <c r="AT165" s="199">
        <f>$O165*AT$34-$Q165</f>
        <v/>
      </c>
      <c r="AU165" s="199">
        <f>$O165*AU$34-$Q165</f>
        <v/>
      </c>
      <c r="AV165" s="199">
        <f>$O165*AV$34-$Q165</f>
        <v/>
      </c>
      <c r="AW165" s="199">
        <f>$O165*AW$34-$Q165</f>
        <v/>
      </c>
      <c r="AX165" s="199">
        <f>$O165*AX$34-$Q165</f>
        <v/>
      </c>
      <c r="AZ165" s="198">
        <f>$G165</f>
        <v/>
      </c>
      <c r="BA165" s="199">
        <f>$H165</f>
        <v/>
      </c>
      <c r="BB165" s="199">
        <f>$P165*BB$34-$Q165</f>
        <v/>
      </c>
      <c r="BC165" s="199">
        <f>$P165*BC$34-$Q165</f>
        <v/>
      </c>
      <c r="BD165" s="199">
        <f>$P165*BD$34-$Q165</f>
        <v/>
      </c>
      <c r="BE165" s="199">
        <f>$P165*BE$34-$Q165</f>
        <v/>
      </c>
      <c r="BF165" s="199">
        <f>$P165*BF$34-$Q165</f>
        <v/>
      </c>
      <c r="BH165" s="198">
        <f>$G165</f>
        <v/>
      </c>
      <c r="BI165" s="197">
        <f>$I165</f>
        <v/>
      </c>
      <c r="BJ165" s="197">
        <f>+BJ166</f>
        <v/>
      </c>
      <c r="BK165" s="197">
        <f>+BK166</f>
        <v/>
      </c>
      <c r="BL165" s="197">
        <f>+BL166</f>
        <v/>
      </c>
      <c r="BM165" s="197">
        <f>+BM166</f>
        <v/>
      </c>
      <c r="BN165" s="197">
        <f>+BN166</f>
        <v/>
      </c>
      <c r="BP165" s="198">
        <f>$G165</f>
        <v/>
      </c>
      <c r="BQ165" s="197">
        <f>$J165</f>
        <v/>
      </c>
      <c r="BR165" s="197">
        <f>+BR166</f>
        <v/>
      </c>
      <c r="BS165" s="197">
        <f>+BS166</f>
        <v/>
      </c>
      <c r="BT165" s="197">
        <f>+BT166</f>
        <v/>
      </c>
      <c r="BU165" s="197">
        <f>+BU166</f>
        <v/>
      </c>
      <c r="BV165" s="197">
        <f>+BV166</f>
        <v/>
      </c>
      <c r="BX165" s="198">
        <f>$G165</f>
        <v/>
      </c>
      <c r="BY165" s="197">
        <f>$K165</f>
        <v/>
      </c>
      <c r="BZ165" s="197">
        <f>+BZ166</f>
        <v/>
      </c>
      <c r="CA165" s="197">
        <f>+CA166</f>
        <v/>
      </c>
      <c r="CB165" s="197">
        <f>+CB166</f>
        <v/>
      </c>
      <c r="CC165" s="197">
        <f>+CC166</f>
        <v/>
      </c>
      <c r="CD165" s="197">
        <f>+CD166</f>
        <v/>
      </c>
      <c r="CF165" s="198">
        <f>$G165</f>
        <v/>
      </c>
      <c r="CG165" s="197">
        <f>$L165</f>
        <v/>
      </c>
      <c r="CH165" s="197">
        <f>+CH166</f>
        <v/>
      </c>
      <c r="CI165" s="197">
        <f>+CI166</f>
        <v/>
      </c>
      <c r="CJ165" s="197">
        <f>+CJ166</f>
        <v/>
      </c>
      <c r="CK165" s="197">
        <f>+CK166</f>
        <v/>
      </c>
      <c r="CL165" s="197">
        <f>+CL166</f>
        <v/>
      </c>
      <c r="CO165" s="199" t="n"/>
      <c r="CP165" s="199" t="n">
        <v>3.79</v>
      </c>
      <c r="CR165" s="199" t="inlineStr">
        <is>
          <t>#N/A N/A</t>
        </is>
      </c>
      <c r="CS165" s="970" t="n">
        <v>0.97532</v>
      </c>
    </row>
    <row r="166">
      <c r="B166" s="204">
        <f>+C166-1</f>
        <v/>
      </c>
      <c r="C166" s="204">
        <f>IF('bands_A-H_Avg'!$D$9+1&gt;MONTH(G166),YEAR(G166),YEAR(G166)+1)</f>
        <v/>
      </c>
      <c r="D166" s="204">
        <f>+C166+1</f>
        <v/>
      </c>
      <c r="E166" s="203">
        <f>IF(C166&gt;C165,1,E165+1)</f>
        <v/>
      </c>
      <c r="F166" s="203">
        <f>COUNTIF(C:C,C166)</f>
        <v/>
      </c>
      <c r="G166" s="198">
        <f>+G165+7</f>
        <v/>
      </c>
      <c r="H166" s="361">
        <f>IF(ISBLANK(CO166),CP166,SUMPRODUCT(CO$32:CP$32,CO166:CP166))</f>
        <v/>
      </c>
      <c r="I166" s="968">
        <f>H166/M166</f>
        <v/>
      </c>
      <c r="J166" s="968">
        <f>H166/N166</f>
        <v/>
      </c>
      <c r="K166" s="968">
        <f>(H166+Q166)/O166</f>
        <v/>
      </c>
      <c r="L166" s="968">
        <f>(H166+Q166)/P166</f>
        <v/>
      </c>
      <c r="M166" s="199">
        <f>HLOOKUP(C:C,$4:$10,3,FALSE)+((HLOOKUP(D:D,$4:$10,3,FALSE)-HLOOKUP(C:C,$4:$10,3,FALSE))*E166/F166)</f>
        <v/>
      </c>
      <c r="N166" s="199">
        <f>HLOOKUP(C:C,$4:$10,2,FALSE)+((HLOOKUP(D:D,$4:$10,2,FALSE)-HLOOKUP(C:C,$4:$10,2,FALSE))*E166/F166)</f>
        <v/>
      </c>
      <c r="O166" s="199">
        <f>HLOOKUP(C:C,$4:$10,5,FALSE)+((HLOOKUP(D:D,$4:$10,5,FALSE)-HLOOKUP(C:C,$4:$10,5,FALSE))*E166/F166)</f>
        <v/>
      </c>
      <c r="P166" s="199">
        <f>HLOOKUP(C:C,$4:$10,4,FALSE)+((HLOOKUP(D:D,$4:$10,4,FALSE)-HLOOKUP(C:C,$4:$10,4,FALSE))*E166/F166)</f>
        <v/>
      </c>
      <c r="Q166" s="199">
        <f>HLOOKUP(B:B,$4:$10,6,FALSE)+((HLOOKUP(C:C,$4:$10,6,FALSE)-HLOOKUP(B:B,$4:$10,6,FALSE))*E166/F166)</f>
        <v/>
      </c>
      <c r="T166" s="198">
        <f>$G166</f>
        <v/>
      </c>
      <c r="U166" s="199">
        <f>H166/(HLOOKUP(B:B,$4:$10,3,FALSE)+((HLOOKUP(C:C,$4:$10,3,FALSE)-HLOOKUP(B:B,$4:$10,3,FALSE))*E166/F166))</f>
        <v/>
      </c>
      <c r="V166" s="969">
        <f>HLOOKUP(B:B,$4:$10,7,FALSE)+((HLOOKUP(C:C,$4:$10,7,FALSE)-HLOOKUP(B:B,$4:$10,7,FALSE))*E166/F166)</f>
        <v/>
      </c>
      <c r="AB166" s="198">
        <f>$G166</f>
        <v/>
      </c>
      <c r="AC166" s="199">
        <f>$H166</f>
        <v/>
      </c>
      <c r="AD166" s="199">
        <f>$M166*AD$34</f>
        <v/>
      </c>
      <c r="AE166" s="199">
        <f>$M166*AE$34</f>
        <v/>
      </c>
      <c r="AF166" s="199">
        <f>$M166*AF$34</f>
        <v/>
      </c>
      <c r="AG166" s="199">
        <f>$M166*AG$34</f>
        <v/>
      </c>
      <c r="AH166" s="199">
        <f>$M166*AH$34</f>
        <v/>
      </c>
      <c r="AJ166" s="198">
        <f>$G166</f>
        <v/>
      </c>
      <c r="AK166" s="199">
        <f>$H166</f>
        <v/>
      </c>
      <c r="AL166" s="199">
        <f>$N166*AL$34</f>
        <v/>
      </c>
      <c r="AM166" s="199">
        <f>$N166*AM$34</f>
        <v/>
      </c>
      <c r="AN166" s="199">
        <f>$N166*AN$34</f>
        <v/>
      </c>
      <c r="AO166" s="199">
        <f>$N166*AO$34</f>
        <v/>
      </c>
      <c r="AP166" s="199">
        <f>$N166*AP$34</f>
        <v/>
      </c>
      <c r="AR166" s="198">
        <f>$G166</f>
        <v/>
      </c>
      <c r="AS166" s="199">
        <f>$H166</f>
        <v/>
      </c>
      <c r="AT166" s="199">
        <f>$O166*AT$34-$Q166</f>
        <v/>
      </c>
      <c r="AU166" s="199">
        <f>$O166*AU$34-$Q166</f>
        <v/>
      </c>
      <c r="AV166" s="199">
        <f>$O166*AV$34-$Q166</f>
        <v/>
      </c>
      <c r="AW166" s="199">
        <f>$O166*AW$34-$Q166</f>
        <v/>
      </c>
      <c r="AX166" s="199">
        <f>$O166*AX$34-$Q166</f>
        <v/>
      </c>
      <c r="AZ166" s="198">
        <f>$G166</f>
        <v/>
      </c>
      <c r="BA166" s="199">
        <f>$H166</f>
        <v/>
      </c>
      <c r="BB166" s="199">
        <f>$P166*BB$34-$Q166</f>
        <v/>
      </c>
      <c r="BC166" s="199">
        <f>$P166*BC$34-$Q166</f>
        <v/>
      </c>
      <c r="BD166" s="199">
        <f>$P166*BD$34-$Q166</f>
        <v/>
      </c>
      <c r="BE166" s="199">
        <f>$P166*BE$34-$Q166</f>
        <v/>
      </c>
      <c r="BF166" s="199">
        <f>$P166*BF$34-$Q166</f>
        <v/>
      </c>
      <c r="BH166" s="198">
        <f>$G166</f>
        <v/>
      </c>
      <c r="BI166" s="197">
        <f>$I166</f>
        <v/>
      </c>
      <c r="BJ166" s="197">
        <f>+BJ167</f>
        <v/>
      </c>
      <c r="BK166" s="197">
        <f>+BK167</f>
        <v/>
      </c>
      <c r="BL166" s="197">
        <f>+BL167</f>
        <v/>
      </c>
      <c r="BM166" s="197">
        <f>+BM167</f>
        <v/>
      </c>
      <c r="BN166" s="197">
        <f>+BN167</f>
        <v/>
      </c>
      <c r="BP166" s="198">
        <f>$G166</f>
        <v/>
      </c>
      <c r="BQ166" s="197">
        <f>$J166</f>
        <v/>
      </c>
      <c r="BR166" s="197">
        <f>+BR167</f>
        <v/>
      </c>
      <c r="BS166" s="197">
        <f>+BS167</f>
        <v/>
      </c>
      <c r="BT166" s="197">
        <f>+BT167</f>
        <v/>
      </c>
      <c r="BU166" s="197">
        <f>+BU167</f>
        <v/>
      </c>
      <c r="BV166" s="197">
        <f>+BV167</f>
        <v/>
      </c>
      <c r="BX166" s="198">
        <f>$G166</f>
        <v/>
      </c>
      <c r="BY166" s="197">
        <f>$K166</f>
        <v/>
      </c>
      <c r="BZ166" s="197">
        <f>+BZ167</f>
        <v/>
      </c>
      <c r="CA166" s="197">
        <f>+CA167</f>
        <v/>
      </c>
      <c r="CB166" s="197">
        <f>+CB167</f>
        <v/>
      </c>
      <c r="CC166" s="197">
        <f>+CC167</f>
        <v/>
      </c>
      <c r="CD166" s="197">
        <f>+CD167</f>
        <v/>
      </c>
      <c r="CF166" s="198">
        <f>$G166</f>
        <v/>
      </c>
      <c r="CG166" s="197">
        <f>$L166</f>
        <v/>
      </c>
      <c r="CH166" s="197">
        <f>+CH167</f>
        <v/>
      </c>
      <c r="CI166" s="197">
        <f>+CI167</f>
        <v/>
      </c>
      <c r="CJ166" s="197">
        <f>+CJ167</f>
        <v/>
      </c>
      <c r="CK166" s="197">
        <f>+CK167</f>
        <v/>
      </c>
      <c r="CL166" s="197">
        <f>+CL167</f>
        <v/>
      </c>
      <c r="CO166" s="199" t="n"/>
      <c r="CP166" s="199" t="n">
        <v>3.52</v>
      </c>
      <c r="CR166" s="199" t="inlineStr">
        <is>
          <t>#N/A N/A</t>
        </is>
      </c>
      <c r="CS166" s="970" t="n">
        <v>0.9738</v>
      </c>
    </row>
    <row r="167">
      <c r="B167" s="204">
        <f>+C167-1</f>
        <v/>
      </c>
      <c r="C167" s="204">
        <f>IF('bands_A-H_Avg'!$D$9+1&gt;MONTH(G167),YEAR(G167),YEAR(G167)+1)</f>
        <v/>
      </c>
      <c r="D167" s="204">
        <f>+C167+1</f>
        <v/>
      </c>
      <c r="E167" s="203">
        <f>IF(C167&gt;C166,1,E166+1)</f>
        <v/>
      </c>
      <c r="F167" s="203">
        <f>COUNTIF(C:C,C167)</f>
        <v/>
      </c>
      <c r="G167" s="198">
        <f>+G166+7</f>
        <v/>
      </c>
      <c r="H167" s="361">
        <f>IF(ISBLANK(CO167),CP167,SUMPRODUCT(CO$32:CP$32,CO167:CP167))</f>
        <v/>
      </c>
      <c r="I167" s="968">
        <f>H167/M167</f>
        <v/>
      </c>
      <c r="J167" s="968">
        <f>H167/N167</f>
        <v/>
      </c>
      <c r="K167" s="968">
        <f>(H167+Q167)/O167</f>
        <v/>
      </c>
      <c r="L167" s="968">
        <f>(H167+Q167)/P167</f>
        <v/>
      </c>
      <c r="M167" s="199">
        <f>HLOOKUP(C:C,$4:$10,3,FALSE)+((HLOOKUP(D:D,$4:$10,3,FALSE)-HLOOKUP(C:C,$4:$10,3,FALSE))*E167/F167)</f>
        <v/>
      </c>
      <c r="N167" s="199">
        <f>HLOOKUP(C:C,$4:$10,2,FALSE)+((HLOOKUP(D:D,$4:$10,2,FALSE)-HLOOKUP(C:C,$4:$10,2,FALSE))*E167/F167)</f>
        <v/>
      </c>
      <c r="O167" s="199">
        <f>HLOOKUP(C:C,$4:$10,5,FALSE)+((HLOOKUP(D:D,$4:$10,5,FALSE)-HLOOKUP(C:C,$4:$10,5,FALSE))*E167/F167)</f>
        <v/>
      </c>
      <c r="P167" s="199">
        <f>HLOOKUP(C:C,$4:$10,4,FALSE)+((HLOOKUP(D:D,$4:$10,4,FALSE)-HLOOKUP(C:C,$4:$10,4,FALSE))*E167/F167)</f>
        <v/>
      </c>
      <c r="Q167" s="199">
        <f>HLOOKUP(B:B,$4:$10,6,FALSE)+((HLOOKUP(C:C,$4:$10,6,FALSE)-HLOOKUP(B:B,$4:$10,6,FALSE))*E167/F167)</f>
        <v/>
      </c>
      <c r="T167" s="198">
        <f>$G167</f>
        <v/>
      </c>
      <c r="U167" s="199">
        <f>H167/(HLOOKUP(B:B,$4:$10,3,FALSE)+((HLOOKUP(C:C,$4:$10,3,FALSE)-HLOOKUP(B:B,$4:$10,3,FALSE))*E167/F167))</f>
        <v/>
      </c>
      <c r="V167" s="969">
        <f>HLOOKUP(B:B,$4:$10,7,FALSE)+((HLOOKUP(C:C,$4:$10,7,FALSE)-HLOOKUP(B:B,$4:$10,7,FALSE))*E167/F167)</f>
        <v/>
      </c>
      <c r="AB167" s="198">
        <f>$G167</f>
        <v/>
      </c>
      <c r="AC167" s="199">
        <f>$H167</f>
        <v/>
      </c>
      <c r="AD167" s="199">
        <f>$M167*AD$34</f>
        <v/>
      </c>
      <c r="AE167" s="199">
        <f>$M167*AE$34</f>
        <v/>
      </c>
      <c r="AF167" s="199">
        <f>$M167*AF$34</f>
        <v/>
      </c>
      <c r="AG167" s="199">
        <f>$M167*AG$34</f>
        <v/>
      </c>
      <c r="AH167" s="199">
        <f>$M167*AH$34</f>
        <v/>
      </c>
      <c r="AJ167" s="198">
        <f>$G167</f>
        <v/>
      </c>
      <c r="AK167" s="199">
        <f>$H167</f>
        <v/>
      </c>
      <c r="AL167" s="199">
        <f>$N167*AL$34</f>
        <v/>
      </c>
      <c r="AM167" s="199">
        <f>$N167*AM$34</f>
        <v/>
      </c>
      <c r="AN167" s="199">
        <f>$N167*AN$34</f>
        <v/>
      </c>
      <c r="AO167" s="199">
        <f>$N167*AO$34</f>
        <v/>
      </c>
      <c r="AP167" s="199">
        <f>$N167*AP$34</f>
        <v/>
      </c>
      <c r="AR167" s="198">
        <f>$G167</f>
        <v/>
      </c>
      <c r="AS167" s="199">
        <f>$H167</f>
        <v/>
      </c>
      <c r="AT167" s="199">
        <f>$O167*AT$34-$Q167</f>
        <v/>
      </c>
      <c r="AU167" s="199">
        <f>$O167*AU$34-$Q167</f>
        <v/>
      </c>
      <c r="AV167" s="199">
        <f>$O167*AV$34-$Q167</f>
        <v/>
      </c>
      <c r="AW167" s="199">
        <f>$O167*AW$34-$Q167</f>
        <v/>
      </c>
      <c r="AX167" s="199">
        <f>$O167*AX$34-$Q167</f>
        <v/>
      </c>
      <c r="AZ167" s="198">
        <f>$G167</f>
        <v/>
      </c>
      <c r="BA167" s="199">
        <f>$H167</f>
        <v/>
      </c>
      <c r="BB167" s="199">
        <f>$P167*BB$34-$Q167</f>
        <v/>
      </c>
      <c r="BC167" s="199">
        <f>$P167*BC$34-$Q167</f>
        <v/>
      </c>
      <c r="BD167" s="199">
        <f>$P167*BD$34-$Q167</f>
        <v/>
      </c>
      <c r="BE167" s="199">
        <f>$P167*BE$34-$Q167</f>
        <v/>
      </c>
      <c r="BF167" s="199">
        <f>$P167*BF$34-$Q167</f>
        <v/>
      </c>
      <c r="BH167" s="198">
        <f>$G167</f>
        <v/>
      </c>
      <c r="BI167" s="197">
        <f>$I167</f>
        <v/>
      </c>
      <c r="BJ167" s="197">
        <f>+BJ168</f>
        <v/>
      </c>
      <c r="BK167" s="197">
        <f>+BK168</f>
        <v/>
      </c>
      <c r="BL167" s="197">
        <f>+BL168</f>
        <v/>
      </c>
      <c r="BM167" s="197">
        <f>+BM168</f>
        <v/>
      </c>
      <c r="BN167" s="197">
        <f>+BN168</f>
        <v/>
      </c>
      <c r="BP167" s="198">
        <f>$G167</f>
        <v/>
      </c>
      <c r="BQ167" s="197">
        <f>$J167</f>
        <v/>
      </c>
      <c r="BR167" s="197">
        <f>+BR168</f>
        <v/>
      </c>
      <c r="BS167" s="197">
        <f>+BS168</f>
        <v/>
      </c>
      <c r="BT167" s="197">
        <f>+BT168</f>
        <v/>
      </c>
      <c r="BU167" s="197">
        <f>+BU168</f>
        <v/>
      </c>
      <c r="BV167" s="197">
        <f>+BV168</f>
        <v/>
      </c>
      <c r="BX167" s="198">
        <f>$G167</f>
        <v/>
      </c>
      <c r="BY167" s="197">
        <f>$K167</f>
        <v/>
      </c>
      <c r="BZ167" s="197">
        <f>+BZ168</f>
        <v/>
      </c>
      <c r="CA167" s="197">
        <f>+CA168</f>
        <v/>
      </c>
      <c r="CB167" s="197">
        <f>+CB168</f>
        <v/>
      </c>
      <c r="CC167" s="197">
        <f>+CC168</f>
        <v/>
      </c>
      <c r="CD167" s="197">
        <f>+CD168</f>
        <v/>
      </c>
      <c r="CF167" s="198">
        <f>$G167</f>
        <v/>
      </c>
      <c r="CG167" s="197">
        <f>$L167</f>
        <v/>
      </c>
      <c r="CH167" s="197">
        <f>+CH168</f>
        <v/>
      </c>
      <c r="CI167" s="197">
        <f>+CI168</f>
        <v/>
      </c>
      <c r="CJ167" s="197">
        <f>+CJ168</f>
        <v/>
      </c>
      <c r="CK167" s="197">
        <f>+CK168</f>
        <v/>
      </c>
      <c r="CL167" s="197">
        <f>+CL168</f>
        <v/>
      </c>
      <c r="CO167" s="199" t="n"/>
      <c r="CP167" s="199" t="n">
        <v>3.66</v>
      </c>
      <c r="CR167" s="199" t="inlineStr">
        <is>
          <t>#N/A N/A</t>
        </is>
      </c>
      <c r="CS167" s="970" t="n">
        <v>0.97244</v>
      </c>
    </row>
    <row r="168">
      <c r="B168" s="204">
        <f>+C168-1</f>
        <v/>
      </c>
      <c r="C168" s="204">
        <f>IF('bands_A-H_Avg'!$D$9+1&gt;MONTH(G168),YEAR(G168),YEAR(G168)+1)</f>
        <v/>
      </c>
      <c r="D168" s="204">
        <f>+C168+1</f>
        <v/>
      </c>
      <c r="E168" s="203">
        <f>IF(C168&gt;C167,1,E167+1)</f>
        <v/>
      </c>
      <c r="F168" s="203">
        <f>COUNTIF(C:C,C168)</f>
        <v/>
      </c>
      <c r="G168" s="198">
        <f>+G167+7</f>
        <v/>
      </c>
      <c r="H168" s="361">
        <f>IF(ISBLANK(CO168),CP168,SUMPRODUCT(CO$32:CP$32,CO168:CP168))</f>
        <v/>
      </c>
      <c r="I168" s="968">
        <f>H168/M168</f>
        <v/>
      </c>
      <c r="J168" s="968">
        <f>H168/N168</f>
        <v/>
      </c>
      <c r="K168" s="968">
        <f>(H168+Q168)/O168</f>
        <v/>
      </c>
      <c r="L168" s="968">
        <f>(H168+Q168)/P168</f>
        <v/>
      </c>
      <c r="M168" s="199">
        <f>HLOOKUP(C:C,$4:$10,3,FALSE)+((HLOOKUP(D:D,$4:$10,3,FALSE)-HLOOKUP(C:C,$4:$10,3,FALSE))*E168/F168)</f>
        <v/>
      </c>
      <c r="N168" s="199">
        <f>HLOOKUP(C:C,$4:$10,2,FALSE)+((HLOOKUP(D:D,$4:$10,2,FALSE)-HLOOKUP(C:C,$4:$10,2,FALSE))*E168/F168)</f>
        <v/>
      </c>
      <c r="O168" s="199">
        <f>HLOOKUP(C:C,$4:$10,5,FALSE)+((HLOOKUP(D:D,$4:$10,5,FALSE)-HLOOKUP(C:C,$4:$10,5,FALSE))*E168/F168)</f>
        <v/>
      </c>
      <c r="P168" s="199">
        <f>HLOOKUP(C:C,$4:$10,4,FALSE)+((HLOOKUP(D:D,$4:$10,4,FALSE)-HLOOKUP(C:C,$4:$10,4,FALSE))*E168/F168)</f>
        <v/>
      </c>
      <c r="Q168" s="199">
        <f>HLOOKUP(B:B,$4:$10,6,FALSE)+((HLOOKUP(C:C,$4:$10,6,FALSE)-HLOOKUP(B:B,$4:$10,6,FALSE))*E168/F168)</f>
        <v/>
      </c>
      <c r="T168" s="198">
        <f>$G168</f>
        <v/>
      </c>
      <c r="U168" s="199">
        <f>H168/(HLOOKUP(B:B,$4:$10,3,FALSE)+((HLOOKUP(C:C,$4:$10,3,FALSE)-HLOOKUP(B:B,$4:$10,3,FALSE))*E168/F168))</f>
        <v/>
      </c>
      <c r="V168" s="969">
        <f>HLOOKUP(B:B,$4:$10,7,FALSE)+((HLOOKUP(C:C,$4:$10,7,FALSE)-HLOOKUP(B:B,$4:$10,7,FALSE))*E168/F168)</f>
        <v/>
      </c>
      <c r="AB168" s="198">
        <f>$G168</f>
        <v/>
      </c>
      <c r="AC168" s="199">
        <f>$H168</f>
        <v/>
      </c>
      <c r="AD168" s="199">
        <f>$M168*AD$34</f>
        <v/>
      </c>
      <c r="AE168" s="199">
        <f>$M168*AE$34</f>
        <v/>
      </c>
      <c r="AF168" s="199">
        <f>$M168*AF$34</f>
        <v/>
      </c>
      <c r="AG168" s="199">
        <f>$M168*AG$34</f>
        <v/>
      </c>
      <c r="AH168" s="199">
        <f>$M168*AH$34</f>
        <v/>
      </c>
      <c r="AJ168" s="198">
        <f>$G168</f>
        <v/>
      </c>
      <c r="AK168" s="199">
        <f>$H168</f>
        <v/>
      </c>
      <c r="AL168" s="199">
        <f>$N168*AL$34</f>
        <v/>
      </c>
      <c r="AM168" s="199">
        <f>$N168*AM$34</f>
        <v/>
      </c>
      <c r="AN168" s="199">
        <f>$N168*AN$34</f>
        <v/>
      </c>
      <c r="AO168" s="199">
        <f>$N168*AO$34</f>
        <v/>
      </c>
      <c r="AP168" s="199">
        <f>$N168*AP$34</f>
        <v/>
      </c>
      <c r="AR168" s="198">
        <f>$G168</f>
        <v/>
      </c>
      <c r="AS168" s="199">
        <f>$H168</f>
        <v/>
      </c>
      <c r="AT168" s="199">
        <f>$O168*AT$34-$Q168</f>
        <v/>
      </c>
      <c r="AU168" s="199">
        <f>$O168*AU$34-$Q168</f>
        <v/>
      </c>
      <c r="AV168" s="199">
        <f>$O168*AV$34-$Q168</f>
        <v/>
      </c>
      <c r="AW168" s="199">
        <f>$O168*AW$34-$Q168</f>
        <v/>
      </c>
      <c r="AX168" s="199">
        <f>$O168*AX$34-$Q168</f>
        <v/>
      </c>
      <c r="AZ168" s="198">
        <f>$G168</f>
        <v/>
      </c>
      <c r="BA168" s="199">
        <f>$H168</f>
        <v/>
      </c>
      <c r="BB168" s="199">
        <f>$P168*BB$34-$Q168</f>
        <v/>
      </c>
      <c r="BC168" s="199">
        <f>$P168*BC$34-$Q168</f>
        <v/>
      </c>
      <c r="BD168" s="199">
        <f>$P168*BD$34-$Q168</f>
        <v/>
      </c>
      <c r="BE168" s="199">
        <f>$P168*BE$34-$Q168</f>
        <v/>
      </c>
      <c r="BF168" s="199">
        <f>$P168*BF$34-$Q168</f>
        <v/>
      </c>
      <c r="BH168" s="198">
        <f>$G168</f>
        <v/>
      </c>
      <c r="BI168" s="197">
        <f>$I168</f>
        <v/>
      </c>
      <c r="BJ168" s="197">
        <f>+BJ169</f>
        <v/>
      </c>
      <c r="BK168" s="197">
        <f>+BK169</f>
        <v/>
      </c>
      <c r="BL168" s="197">
        <f>+BL169</f>
        <v/>
      </c>
      <c r="BM168" s="197">
        <f>+BM169</f>
        <v/>
      </c>
      <c r="BN168" s="197">
        <f>+BN169</f>
        <v/>
      </c>
      <c r="BP168" s="198">
        <f>$G168</f>
        <v/>
      </c>
      <c r="BQ168" s="197">
        <f>$J168</f>
        <v/>
      </c>
      <c r="BR168" s="197">
        <f>+BR169</f>
        <v/>
      </c>
      <c r="BS168" s="197">
        <f>+BS169</f>
        <v/>
      </c>
      <c r="BT168" s="197">
        <f>+BT169</f>
        <v/>
      </c>
      <c r="BU168" s="197">
        <f>+BU169</f>
        <v/>
      </c>
      <c r="BV168" s="197">
        <f>+BV169</f>
        <v/>
      </c>
      <c r="BX168" s="198">
        <f>$G168</f>
        <v/>
      </c>
      <c r="BY168" s="197">
        <f>$K168</f>
        <v/>
      </c>
      <c r="BZ168" s="197">
        <f>+BZ169</f>
        <v/>
      </c>
      <c r="CA168" s="197">
        <f>+CA169</f>
        <v/>
      </c>
      <c r="CB168" s="197">
        <f>+CB169</f>
        <v/>
      </c>
      <c r="CC168" s="197">
        <f>+CC169</f>
        <v/>
      </c>
      <c r="CD168" s="197">
        <f>+CD169</f>
        <v/>
      </c>
      <c r="CF168" s="198">
        <f>$G168</f>
        <v/>
      </c>
      <c r="CG168" s="197">
        <f>$L168</f>
        <v/>
      </c>
      <c r="CH168" s="197">
        <f>+CH169</f>
        <v/>
      </c>
      <c r="CI168" s="197">
        <f>+CI169</f>
        <v/>
      </c>
      <c r="CJ168" s="197">
        <f>+CJ169</f>
        <v/>
      </c>
      <c r="CK168" s="197">
        <f>+CK169</f>
        <v/>
      </c>
      <c r="CL168" s="197">
        <f>+CL169</f>
        <v/>
      </c>
      <c r="CO168" s="199" t="n"/>
      <c r="CP168" s="199" t="n">
        <v>3.69</v>
      </c>
      <c r="CR168" s="199" t="inlineStr">
        <is>
          <t>#N/A N/A</t>
        </is>
      </c>
      <c r="CS168" s="970" t="n">
        <v>0.96843</v>
      </c>
    </row>
    <row r="169">
      <c r="B169" s="204">
        <f>+C169-1</f>
        <v/>
      </c>
      <c r="C169" s="204">
        <f>IF('bands_A-H_Avg'!$D$9+1&gt;MONTH(G169),YEAR(G169),YEAR(G169)+1)</f>
        <v/>
      </c>
      <c r="D169" s="204">
        <f>+C169+1</f>
        <v/>
      </c>
      <c r="E169" s="203">
        <f>IF(C169&gt;C168,1,E168+1)</f>
        <v/>
      </c>
      <c r="F169" s="203">
        <f>COUNTIF(C:C,C169)</f>
        <v/>
      </c>
      <c r="G169" s="198">
        <f>+G168+7</f>
        <v/>
      </c>
      <c r="H169" s="361">
        <f>IF(ISBLANK(CO169),CP169,SUMPRODUCT(CO$32:CP$32,CO169:CP169))</f>
        <v/>
      </c>
      <c r="I169" s="968">
        <f>H169/M169</f>
        <v/>
      </c>
      <c r="J169" s="968">
        <f>H169/N169</f>
        <v/>
      </c>
      <c r="K169" s="968">
        <f>(H169+Q169)/O169</f>
        <v/>
      </c>
      <c r="L169" s="968">
        <f>(H169+Q169)/P169</f>
        <v/>
      </c>
      <c r="M169" s="199">
        <f>HLOOKUP(C:C,$4:$10,3,FALSE)+((HLOOKUP(D:D,$4:$10,3,FALSE)-HLOOKUP(C:C,$4:$10,3,FALSE))*E169/F169)</f>
        <v/>
      </c>
      <c r="N169" s="199">
        <f>HLOOKUP(C:C,$4:$10,2,FALSE)+((HLOOKUP(D:D,$4:$10,2,FALSE)-HLOOKUP(C:C,$4:$10,2,FALSE))*E169/F169)</f>
        <v/>
      </c>
      <c r="O169" s="199">
        <f>HLOOKUP(C:C,$4:$10,5,FALSE)+((HLOOKUP(D:D,$4:$10,5,FALSE)-HLOOKUP(C:C,$4:$10,5,FALSE))*E169/F169)</f>
        <v/>
      </c>
      <c r="P169" s="199">
        <f>HLOOKUP(C:C,$4:$10,4,FALSE)+((HLOOKUP(D:D,$4:$10,4,FALSE)-HLOOKUP(C:C,$4:$10,4,FALSE))*E169/F169)</f>
        <v/>
      </c>
      <c r="Q169" s="199">
        <f>HLOOKUP(B:B,$4:$10,6,FALSE)+((HLOOKUP(C:C,$4:$10,6,FALSE)-HLOOKUP(B:B,$4:$10,6,FALSE))*E169/F169)</f>
        <v/>
      </c>
      <c r="T169" s="198">
        <f>$G169</f>
        <v/>
      </c>
      <c r="U169" s="199">
        <f>H169/(HLOOKUP(B:B,$4:$10,3,FALSE)+((HLOOKUP(C:C,$4:$10,3,FALSE)-HLOOKUP(B:B,$4:$10,3,FALSE))*E169/F169))</f>
        <v/>
      </c>
      <c r="V169" s="969">
        <f>HLOOKUP(B:B,$4:$10,7,FALSE)+((HLOOKUP(C:C,$4:$10,7,FALSE)-HLOOKUP(B:B,$4:$10,7,FALSE))*E169/F169)</f>
        <v/>
      </c>
      <c r="AB169" s="198">
        <f>$G169</f>
        <v/>
      </c>
      <c r="AC169" s="199">
        <f>$H169</f>
        <v/>
      </c>
      <c r="AD169" s="199">
        <f>$M169*AD$34</f>
        <v/>
      </c>
      <c r="AE169" s="199">
        <f>$M169*AE$34</f>
        <v/>
      </c>
      <c r="AF169" s="199">
        <f>$M169*AF$34</f>
        <v/>
      </c>
      <c r="AG169" s="199">
        <f>$M169*AG$34</f>
        <v/>
      </c>
      <c r="AH169" s="199">
        <f>$M169*AH$34</f>
        <v/>
      </c>
      <c r="AJ169" s="198">
        <f>$G169</f>
        <v/>
      </c>
      <c r="AK169" s="199">
        <f>$H169</f>
        <v/>
      </c>
      <c r="AL169" s="199">
        <f>$N169*AL$34</f>
        <v/>
      </c>
      <c r="AM169" s="199">
        <f>$N169*AM$34</f>
        <v/>
      </c>
      <c r="AN169" s="199">
        <f>$N169*AN$34</f>
        <v/>
      </c>
      <c r="AO169" s="199">
        <f>$N169*AO$34</f>
        <v/>
      </c>
      <c r="AP169" s="199">
        <f>$N169*AP$34</f>
        <v/>
      </c>
      <c r="AR169" s="198">
        <f>$G169</f>
        <v/>
      </c>
      <c r="AS169" s="199">
        <f>$H169</f>
        <v/>
      </c>
      <c r="AT169" s="199">
        <f>$O169*AT$34-$Q169</f>
        <v/>
      </c>
      <c r="AU169" s="199">
        <f>$O169*AU$34-$Q169</f>
        <v/>
      </c>
      <c r="AV169" s="199">
        <f>$O169*AV$34-$Q169</f>
        <v/>
      </c>
      <c r="AW169" s="199">
        <f>$O169*AW$34-$Q169</f>
        <v/>
      </c>
      <c r="AX169" s="199">
        <f>$O169*AX$34-$Q169</f>
        <v/>
      </c>
      <c r="AZ169" s="198">
        <f>$G169</f>
        <v/>
      </c>
      <c r="BA169" s="199">
        <f>$H169</f>
        <v/>
      </c>
      <c r="BB169" s="199">
        <f>$P169*BB$34-$Q169</f>
        <v/>
      </c>
      <c r="BC169" s="199">
        <f>$P169*BC$34-$Q169</f>
        <v/>
      </c>
      <c r="BD169" s="199">
        <f>$P169*BD$34-$Q169</f>
        <v/>
      </c>
      <c r="BE169" s="199">
        <f>$P169*BE$34-$Q169</f>
        <v/>
      </c>
      <c r="BF169" s="199">
        <f>$P169*BF$34-$Q169</f>
        <v/>
      </c>
      <c r="BH169" s="198">
        <f>$G169</f>
        <v/>
      </c>
      <c r="BI169" s="197">
        <f>$I169</f>
        <v/>
      </c>
      <c r="BJ169" s="197">
        <f>+BJ170</f>
        <v/>
      </c>
      <c r="BK169" s="197">
        <f>+BK170</f>
        <v/>
      </c>
      <c r="BL169" s="197">
        <f>+BL170</f>
        <v/>
      </c>
      <c r="BM169" s="197">
        <f>+BM170</f>
        <v/>
      </c>
      <c r="BN169" s="197">
        <f>+BN170</f>
        <v/>
      </c>
      <c r="BP169" s="198">
        <f>$G169</f>
        <v/>
      </c>
      <c r="BQ169" s="197">
        <f>$J169</f>
        <v/>
      </c>
      <c r="BR169" s="197">
        <f>+BR170</f>
        <v/>
      </c>
      <c r="BS169" s="197">
        <f>+BS170</f>
        <v/>
      </c>
      <c r="BT169" s="197">
        <f>+BT170</f>
        <v/>
      </c>
      <c r="BU169" s="197">
        <f>+BU170</f>
        <v/>
      </c>
      <c r="BV169" s="197">
        <f>+BV170</f>
        <v/>
      </c>
      <c r="BX169" s="198">
        <f>$G169</f>
        <v/>
      </c>
      <c r="BY169" s="197">
        <f>$K169</f>
        <v/>
      </c>
      <c r="BZ169" s="197">
        <f>+BZ170</f>
        <v/>
      </c>
      <c r="CA169" s="197">
        <f>+CA170</f>
        <v/>
      </c>
      <c r="CB169" s="197">
        <f>+CB170</f>
        <v/>
      </c>
      <c r="CC169" s="197">
        <f>+CC170</f>
        <v/>
      </c>
      <c r="CD169" s="197">
        <f>+CD170</f>
        <v/>
      </c>
      <c r="CF169" s="198">
        <f>$G169</f>
        <v/>
      </c>
      <c r="CG169" s="197">
        <f>$L169</f>
        <v/>
      </c>
      <c r="CH169" s="197">
        <f>+CH170</f>
        <v/>
      </c>
      <c r="CI169" s="197">
        <f>+CI170</f>
        <v/>
      </c>
      <c r="CJ169" s="197">
        <f>+CJ170</f>
        <v/>
      </c>
      <c r="CK169" s="197">
        <f>+CK170</f>
        <v/>
      </c>
      <c r="CL169" s="197">
        <f>+CL170</f>
        <v/>
      </c>
      <c r="CO169" s="199" t="n"/>
      <c r="CP169" s="199" t="n">
        <v>3.8</v>
      </c>
      <c r="CR169" s="199" t="inlineStr">
        <is>
          <t>#N/A N/A</t>
        </is>
      </c>
      <c r="CS169" s="970" t="n">
        <v>0.96838</v>
      </c>
    </row>
    <row r="170">
      <c r="B170" s="204">
        <f>+C170-1</f>
        <v/>
      </c>
      <c r="C170" s="204">
        <f>IF('bands_A-H_Avg'!$D$9+1&gt;MONTH(G170),YEAR(G170),YEAR(G170)+1)</f>
        <v/>
      </c>
      <c r="D170" s="204">
        <f>+C170+1</f>
        <v/>
      </c>
      <c r="E170" s="203">
        <f>IF(C170&gt;C169,1,E169+1)</f>
        <v/>
      </c>
      <c r="F170" s="203">
        <f>COUNTIF(C:C,C170)</f>
        <v/>
      </c>
      <c r="G170" s="198">
        <f>+G169+7</f>
        <v/>
      </c>
      <c r="H170" s="361">
        <f>IF(ISBLANK(CO170),CP170,SUMPRODUCT(CO$32:CP$32,CO170:CP170))</f>
        <v/>
      </c>
      <c r="I170" s="968">
        <f>H170/M170</f>
        <v/>
      </c>
      <c r="J170" s="968">
        <f>H170/N170</f>
        <v/>
      </c>
      <c r="K170" s="968">
        <f>(H170+Q170)/O170</f>
        <v/>
      </c>
      <c r="L170" s="968">
        <f>(H170+Q170)/P170</f>
        <v/>
      </c>
      <c r="M170" s="199">
        <f>HLOOKUP(C:C,$4:$10,3,FALSE)+((HLOOKUP(D:D,$4:$10,3,FALSE)-HLOOKUP(C:C,$4:$10,3,FALSE))*E170/F170)</f>
        <v/>
      </c>
      <c r="N170" s="199">
        <f>HLOOKUP(C:C,$4:$10,2,FALSE)+((HLOOKUP(D:D,$4:$10,2,FALSE)-HLOOKUP(C:C,$4:$10,2,FALSE))*E170/F170)</f>
        <v/>
      </c>
      <c r="O170" s="199">
        <f>HLOOKUP(C:C,$4:$10,5,FALSE)+((HLOOKUP(D:D,$4:$10,5,FALSE)-HLOOKUP(C:C,$4:$10,5,FALSE))*E170/F170)</f>
        <v/>
      </c>
      <c r="P170" s="199">
        <f>HLOOKUP(C:C,$4:$10,4,FALSE)+((HLOOKUP(D:D,$4:$10,4,FALSE)-HLOOKUP(C:C,$4:$10,4,FALSE))*E170/F170)</f>
        <v/>
      </c>
      <c r="Q170" s="199">
        <f>HLOOKUP(B:B,$4:$10,6,FALSE)+((HLOOKUP(C:C,$4:$10,6,FALSE)-HLOOKUP(B:B,$4:$10,6,FALSE))*E170/F170)</f>
        <v/>
      </c>
      <c r="T170" s="198">
        <f>$G170</f>
        <v/>
      </c>
      <c r="U170" s="199">
        <f>H170/(HLOOKUP(B:B,$4:$10,3,FALSE)+((HLOOKUP(C:C,$4:$10,3,FALSE)-HLOOKUP(B:B,$4:$10,3,FALSE))*E170/F170))</f>
        <v/>
      </c>
      <c r="V170" s="969">
        <f>HLOOKUP(B:B,$4:$10,7,FALSE)+((HLOOKUP(C:C,$4:$10,7,FALSE)-HLOOKUP(B:B,$4:$10,7,FALSE))*E170/F170)</f>
        <v/>
      </c>
      <c r="AB170" s="198">
        <f>$G170</f>
        <v/>
      </c>
      <c r="AC170" s="199">
        <f>$H170</f>
        <v/>
      </c>
      <c r="AD170" s="199">
        <f>$M170*AD$34</f>
        <v/>
      </c>
      <c r="AE170" s="199">
        <f>$M170*AE$34</f>
        <v/>
      </c>
      <c r="AF170" s="199">
        <f>$M170*AF$34</f>
        <v/>
      </c>
      <c r="AG170" s="199">
        <f>$M170*AG$34</f>
        <v/>
      </c>
      <c r="AH170" s="199">
        <f>$M170*AH$34</f>
        <v/>
      </c>
      <c r="AJ170" s="198">
        <f>$G170</f>
        <v/>
      </c>
      <c r="AK170" s="199">
        <f>$H170</f>
        <v/>
      </c>
      <c r="AL170" s="199">
        <f>$N170*AL$34</f>
        <v/>
      </c>
      <c r="AM170" s="199">
        <f>$N170*AM$34</f>
        <v/>
      </c>
      <c r="AN170" s="199">
        <f>$N170*AN$34</f>
        <v/>
      </c>
      <c r="AO170" s="199">
        <f>$N170*AO$34</f>
        <v/>
      </c>
      <c r="AP170" s="199">
        <f>$N170*AP$34</f>
        <v/>
      </c>
      <c r="AR170" s="198">
        <f>$G170</f>
        <v/>
      </c>
      <c r="AS170" s="199">
        <f>$H170</f>
        <v/>
      </c>
      <c r="AT170" s="199">
        <f>$O170*AT$34-$Q170</f>
        <v/>
      </c>
      <c r="AU170" s="199">
        <f>$O170*AU$34-$Q170</f>
        <v/>
      </c>
      <c r="AV170" s="199">
        <f>$O170*AV$34-$Q170</f>
        <v/>
      </c>
      <c r="AW170" s="199">
        <f>$O170*AW$34-$Q170</f>
        <v/>
      </c>
      <c r="AX170" s="199">
        <f>$O170*AX$34-$Q170</f>
        <v/>
      </c>
      <c r="AZ170" s="198">
        <f>$G170</f>
        <v/>
      </c>
      <c r="BA170" s="199">
        <f>$H170</f>
        <v/>
      </c>
      <c r="BB170" s="199">
        <f>$P170*BB$34-$Q170</f>
        <v/>
      </c>
      <c r="BC170" s="199">
        <f>$P170*BC$34-$Q170</f>
        <v/>
      </c>
      <c r="BD170" s="199">
        <f>$P170*BD$34-$Q170</f>
        <v/>
      </c>
      <c r="BE170" s="199">
        <f>$P170*BE$34-$Q170</f>
        <v/>
      </c>
      <c r="BF170" s="199">
        <f>$P170*BF$34-$Q170</f>
        <v/>
      </c>
      <c r="BH170" s="198">
        <f>$G170</f>
        <v/>
      </c>
      <c r="BI170" s="197">
        <f>$I170</f>
        <v/>
      </c>
      <c r="BJ170" s="197">
        <f>+BJ171</f>
        <v/>
      </c>
      <c r="BK170" s="197">
        <f>+BK171</f>
        <v/>
      </c>
      <c r="BL170" s="197">
        <f>+BL171</f>
        <v/>
      </c>
      <c r="BM170" s="197">
        <f>+BM171</f>
        <v/>
      </c>
      <c r="BN170" s="197">
        <f>+BN171</f>
        <v/>
      </c>
      <c r="BP170" s="198">
        <f>$G170</f>
        <v/>
      </c>
      <c r="BQ170" s="197">
        <f>$J170</f>
        <v/>
      </c>
      <c r="BR170" s="197">
        <f>+BR171</f>
        <v/>
      </c>
      <c r="BS170" s="197">
        <f>+BS171</f>
        <v/>
      </c>
      <c r="BT170" s="197">
        <f>+BT171</f>
        <v/>
      </c>
      <c r="BU170" s="197">
        <f>+BU171</f>
        <v/>
      </c>
      <c r="BV170" s="197">
        <f>+BV171</f>
        <v/>
      </c>
      <c r="BX170" s="198">
        <f>$G170</f>
        <v/>
      </c>
      <c r="BY170" s="197">
        <f>$K170</f>
        <v/>
      </c>
      <c r="BZ170" s="197">
        <f>+BZ171</f>
        <v/>
      </c>
      <c r="CA170" s="197">
        <f>+CA171</f>
        <v/>
      </c>
      <c r="CB170" s="197">
        <f>+CB171</f>
        <v/>
      </c>
      <c r="CC170" s="197">
        <f>+CC171</f>
        <v/>
      </c>
      <c r="CD170" s="197">
        <f>+CD171</f>
        <v/>
      </c>
      <c r="CF170" s="198">
        <f>$G170</f>
        <v/>
      </c>
      <c r="CG170" s="197">
        <f>$L170</f>
        <v/>
      </c>
      <c r="CH170" s="197">
        <f>+CH171</f>
        <v/>
      </c>
      <c r="CI170" s="197">
        <f>+CI171</f>
        <v/>
      </c>
      <c r="CJ170" s="197">
        <f>+CJ171</f>
        <v/>
      </c>
      <c r="CK170" s="197">
        <f>+CK171</f>
        <v/>
      </c>
      <c r="CL170" s="197">
        <f>+CL171</f>
        <v/>
      </c>
      <c r="CO170" s="199" t="n"/>
      <c r="CP170" s="199" t="n">
        <v>3.77</v>
      </c>
      <c r="CR170" s="199" t="inlineStr">
        <is>
          <t>#N/A N/A</t>
        </is>
      </c>
      <c r="CS170" s="970" t="n">
        <v>0.9664</v>
      </c>
    </row>
    <row r="171">
      <c r="B171" s="204">
        <f>+C171-1</f>
        <v/>
      </c>
      <c r="C171" s="204">
        <f>IF('bands_A-H_Avg'!$D$9+1&gt;MONTH(G171),YEAR(G171),YEAR(G171)+1)</f>
        <v/>
      </c>
      <c r="D171" s="204">
        <f>+C171+1</f>
        <v/>
      </c>
      <c r="E171" s="203">
        <f>IF(C171&gt;C170,1,E170+1)</f>
        <v/>
      </c>
      <c r="F171" s="203">
        <f>COUNTIF(C:C,C171)</f>
        <v/>
      </c>
      <c r="G171" s="198">
        <f>+G170+7</f>
        <v/>
      </c>
      <c r="H171" s="361">
        <f>IF(ISBLANK(CO171),CP171,SUMPRODUCT(CO$32:CP$32,CO171:CP171))</f>
        <v/>
      </c>
      <c r="I171" s="968">
        <f>H171/M171</f>
        <v/>
      </c>
      <c r="J171" s="968">
        <f>H171/N171</f>
        <v/>
      </c>
      <c r="K171" s="968">
        <f>(H171+Q171)/O171</f>
        <v/>
      </c>
      <c r="L171" s="968">
        <f>(H171+Q171)/P171</f>
        <v/>
      </c>
      <c r="M171" s="199">
        <f>HLOOKUP(C:C,$4:$10,3,FALSE)+((HLOOKUP(D:D,$4:$10,3,FALSE)-HLOOKUP(C:C,$4:$10,3,FALSE))*E171/F171)</f>
        <v/>
      </c>
      <c r="N171" s="199">
        <f>HLOOKUP(C:C,$4:$10,2,FALSE)+((HLOOKUP(D:D,$4:$10,2,FALSE)-HLOOKUP(C:C,$4:$10,2,FALSE))*E171/F171)</f>
        <v/>
      </c>
      <c r="O171" s="199">
        <f>HLOOKUP(C:C,$4:$10,5,FALSE)+((HLOOKUP(D:D,$4:$10,5,FALSE)-HLOOKUP(C:C,$4:$10,5,FALSE))*E171/F171)</f>
        <v/>
      </c>
      <c r="P171" s="199">
        <f>HLOOKUP(C:C,$4:$10,4,FALSE)+((HLOOKUP(D:D,$4:$10,4,FALSE)-HLOOKUP(C:C,$4:$10,4,FALSE))*E171/F171)</f>
        <v/>
      </c>
      <c r="Q171" s="199">
        <f>HLOOKUP(B:B,$4:$10,6,FALSE)+((HLOOKUP(C:C,$4:$10,6,FALSE)-HLOOKUP(B:B,$4:$10,6,FALSE))*E171/F171)</f>
        <v/>
      </c>
      <c r="T171" s="198">
        <f>$G171</f>
        <v/>
      </c>
      <c r="U171" s="199">
        <f>H171/(HLOOKUP(B:B,$4:$10,3,FALSE)+((HLOOKUP(C:C,$4:$10,3,FALSE)-HLOOKUP(B:B,$4:$10,3,FALSE))*E171/F171))</f>
        <v/>
      </c>
      <c r="V171" s="969">
        <f>HLOOKUP(B:B,$4:$10,7,FALSE)+((HLOOKUP(C:C,$4:$10,7,FALSE)-HLOOKUP(B:B,$4:$10,7,FALSE))*E171/F171)</f>
        <v/>
      </c>
      <c r="AB171" s="198">
        <f>$G171</f>
        <v/>
      </c>
      <c r="AC171" s="199">
        <f>$H171</f>
        <v/>
      </c>
      <c r="AD171" s="199">
        <f>$M171*AD$34</f>
        <v/>
      </c>
      <c r="AE171" s="199">
        <f>$M171*AE$34</f>
        <v/>
      </c>
      <c r="AF171" s="199">
        <f>$M171*AF$34</f>
        <v/>
      </c>
      <c r="AG171" s="199">
        <f>$M171*AG$34</f>
        <v/>
      </c>
      <c r="AH171" s="199">
        <f>$M171*AH$34</f>
        <v/>
      </c>
      <c r="AJ171" s="198">
        <f>$G171</f>
        <v/>
      </c>
      <c r="AK171" s="199">
        <f>$H171</f>
        <v/>
      </c>
      <c r="AL171" s="199">
        <f>$N171*AL$34</f>
        <v/>
      </c>
      <c r="AM171" s="199">
        <f>$N171*AM$34</f>
        <v/>
      </c>
      <c r="AN171" s="199">
        <f>$N171*AN$34</f>
        <v/>
      </c>
      <c r="AO171" s="199">
        <f>$N171*AO$34</f>
        <v/>
      </c>
      <c r="AP171" s="199">
        <f>$N171*AP$34</f>
        <v/>
      </c>
      <c r="AR171" s="198">
        <f>$G171</f>
        <v/>
      </c>
      <c r="AS171" s="199">
        <f>$H171</f>
        <v/>
      </c>
      <c r="AT171" s="199">
        <f>$O171*AT$34-$Q171</f>
        <v/>
      </c>
      <c r="AU171" s="199">
        <f>$O171*AU$34-$Q171</f>
        <v/>
      </c>
      <c r="AV171" s="199">
        <f>$O171*AV$34-$Q171</f>
        <v/>
      </c>
      <c r="AW171" s="199">
        <f>$O171*AW$34-$Q171</f>
        <v/>
      </c>
      <c r="AX171" s="199">
        <f>$O171*AX$34-$Q171</f>
        <v/>
      </c>
      <c r="AZ171" s="198">
        <f>$G171</f>
        <v/>
      </c>
      <c r="BA171" s="199">
        <f>$H171</f>
        <v/>
      </c>
      <c r="BB171" s="199">
        <f>$P171*BB$34-$Q171</f>
        <v/>
      </c>
      <c r="BC171" s="199">
        <f>$P171*BC$34-$Q171</f>
        <v/>
      </c>
      <c r="BD171" s="199">
        <f>$P171*BD$34-$Q171</f>
        <v/>
      </c>
      <c r="BE171" s="199">
        <f>$P171*BE$34-$Q171</f>
        <v/>
      </c>
      <c r="BF171" s="199">
        <f>$P171*BF$34-$Q171</f>
        <v/>
      </c>
      <c r="BH171" s="198">
        <f>$G171</f>
        <v/>
      </c>
      <c r="BI171" s="197">
        <f>$I171</f>
        <v/>
      </c>
      <c r="BJ171" s="197">
        <f>+BJ172</f>
        <v/>
      </c>
      <c r="BK171" s="197">
        <f>+BK172</f>
        <v/>
      </c>
      <c r="BL171" s="197">
        <f>+BL172</f>
        <v/>
      </c>
      <c r="BM171" s="197">
        <f>+BM172</f>
        <v/>
      </c>
      <c r="BN171" s="197">
        <f>+BN172</f>
        <v/>
      </c>
      <c r="BP171" s="198">
        <f>$G171</f>
        <v/>
      </c>
      <c r="BQ171" s="197">
        <f>$J171</f>
        <v/>
      </c>
      <c r="BR171" s="197">
        <f>+BR172</f>
        <v/>
      </c>
      <c r="BS171" s="197">
        <f>+BS172</f>
        <v/>
      </c>
      <c r="BT171" s="197">
        <f>+BT172</f>
        <v/>
      </c>
      <c r="BU171" s="197">
        <f>+BU172</f>
        <v/>
      </c>
      <c r="BV171" s="197">
        <f>+BV172</f>
        <v/>
      </c>
      <c r="BX171" s="198">
        <f>$G171</f>
        <v/>
      </c>
      <c r="BY171" s="197">
        <f>$K171</f>
        <v/>
      </c>
      <c r="BZ171" s="197">
        <f>+BZ172</f>
        <v/>
      </c>
      <c r="CA171" s="197">
        <f>+CA172</f>
        <v/>
      </c>
      <c r="CB171" s="197">
        <f>+CB172</f>
        <v/>
      </c>
      <c r="CC171" s="197">
        <f>+CC172</f>
        <v/>
      </c>
      <c r="CD171" s="197">
        <f>+CD172</f>
        <v/>
      </c>
      <c r="CF171" s="198">
        <f>$G171</f>
        <v/>
      </c>
      <c r="CG171" s="197">
        <f>$L171</f>
        <v/>
      </c>
      <c r="CH171" s="197">
        <f>+CH172</f>
        <v/>
      </c>
      <c r="CI171" s="197">
        <f>+CI172</f>
        <v/>
      </c>
      <c r="CJ171" s="197">
        <f>+CJ172</f>
        <v/>
      </c>
      <c r="CK171" s="197">
        <f>+CK172</f>
        <v/>
      </c>
      <c r="CL171" s="197">
        <f>+CL172</f>
        <v/>
      </c>
      <c r="CO171" s="199" t="n"/>
      <c r="CP171" s="199" t="n">
        <v>3.52</v>
      </c>
      <c r="CR171" s="199" t="inlineStr">
        <is>
          <t>#N/A N/A</t>
        </is>
      </c>
      <c r="CS171" s="970" t="n">
        <v>0.96674</v>
      </c>
    </row>
    <row r="172">
      <c r="B172" s="204">
        <f>+C172-1</f>
        <v/>
      </c>
      <c r="C172" s="204">
        <f>IF('bands_A-H_Avg'!$D$9+1&gt;MONTH(G172),YEAR(G172),YEAR(G172)+1)</f>
        <v/>
      </c>
      <c r="D172" s="204">
        <f>+C172+1</f>
        <v/>
      </c>
      <c r="E172" s="203">
        <f>IF(C172&gt;C171,1,E171+1)</f>
        <v/>
      </c>
      <c r="F172" s="203">
        <f>COUNTIF(C:C,C172)</f>
        <v/>
      </c>
      <c r="G172" s="198">
        <f>+G171+7</f>
        <v/>
      </c>
      <c r="H172" s="361">
        <f>IF(ISBLANK(CO172),CP172,SUMPRODUCT(CO$32:CP$32,CO172:CP172))</f>
        <v/>
      </c>
      <c r="I172" s="968">
        <f>H172/M172</f>
        <v/>
      </c>
      <c r="J172" s="968">
        <f>H172/N172</f>
        <v/>
      </c>
      <c r="K172" s="968">
        <f>(H172+Q172)/O172</f>
        <v/>
      </c>
      <c r="L172" s="968">
        <f>(H172+Q172)/P172</f>
        <v/>
      </c>
      <c r="M172" s="199">
        <f>HLOOKUP(C:C,$4:$10,3,FALSE)+((HLOOKUP(D:D,$4:$10,3,FALSE)-HLOOKUP(C:C,$4:$10,3,FALSE))*E172/F172)</f>
        <v/>
      </c>
      <c r="N172" s="199">
        <f>HLOOKUP(C:C,$4:$10,2,FALSE)+((HLOOKUP(D:D,$4:$10,2,FALSE)-HLOOKUP(C:C,$4:$10,2,FALSE))*E172/F172)</f>
        <v/>
      </c>
      <c r="O172" s="199">
        <f>HLOOKUP(C:C,$4:$10,5,FALSE)+((HLOOKUP(D:D,$4:$10,5,FALSE)-HLOOKUP(C:C,$4:$10,5,FALSE))*E172/F172)</f>
        <v/>
      </c>
      <c r="P172" s="199">
        <f>HLOOKUP(C:C,$4:$10,4,FALSE)+((HLOOKUP(D:D,$4:$10,4,FALSE)-HLOOKUP(C:C,$4:$10,4,FALSE))*E172/F172)</f>
        <v/>
      </c>
      <c r="Q172" s="199">
        <f>HLOOKUP(B:B,$4:$10,6,FALSE)+((HLOOKUP(C:C,$4:$10,6,FALSE)-HLOOKUP(B:B,$4:$10,6,FALSE))*E172/F172)</f>
        <v/>
      </c>
      <c r="T172" s="198">
        <f>$G172</f>
        <v/>
      </c>
      <c r="U172" s="199">
        <f>H172/(HLOOKUP(B:B,$4:$10,3,FALSE)+((HLOOKUP(C:C,$4:$10,3,FALSE)-HLOOKUP(B:B,$4:$10,3,FALSE))*E172/F172))</f>
        <v/>
      </c>
      <c r="V172" s="969">
        <f>HLOOKUP(B:B,$4:$10,7,FALSE)+((HLOOKUP(C:C,$4:$10,7,FALSE)-HLOOKUP(B:B,$4:$10,7,FALSE))*E172/F172)</f>
        <v/>
      </c>
      <c r="AB172" s="198">
        <f>$G172</f>
        <v/>
      </c>
      <c r="AC172" s="199">
        <f>$H172</f>
        <v/>
      </c>
      <c r="AD172" s="199">
        <f>$M172*AD$34</f>
        <v/>
      </c>
      <c r="AE172" s="199">
        <f>$M172*AE$34</f>
        <v/>
      </c>
      <c r="AF172" s="199">
        <f>$M172*AF$34</f>
        <v/>
      </c>
      <c r="AG172" s="199">
        <f>$M172*AG$34</f>
        <v/>
      </c>
      <c r="AH172" s="199">
        <f>$M172*AH$34</f>
        <v/>
      </c>
      <c r="AJ172" s="198">
        <f>$G172</f>
        <v/>
      </c>
      <c r="AK172" s="199">
        <f>$H172</f>
        <v/>
      </c>
      <c r="AL172" s="199">
        <f>$N172*AL$34</f>
        <v/>
      </c>
      <c r="AM172" s="199">
        <f>$N172*AM$34</f>
        <v/>
      </c>
      <c r="AN172" s="199">
        <f>$N172*AN$34</f>
        <v/>
      </c>
      <c r="AO172" s="199">
        <f>$N172*AO$34</f>
        <v/>
      </c>
      <c r="AP172" s="199">
        <f>$N172*AP$34</f>
        <v/>
      </c>
      <c r="AR172" s="198">
        <f>$G172</f>
        <v/>
      </c>
      <c r="AS172" s="199">
        <f>$H172</f>
        <v/>
      </c>
      <c r="AT172" s="199">
        <f>$O172*AT$34-$Q172</f>
        <v/>
      </c>
      <c r="AU172" s="199">
        <f>$O172*AU$34-$Q172</f>
        <v/>
      </c>
      <c r="AV172" s="199">
        <f>$O172*AV$34-$Q172</f>
        <v/>
      </c>
      <c r="AW172" s="199">
        <f>$O172*AW$34-$Q172</f>
        <v/>
      </c>
      <c r="AX172" s="199">
        <f>$O172*AX$34-$Q172</f>
        <v/>
      </c>
      <c r="AZ172" s="198">
        <f>$G172</f>
        <v/>
      </c>
      <c r="BA172" s="199">
        <f>$H172</f>
        <v/>
      </c>
      <c r="BB172" s="199">
        <f>$P172*BB$34-$Q172</f>
        <v/>
      </c>
      <c r="BC172" s="199">
        <f>$P172*BC$34-$Q172</f>
        <v/>
      </c>
      <c r="BD172" s="199">
        <f>$P172*BD$34-$Q172</f>
        <v/>
      </c>
      <c r="BE172" s="199">
        <f>$P172*BE$34-$Q172</f>
        <v/>
      </c>
      <c r="BF172" s="199">
        <f>$P172*BF$34-$Q172</f>
        <v/>
      </c>
      <c r="BH172" s="198">
        <f>$G172</f>
        <v/>
      </c>
      <c r="BI172" s="197">
        <f>$I172</f>
        <v/>
      </c>
      <c r="BJ172" s="197">
        <f>+BJ173</f>
        <v/>
      </c>
      <c r="BK172" s="197">
        <f>+BK173</f>
        <v/>
      </c>
      <c r="BL172" s="197">
        <f>+BL173</f>
        <v/>
      </c>
      <c r="BM172" s="197">
        <f>+BM173</f>
        <v/>
      </c>
      <c r="BN172" s="197">
        <f>+BN173</f>
        <v/>
      </c>
      <c r="BP172" s="198">
        <f>$G172</f>
        <v/>
      </c>
      <c r="BQ172" s="197">
        <f>$J172</f>
        <v/>
      </c>
      <c r="BR172" s="197">
        <f>+BR173</f>
        <v/>
      </c>
      <c r="BS172" s="197">
        <f>+BS173</f>
        <v/>
      </c>
      <c r="BT172" s="197">
        <f>+BT173</f>
        <v/>
      </c>
      <c r="BU172" s="197">
        <f>+BU173</f>
        <v/>
      </c>
      <c r="BV172" s="197">
        <f>+BV173</f>
        <v/>
      </c>
      <c r="BX172" s="198">
        <f>$G172</f>
        <v/>
      </c>
      <c r="BY172" s="197">
        <f>$K172</f>
        <v/>
      </c>
      <c r="BZ172" s="197">
        <f>+BZ173</f>
        <v/>
      </c>
      <c r="CA172" s="197">
        <f>+CA173</f>
        <v/>
      </c>
      <c r="CB172" s="197">
        <f>+CB173</f>
        <v/>
      </c>
      <c r="CC172" s="197">
        <f>+CC173</f>
        <v/>
      </c>
      <c r="CD172" s="197">
        <f>+CD173</f>
        <v/>
      </c>
      <c r="CF172" s="198">
        <f>$G172</f>
        <v/>
      </c>
      <c r="CG172" s="197">
        <f>$L172</f>
        <v/>
      </c>
      <c r="CH172" s="197">
        <f>+CH173</f>
        <v/>
      </c>
      <c r="CI172" s="197">
        <f>+CI173</f>
        <v/>
      </c>
      <c r="CJ172" s="197">
        <f>+CJ173</f>
        <v/>
      </c>
      <c r="CK172" s="197">
        <f>+CK173</f>
        <v/>
      </c>
      <c r="CL172" s="197">
        <f>+CL173</f>
        <v/>
      </c>
      <c r="CO172" s="199" t="n"/>
      <c r="CP172" s="199" t="n">
        <v>3.59</v>
      </c>
      <c r="CR172" s="199" t="inlineStr">
        <is>
          <t>#N/A N/A</t>
        </is>
      </c>
      <c r="CS172" s="970" t="n">
        <v>0.96835</v>
      </c>
    </row>
    <row r="173">
      <c r="B173" s="204">
        <f>+C173-1</f>
        <v/>
      </c>
      <c r="C173" s="204">
        <f>IF('bands_A-H_Avg'!$D$9+1&gt;MONTH(G173),YEAR(G173),YEAR(G173)+1)</f>
        <v/>
      </c>
      <c r="D173" s="204">
        <f>+C173+1</f>
        <v/>
      </c>
      <c r="E173" s="203">
        <f>IF(C173&gt;C172,1,E172+1)</f>
        <v/>
      </c>
      <c r="F173" s="203">
        <f>COUNTIF(C:C,C173)</f>
        <v/>
      </c>
      <c r="G173" s="198">
        <f>+G172+7</f>
        <v/>
      </c>
      <c r="H173" s="361">
        <f>IF(ISBLANK(CO173),CP173,SUMPRODUCT(CO$32:CP$32,CO173:CP173))</f>
        <v/>
      </c>
      <c r="I173" s="968">
        <f>H173/M173</f>
        <v/>
      </c>
      <c r="J173" s="968">
        <f>H173/N173</f>
        <v/>
      </c>
      <c r="K173" s="968">
        <f>(H173+Q173)/O173</f>
        <v/>
      </c>
      <c r="L173" s="968">
        <f>(H173+Q173)/P173</f>
        <v/>
      </c>
      <c r="M173" s="199">
        <f>HLOOKUP(C:C,$4:$10,3,FALSE)+((HLOOKUP(D:D,$4:$10,3,FALSE)-HLOOKUP(C:C,$4:$10,3,FALSE))*E173/F173)</f>
        <v/>
      </c>
      <c r="N173" s="199">
        <f>HLOOKUP(C:C,$4:$10,2,FALSE)+((HLOOKUP(D:D,$4:$10,2,FALSE)-HLOOKUP(C:C,$4:$10,2,FALSE))*E173/F173)</f>
        <v/>
      </c>
      <c r="O173" s="199">
        <f>HLOOKUP(C:C,$4:$10,5,FALSE)+((HLOOKUP(D:D,$4:$10,5,FALSE)-HLOOKUP(C:C,$4:$10,5,FALSE))*E173/F173)</f>
        <v/>
      </c>
      <c r="P173" s="199">
        <f>HLOOKUP(C:C,$4:$10,4,FALSE)+((HLOOKUP(D:D,$4:$10,4,FALSE)-HLOOKUP(C:C,$4:$10,4,FALSE))*E173/F173)</f>
        <v/>
      </c>
      <c r="Q173" s="199">
        <f>HLOOKUP(B:B,$4:$10,6,FALSE)+((HLOOKUP(C:C,$4:$10,6,FALSE)-HLOOKUP(B:B,$4:$10,6,FALSE))*E173/F173)</f>
        <v/>
      </c>
      <c r="T173" s="198">
        <f>$G173</f>
        <v/>
      </c>
      <c r="U173" s="199">
        <f>H173/(HLOOKUP(B:B,$4:$10,3,FALSE)+((HLOOKUP(C:C,$4:$10,3,FALSE)-HLOOKUP(B:B,$4:$10,3,FALSE))*E173/F173))</f>
        <v/>
      </c>
      <c r="V173" s="969">
        <f>HLOOKUP(B:B,$4:$10,7,FALSE)+((HLOOKUP(C:C,$4:$10,7,FALSE)-HLOOKUP(B:B,$4:$10,7,FALSE))*E173/F173)</f>
        <v/>
      </c>
      <c r="AB173" s="198">
        <f>$G173</f>
        <v/>
      </c>
      <c r="AC173" s="199">
        <f>$H173</f>
        <v/>
      </c>
      <c r="AD173" s="199">
        <f>$M173*AD$34</f>
        <v/>
      </c>
      <c r="AE173" s="199">
        <f>$M173*AE$34</f>
        <v/>
      </c>
      <c r="AF173" s="199">
        <f>$M173*AF$34</f>
        <v/>
      </c>
      <c r="AG173" s="199">
        <f>$M173*AG$34</f>
        <v/>
      </c>
      <c r="AH173" s="199">
        <f>$M173*AH$34</f>
        <v/>
      </c>
      <c r="AJ173" s="198">
        <f>$G173</f>
        <v/>
      </c>
      <c r="AK173" s="199">
        <f>$H173</f>
        <v/>
      </c>
      <c r="AL173" s="199">
        <f>$N173*AL$34</f>
        <v/>
      </c>
      <c r="AM173" s="199">
        <f>$N173*AM$34</f>
        <v/>
      </c>
      <c r="AN173" s="199">
        <f>$N173*AN$34</f>
        <v/>
      </c>
      <c r="AO173" s="199">
        <f>$N173*AO$34</f>
        <v/>
      </c>
      <c r="AP173" s="199">
        <f>$N173*AP$34</f>
        <v/>
      </c>
      <c r="AR173" s="198">
        <f>$G173</f>
        <v/>
      </c>
      <c r="AS173" s="199">
        <f>$H173</f>
        <v/>
      </c>
      <c r="AT173" s="199">
        <f>$O173*AT$34-$Q173</f>
        <v/>
      </c>
      <c r="AU173" s="199">
        <f>$O173*AU$34-$Q173</f>
        <v/>
      </c>
      <c r="AV173" s="199">
        <f>$O173*AV$34-$Q173</f>
        <v/>
      </c>
      <c r="AW173" s="199">
        <f>$O173*AW$34-$Q173</f>
        <v/>
      </c>
      <c r="AX173" s="199">
        <f>$O173*AX$34-$Q173</f>
        <v/>
      </c>
      <c r="AZ173" s="198">
        <f>$G173</f>
        <v/>
      </c>
      <c r="BA173" s="199">
        <f>$H173</f>
        <v/>
      </c>
      <c r="BB173" s="199">
        <f>$P173*BB$34-$Q173</f>
        <v/>
      </c>
      <c r="BC173" s="199">
        <f>$P173*BC$34-$Q173</f>
        <v/>
      </c>
      <c r="BD173" s="199">
        <f>$P173*BD$34-$Q173</f>
        <v/>
      </c>
      <c r="BE173" s="199">
        <f>$P173*BE$34-$Q173</f>
        <v/>
      </c>
      <c r="BF173" s="199">
        <f>$P173*BF$34-$Q173</f>
        <v/>
      </c>
      <c r="BH173" s="198">
        <f>$G173</f>
        <v/>
      </c>
      <c r="BI173" s="197">
        <f>$I173</f>
        <v/>
      </c>
      <c r="BJ173" s="197">
        <f>+BJ174</f>
        <v/>
      </c>
      <c r="BK173" s="197">
        <f>+BK174</f>
        <v/>
      </c>
      <c r="BL173" s="197">
        <f>+BL174</f>
        <v/>
      </c>
      <c r="BM173" s="197">
        <f>+BM174</f>
        <v/>
      </c>
      <c r="BN173" s="197">
        <f>+BN174</f>
        <v/>
      </c>
      <c r="BP173" s="198">
        <f>$G173</f>
        <v/>
      </c>
      <c r="BQ173" s="197">
        <f>$J173</f>
        <v/>
      </c>
      <c r="BR173" s="197">
        <f>+BR174</f>
        <v/>
      </c>
      <c r="BS173" s="197">
        <f>+BS174</f>
        <v/>
      </c>
      <c r="BT173" s="197">
        <f>+BT174</f>
        <v/>
      </c>
      <c r="BU173" s="197">
        <f>+BU174</f>
        <v/>
      </c>
      <c r="BV173" s="197">
        <f>+BV174</f>
        <v/>
      </c>
      <c r="BX173" s="198">
        <f>$G173</f>
        <v/>
      </c>
      <c r="BY173" s="197">
        <f>$K173</f>
        <v/>
      </c>
      <c r="BZ173" s="197">
        <f>+BZ174</f>
        <v/>
      </c>
      <c r="CA173" s="197">
        <f>+CA174</f>
        <v/>
      </c>
      <c r="CB173" s="197">
        <f>+CB174</f>
        <v/>
      </c>
      <c r="CC173" s="197">
        <f>+CC174</f>
        <v/>
      </c>
      <c r="CD173" s="197">
        <f>+CD174</f>
        <v/>
      </c>
      <c r="CF173" s="198">
        <f>$G173</f>
        <v/>
      </c>
      <c r="CG173" s="197">
        <f>$L173</f>
        <v/>
      </c>
      <c r="CH173" s="197">
        <f>+CH174</f>
        <v/>
      </c>
      <c r="CI173" s="197">
        <f>+CI174</f>
        <v/>
      </c>
      <c r="CJ173" s="197">
        <f>+CJ174</f>
        <v/>
      </c>
      <c r="CK173" s="197">
        <f>+CK174</f>
        <v/>
      </c>
      <c r="CL173" s="197">
        <f>+CL174</f>
        <v/>
      </c>
      <c r="CO173" s="199" t="n"/>
      <c r="CP173" s="199" t="n">
        <v>3.51</v>
      </c>
      <c r="CR173" s="199" t="inlineStr">
        <is>
          <t>#N/A N/A</t>
        </is>
      </c>
      <c r="CS173" s="970" t="n">
        <v>0.97244</v>
      </c>
    </row>
    <row r="174">
      <c r="B174" s="204">
        <f>+C174-1</f>
        <v/>
      </c>
      <c r="C174" s="204">
        <f>IF('bands_A-H_Avg'!$D$9+1&gt;MONTH(G174),YEAR(G174),YEAR(G174)+1)</f>
        <v/>
      </c>
      <c r="D174" s="204">
        <f>+C174+1</f>
        <v/>
      </c>
      <c r="E174" s="203">
        <f>IF(C174&gt;C173,1,E173+1)</f>
        <v/>
      </c>
      <c r="F174" s="203">
        <f>COUNTIF(C:C,C174)</f>
        <v/>
      </c>
      <c r="G174" s="198">
        <f>+G173+7</f>
        <v/>
      </c>
      <c r="H174" s="361">
        <f>IF(ISBLANK(CO174),CP174,SUMPRODUCT(CO$32:CP$32,CO174:CP174))</f>
        <v/>
      </c>
      <c r="I174" s="968">
        <f>H174/M174</f>
        <v/>
      </c>
      <c r="J174" s="968">
        <f>H174/N174</f>
        <v/>
      </c>
      <c r="K174" s="968">
        <f>(H174+Q174)/O174</f>
        <v/>
      </c>
      <c r="L174" s="968">
        <f>(H174+Q174)/P174</f>
        <v/>
      </c>
      <c r="M174" s="199">
        <f>HLOOKUP(C:C,$4:$10,3,FALSE)+((HLOOKUP(D:D,$4:$10,3,FALSE)-HLOOKUP(C:C,$4:$10,3,FALSE))*E174/F174)</f>
        <v/>
      </c>
      <c r="N174" s="199">
        <f>HLOOKUP(C:C,$4:$10,2,FALSE)+((HLOOKUP(D:D,$4:$10,2,FALSE)-HLOOKUP(C:C,$4:$10,2,FALSE))*E174/F174)</f>
        <v/>
      </c>
      <c r="O174" s="199">
        <f>HLOOKUP(C:C,$4:$10,5,FALSE)+((HLOOKUP(D:D,$4:$10,5,FALSE)-HLOOKUP(C:C,$4:$10,5,FALSE))*E174/F174)</f>
        <v/>
      </c>
      <c r="P174" s="199">
        <f>HLOOKUP(C:C,$4:$10,4,FALSE)+((HLOOKUP(D:D,$4:$10,4,FALSE)-HLOOKUP(C:C,$4:$10,4,FALSE))*E174/F174)</f>
        <v/>
      </c>
      <c r="Q174" s="199">
        <f>HLOOKUP(B:B,$4:$10,6,FALSE)+((HLOOKUP(C:C,$4:$10,6,FALSE)-HLOOKUP(B:B,$4:$10,6,FALSE))*E174/F174)</f>
        <v/>
      </c>
      <c r="T174" s="198">
        <f>$G174</f>
        <v/>
      </c>
      <c r="U174" s="199">
        <f>H174/(HLOOKUP(B:B,$4:$10,3,FALSE)+((HLOOKUP(C:C,$4:$10,3,FALSE)-HLOOKUP(B:B,$4:$10,3,FALSE))*E174/F174))</f>
        <v/>
      </c>
      <c r="V174" s="969">
        <f>HLOOKUP(B:B,$4:$10,7,FALSE)+((HLOOKUP(C:C,$4:$10,7,FALSE)-HLOOKUP(B:B,$4:$10,7,FALSE))*E174/F174)</f>
        <v/>
      </c>
      <c r="AB174" s="198">
        <f>$G174</f>
        <v/>
      </c>
      <c r="AC174" s="199">
        <f>$H174</f>
        <v/>
      </c>
      <c r="AD174" s="199">
        <f>$M174*AD$34</f>
        <v/>
      </c>
      <c r="AE174" s="199">
        <f>$M174*AE$34</f>
        <v/>
      </c>
      <c r="AF174" s="199">
        <f>$M174*AF$34</f>
        <v/>
      </c>
      <c r="AG174" s="199">
        <f>$M174*AG$34</f>
        <v/>
      </c>
      <c r="AH174" s="199">
        <f>$M174*AH$34</f>
        <v/>
      </c>
      <c r="AJ174" s="198">
        <f>$G174</f>
        <v/>
      </c>
      <c r="AK174" s="199">
        <f>$H174</f>
        <v/>
      </c>
      <c r="AL174" s="199">
        <f>$N174*AL$34</f>
        <v/>
      </c>
      <c r="AM174" s="199">
        <f>$N174*AM$34</f>
        <v/>
      </c>
      <c r="AN174" s="199">
        <f>$N174*AN$34</f>
        <v/>
      </c>
      <c r="AO174" s="199">
        <f>$N174*AO$34</f>
        <v/>
      </c>
      <c r="AP174" s="199">
        <f>$N174*AP$34</f>
        <v/>
      </c>
      <c r="AR174" s="198">
        <f>$G174</f>
        <v/>
      </c>
      <c r="AS174" s="199">
        <f>$H174</f>
        <v/>
      </c>
      <c r="AT174" s="199">
        <f>$O174*AT$34-$Q174</f>
        <v/>
      </c>
      <c r="AU174" s="199">
        <f>$O174*AU$34-$Q174</f>
        <v/>
      </c>
      <c r="AV174" s="199">
        <f>$O174*AV$34-$Q174</f>
        <v/>
      </c>
      <c r="AW174" s="199">
        <f>$O174*AW$34-$Q174</f>
        <v/>
      </c>
      <c r="AX174" s="199">
        <f>$O174*AX$34-$Q174</f>
        <v/>
      </c>
      <c r="AZ174" s="198">
        <f>$G174</f>
        <v/>
      </c>
      <c r="BA174" s="199">
        <f>$H174</f>
        <v/>
      </c>
      <c r="BB174" s="199">
        <f>$P174*BB$34-$Q174</f>
        <v/>
      </c>
      <c r="BC174" s="199">
        <f>$P174*BC$34-$Q174</f>
        <v/>
      </c>
      <c r="BD174" s="199">
        <f>$P174*BD$34-$Q174</f>
        <v/>
      </c>
      <c r="BE174" s="199">
        <f>$P174*BE$34-$Q174</f>
        <v/>
      </c>
      <c r="BF174" s="199">
        <f>$P174*BF$34-$Q174</f>
        <v/>
      </c>
      <c r="BH174" s="198">
        <f>$G174</f>
        <v/>
      </c>
      <c r="BI174" s="197">
        <f>$I174</f>
        <v/>
      </c>
      <c r="BJ174" s="197">
        <f>+BJ175</f>
        <v/>
      </c>
      <c r="BK174" s="197">
        <f>+BK175</f>
        <v/>
      </c>
      <c r="BL174" s="197">
        <f>+BL175</f>
        <v/>
      </c>
      <c r="BM174" s="197">
        <f>+BM175</f>
        <v/>
      </c>
      <c r="BN174" s="197">
        <f>+BN175</f>
        <v/>
      </c>
      <c r="BP174" s="198">
        <f>$G174</f>
        <v/>
      </c>
      <c r="BQ174" s="197">
        <f>$J174</f>
        <v/>
      </c>
      <c r="BR174" s="197">
        <f>+BR175</f>
        <v/>
      </c>
      <c r="BS174" s="197">
        <f>+BS175</f>
        <v/>
      </c>
      <c r="BT174" s="197">
        <f>+BT175</f>
        <v/>
      </c>
      <c r="BU174" s="197">
        <f>+BU175</f>
        <v/>
      </c>
      <c r="BV174" s="197">
        <f>+BV175</f>
        <v/>
      </c>
      <c r="BX174" s="198">
        <f>$G174</f>
        <v/>
      </c>
      <c r="BY174" s="197">
        <f>$K174</f>
        <v/>
      </c>
      <c r="BZ174" s="197">
        <f>+BZ175</f>
        <v/>
      </c>
      <c r="CA174" s="197">
        <f>+CA175</f>
        <v/>
      </c>
      <c r="CB174" s="197">
        <f>+CB175</f>
        <v/>
      </c>
      <c r="CC174" s="197">
        <f>+CC175</f>
        <v/>
      </c>
      <c r="CD174" s="197">
        <f>+CD175</f>
        <v/>
      </c>
      <c r="CF174" s="198">
        <f>$G174</f>
        <v/>
      </c>
      <c r="CG174" s="197">
        <f>$L174</f>
        <v/>
      </c>
      <c r="CH174" s="197">
        <f>+CH175</f>
        <v/>
      </c>
      <c r="CI174" s="197">
        <f>+CI175</f>
        <v/>
      </c>
      <c r="CJ174" s="197">
        <f>+CJ175</f>
        <v/>
      </c>
      <c r="CK174" s="197">
        <f>+CK175</f>
        <v/>
      </c>
      <c r="CL174" s="197">
        <f>+CL175</f>
        <v/>
      </c>
      <c r="CO174" s="199" t="n"/>
      <c r="CP174" s="199" t="n">
        <v>3.51</v>
      </c>
      <c r="CR174" s="199" t="inlineStr">
        <is>
          <t>#N/A N/A</t>
        </is>
      </c>
      <c r="CS174" s="970" t="n">
        <v>0.97016</v>
      </c>
    </row>
    <row r="175">
      <c r="B175" s="204">
        <f>+C175-1</f>
        <v/>
      </c>
      <c r="C175" s="204">
        <f>IF('bands_A-H_Avg'!$D$9+1&gt;MONTH(G175),YEAR(G175),YEAR(G175)+1)</f>
        <v/>
      </c>
      <c r="D175" s="204">
        <f>+C175+1</f>
        <v/>
      </c>
      <c r="E175" s="203">
        <f>IF(C175&gt;C174,1,E174+1)</f>
        <v/>
      </c>
      <c r="F175" s="203">
        <f>COUNTIF(C:C,C175)</f>
        <v/>
      </c>
      <c r="G175" s="198">
        <f>+G174+7</f>
        <v/>
      </c>
      <c r="H175" s="361">
        <f>IF(ISBLANK(CO175),CP175,SUMPRODUCT(CO$32:CP$32,CO175:CP175))</f>
        <v/>
      </c>
      <c r="I175" s="968">
        <f>H175/M175</f>
        <v/>
      </c>
      <c r="J175" s="968">
        <f>H175/N175</f>
        <v/>
      </c>
      <c r="K175" s="968">
        <f>(H175+Q175)/O175</f>
        <v/>
      </c>
      <c r="L175" s="968">
        <f>(H175+Q175)/P175</f>
        <v/>
      </c>
      <c r="M175" s="199">
        <f>HLOOKUP(C:C,$4:$10,3,FALSE)+((HLOOKUP(D:D,$4:$10,3,FALSE)-HLOOKUP(C:C,$4:$10,3,FALSE))*E175/F175)</f>
        <v/>
      </c>
      <c r="N175" s="199">
        <f>HLOOKUP(C:C,$4:$10,2,FALSE)+((HLOOKUP(D:D,$4:$10,2,FALSE)-HLOOKUP(C:C,$4:$10,2,FALSE))*E175/F175)</f>
        <v/>
      </c>
      <c r="O175" s="199">
        <f>HLOOKUP(C:C,$4:$10,5,FALSE)+((HLOOKUP(D:D,$4:$10,5,FALSE)-HLOOKUP(C:C,$4:$10,5,FALSE))*E175/F175)</f>
        <v/>
      </c>
      <c r="P175" s="199">
        <f>HLOOKUP(C:C,$4:$10,4,FALSE)+((HLOOKUP(D:D,$4:$10,4,FALSE)-HLOOKUP(C:C,$4:$10,4,FALSE))*E175/F175)</f>
        <v/>
      </c>
      <c r="Q175" s="199">
        <f>HLOOKUP(B:B,$4:$10,6,FALSE)+((HLOOKUP(C:C,$4:$10,6,FALSE)-HLOOKUP(B:B,$4:$10,6,FALSE))*E175/F175)</f>
        <v/>
      </c>
      <c r="T175" s="198">
        <f>$G175</f>
        <v/>
      </c>
      <c r="U175" s="199">
        <f>H175/(HLOOKUP(B:B,$4:$10,3,FALSE)+((HLOOKUP(C:C,$4:$10,3,FALSE)-HLOOKUP(B:B,$4:$10,3,FALSE))*E175/F175))</f>
        <v/>
      </c>
      <c r="V175" s="969">
        <f>HLOOKUP(B:B,$4:$10,7,FALSE)+((HLOOKUP(C:C,$4:$10,7,FALSE)-HLOOKUP(B:B,$4:$10,7,FALSE))*E175/F175)</f>
        <v/>
      </c>
      <c r="AB175" s="198">
        <f>$G175</f>
        <v/>
      </c>
      <c r="AC175" s="199">
        <f>$H175</f>
        <v/>
      </c>
      <c r="AD175" s="199">
        <f>$M175*AD$34</f>
        <v/>
      </c>
      <c r="AE175" s="199">
        <f>$M175*AE$34</f>
        <v/>
      </c>
      <c r="AF175" s="199">
        <f>$M175*AF$34</f>
        <v/>
      </c>
      <c r="AG175" s="199">
        <f>$M175*AG$34</f>
        <v/>
      </c>
      <c r="AH175" s="199">
        <f>$M175*AH$34</f>
        <v/>
      </c>
      <c r="AJ175" s="198">
        <f>$G175</f>
        <v/>
      </c>
      <c r="AK175" s="199">
        <f>$H175</f>
        <v/>
      </c>
      <c r="AL175" s="199">
        <f>$N175*AL$34</f>
        <v/>
      </c>
      <c r="AM175" s="199">
        <f>$N175*AM$34</f>
        <v/>
      </c>
      <c r="AN175" s="199">
        <f>$N175*AN$34</f>
        <v/>
      </c>
      <c r="AO175" s="199">
        <f>$N175*AO$34</f>
        <v/>
      </c>
      <c r="AP175" s="199">
        <f>$N175*AP$34</f>
        <v/>
      </c>
      <c r="AR175" s="198">
        <f>$G175</f>
        <v/>
      </c>
      <c r="AS175" s="199">
        <f>$H175</f>
        <v/>
      </c>
      <c r="AT175" s="199">
        <f>$O175*AT$34-$Q175</f>
        <v/>
      </c>
      <c r="AU175" s="199">
        <f>$O175*AU$34-$Q175</f>
        <v/>
      </c>
      <c r="AV175" s="199">
        <f>$O175*AV$34-$Q175</f>
        <v/>
      </c>
      <c r="AW175" s="199">
        <f>$O175*AW$34-$Q175</f>
        <v/>
      </c>
      <c r="AX175" s="199">
        <f>$O175*AX$34-$Q175</f>
        <v/>
      </c>
      <c r="AZ175" s="198">
        <f>$G175</f>
        <v/>
      </c>
      <c r="BA175" s="199">
        <f>$H175</f>
        <v/>
      </c>
      <c r="BB175" s="199">
        <f>$P175*BB$34-$Q175</f>
        <v/>
      </c>
      <c r="BC175" s="199">
        <f>$P175*BC$34-$Q175</f>
        <v/>
      </c>
      <c r="BD175" s="199">
        <f>$P175*BD$34-$Q175</f>
        <v/>
      </c>
      <c r="BE175" s="199">
        <f>$P175*BE$34-$Q175</f>
        <v/>
      </c>
      <c r="BF175" s="199">
        <f>$P175*BF$34-$Q175</f>
        <v/>
      </c>
      <c r="BH175" s="198">
        <f>$G175</f>
        <v/>
      </c>
      <c r="BI175" s="197">
        <f>$I175</f>
        <v/>
      </c>
      <c r="BJ175" s="197">
        <f>+BJ176</f>
        <v/>
      </c>
      <c r="BK175" s="197">
        <f>+BK176</f>
        <v/>
      </c>
      <c r="BL175" s="197">
        <f>+BL176</f>
        <v/>
      </c>
      <c r="BM175" s="197">
        <f>+BM176</f>
        <v/>
      </c>
      <c r="BN175" s="197">
        <f>+BN176</f>
        <v/>
      </c>
      <c r="BP175" s="198">
        <f>$G175</f>
        <v/>
      </c>
      <c r="BQ175" s="197">
        <f>$J175</f>
        <v/>
      </c>
      <c r="BR175" s="197">
        <f>+BR176</f>
        <v/>
      </c>
      <c r="BS175" s="197">
        <f>+BS176</f>
        <v/>
      </c>
      <c r="BT175" s="197">
        <f>+BT176</f>
        <v/>
      </c>
      <c r="BU175" s="197">
        <f>+BU176</f>
        <v/>
      </c>
      <c r="BV175" s="197">
        <f>+BV176</f>
        <v/>
      </c>
      <c r="BX175" s="198">
        <f>$G175</f>
        <v/>
      </c>
      <c r="BY175" s="197">
        <f>$K175</f>
        <v/>
      </c>
      <c r="BZ175" s="197">
        <f>+BZ176</f>
        <v/>
      </c>
      <c r="CA175" s="197">
        <f>+CA176</f>
        <v/>
      </c>
      <c r="CB175" s="197">
        <f>+CB176</f>
        <v/>
      </c>
      <c r="CC175" s="197">
        <f>+CC176</f>
        <v/>
      </c>
      <c r="CD175" s="197">
        <f>+CD176</f>
        <v/>
      </c>
      <c r="CF175" s="198">
        <f>$G175</f>
        <v/>
      </c>
      <c r="CG175" s="197">
        <f>$L175</f>
        <v/>
      </c>
      <c r="CH175" s="197">
        <f>+CH176</f>
        <v/>
      </c>
      <c r="CI175" s="197">
        <f>+CI176</f>
        <v/>
      </c>
      <c r="CJ175" s="197">
        <f>+CJ176</f>
        <v/>
      </c>
      <c r="CK175" s="197">
        <f>+CK176</f>
        <v/>
      </c>
      <c r="CL175" s="197">
        <f>+CL176</f>
        <v/>
      </c>
      <c r="CO175" s="199" t="n"/>
      <c r="CP175" s="199" t="n">
        <v>4.99</v>
      </c>
      <c r="CR175" s="199" t="inlineStr">
        <is>
          <t>#N/A N/A</t>
        </is>
      </c>
      <c r="CS175" s="970" t="n">
        <v>0.9680299999999999</v>
      </c>
    </row>
    <row r="176">
      <c r="B176" s="204">
        <f>+C176-1</f>
        <v/>
      </c>
      <c r="C176" s="204">
        <f>IF('bands_A-H_Avg'!$D$9+1&gt;MONTH(G176),YEAR(G176),YEAR(G176)+1)</f>
        <v/>
      </c>
      <c r="D176" s="204">
        <f>+C176+1</f>
        <v/>
      </c>
      <c r="E176" s="203">
        <f>IF(C176&gt;C175,1,E175+1)</f>
        <v/>
      </c>
      <c r="F176" s="203">
        <f>COUNTIF(C:C,C176)</f>
        <v/>
      </c>
      <c r="G176" s="198">
        <f>+G175+7</f>
        <v/>
      </c>
      <c r="H176" s="361">
        <f>IF(ISBLANK(CO176),CP176,SUMPRODUCT(CO$32:CP$32,CO176:CP176))</f>
        <v/>
      </c>
      <c r="I176" s="968">
        <f>H176/M176</f>
        <v/>
      </c>
      <c r="J176" s="968">
        <f>H176/N176</f>
        <v/>
      </c>
      <c r="K176" s="968">
        <f>(H176+Q176)/O176</f>
        <v/>
      </c>
      <c r="L176" s="968">
        <f>(H176+Q176)/P176</f>
        <v/>
      </c>
      <c r="M176" s="199">
        <f>HLOOKUP(C:C,$4:$10,3,FALSE)+((HLOOKUP(D:D,$4:$10,3,FALSE)-HLOOKUP(C:C,$4:$10,3,FALSE))*E176/F176)</f>
        <v/>
      </c>
      <c r="N176" s="199">
        <f>HLOOKUP(C:C,$4:$10,2,FALSE)+((HLOOKUP(D:D,$4:$10,2,FALSE)-HLOOKUP(C:C,$4:$10,2,FALSE))*E176/F176)</f>
        <v/>
      </c>
      <c r="O176" s="199">
        <f>HLOOKUP(C:C,$4:$10,5,FALSE)+((HLOOKUP(D:D,$4:$10,5,FALSE)-HLOOKUP(C:C,$4:$10,5,FALSE))*E176/F176)</f>
        <v/>
      </c>
      <c r="P176" s="199">
        <f>HLOOKUP(C:C,$4:$10,4,FALSE)+((HLOOKUP(D:D,$4:$10,4,FALSE)-HLOOKUP(C:C,$4:$10,4,FALSE))*E176/F176)</f>
        <v/>
      </c>
      <c r="Q176" s="199">
        <f>HLOOKUP(B:B,$4:$10,6,FALSE)+((HLOOKUP(C:C,$4:$10,6,FALSE)-HLOOKUP(B:B,$4:$10,6,FALSE))*E176/F176)</f>
        <v/>
      </c>
      <c r="T176" s="198">
        <f>$G176</f>
        <v/>
      </c>
      <c r="U176" s="199">
        <f>H176/(HLOOKUP(B:B,$4:$10,3,FALSE)+((HLOOKUP(C:C,$4:$10,3,FALSE)-HLOOKUP(B:B,$4:$10,3,FALSE))*E176/F176))</f>
        <v/>
      </c>
      <c r="V176" s="969">
        <f>HLOOKUP(B:B,$4:$10,7,FALSE)+((HLOOKUP(C:C,$4:$10,7,FALSE)-HLOOKUP(B:B,$4:$10,7,FALSE))*E176/F176)</f>
        <v/>
      </c>
      <c r="AB176" s="198">
        <f>$G176</f>
        <v/>
      </c>
      <c r="AC176" s="199">
        <f>$H176</f>
        <v/>
      </c>
      <c r="AD176" s="199">
        <f>$M176*AD$34</f>
        <v/>
      </c>
      <c r="AE176" s="199">
        <f>$M176*AE$34</f>
        <v/>
      </c>
      <c r="AF176" s="199">
        <f>$M176*AF$34</f>
        <v/>
      </c>
      <c r="AG176" s="199">
        <f>$M176*AG$34</f>
        <v/>
      </c>
      <c r="AH176" s="199">
        <f>$M176*AH$34</f>
        <v/>
      </c>
      <c r="AJ176" s="198">
        <f>$G176</f>
        <v/>
      </c>
      <c r="AK176" s="199">
        <f>$H176</f>
        <v/>
      </c>
      <c r="AL176" s="199">
        <f>$N176*AL$34</f>
        <v/>
      </c>
      <c r="AM176" s="199">
        <f>$N176*AM$34</f>
        <v/>
      </c>
      <c r="AN176" s="199">
        <f>$N176*AN$34</f>
        <v/>
      </c>
      <c r="AO176" s="199">
        <f>$N176*AO$34</f>
        <v/>
      </c>
      <c r="AP176" s="199">
        <f>$N176*AP$34</f>
        <v/>
      </c>
      <c r="AR176" s="198">
        <f>$G176</f>
        <v/>
      </c>
      <c r="AS176" s="199">
        <f>$H176</f>
        <v/>
      </c>
      <c r="AT176" s="199">
        <f>$O176*AT$34-$Q176</f>
        <v/>
      </c>
      <c r="AU176" s="199">
        <f>$O176*AU$34-$Q176</f>
        <v/>
      </c>
      <c r="AV176" s="199">
        <f>$O176*AV$34-$Q176</f>
        <v/>
      </c>
      <c r="AW176" s="199">
        <f>$O176*AW$34-$Q176</f>
        <v/>
      </c>
      <c r="AX176" s="199">
        <f>$O176*AX$34-$Q176</f>
        <v/>
      </c>
      <c r="AZ176" s="198">
        <f>$G176</f>
        <v/>
      </c>
      <c r="BA176" s="199">
        <f>$H176</f>
        <v/>
      </c>
      <c r="BB176" s="199">
        <f>$P176*BB$34-$Q176</f>
        <v/>
      </c>
      <c r="BC176" s="199">
        <f>$P176*BC$34-$Q176</f>
        <v/>
      </c>
      <c r="BD176" s="199">
        <f>$P176*BD$34-$Q176</f>
        <v/>
      </c>
      <c r="BE176" s="199">
        <f>$P176*BE$34-$Q176</f>
        <v/>
      </c>
      <c r="BF176" s="199">
        <f>$P176*BF$34-$Q176</f>
        <v/>
      </c>
      <c r="BH176" s="198">
        <f>$G176</f>
        <v/>
      </c>
      <c r="BI176" s="197">
        <f>$I176</f>
        <v/>
      </c>
      <c r="BJ176" s="197">
        <f>+BJ177</f>
        <v/>
      </c>
      <c r="BK176" s="197">
        <f>+BK177</f>
        <v/>
      </c>
      <c r="BL176" s="197">
        <f>+BL177</f>
        <v/>
      </c>
      <c r="BM176" s="197">
        <f>+BM177</f>
        <v/>
      </c>
      <c r="BN176" s="197">
        <f>+BN177</f>
        <v/>
      </c>
      <c r="BP176" s="198">
        <f>$G176</f>
        <v/>
      </c>
      <c r="BQ176" s="197">
        <f>$J176</f>
        <v/>
      </c>
      <c r="BR176" s="197">
        <f>+BR177</f>
        <v/>
      </c>
      <c r="BS176" s="197">
        <f>+BS177</f>
        <v/>
      </c>
      <c r="BT176" s="197">
        <f>+BT177</f>
        <v/>
      </c>
      <c r="BU176" s="197">
        <f>+BU177</f>
        <v/>
      </c>
      <c r="BV176" s="197">
        <f>+BV177</f>
        <v/>
      </c>
      <c r="BX176" s="198">
        <f>$G176</f>
        <v/>
      </c>
      <c r="BY176" s="197">
        <f>$K176</f>
        <v/>
      </c>
      <c r="BZ176" s="197">
        <f>+BZ177</f>
        <v/>
      </c>
      <c r="CA176" s="197">
        <f>+CA177</f>
        <v/>
      </c>
      <c r="CB176" s="197">
        <f>+CB177</f>
        <v/>
      </c>
      <c r="CC176" s="197">
        <f>+CC177</f>
        <v/>
      </c>
      <c r="CD176" s="197">
        <f>+CD177</f>
        <v/>
      </c>
      <c r="CF176" s="198">
        <f>$G176</f>
        <v/>
      </c>
      <c r="CG176" s="197">
        <f>$L176</f>
        <v/>
      </c>
      <c r="CH176" s="197">
        <f>+CH177</f>
        <v/>
      </c>
      <c r="CI176" s="197">
        <f>+CI177</f>
        <v/>
      </c>
      <c r="CJ176" s="197">
        <f>+CJ177</f>
        <v/>
      </c>
      <c r="CK176" s="197">
        <f>+CK177</f>
        <v/>
      </c>
      <c r="CL176" s="197">
        <f>+CL177</f>
        <v/>
      </c>
      <c r="CO176" s="199" t="n"/>
      <c r="CP176" s="199" t="n">
        <v>4.88</v>
      </c>
      <c r="CR176" s="199" t="inlineStr">
        <is>
          <t>#N/A N/A</t>
        </is>
      </c>
      <c r="CS176" s="970" t="n">
        <v>0.9684</v>
      </c>
    </row>
    <row r="177">
      <c r="B177" s="204">
        <f>+C177-1</f>
        <v/>
      </c>
      <c r="C177" s="204">
        <f>IF('bands_A-H_Avg'!$D$9+1&gt;MONTH(G177),YEAR(G177),YEAR(G177)+1)</f>
        <v/>
      </c>
      <c r="D177" s="204">
        <f>+C177+1</f>
        <v/>
      </c>
      <c r="E177" s="203">
        <f>IF(C177&gt;C176,1,E176+1)</f>
        <v/>
      </c>
      <c r="F177" s="203">
        <f>COUNTIF(C:C,C177)</f>
        <v/>
      </c>
      <c r="G177" s="198">
        <f>+G176+7</f>
        <v/>
      </c>
      <c r="H177" s="361">
        <f>IF(ISBLANK(CO177),CP177,SUMPRODUCT(CO$32:CP$32,CO177:CP177))</f>
        <v/>
      </c>
      <c r="I177" s="968">
        <f>H177/M177</f>
        <v/>
      </c>
      <c r="J177" s="968">
        <f>H177/N177</f>
        <v/>
      </c>
      <c r="K177" s="968">
        <f>(H177+Q177)/O177</f>
        <v/>
      </c>
      <c r="L177" s="968">
        <f>(H177+Q177)/P177</f>
        <v/>
      </c>
      <c r="M177" s="199">
        <f>HLOOKUP(C:C,$4:$10,3,FALSE)+((HLOOKUP(D:D,$4:$10,3,FALSE)-HLOOKUP(C:C,$4:$10,3,FALSE))*E177/F177)</f>
        <v/>
      </c>
      <c r="N177" s="199">
        <f>HLOOKUP(C:C,$4:$10,2,FALSE)+((HLOOKUP(D:D,$4:$10,2,FALSE)-HLOOKUP(C:C,$4:$10,2,FALSE))*E177/F177)</f>
        <v/>
      </c>
      <c r="O177" s="199">
        <f>HLOOKUP(C:C,$4:$10,5,FALSE)+((HLOOKUP(D:D,$4:$10,5,FALSE)-HLOOKUP(C:C,$4:$10,5,FALSE))*E177/F177)</f>
        <v/>
      </c>
      <c r="P177" s="199">
        <f>HLOOKUP(C:C,$4:$10,4,FALSE)+((HLOOKUP(D:D,$4:$10,4,FALSE)-HLOOKUP(C:C,$4:$10,4,FALSE))*E177/F177)</f>
        <v/>
      </c>
      <c r="Q177" s="199">
        <f>HLOOKUP(B:B,$4:$10,6,FALSE)+((HLOOKUP(C:C,$4:$10,6,FALSE)-HLOOKUP(B:B,$4:$10,6,FALSE))*E177/F177)</f>
        <v/>
      </c>
      <c r="T177" s="198">
        <f>$G177</f>
        <v/>
      </c>
      <c r="U177" s="199">
        <f>H177/(HLOOKUP(B:B,$4:$10,3,FALSE)+((HLOOKUP(C:C,$4:$10,3,FALSE)-HLOOKUP(B:B,$4:$10,3,FALSE))*E177/F177))</f>
        <v/>
      </c>
      <c r="V177" s="969">
        <f>HLOOKUP(B:B,$4:$10,7,FALSE)+((HLOOKUP(C:C,$4:$10,7,FALSE)-HLOOKUP(B:B,$4:$10,7,FALSE))*E177/F177)</f>
        <v/>
      </c>
      <c r="AB177" s="198">
        <f>$G177</f>
        <v/>
      </c>
      <c r="AC177" s="199">
        <f>$H177</f>
        <v/>
      </c>
      <c r="AD177" s="199">
        <f>$M177*AD$34</f>
        <v/>
      </c>
      <c r="AE177" s="199">
        <f>$M177*AE$34</f>
        <v/>
      </c>
      <c r="AF177" s="199">
        <f>$M177*AF$34</f>
        <v/>
      </c>
      <c r="AG177" s="199">
        <f>$M177*AG$34</f>
        <v/>
      </c>
      <c r="AH177" s="199">
        <f>$M177*AH$34</f>
        <v/>
      </c>
      <c r="AJ177" s="198">
        <f>$G177</f>
        <v/>
      </c>
      <c r="AK177" s="199">
        <f>$H177</f>
        <v/>
      </c>
      <c r="AL177" s="199">
        <f>$N177*AL$34</f>
        <v/>
      </c>
      <c r="AM177" s="199">
        <f>$N177*AM$34</f>
        <v/>
      </c>
      <c r="AN177" s="199">
        <f>$N177*AN$34</f>
        <v/>
      </c>
      <c r="AO177" s="199">
        <f>$N177*AO$34</f>
        <v/>
      </c>
      <c r="AP177" s="199">
        <f>$N177*AP$34</f>
        <v/>
      </c>
      <c r="AR177" s="198">
        <f>$G177</f>
        <v/>
      </c>
      <c r="AS177" s="199">
        <f>$H177</f>
        <v/>
      </c>
      <c r="AT177" s="199">
        <f>$O177*AT$34-$Q177</f>
        <v/>
      </c>
      <c r="AU177" s="199">
        <f>$O177*AU$34-$Q177</f>
        <v/>
      </c>
      <c r="AV177" s="199">
        <f>$O177*AV$34-$Q177</f>
        <v/>
      </c>
      <c r="AW177" s="199">
        <f>$O177*AW$34-$Q177</f>
        <v/>
      </c>
      <c r="AX177" s="199">
        <f>$O177*AX$34-$Q177</f>
        <v/>
      </c>
      <c r="AZ177" s="198">
        <f>$G177</f>
        <v/>
      </c>
      <c r="BA177" s="199">
        <f>$H177</f>
        <v/>
      </c>
      <c r="BB177" s="199">
        <f>$P177*BB$34-$Q177</f>
        <v/>
      </c>
      <c r="BC177" s="199">
        <f>$P177*BC$34-$Q177</f>
        <v/>
      </c>
      <c r="BD177" s="199">
        <f>$P177*BD$34-$Q177</f>
        <v/>
      </c>
      <c r="BE177" s="199">
        <f>$P177*BE$34-$Q177</f>
        <v/>
      </c>
      <c r="BF177" s="199">
        <f>$P177*BF$34-$Q177</f>
        <v/>
      </c>
      <c r="BH177" s="198">
        <f>$G177</f>
        <v/>
      </c>
      <c r="BI177" s="197">
        <f>$I177</f>
        <v/>
      </c>
      <c r="BJ177" s="197">
        <f>+BJ178</f>
        <v/>
      </c>
      <c r="BK177" s="197">
        <f>+BK178</f>
        <v/>
      </c>
      <c r="BL177" s="197">
        <f>+BL178</f>
        <v/>
      </c>
      <c r="BM177" s="197">
        <f>+BM178</f>
        <v/>
      </c>
      <c r="BN177" s="197">
        <f>+BN178</f>
        <v/>
      </c>
      <c r="BP177" s="198">
        <f>$G177</f>
        <v/>
      </c>
      <c r="BQ177" s="197">
        <f>$J177</f>
        <v/>
      </c>
      <c r="BR177" s="197">
        <f>+BR178</f>
        <v/>
      </c>
      <c r="BS177" s="197">
        <f>+BS178</f>
        <v/>
      </c>
      <c r="BT177" s="197">
        <f>+BT178</f>
        <v/>
      </c>
      <c r="BU177" s="197">
        <f>+BU178</f>
        <v/>
      </c>
      <c r="BV177" s="197">
        <f>+BV178</f>
        <v/>
      </c>
      <c r="BX177" s="198">
        <f>$G177</f>
        <v/>
      </c>
      <c r="BY177" s="197">
        <f>$K177</f>
        <v/>
      </c>
      <c r="BZ177" s="197">
        <f>+BZ178</f>
        <v/>
      </c>
      <c r="CA177" s="197">
        <f>+CA178</f>
        <v/>
      </c>
      <c r="CB177" s="197">
        <f>+CB178</f>
        <v/>
      </c>
      <c r="CC177" s="197">
        <f>+CC178</f>
        <v/>
      </c>
      <c r="CD177" s="197">
        <f>+CD178</f>
        <v/>
      </c>
      <c r="CF177" s="198">
        <f>$G177</f>
        <v/>
      </c>
      <c r="CG177" s="197">
        <f>$L177</f>
        <v/>
      </c>
      <c r="CH177" s="197">
        <f>+CH178</f>
        <v/>
      </c>
      <c r="CI177" s="197">
        <f>+CI178</f>
        <v/>
      </c>
      <c r="CJ177" s="197">
        <f>+CJ178</f>
        <v/>
      </c>
      <c r="CK177" s="197">
        <f>+CK178</f>
        <v/>
      </c>
      <c r="CL177" s="197">
        <f>+CL178</f>
        <v/>
      </c>
      <c r="CO177" s="199" t="n"/>
      <c r="CP177" s="199" t="n">
        <v>5.03</v>
      </c>
      <c r="CR177" s="199" t="inlineStr">
        <is>
          <t>#N/A N/A</t>
        </is>
      </c>
      <c r="CS177" s="970" t="n">
        <v>0.96506</v>
      </c>
    </row>
    <row r="178">
      <c r="B178" s="204">
        <f>+C178-1</f>
        <v/>
      </c>
      <c r="C178" s="204">
        <f>IF('bands_A-H_Avg'!$D$9+1&gt;MONTH(G178),YEAR(G178),YEAR(G178)+1)</f>
        <v/>
      </c>
      <c r="D178" s="204">
        <f>+C178+1</f>
        <v/>
      </c>
      <c r="E178" s="203">
        <f>IF(C178&gt;C177,1,E177+1)</f>
        <v/>
      </c>
      <c r="F178" s="203">
        <f>COUNTIF(C:C,C178)</f>
        <v/>
      </c>
      <c r="G178" s="198">
        <f>+G177+7</f>
        <v/>
      </c>
      <c r="H178" s="361">
        <f>IF(ISBLANK(CO178),CP178,SUMPRODUCT(CO$32:CP$32,CO178:CP178))</f>
        <v/>
      </c>
      <c r="I178" s="968">
        <f>H178/M178</f>
        <v/>
      </c>
      <c r="J178" s="968">
        <f>H178/N178</f>
        <v/>
      </c>
      <c r="K178" s="968">
        <f>(H178+Q178)/O178</f>
        <v/>
      </c>
      <c r="L178" s="968">
        <f>(H178+Q178)/P178</f>
        <v/>
      </c>
      <c r="M178" s="199">
        <f>HLOOKUP(C:C,$4:$10,3,FALSE)+((HLOOKUP(D:D,$4:$10,3,FALSE)-HLOOKUP(C:C,$4:$10,3,FALSE))*E178/F178)</f>
        <v/>
      </c>
      <c r="N178" s="199">
        <f>HLOOKUP(C:C,$4:$10,2,FALSE)+((HLOOKUP(D:D,$4:$10,2,FALSE)-HLOOKUP(C:C,$4:$10,2,FALSE))*E178/F178)</f>
        <v/>
      </c>
      <c r="O178" s="199">
        <f>HLOOKUP(C:C,$4:$10,5,FALSE)+((HLOOKUP(D:D,$4:$10,5,FALSE)-HLOOKUP(C:C,$4:$10,5,FALSE))*E178/F178)</f>
        <v/>
      </c>
      <c r="P178" s="199">
        <f>HLOOKUP(C:C,$4:$10,4,FALSE)+((HLOOKUP(D:D,$4:$10,4,FALSE)-HLOOKUP(C:C,$4:$10,4,FALSE))*E178/F178)</f>
        <v/>
      </c>
      <c r="Q178" s="199">
        <f>HLOOKUP(B:B,$4:$10,6,FALSE)+((HLOOKUP(C:C,$4:$10,6,FALSE)-HLOOKUP(B:B,$4:$10,6,FALSE))*E178/F178)</f>
        <v/>
      </c>
      <c r="T178" s="198">
        <f>$G178</f>
        <v/>
      </c>
      <c r="U178" s="199">
        <f>H178/(HLOOKUP(B:B,$4:$10,3,FALSE)+((HLOOKUP(C:C,$4:$10,3,FALSE)-HLOOKUP(B:B,$4:$10,3,FALSE))*E178/F178))</f>
        <v/>
      </c>
      <c r="V178" s="969">
        <f>HLOOKUP(B:B,$4:$10,7,FALSE)+((HLOOKUP(C:C,$4:$10,7,FALSE)-HLOOKUP(B:B,$4:$10,7,FALSE))*E178/F178)</f>
        <v/>
      </c>
      <c r="AB178" s="198">
        <f>$G178</f>
        <v/>
      </c>
      <c r="AC178" s="199">
        <f>$H178</f>
        <v/>
      </c>
      <c r="AD178" s="199">
        <f>$M178*AD$34</f>
        <v/>
      </c>
      <c r="AE178" s="199">
        <f>$M178*AE$34</f>
        <v/>
      </c>
      <c r="AF178" s="199">
        <f>$M178*AF$34</f>
        <v/>
      </c>
      <c r="AG178" s="199">
        <f>$M178*AG$34</f>
        <v/>
      </c>
      <c r="AH178" s="199">
        <f>$M178*AH$34</f>
        <v/>
      </c>
      <c r="AJ178" s="198">
        <f>$G178</f>
        <v/>
      </c>
      <c r="AK178" s="199">
        <f>$H178</f>
        <v/>
      </c>
      <c r="AL178" s="199">
        <f>$N178*AL$34</f>
        <v/>
      </c>
      <c r="AM178" s="199">
        <f>$N178*AM$34</f>
        <v/>
      </c>
      <c r="AN178" s="199">
        <f>$N178*AN$34</f>
        <v/>
      </c>
      <c r="AO178" s="199">
        <f>$N178*AO$34</f>
        <v/>
      </c>
      <c r="AP178" s="199">
        <f>$N178*AP$34</f>
        <v/>
      </c>
      <c r="AR178" s="198">
        <f>$G178</f>
        <v/>
      </c>
      <c r="AS178" s="199">
        <f>$H178</f>
        <v/>
      </c>
      <c r="AT178" s="199">
        <f>$O178*AT$34-$Q178</f>
        <v/>
      </c>
      <c r="AU178" s="199">
        <f>$O178*AU$34-$Q178</f>
        <v/>
      </c>
      <c r="AV178" s="199">
        <f>$O178*AV$34-$Q178</f>
        <v/>
      </c>
      <c r="AW178" s="199">
        <f>$O178*AW$34-$Q178</f>
        <v/>
      </c>
      <c r="AX178" s="199">
        <f>$O178*AX$34-$Q178</f>
        <v/>
      </c>
      <c r="AZ178" s="198">
        <f>$G178</f>
        <v/>
      </c>
      <c r="BA178" s="199">
        <f>$H178</f>
        <v/>
      </c>
      <c r="BB178" s="199">
        <f>$P178*BB$34-$Q178</f>
        <v/>
      </c>
      <c r="BC178" s="199">
        <f>$P178*BC$34-$Q178</f>
        <v/>
      </c>
      <c r="BD178" s="199">
        <f>$P178*BD$34-$Q178</f>
        <v/>
      </c>
      <c r="BE178" s="199">
        <f>$P178*BE$34-$Q178</f>
        <v/>
      </c>
      <c r="BF178" s="199">
        <f>$P178*BF$34-$Q178</f>
        <v/>
      </c>
      <c r="BH178" s="198">
        <f>$G178</f>
        <v/>
      </c>
      <c r="BI178" s="197">
        <f>$I178</f>
        <v/>
      </c>
      <c r="BJ178" s="197">
        <f>+BJ179</f>
        <v/>
      </c>
      <c r="BK178" s="197">
        <f>+BK179</f>
        <v/>
      </c>
      <c r="BL178" s="197">
        <f>+BL179</f>
        <v/>
      </c>
      <c r="BM178" s="197">
        <f>+BM179</f>
        <v/>
      </c>
      <c r="BN178" s="197">
        <f>+BN179</f>
        <v/>
      </c>
      <c r="BP178" s="198">
        <f>$G178</f>
        <v/>
      </c>
      <c r="BQ178" s="197">
        <f>$J178</f>
        <v/>
      </c>
      <c r="BR178" s="197">
        <f>+BR179</f>
        <v/>
      </c>
      <c r="BS178" s="197">
        <f>+BS179</f>
        <v/>
      </c>
      <c r="BT178" s="197">
        <f>+BT179</f>
        <v/>
      </c>
      <c r="BU178" s="197">
        <f>+BU179</f>
        <v/>
      </c>
      <c r="BV178" s="197">
        <f>+BV179</f>
        <v/>
      </c>
      <c r="BX178" s="198">
        <f>$G178</f>
        <v/>
      </c>
      <c r="BY178" s="197">
        <f>$K178</f>
        <v/>
      </c>
      <c r="BZ178" s="197">
        <f>+BZ179</f>
        <v/>
      </c>
      <c r="CA178" s="197">
        <f>+CA179</f>
        <v/>
      </c>
      <c r="CB178" s="197">
        <f>+CB179</f>
        <v/>
      </c>
      <c r="CC178" s="197">
        <f>+CC179</f>
        <v/>
      </c>
      <c r="CD178" s="197">
        <f>+CD179</f>
        <v/>
      </c>
      <c r="CF178" s="198">
        <f>$G178</f>
        <v/>
      </c>
      <c r="CG178" s="197">
        <f>$L178</f>
        <v/>
      </c>
      <c r="CH178" s="197">
        <f>+CH179</f>
        <v/>
      </c>
      <c r="CI178" s="197">
        <f>+CI179</f>
        <v/>
      </c>
      <c r="CJ178" s="197">
        <f>+CJ179</f>
        <v/>
      </c>
      <c r="CK178" s="197">
        <f>+CK179</f>
        <v/>
      </c>
      <c r="CL178" s="197">
        <f>+CL179</f>
        <v/>
      </c>
      <c r="CO178" s="199" t="n"/>
      <c r="CP178" s="199" t="n">
        <v>5.56</v>
      </c>
      <c r="CR178" s="199" t="inlineStr">
        <is>
          <t>#N/A N/A</t>
        </is>
      </c>
      <c r="CS178" s="970" t="n">
        <v>0.96401</v>
      </c>
    </row>
    <row r="179">
      <c r="B179" s="204">
        <f>+C179-1</f>
        <v/>
      </c>
      <c r="C179" s="204">
        <f>IF('bands_A-H_Avg'!$D$9+1&gt;MONTH(G179),YEAR(G179),YEAR(G179)+1)</f>
        <v/>
      </c>
      <c r="D179" s="204">
        <f>+C179+1</f>
        <v/>
      </c>
      <c r="E179" s="203">
        <f>IF(C179&gt;C178,1,E178+1)</f>
        <v/>
      </c>
      <c r="F179" s="203">
        <f>COUNTIF(C:C,C179)</f>
        <v/>
      </c>
      <c r="G179" s="198">
        <f>+G178+7</f>
        <v/>
      </c>
      <c r="H179" s="361">
        <f>IF(ISBLANK(CO179),CP179,SUMPRODUCT(CO$32:CP$32,CO179:CP179))</f>
        <v/>
      </c>
      <c r="I179" s="968">
        <f>H179/M179</f>
        <v/>
      </c>
      <c r="J179" s="968">
        <f>H179/N179</f>
        <v/>
      </c>
      <c r="K179" s="968">
        <f>(H179+Q179)/O179</f>
        <v/>
      </c>
      <c r="L179" s="968">
        <f>(H179+Q179)/P179</f>
        <v/>
      </c>
      <c r="M179" s="199">
        <f>HLOOKUP(C:C,$4:$10,3,FALSE)+((HLOOKUP(D:D,$4:$10,3,FALSE)-HLOOKUP(C:C,$4:$10,3,FALSE))*E179/F179)</f>
        <v/>
      </c>
      <c r="N179" s="199">
        <f>HLOOKUP(C:C,$4:$10,2,FALSE)+((HLOOKUP(D:D,$4:$10,2,FALSE)-HLOOKUP(C:C,$4:$10,2,FALSE))*E179/F179)</f>
        <v/>
      </c>
      <c r="O179" s="199">
        <f>HLOOKUP(C:C,$4:$10,5,FALSE)+((HLOOKUP(D:D,$4:$10,5,FALSE)-HLOOKUP(C:C,$4:$10,5,FALSE))*E179/F179)</f>
        <v/>
      </c>
      <c r="P179" s="199">
        <f>HLOOKUP(C:C,$4:$10,4,FALSE)+((HLOOKUP(D:D,$4:$10,4,FALSE)-HLOOKUP(C:C,$4:$10,4,FALSE))*E179/F179)</f>
        <v/>
      </c>
      <c r="Q179" s="199">
        <f>HLOOKUP(B:B,$4:$10,6,FALSE)+((HLOOKUP(C:C,$4:$10,6,FALSE)-HLOOKUP(B:B,$4:$10,6,FALSE))*E179/F179)</f>
        <v/>
      </c>
      <c r="T179" s="198">
        <f>$G179</f>
        <v/>
      </c>
      <c r="U179" s="199">
        <f>H179/(HLOOKUP(B:B,$4:$10,3,FALSE)+((HLOOKUP(C:C,$4:$10,3,FALSE)-HLOOKUP(B:B,$4:$10,3,FALSE))*E179/F179))</f>
        <v/>
      </c>
      <c r="V179" s="969">
        <f>HLOOKUP(B:B,$4:$10,7,FALSE)+((HLOOKUP(C:C,$4:$10,7,FALSE)-HLOOKUP(B:B,$4:$10,7,FALSE))*E179/F179)</f>
        <v/>
      </c>
      <c r="AB179" s="198">
        <f>$G179</f>
        <v/>
      </c>
      <c r="AC179" s="199">
        <f>$H179</f>
        <v/>
      </c>
      <c r="AD179" s="199">
        <f>$M179*AD$34</f>
        <v/>
      </c>
      <c r="AE179" s="199">
        <f>$M179*AE$34</f>
        <v/>
      </c>
      <c r="AF179" s="199">
        <f>$M179*AF$34</f>
        <v/>
      </c>
      <c r="AG179" s="199">
        <f>$M179*AG$34</f>
        <v/>
      </c>
      <c r="AH179" s="199">
        <f>$M179*AH$34</f>
        <v/>
      </c>
      <c r="AJ179" s="198">
        <f>$G179</f>
        <v/>
      </c>
      <c r="AK179" s="199">
        <f>$H179</f>
        <v/>
      </c>
      <c r="AL179" s="199">
        <f>$N179*AL$34</f>
        <v/>
      </c>
      <c r="AM179" s="199">
        <f>$N179*AM$34</f>
        <v/>
      </c>
      <c r="AN179" s="199">
        <f>$N179*AN$34</f>
        <v/>
      </c>
      <c r="AO179" s="199">
        <f>$N179*AO$34</f>
        <v/>
      </c>
      <c r="AP179" s="199">
        <f>$N179*AP$34</f>
        <v/>
      </c>
      <c r="AR179" s="198">
        <f>$G179</f>
        <v/>
      </c>
      <c r="AS179" s="199">
        <f>$H179</f>
        <v/>
      </c>
      <c r="AT179" s="199">
        <f>$O179*AT$34-$Q179</f>
        <v/>
      </c>
      <c r="AU179" s="199">
        <f>$O179*AU$34-$Q179</f>
        <v/>
      </c>
      <c r="AV179" s="199">
        <f>$O179*AV$34-$Q179</f>
        <v/>
      </c>
      <c r="AW179" s="199">
        <f>$O179*AW$34-$Q179</f>
        <v/>
      </c>
      <c r="AX179" s="199">
        <f>$O179*AX$34-$Q179</f>
        <v/>
      </c>
      <c r="AZ179" s="198">
        <f>$G179</f>
        <v/>
      </c>
      <c r="BA179" s="199">
        <f>$H179</f>
        <v/>
      </c>
      <c r="BB179" s="199">
        <f>$P179*BB$34-$Q179</f>
        <v/>
      </c>
      <c r="BC179" s="199">
        <f>$P179*BC$34-$Q179</f>
        <v/>
      </c>
      <c r="BD179" s="199">
        <f>$P179*BD$34-$Q179</f>
        <v/>
      </c>
      <c r="BE179" s="199">
        <f>$P179*BE$34-$Q179</f>
        <v/>
      </c>
      <c r="BF179" s="199">
        <f>$P179*BF$34-$Q179</f>
        <v/>
      </c>
      <c r="BH179" s="198">
        <f>$G179</f>
        <v/>
      </c>
      <c r="BI179" s="197">
        <f>$I179</f>
        <v/>
      </c>
      <c r="BJ179" s="197">
        <f>+BJ180</f>
        <v/>
      </c>
      <c r="BK179" s="197">
        <f>+BK180</f>
        <v/>
      </c>
      <c r="BL179" s="197">
        <f>+BL180</f>
        <v/>
      </c>
      <c r="BM179" s="197">
        <f>+BM180</f>
        <v/>
      </c>
      <c r="BN179" s="197">
        <f>+BN180</f>
        <v/>
      </c>
      <c r="BP179" s="198">
        <f>$G179</f>
        <v/>
      </c>
      <c r="BQ179" s="197">
        <f>$J179</f>
        <v/>
      </c>
      <c r="BR179" s="197">
        <f>+BR180</f>
        <v/>
      </c>
      <c r="BS179" s="197">
        <f>+BS180</f>
        <v/>
      </c>
      <c r="BT179" s="197">
        <f>+BT180</f>
        <v/>
      </c>
      <c r="BU179" s="197">
        <f>+BU180</f>
        <v/>
      </c>
      <c r="BV179" s="197">
        <f>+BV180</f>
        <v/>
      </c>
      <c r="BX179" s="198">
        <f>$G179</f>
        <v/>
      </c>
      <c r="BY179" s="197">
        <f>$K179</f>
        <v/>
      </c>
      <c r="BZ179" s="197">
        <f>+BZ180</f>
        <v/>
      </c>
      <c r="CA179" s="197">
        <f>+CA180</f>
        <v/>
      </c>
      <c r="CB179" s="197">
        <f>+CB180</f>
        <v/>
      </c>
      <c r="CC179" s="197">
        <f>+CC180</f>
        <v/>
      </c>
      <c r="CD179" s="197">
        <f>+CD180</f>
        <v/>
      </c>
      <c r="CF179" s="198">
        <f>$G179</f>
        <v/>
      </c>
      <c r="CG179" s="197">
        <f>$L179</f>
        <v/>
      </c>
      <c r="CH179" s="197">
        <f>+CH180</f>
        <v/>
      </c>
      <c r="CI179" s="197">
        <f>+CI180</f>
        <v/>
      </c>
      <c r="CJ179" s="197">
        <f>+CJ180</f>
        <v/>
      </c>
      <c r="CK179" s="197">
        <f>+CK180</f>
        <v/>
      </c>
      <c r="CL179" s="197">
        <f>+CL180</f>
        <v/>
      </c>
      <c r="CO179" s="199" t="n"/>
      <c r="CP179" s="199" t="n">
        <v>6.06</v>
      </c>
      <c r="CR179" s="199" t="inlineStr">
        <is>
          <t>#N/A N/A</t>
        </is>
      </c>
      <c r="CS179" s="970" t="n">
        <v>0.96543</v>
      </c>
    </row>
    <row r="180">
      <c r="B180" s="204">
        <f>+C180-1</f>
        <v/>
      </c>
      <c r="C180" s="204">
        <f>IF('bands_A-H_Avg'!$D$9+1&gt;MONTH(G180),YEAR(G180),YEAR(G180)+1)</f>
        <v/>
      </c>
      <c r="D180" s="204">
        <f>+C180+1</f>
        <v/>
      </c>
      <c r="E180" s="203">
        <f>IF(C180&gt;C179,1,E179+1)</f>
        <v/>
      </c>
      <c r="F180" s="203">
        <f>COUNTIF(C:C,C180)</f>
        <v/>
      </c>
      <c r="G180" s="198">
        <f>+G179+7</f>
        <v/>
      </c>
      <c r="H180" s="361">
        <f>IF(ISBLANK(CO180),CP180,SUMPRODUCT(CO$32:CP$32,CO180:CP180))</f>
        <v/>
      </c>
      <c r="I180" s="968">
        <f>H180/M180</f>
        <v/>
      </c>
      <c r="J180" s="968">
        <f>H180/N180</f>
        <v/>
      </c>
      <c r="K180" s="968">
        <f>(H180+Q180)/O180</f>
        <v/>
      </c>
      <c r="L180" s="968">
        <f>(H180+Q180)/P180</f>
        <v/>
      </c>
      <c r="M180" s="199">
        <f>HLOOKUP(C:C,$4:$10,3,FALSE)+((HLOOKUP(D:D,$4:$10,3,FALSE)-HLOOKUP(C:C,$4:$10,3,FALSE))*E180/F180)</f>
        <v/>
      </c>
      <c r="N180" s="199">
        <f>HLOOKUP(C:C,$4:$10,2,FALSE)+((HLOOKUP(D:D,$4:$10,2,FALSE)-HLOOKUP(C:C,$4:$10,2,FALSE))*E180/F180)</f>
        <v/>
      </c>
      <c r="O180" s="199">
        <f>HLOOKUP(C:C,$4:$10,5,FALSE)+((HLOOKUP(D:D,$4:$10,5,FALSE)-HLOOKUP(C:C,$4:$10,5,FALSE))*E180/F180)</f>
        <v/>
      </c>
      <c r="P180" s="199">
        <f>HLOOKUP(C:C,$4:$10,4,FALSE)+((HLOOKUP(D:D,$4:$10,4,FALSE)-HLOOKUP(C:C,$4:$10,4,FALSE))*E180/F180)</f>
        <v/>
      </c>
      <c r="Q180" s="199">
        <f>HLOOKUP(B:B,$4:$10,6,FALSE)+((HLOOKUP(C:C,$4:$10,6,FALSE)-HLOOKUP(B:B,$4:$10,6,FALSE))*E180/F180)</f>
        <v/>
      </c>
      <c r="T180" s="198">
        <f>$G180</f>
        <v/>
      </c>
      <c r="U180" s="199">
        <f>H180/(HLOOKUP(B:B,$4:$10,3,FALSE)+((HLOOKUP(C:C,$4:$10,3,FALSE)-HLOOKUP(B:B,$4:$10,3,FALSE))*E180/F180))</f>
        <v/>
      </c>
      <c r="V180" s="969">
        <f>HLOOKUP(B:B,$4:$10,7,FALSE)+((HLOOKUP(C:C,$4:$10,7,FALSE)-HLOOKUP(B:B,$4:$10,7,FALSE))*E180/F180)</f>
        <v/>
      </c>
      <c r="AB180" s="198">
        <f>$G180</f>
        <v/>
      </c>
      <c r="AC180" s="199">
        <f>$H180</f>
        <v/>
      </c>
      <c r="AD180" s="199">
        <f>$M180*AD$34</f>
        <v/>
      </c>
      <c r="AE180" s="199">
        <f>$M180*AE$34</f>
        <v/>
      </c>
      <c r="AF180" s="199">
        <f>$M180*AF$34</f>
        <v/>
      </c>
      <c r="AG180" s="199">
        <f>$M180*AG$34</f>
        <v/>
      </c>
      <c r="AH180" s="199">
        <f>$M180*AH$34</f>
        <v/>
      </c>
      <c r="AJ180" s="198">
        <f>$G180</f>
        <v/>
      </c>
      <c r="AK180" s="199">
        <f>$H180</f>
        <v/>
      </c>
      <c r="AL180" s="199">
        <f>$N180*AL$34</f>
        <v/>
      </c>
      <c r="AM180" s="199">
        <f>$N180*AM$34</f>
        <v/>
      </c>
      <c r="AN180" s="199">
        <f>$N180*AN$34</f>
        <v/>
      </c>
      <c r="AO180" s="199">
        <f>$N180*AO$34</f>
        <v/>
      </c>
      <c r="AP180" s="199">
        <f>$N180*AP$34</f>
        <v/>
      </c>
      <c r="AR180" s="198">
        <f>$G180</f>
        <v/>
      </c>
      <c r="AS180" s="199">
        <f>$H180</f>
        <v/>
      </c>
      <c r="AT180" s="199">
        <f>$O180*AT$34-$Q180</f>
        <v/>
      </c>
      <c r="AU180" s="199">
        <f>$O180*AU$34-$Q180</f>
        <v/>
      </c>
      <c r="AV180" s="199">
        <f>$O180*AV$34-$Q180</f>
        <v/>
      </c>
      <c r="AW180" s="199">
        <f>$O180*AW$34-$Q180</f>
        <v/>
      </c>
      <c r="AX180" s="199">
        <f>$O180*AX$34-$Q180</f>
        <v/>
      </c>
      <c r="AZ180" s="198">
        <f>$G180</f>
        <v/>
      </c>
      <c r="BA180" s="199">
        <f>$H180</f>
        <v/>
      </c>
      <c r="BB180" s="199">
        <f>$P180*BB$34-$Q180</f>
        <v/>
      </c>
      <c r="BC180" s="199">
        <f>$P180*BC$34-$Q180</f>
        <v/>
      </c>
      <c r="BD180" s="199">
        <f>$P180*BD$34-$Q180</f>
        <v/>
      </c>
      <c r="BE180" s="199">
        <f>$P180*BE$34-$Q180</f>
        <v/>
      </c>
      <c r="BF180" s="199">
        <f>$P180*BF$34-$Q180</f>
        <v/>
      </c>
      <c r="BH180" s="198">
        <f>$G180</f>
        <v/>
      </c>
      <c r="BI180" s="197">
        <f>$I180</f>
        <v/>
      </c>
      <c r="BJ180" s="197">
        <f>+BJ181</f>
        <v/>
      </c>
      <c r="BK180" s="197">
        <f>+BK181</f>
        <v/>
      </c>
      <c r="BL180" s="197">
        <f>+BL181</f>
        <v/>
      </c>
      <c r="BM180" s="197">
        <f>+BM181</f>
        <v/>
      </c>
      <c r="BN180" s="197">
        <f>+BN181</f>
        <v/>
      </c>
      <c r="BP180" s="198">
        <f>$G180</f>
        <v/>
      </c>
      <c r="BQ180" s="197">
        <f>$J180</f>
        <v/>
      </c>
      <c r="BR180" s="197">
        <f>+BR181</f>
        <v/>
      </c>
      <c r="BS180" s="197">
        <f>+BS181</f>
        <v/>
      </c>
      <c r="BT180" s="197">
        <f>+BT181</f>
        <v/>
      </c>
      <c r="BU180" s="197">
        <f>+BU181</f>
        <v/>
      </c>
      <c r="BV180" s="197">
        <f>+BV181</f>
        <v/>
      </c>
      <c r="BX180" s="198">
        <f>$G180</f>
        <v/>
      </c>
      <c r="BY180" s="197">
        <f>$K180</f>
        <v/>
      </c>
      <c r="BZ180" s="197">
        <f>+BZ181</f>
        <v/>
      </c>
      <c r="CA180" s="197">
        <f>+CA181</f>
        <v/>
      </c>
      <c r="CB180" s="197">
        <f>+CB181</f>
        <v/>
      </c>
      <c r="CC180" s="197">
        <f>+CC181</f>
        <v/>
      </c>
      <c r="CD180" s="197">
        <f>+CD181</f>
        <v/>
      </c>
      <c r="CF180" s="198">
        <f>$G180</f>
        <v/>
      </c>
      <c r="CG180" s="197">
        <f>$L180</f>
        <v/>
      </c>
      <c r="CH180" s="197">
        <f>+CH181</f>
        <v/>
      </c>
      <c r="CI180" s="197">
        <f>+CI181</f>
        <v/>
      </c>
      <c r="CJ180" s="197">
        <f>+CJ181</f>
        <v/>
      </c>
      <c r="CK180" s="197">
        <f>+CK181</f>
        <v/>
      </c>
      <c r="CL180" s="197">
        <f>+CL181</f>
        <v/>
      </c>
      <c r="CO180" s="199" t="n"/>
      <c r="CP180" s="199" t="n">
        <v>6.07</v>
      </c>
      <c r="CR180" s="199" t="inlineStr">
        <is>
          <t>#N/A N/A</t>
        </is>
      </c>
      <c r="CS180" s="970" t="n">
        <v>0.96824</v>
      </c>
    </row>
    <row r="181">
      <c r="B181" s="204">
        <f>+C181-1</f>
        <v/>
      </c>
      <c r="C181" s="204">
        <f>IF('bands_A-H_Avg'!$D$9+1&gt;MONTH(G181),YEAR(G181),YEAR(G181)+1)</f>
        <v/>
      </c>
      <c r="D181" s="204">
        <f>+C181+1</f>
        <v/>
      </c>
      <c r="E181" s="203">
        <f>IF(C181&gt;C180,1,E180+1)</f>
        <v/>
      </c>
      <c r="F181" s="203">
        <f>COUNTIF(C:C,C181)</f>
        <v/>
      </c>
      <c r="G181" s="198">
        <f>+G180+7</f>
        <v/>
      </c>
      <c r="H181" s="361">
        <f>IF(ISBLANK(CO181),CP181,SUMPRODUCT(CO$32:CP$32,CO181:CP181))</f>
        <v/>
      </c>
      <c r="I181" s="968">
        <f>H181/M181</f>
        <v/>
      </c>
      <c r="J181" s="968">
        <f>H181/N181</f>
        <v/>
      </c>
      <c r="K181" s="968">
        <f>(H181+Q181)/O181</f>
        <v/>
      </c>
      <c r="L181" s="968">
        <f>(H181+Q181)/P181</f>
        <v/>
      </c>
      <c r="M181" s="199">
        <f>HLOOKUP(C:C,$4:$10,3,FALSE)+((HLOOKUP(D:D,$4:$10,3,FALSE)-HLOOKUP(C:C,$4:$10,3,FALSE))*E181/F181)</f>
        <v/>
      </c>
      <c r="N181" s="199">
        <f>HLOOKUP(C:C,$4:$10,2,FALSE)+((HLOOKUP(D:D,$4:$10,2,FALSE)-HLOOKUP(C:C,$4:$10,2,FALSE))*E181/F181)</f>
        <v/>
      </c>
      <c r="O181" s="199">
        <f>HLOOKUP(C:C,$4:$10,5,FALSE)+((HLOOKUP(D:D,$4:$10,5,FALSE)-HLOOKUP(C:C,$4:$10,5,FALSE))*E181/F181)</f>
        <v/>
      </c>
      <c r="P181" s="199">
        <f>HLOOKUP(C:C,$4:$10,4,FALSE)+((HLOOKUP(D:D,$4:$10,4,FALSE)-HLOOKUP(C:C,$4:$10,4,FALSE))*E181/F181)</f>
        <v/>
      </c>
      <c r="Q181" s="199">
        <f>HLOOKUP(B:B,$4:$10,6,FALSE)+((HLOOKUP(C:C,$4:$10,6,FALSE)-HLOOKUP(B:B,$4:$10,6,FALSE))*E181/F181)</f>
        <v/>
      </c>
      <c r="T181" s="198">
        <f>$G181</f>
        <v/>
      </c>
      <c r="U181" s="199">
        <f>H181/(HLOOKUP(B:B,$4:$10,3,FALSE)+((HLOOKUP(C:C,$4:$10,3,FALSE)-HLOOKUP(B:B,$4:$10,3,FALSE))*E181/F181))</f>
        <v/>
      </c>
      <c r="V181" s="969">
        <f>HLOOKUP(B:B,$4:$10,7,FALSE)+((HLOOKUP(C:C,$4:$10,7,FALSE)-HLOOKUP(B:B,$4:$10,7,FALSE))*E181/F181)</f>
        <v/>
      </c>
      <c r="AB181" s="198">
        <f>$G181</f>
        <v/>
      </c>
      <c r="AC181" s="199">
        <f>$H181</f>
        <v/>
      </c>
      <c r="AD181" s="199">
        <f>$M181*AD$34</f>
        <v/>
      </c>
      <c r="AE181" s="199">
        <f>$M181*AE$34</f>
        <v/>
      </c>
      <c r="AF181" s="199">
        <f>$M181*AF$34</f>
        <v/>
      </c>
      <c r="AG181" s="199">
        <f>$M181*AG$34</f>
        <v/>
      </c>
      <c r="AH181" s="199">
        <f>$M181*AH$34</f>
        <v/>
      </c>
      <c r="AJ181" s="198">
        <f>$G181</f>
        <v/>
      </c>
      <c r="AK181" s="199">
        <f>$H181</f>
        <v/>
      </c>
      <c r="AL181" s="199">
        <f>$N181*AL$34</f>
        <v/>
      </c>
      <c r="AM181" s="199">
        <f>$N181*AM$34</f>
        <v/>
      </c>
      <c r="AN181" s="199">
        <f>$N181*AN$34</f>
        <v/>
      </c>
      <c r="AO181" s="199">
        <f>$N181*AO$34</f>
        <v/>
      </c>
      <c r="AP181" s="199">
        <f>$N181*AP$34</f>
        <v/>
      </c>
      <c r="AR181" s="198">
        <f>$G181</f>
        <v/>
      </c>
      <c r="AS181" s="199">
        <f>$H181</f>
        <v/>
      </c>
      <c r="AT181" s="199">
        <f>$O181*AT$34-$Q181</f>
        <v/>
      </c>
      <c r="AU181" s="199">
        <f>$O181*AU$34-$Q181</f>
        <v/>
      </c>
      <c r="AV181" s="199">
        <f>$O181*AV$34-$Q181</f>
        <v/>
      </c>
      <c r="AW181" s="199">
        <f>$O181*AW$34-$Q181</f>
        <v/>
      </c>
      <c r="AX181" s="199">
        <f>$O181*AX$34-$Q181</f>
        <v/>
      </c>
      <c r="AZ181" s="198">
        <f>$G181</f>
        <v/>
      </c>
      <c r="BA181" s="199">
        <f>$H181</f>
        <v/>
      </c>
      <c r="BB181" s="199">
        <f>$P181*BB$34-$Q181</f>
        <v/>
      </c>
      <c r="BC181" s="199">
        <f>$P181*BC$34-$Q181</f>
        <v/>
      </c>
      <c r="BD181" s="199">
        <f>$P181*BD$34-$Q181</f>
        <v/>
      </c>
      <c r="BE181" s="199">
        <f>$P181*BE$34-$Q181</f>
        <v/>
      </c>
      <c r="BF181" s="199">
        <f>$P181*BF$34-$Q181</f>
        <v/>
      </c>
      <c r="BH181" s="198">
        <f>$G181</f>
        <v/>
      </c>
      <c r="BI181" s="197">
        <f>$I181</f>
        <v/>
      </c>
      <c r="BJ181" s="197">
        <f>+BJ182</f>
        <v/>
      </c>
      <c r="BK181" s="197">
        <f>+BK182</f>
        <v/>
      </c>
      <c r="BL181" s="197">
        <f>+BL182</f>
        <v/>
      </c>
      <c r="BM181" s="197">
        <f>+BM182</f>
        <v/>
      </c>
      <c r="BN181" s="197">
        <f>+BN182</f>
        <v/>
      </c>
      <c r="BP181" s="198">
        <f>$G181</f>
        <v/>
      </c>
      <c r="BQ181" s="197">
        <f>$J181</f>
        <v/>
      </c>
      <c r="BR181" s="197">
        <f>+BR182</f>
        <v/>
      </c>
      <c r="BS181" s="197">
        <f>+BS182</f>
        <v/>
      </c>
      <c r="BT181" s="197">
        <f>+BT182</f>
        <v/>
      </c>
      <c r="BU181" s="197">
        <f>+BU182</f>
        <v/>
      </c>
      <c r="BV181" s="197">
        <f>+BV182</f>
        <v/>
      </c>
      <c r="BX181" s="198">
        <f>$G181</f>
        <v/>
      </c>
      <c r="BY181" s="197">
        <f>$K181</f>
        <v/>
      </c>
      <c r="BZ181" s="197">
        <f>+BZ182</f>
        <v/>
      </c>
      <c r="CA181" s="197">
        <f>+CA182</f>
        <v/>
      </c>
      <c r="CB181" s="197">
        <f>+CB182</f>
        <v/>
      </c>
      <c r="CC181" s="197">
        <f>+CC182</f>
        <v/>
      </c>
      <c r="CD181" s="197">
        <f>+CD182</f>
        <v/>
      </c>
      <c r="CF181" s="198">
        <f>$G181</f>
        <v/>
      </c>
      <c r="CG181" s="197">
        <f>$L181</f>
        <v/>
      </c>
      <c r="CH181" s="197">
        <f>+CH182</f>
        <v/>
      </c>
      <c r="CI181" s="197">
        <f>+CI182</f>
        <v/>
      </c>
      <c r="CJ181" s="197">
        <f>+CJ182</f>
        <v/>
      </c>
      <c r="CK181" s="197">
        <f>+CK182</f>
        <v/>
      </c>
      <c r="CL181" s="197">
        <f>+CL182</f>
        <v/>
      </c>
      <c r="CO181" s="199" t="n"/>
      <c r="CP181" s="199" t="n">
        <v>5.93</v>
      </c>
      <c r="CR181" s="199" t="inlineStr">
        <is>
          <t>#N/A N/A</t>
        </is>
      </c>
      <c r="CS181" s="970" t="n">
        <v>0.9742</v>
      </c>
    </row>
    <row r="182">
      <c r="B182" s="204">
        <f>+C182-1</f>
        <v/>
      </c>
      <c r="C182" s="204">
        <f>IF('bands_A-H_Avg'!$D$9+1&gt;MONTH(G182),YEAR(G182),YEAR(G182)+1)</f>
        <v/>
      </c>
      <c r="D182" s="204">
        <f>+C182+1</f>
        <v/>
      </c>
      <c r="E182" s="203">
        <f>IF(C182&gt;C181,1,E181+1)</f>
        <v/>
      </c>
      <c r="F182" s="203">
        <f>COUNTIF(C:C,C182)</f>
        <v/>
      </c>
      <c r="G182" s="198">
        <f>+G181+7</f>
        <v/>
      </c>
      <c r="H182" s="361">
        <f>IF(ISBLANK(CO182),CP182,SUMPRODUCT(CO$32:CP$32,CO182:CP182))</f>
        <v/>
      </c>
      <c r="I182" s="968">
        <f>H182/M182</f>
        <v/>
      </c>
      <c r="J182" s="968">
        <f>H182/N182</f>
        <v/>
      </c>
      <c r="K182" s="968">
        <f>(H182+Q182)/O182</f>
        <v/>
      </c>
      <c r="L182" s="968">
        <f>(H182+Q182)/P182</f>
        <v/>
      </c>
      <c r="M182" s="199">
        <f>HLOOKUP(C:C,$4:$10,3,FALSE)+((HLOOKUP(D:D,$4:$10,3,FALSE)-HLOOKUP(C:C,$4:$10,3,FALSE))*E182/F182)</f>
        <v/>
      </c>
      <c r="N182" s="199">
        <f>HLOOKUP(C:C,$4:$10,2,FALSE)+((HLOOKUP(D:D,$4:$10,2,FALSE)-HLOOKUP(C:C,$4:$10,2,FALSE))*E182/F182)</f>
        <v/>
      </c>
      <c r="O182" s="199">
        <f>HLOOKUP(C:C,$4:$10,5,FALSE)+((HLOOKUP(D:D,$4:$10,5,FALSE)-HLOOKUP(C:C,$4:$10,5,FALSE))*E182/F182)</f>
        <v/>
      </c>
      <c r="P182" s="199">
        <f>HLOOKUP(C:C,$4:$10,4,FALSE)+((HLOOKUP(D:D,$4:$10,4,FALSE)-HLOOKUP(C:C,$4:$10,4,FALSE))*E182/F182)</f>
        <v/>
      </c>
      <c r="Q182" s="199">
        <f>HLOOKUP(B:B,$4:$10,6,FALSE)+((HLOOKUP(C:C,$4:$10,6,FALSE)-HLOOKUP(B:B,$4:$10,6,FALSE))*E182/F182)</f>
        <v/>
      </c>
      <c r="T182" s="198">
        <f>$G182</f>
        <v/>
      </c>
      <c r="U182" s="199">
        <f>H182/(HLOOKUP(B:B,$4:$10,3,FALSE)+((HLOOKUP(C:C,$4:$10,3,FALSE)-HLOOKUP(B:B,$4:$10,3,FALSE))*E182/F182))</f>
        <v/>
      </c>
      <c r="V182" s="969">
        <f>HLOOKUP(B:B,$4:$10,7,FALSE)+((HLOOKUP(C:C,$4:$10,7,FALSE)-HLOOKUP(B:B,$4:$10,7,FALSE))*E182/F182)</f>
        <v/>
      </c>
      <c r="AB182" s="198">
        <f>$G182</f>
        <v/>
      </c>
      <c r="AC182" s="199">
        <f>$H182</f>
        <v/>
      </c>
      <c r="AD182" s="199">
        <f>$M182*AD$34</f>
        <v/>
      </c>
      <c r="AE182" s="199">
        <f>$M182*AE$34</f>
        <v/>
      </c>
      <c r="AF182" s="199">
        <f>$M182*AF$34</f>
        <v/>
      </c>
      <c r="AG182" s="199">
        <f>$M182*AG$34</f>
        <v/>
      </c>
      <c r="AH182" s="199">
        <f>$M182*AH$34</f>
        <v/>
      </c>
      <c r="AJ182" s="198">
        <f>$G182</f>
        <v/>
      </c>
      <c r="AK182" s="199">
        <f>$H182</f>
        <v/>
      </c>
      <c r="AL182" s="199">
        <f>$N182*AL$34</f>
        <v/>
      </c>
      <c r="AM182" s="199">
        <f>$N182*AM$34</f>
        <v/>
      </c>
      <c r="AN182" s="199">
        <f>$N182*AN$34</f>
        <v/>
      </c>
      <c r="AO182" s="199">
        <f>$N182*AO$34</f>
        <v/>
      </c>
      <c r="AP182" s="199">
        <f>$N182*AP$34</f>
        <v/>
      </c>
      <c r="AR182" s="198">
        <f>$G182</f>
        <v/>
      </c>
      <c r="AS182" s="199">
        <f>$H182</f>
        <v/>
      </c>
      <c r="AT182" s="199">
        <f>$O182*AT$34-$Q182</f>
        <v/>
      </c>
      <c r="AU182" s="199">
        <f>$O182*AU$34-$Q182</f>
        <v/>
      </c>
      <c r="AV182" s="199">
        <f>$O182*AV$34-$Q182</f>
        <v/>
      </c>
      <c r="AW182" s="199">
        <f>$O182*AW$34-$Q182</f>
        <v/>
      </c>
      <c r="AX182" s="199">
        <f>$O182*AX$34-$Q182</f>
        <v/>
      </c>
      <c r="AZ182" s="198">
        <f>$G182</f>
        <v/>
      </c>
      <c r="BA182" s="199">
        <f>$H182</f>
        <v/>
      </c>
      <c r="BB182" s="199">
        <f>$P182*BB$34-$Q182</f>
        <v/>
      </c>
      <c r="BC182" s="199">
        <f>$P182*BC$34-$Q182</f>
        <v/>
      </c>
      <c r="BD182" s="199">
        <f>$P182*BD$34-$Q182</f>
        <v/>
      </c>
      <c r="BE182" s="199">
        <f>$P182*BE$34-$Q182</f>
        <v/>
      </c>
      <c r="BF182" s="199">
        <f>$P182*BF$34-$Q182</f>
        <v/>
      </c>
      <c r="BH182" s="198">
        <f>$G182</f>
        <v/>
      </c>
      <c r="BI182" s="197">
        <f>$I182</f>
        <v/>
      </c>
      <c r="BJ182" s="197">
        <f>+BJ183</f>
        <v/>
      </c>
      <c r="BK182" s="197">
        <f>+BK183</f>
        <v/>
      </c>
      <c r="BL182" s="197">
        <f>+BL183</f>
        <v/>
      </c>
      <c r="BM182" s="197">
        <f>+BM183</f>
        <v/>
      </c>
      <c r="BN182" s="197">
        <f>+BN183</f>
        <v/>
      </c>
      <c r="BP182" s="198">
        <f>$G182</f>
        <v/>
      </c>
      <c r="BQ182" s="197">
        <f>$J182</f>
        <v/>
      </c>
      <c r="BR182" s="197">
        <f>+BR183</f>
        <v/>
      </c>
      <c r="BS182" s="197">
        <f>+BS183</f>
        <v/>
      </c>
      <c r="BT182" s="197">
        <f>+BT183</f>
        <v/>
      </c>
      <c r="BU182" s="197">
        <f>+BU183</f>
        <v/>
      </c>
      <c r="BV182" s="197">
        <f>+BV183</f>
        <v/>
      </c>
      <c r="BX182" s="198">
        <f>$G182</f>
        <v/>
      </c>
      <c r="BY182" s="197">
        <f>$K182</f>
        <v/>
      </c>
      <c r="BZ182" s="197">
        <f>+BZ183</f>
        <v/>
      </c>
      <c r="CA182" s="197">
        <f>+CA183</f>
        <v/>
      </c>
      <c r="CB182" s="197">
        <f>+CB183</f>
        <v/>
      </c>
      <c r="CC182" s="197">
        <f>+CC183</f>
        <v/>
      </c>
      <c r="CD182" s="197">
        <f>+CD183</f>
        <v/>
      </c>
      <c r="CF182" s="198">
        <f>$G182</f>
        <v/>
      </c>
      <c r="CG182" s="197">
        <f>$L182</f>
        <v/>
      </c>
      <c r="CH182" s="197">
        <f>+CH183</f>
        <v/>
      </c>
      <c r="CI182" s="197">
        <f>+CI183</f>
        <v/>
      </c>
      <c r="CJ182" s="197">
        <f>+CJ183</f>
        <v/>
      </c>
      <c r="CK182" s="197">
        <f>+CK183</f>
        <v/>
      </c>
      <c r="CL182" s="197">
        <f>+CL183</f>
        <v/>
      </c>
      <c r="CO182" s="199" t="n"/>
      <c r="CP182" s="199" t="n">
        <v>7.46</v>
      </c>
      <c r="CR182" s="199" t="inlineStr">
        <is>
          <t>#N/A N/A</t>
        </is>
      </c>
      <c r="CS182" s="970" t="n">
        <v>0.96893</v>
      </c>
    </row>
    <row r="183">
      <c r="B183" s="204">
        <f>+C183-1</f>
        <v/>
      </c>
      <c r="C183" s="204">
        <f>IF('bands_A-H_Avg'!$D$9+1&gt;MONTH(G183),YEAR(G183),YEAR(G183)+1)</f>
        <v/>
      </c>
      <c r="D183" s="204">
        <f>+C183+1</f>
        <v/>
      </c>
      <c r="E183" s="203">
        <f>IF(C183&gt;C182,1,E182+1)</f>
        <v/>
      </c>
      <c r="F183" s="203">
        <f>COUNTIF(C:C,C183)</f>
        <v/>
      </c>
      <c r="G183" s="198">
        <f>+G182+7</f>
        <v/>
      </c>
      <c r="H183" s="361">
        <f>IF(ISBLANK(CO183),CP183,SUMPRODUCT(CO$32:CP$32,CO183:CP183))</f>
        <v/>
      </c>
      <c r="I183" s="968">
        <f>H183/M183</f>
        <v/>
      </c>
      <c r="J183" s="968">
        <f>H183/N183</f>
        <v/>
      </c>
      <c r="K183" s="968">
        <f>(H183+Q183)/O183</f>
        <v/>
      </c>
      <c r="L183" s="968">
        <f>(H183+Q183)/P183</f>
        <v/>
      </c>
      <c r="M183" s="199">
        <f>HLOOKUP(C:C,$4:$10,3,FALSE)+((HLOOKUP(D:D,$4:$10,3,FALSE)-HLOOKUP(C:C,$4:$10,3,FALSE))*E183/F183)</f>
        <v/>
      </c>
      <c r="N183" s="199">
        <f>HLOOKUP(C:C,$4:$10,2,FALSE)+((HLOOKUP(D:D,$4:$10,2,FALSE)-HLOOKUP(C:C,$4:$10,2,FALSE))*E183/F183)</f>
        <v/>
      </c>
      <c r="O183" s="199">
        <f>HLOOKUP(C:C,$4:$10,5,FALSE)+((HLOOKUP(D:D,$4:$10,5,FALSE)-HLOOKUP(C:C,$4:$10,5,FALSE))*E183/F183)</f>
        <v/>
      </c>
      <c r="P183" s="199">
        <f>HLOOKUP(C:C,$4:$10,4,FALSE)+((HLOOKUP(D:D,$4:$10,4,FALSE)-HLOOKUP(C:C,$4:$10,4,FALSE))*E183/F183)</f>
        <v/>
      </c>
      <c r="Q183" s="199">
        <f>HLOOKUP(B:B,$4:$10,6,FALSE)+((HLOOKUP(C:C,$4:$10,6,FALSE)-HLOOKUP(B:B,$4:$10,6,FALSE))*E183/F183)</f>
        <v/>
      </c>
      <c r="T183" s="198">
        <f>$G183</f>
        <v/>
      </c>
      <c r="U183" s="199">
        <f>H183/(HLOOKUP(B:B,$4:$10,3,FALSE)+((HLOOKUP(C:C,$4:$10,3,FALSE)-HLOOKUP(B:B,$4:$10,3,FALSE))*E183/F183))</f>
        <v/>
      </c>
      <c r="V183" s="969">
        <f>HLOOKUP(B:B,$4:$10,7,FALSE)+((HLOOKUP(C:C,$4:$10,7,FALSE)-HLOOKUP(B:B,$4:$10,7,FALSE))*E183/F183)</f>
        <v/>
      </c>
      <c r="AB183" s="198">
        <f>$G183</f>
        <v/>
      </c>
      <c r="AC183" s="199">
        <f>$H183</f>
        <v/>
      </c>
      <c r="AD183" s="199">
        <f>$M183*AD$34</f>
        <v/>
      </c>
      <c r="AE183" s="199">
        <f>$M183*AE$34</f>
        <v/>
      </c>
      <c r="AF183" s="199">
        <f>$M183*AF$34</f>
        <v/>
      </c>
      <c r="AG183" s="199">
        <f>$M183*AG$34</f>
        <v/>
      </c>
      <c r="AH183" s="199">
        <f>$M183*AH$34</f>
        <v/>
      </c>
      <c r="AJ183" s="198">
        <f>$G183</f>
        <v/>
      </c>
      <c r="AK183" s="199">
        <f>$H183</f>
        <v/>
      </c>
      <c r="AL183" s="199">
        <f>$N183*AL$34</f>
        <v/>
      </c>
      <c r="AM183" s="199">
        <f>$N183*AM$34</f>
        <v/>
      </c>
      <c r="AN183" s="199">
        <f>$N183*AN$34</f>
        <v/>
      </c>
      <c r="AO183" s="199">
        <f>$N183*AO$34</f>
        <v/>
      </c>
      <c r="AP183" s="199">
        <f>$N183*AP$34</f>
        <v/>
      </c>
      <c r="AR183" s="198">
        <f>$G183</f>
        <v/>
      </c>
      <c r="AS183" s="199">
        <f>$H183</f>
        <v/>
      </c>
      <c r="AT183" s="199">
        <f>$O183*AT$34-$Q183</f>
        <v/>
      </c>
      <c r="AU183" s="199">
        <f>$O183*AU$34-$Q183</f>
        <v/>
      </c>
      <c r="AV183" s="199">
        <f>$O183*AV$34-$Q183</f>
        <v/>
      </c>
      <c r="AW183" s="199">
        <f>$O183*AW$34-$Q183</f>
        <v/>
      </c>
      <c r="AX183" s="199">
        <f>$O183*AX$34-$Q183</f>
        <v/>
      </c>
      <c r="AZ183" s="198">
        <f>$G183</f>
        <v/>
      </c>
      <c r="BA183" s="199">
        <f>$H183</f>
        <v/>
      </c>
      <c r="BB183" s="199">
        <f>$P183*BB$34-$Q183</f>
        <v/>
      </c>
      <c r="BC183" s="199">
        <f>$P183*BC$34-$Q183</f>
        <v/>
      </c>
      <c r="BD183" s="199">
        <f>$P183*BD$34-$Q183</f>
        <v/>
      </c>
      <c r="BE183" s="199">
        <f>$P183*BE$34-$Q183</f>
        <v/>
      </c>
      <c r="BF183" s="199">
        <f>$P183*BF$34-$Q183</f>
        <v/>
      </c>
      <c r="BH183" s="198">
        <f>$G183</f>
        <v/>
      </c>
      <c r="BI183" s="197">
        <f>$I183</f>
        <v/>
      </c>
      <c r="BJ183" s="197">
        <f>+BJ184</f>
        <v/>
      </c>
      <c r="BK183" s="197">
        <f>+BK184</f>
        <v/>
      </c>
      <c r="BL183" s="197">
        <f>+BL184</f>
        <v/>
      </c>
      <c r="BM183" s="197">
        <f>+BM184</f>
        <v/>
      </c>
      <c r="BN183" s="197">
        <f>+BN184</f>
        <v/>
      </c>
      <c r="BP183" s="198">
        <f>$G183</f>
        <v/>
      </c>
      <c r="BQ183" s="197">
        <f>$J183</f>
        <v/>
      </c>
      <c r="BR183" s="197">
        <f>+BR184</f>
        <v/>
      </c>
      <c r="BS183" s="197">
        <f>+BS184</f>
        <v/>
      </c>
      <c r="BT183" s="197">
        <f>+BT184</f>
        <v/>
      </c>
      <c r="BU183" s="197">
        <f>+BU184</f>
        <v/>
      </c>
      <c r="BV183" s="197">
        <f>+BV184</f>
        <v/>
      </c>
      <c r="BX183" s="198">
        <f>$G183</f>
        <v/>
      </c>
      <c r="BY183" s="197">
        <f>$K183</f>
        <v/>
      </c>
      <c r="BZ183" s="197">
        <f>+BZ184</f>
        <v/>
      </c>
      <c r="CA183" s="197">
        <f>+CA184</f>
        <v/>
      </c>
      <c r="CB183" s="197">
        <f>+CB184</f>
        <v/>
      </c>
      <c r="CC183" s="197">
        <f>+CC184</f>
        <v/>
      </c>
      <c r="CD183" s="197">
        <f>+CD184</f>
        <v/>
      </c>
      <c r="CF183" s="198">
        <f>$G183</f>
        <v/>
      </c>
      <c r="CG183" s="197">
        <f>$L183</f>
        <v/>
      </c>
      <c r="CH183" s="197">
        <f>+CH184</f>
        <v/>
      </c>
      <c r="CI183" s="197">
        <f>+CI184</f>
        <v/>
      </c>
      <c r="CJ183" s="197">
        <f>+CJ184</f>
        <v/>
      </c>
      <c r="CK183" s="197">
        <f>+CK184</f>
        <v/>
      </c>
      <c r="CL183" s="197">
        <f>+CL184</f>
        <v/>
      </c>
      <c r="CO183" s="199" t="n"/>
      <c r="CP183" s="199" t="n">
        <v>8.07</v>
      </c>
      <c r="CR183" s="199" t="inlineStr">
        <is>
          <t>#N/A N/A</t>
        </is>
      </c>
      <c r="CS183" s="970" t="n">
        <v>0.96513</v>
      </c>
    </row>
    <row r="184">
      <c r="B184" s="204">
        <f>+C184-1</f>
        <v/>
      </c>
      <c r="C184" s="204">
        <f>IF('bands_A-H_Avg'!$D$9+1&gt;MONTH(G184),YEAR(G184),YEAR(G184)+1)</f>
        <v/>
      </c>
      <c r="D184" s="204">
        <f>+C184+1</f>
        <v/>
      </c>
      <c r="E184" s="203">
        <f>IF(C184&gt;C183,1,E183+1)</f>
        <v/>
      </c>
      <c r="F184" s="203">
        <f>COUNTIF(C:C,C184)</f>
        <v/>
      </c>
      <c r="G184" s="198">
        <f>+G183+7</f>
        <v/>
      </c>
      <c r="H184" s="361">
        <f>IF(ISBLANK(CO184),CP184,SUMPRODUCT(CO$32:CP$32,CO184:CP184))</f>
        <v/>
      </c>
      <c r="I184" s="968">
        <f>H184/M184</f>
        <v/>
      </c>
      <c r="J184" s="968">
        <f>H184/N184</f>
        <v/>
      </c>
      <c r="K184" s="968">
        <f>(H184+Q184)/O184</f>
        <v/>
      </c>
      <c r="L184" s="968">
        <f>(H184+Q184)/P184</f>
        <v/>
      </c>
      <c r="M184" s="199">
        <f>HLOOKUP(C:C,$4:$10,3,FALSE)+((HLOOKUP(D:D,$4:$10,3,FALSE)-HLOOKUP(C:C,$4:$10,3,FALSE))*E184/F184)</f>
        <v/>
      </c>
      <c r="N184" s="199">
        <f>HLOOKUP(C:C,$4:$10,2,FALSE)+((HLOOKUP(D:D,$4:$10,2,FALSE)-HLOOKUP(C:C,$4:$10,2,FALSE))*E184/F184)</f>
        <v/>
      </c>
      <c r="O184" s="199">
        <f>HLOOKUP(C:C,$4:$10,5,FALSE)+((HLOOKUP(D:D,$4:$10,5,FALSE)-HLOOKUP(C:C,$4:$10,5,FALSE))*E184/F184)</f>
        <v/>
      </c>
      <c r="P184" s="199">
        <f>HLOOKUP(C:C,$4:$10,4,FALSE)+((HLOOKUP(D:D,$4:$10,4,FALSE)-HLOOKUP(C:C,$4:$10,4,FALSE))*E184/F184)</f>
        <v/>
      </c>
      <c r="Q184" s="199">
        <f>HLOOKUP(B:B,$4:$10,6,FALSE)+((HLOOKUP(C:C,$4:$10,6,FALSE)-HLOOKUP(B:B,$4:$10,6,FALSE))*E184/F184)</f>
        <v/>
      </c>
      <c r="T184" s="198">
        <f>$G184</f>
        <v/>
      </c>
      <c r="U184" s="199">
        <f>H184/(HLOOKUP(B:B,$4:$10,3,FALSE)+((HLOOKUP(C:C,$4:$10,3,FALSE)-HLOOKUP(B:B,$4:$10,3,FALSE))*E184/F184))</f>
        <v/>
      </c>
      <c r="V184" s="969">
        <f>HLOOKUP(B:B,$4:$10,7,FALSE)+((HLOOKUP(C:C,$4:$10,7,FALSE)-HLOOKUP(B:B,$4:$10,7,FALSE))*E184/F184)</f>
        <v/>
      </c>
      <c r="AB184" s="198">
        <f>$G184</f>
        <v/>
      </c>
      <c r="AC184" s="199">
        <f>$H184</f>
        <v/>
      </c>
      <c r="AD184" s="199">
        <f>$M184*AD$34</f>
        <v/>
      </c>
      <c r="AE184" s="199">
        <f>$M184*AE$34</f>
        <v/>
      </c>
      <c r="AF184" s="199">
        <f>$M184*AF$34</f>
        <v/>
      </c>
      <c r="AG184" s="199">
        <f>$M184*AG$34</f>
        <v/>
      </c>
      <c r="AH184" s="199">
        <f>$M184*AH$34</f>
        <v/>
      </c>
      <c r="AJ184" s="198">
        <f>$G184</f>
        <v/>
      </c>
      <c r="AK184" s="199">
        <f>$H184</f>
        <v/>
      </c>
      <c r="AL184" s="199">
        <f>$N184*AL$34</f>
        <v/>
      </c>
      <c r="AM184" s="199">
        <f>$N184*AM$34</f>
        <v/>
      </c>
      <c r="AN184" s="199">
        <f>$N184*AN$34</f>
        <v/>
      </c>
      <c r="AO184" s="199">
        <f>$N184*AO$34</f>
        <v/>
      </c>
      <c r="AP184" s="199">
        <f>$N184*AP$34</f>
        <v/>
      </c>
      <c r="AR184" s="198">
        <f>$G184</f>
        <v/>
      </c>
      <c r="AS184" s="199">
        <f>$H184</f>
        <v/>
      </c>
      <c r="AT184" s="199">
        <f>$O184*AT$34-$Q184</f>
        <v/>
      </c>
      <c r="AU184" s="199">
        <f>$O184*AU$34-$Q184</f>
        <v/>
      </c>
      <c r="AV184" s="199">
        <f>$O184*AV$34-$Q184</f>
        <v/>
      </c>
      <c r="AW184" s="199">
        <f>$O184*AW$34-$Q184</f>
        <v/>
      </c>
      <c r="AX184" s="199">
        <f>$O184*AX$34-$Q184</f>
        <v/>
      </c>
      <c r="AZ184" s="198">
        <f>$G184</f>
        <v/>
      </c>
      <c r="BA184" s="199">
        <f>$H184</f>
        <v/>
      </c>
      <c r="BB184" s="199">
        <f>$P184*BB$34-$Q184</f>
        <v/>
      </c>
      <c r="BC184" s="199">
        <f>$P184*BC$34-$Q184</f>
        <v/>
      </c>
      <c r="BD184" s="199">
        <f>$P184*BD$34-$Q184</f>
        <v/>
      </c>
      <c r="BE184" s="199">
        <f>$P184*BE$34-$Q184</f>
        <v/>
      </c>
      <c r="BF184" s="199">
        <f>$P184*BF$34-$Q184</f>
        <v/>
      </c>
      <c r="BH184" s="198">
        <f>$G184</f>
        <v/>
      </c>
      <c r="BI184" s="197">
        <f>$I184</f>
        <v/>
      </c>
      <c r="BJ184" s="197">
        <f>+BJ185</f>
        <v/>
      </c>
      <c r="BK184" s="197">
        <f>+BK185</f>
        <v/>
      </c>
      <c r="BL184" s="197">
        <f>+BL185</f>
        <v/>
      </c>
      <c r="BM184" s="197">
        <f>+BM185</f>
        <v/>
      </c>
      <c r="BN184" s="197">
        <f>+BN185</f>
        <v/>
      </c>
      <c r="BP184" s="198">
        <f>$G184</f>
        <v/>
      </c>
      <c r="BQ184" s="197">
        <f>$J184</f>
        <v/>
      </c>
      <c r="BR184" s="197">
        <f>+BR185</f>
        <v/>
      </c>
      <c r="BS184" s="197">
        <f>+BS185</f>
        <v/>
      </c>
      <c r="BT184" s="197">
        <f>+BT185</f>
        <v/>
      </c>
      <c r="BU184" s="197">
        <f>+BU185</f>
        <v/>
      </c>
      <c r="BV184" s="197">
        <f>+BV185</f>
        <v/>
      </c>
      <c r="BX184" s="198">
        <f>$G184</f>
        <v/>
      </c>
      <c r="BY184" s="197">
        <f>$K184</f>
        <v/>
      </c>
      <c r="BZ184" s="197">
        <f>+BZ185</f>
        <v/>
      </c>
      <c r="CA184" s="197">
        <f>+CA185</f>
        <v/>
      </c>
      <c r="CB184" s="197">
        <f>+CB185</f>
        <v/>
      </c>
      <c r="CC184" s="197">
        <f>+CC185</f>
        <v/>
      </c>
      <c r="CD184" s="197">
        <f>+CD185</f>
        <v/>
      </c>
      <c r="CF184" s="198">
        <f>$G184</f>
        <v/>
      </c>
      <c r="CG184" s="197">
        <f>$L184</f>
        <v/>
      </c>
      <c r="CH184" s="197">
        <f>+CH185</f>
        <v/>
      </c>
      <c r="CI184" s="197">
        <f>+CI185</f>
        <v/>
      </c>
      <c r="CJ184" s="197">
        <f>+CJ185</f>
        <v/>
      </c>
      <c r="CK184" s="197">
        <f>+CK185</f>
        <v/>
      </c>
      <c r="CL184" s="197">
        <f>+CL185</f>
        <v/>
      </c>
      <c r="CO184" s="199" t="n"/>
      <c r="CP184" s="199" t="n">
        <v>7.6</v>
      </c>
      <c r="CR184" s="199" t="inlineStr">
        <is>
          <t>#N/A N/A</t>
        </is>
      </c>
      <c r="CS184" s="970" t="n">
        <v>0.96107</v>
      </c>
    </row>
    <row r="185">
      <c r="B185" s="204">
        <f>+C185-1</f>
        <v/>
      </c>
      <c r="C185" s="204">
        <f>IF('bands_A-H_Avg'!$D$9+1&gt;MONTH(G185),YEAR(G185),YEAR(G185)+1)</f>
        <v/>
      </c>
      <c r="D185" s="204">
        <f>+C185+1</f>
        <v/>
      </c>
      <c r="E185" s="203">
        <f>IF(C185&gt;C184,1,E184+1)</f>
        <v/>
      </c>
      <c r="F185" s="203">
        <f>COUNTIF(C:C,C185)</f>
        <v/>
      </c>
      <c r="G185" s="198">
        <f>+G184+7</f>
        <v/>
      </c>
      <c r="H185" s="361">
        <f>IF(ISBLANK(CO185),CP185,SUMPRODUCT(CO$32:CP$32,CO185:CP185))</f>
        <v/>
      </c>
      <c r="I185" s="968">
        <f>H185/M185</f>
        <v/>
      </c>
      <c r="J185" s="968">
        <f>H185/N185</f>
        <v/>
      </c>
      <c r="K185" s="968">
        <f>(H185+Q185)/O185</f>
        <v/>
      </c>
      <c r="L185" s="968">
        <f>(H185+Q185)/P185</f>
        <v/>
      </c>
      <c r="M185" s="199">
        <f>HLOOKUP(C:C,$4:$10,3,FALSE)+((HLOOKUP(D:D,$4:$10,3,FALSE)-HLOOKUP(C:C,$4:$10,3,FALSE))*E185/F185)</f>
        <v/>
      </c>
      <c r="N185" s="199">
        <f>HLOOKUP(C:C,$4:$10,2,FALSE)+((HLOOKUP(D:D,$4:$10,2,FALSE)-HLOOKUP(C:C,$4:$10,2,FALSE))*E185/F185)</f>
        <v/>
      </c>
      <c r="O185" s="199">
        <f>HLOOKUP(C:C,$4:$10,5,FALSE)+((HLOOKUP(D:D,$4:$10,5,FALSE)-HLOOKUP(C:C,$4:$10,5,FALSE))*E185/F185)</f>
        <v/>
      </c>
      <c r="P185" s="199">
        <f>HLOOKUP(C:C,$4:$10,4,FALSE)+((HLOOKUP(D:D,$4:$10,4,FALSE)-HLOOKUP(C:C,$4:$10,4,FALSE))*E185/F185)</f>
        <v/>
      </c>
      <c r="Q185" s="199">
        <f>HLOOKUP(B:B,$4:$10,6,FALSE)+((HLOOKUP(C:C,$4:$10,6,FALSE)-HLOOKUP(B:B,$4:$10,6,FALSE))*E185/F185)</f>
        <v/>
      </c>
      <c r="T185" s="198">
        <f>$G185</f>
        <v/>
      </c>
      <c r="U185" s="199">
        <f>H185/(HLOOKUP(B:B,$4:$10,3,FALSE)+((HLOOKUP(C:C,$4:$10,3,FALSE)-HLOOKUP(B:B,$4:$10,3,FALSE))*E185/F185))</f>
        <v/>
      </c>
      <c r="V185" s="969">
        <f>HLOOKUP(B:B,$4:$10,7,FALSE)+((HLOOKUP(C:C,$4:$10,7,FALSE)-HLOOKUP(B:B,$4:$10,7,FALSE))*E185/F185)</f>
        <v/>
      </c>
      <c r="AB185" s="198">
        <f>$G185</f>
        <v/>
      </c>
      <c r="AC185" s="199">
        <f>$H185</f>
        <v/>
      </c>
      <c r="AD185" s="199">
        <f>$M185*AD$34</f>
        <v/>
      </c>
      <c r="AE185" s="199">
        <f>$M185*AE$34</f>
        <v/>
      </c>
      <c r="AF185" s="199">
        <f>$M185*AF$34</f>
        <v/>
      </c>
      <c r="AG185" s="199">
        <f>$M185*AG$34</f>
        <v/>
      </c>
      <c r="AH185" s="199">
        <f>$M185*AH$34</f>
        <v/>
      </c>
      <c r="AJ185" s="198">
        <f>$G185</f>
        <v/>
      </c>
      <c r="AK185" s="199">
        <f>$H185</f>
        <v/>
      </c>
      <c r="AL185" s="199">
        <f>$N185*AL$34</f>
        <v/>
      </c>
      <c r="AM185" s="199">
        <f>$N185*AM$34</f>
        <v/>
      </c>
      <c r="AN185" s="199">
        <f>$N185*AN$34</f>
        <v/>
      </c>
      <c r="AO185" s="199">
        <f>$N185*AO$34</f>
        <v/>
      </c>
      <c r="AP185" s="199">
        <f>$N185*AP$34</f>
        <v/>
      </c>
      <c r="AR185" s="198">
        <f>$G185</f>
        <v/>
      </c>
      <c r="AS185" s="199">
        <f>$H185</f>
        <v/>
      </c>
      <c r="AT185" s="199">
        <f>$O185*AT$34-$Q185</f>
        <v/>
      </c>
      <c r="AU185" s="199">
        <f>$O185*AU$34-$Q185</f>
        <v/>
      </c>
      <c r="AV185" s="199">
        <f>$O185*AV$34-$Q185</f>
        <v/>
      </c>
      <c r="AW185" s="199">
        <f>$O185*AW$34-$Q185</f>
        <v/>
      </c>
      <c r="AX185" s="199">
        <f>$O185*AX$34-$Q185</f>
        <v/>
      </c>
      <c r="AZ185" s="198">
        <f>$G185</f>
        <v/>
      </c>
      <c r="BA185" s="199">
        <f>$H185</f>
        <v/>
      </c>
      <c r="BB185" s="199">
        <f>$P185*BB$34-$Q185</f>
        <v/>
      </c>
      <c r="BC185" s="199">
        <f>$P185*BC$34-$Q185</f>
        <v/>
      </c>
      <c r="BD185" s="199">
        <f>$P185*BD$34-$Q185</f>
        <v/>
      </c>
      <c r="BE185" s="199">
        <f>$P185*BE$34-$Q185</f>
        <v/>
      </c>
      <c r="BF185" s="199">
        <f>$P185*BF$34-$Q185</f>
        <v/>
      </c>
      <c r="BH185" s="198">
        <f>$G185</f>
        <v/>
      </c>
      <c r="BI185" s="197">
        <f>$I185</f>
        <v/>
      </c>
      <c r="BJ185" s="197">
        <f>+BJ186</f>
        <v/>
      </c>
      <c r="BK185" s="197">
        <f>+BK186</f>
        <v/>
      </c>
      <c r="BL185" s="197">
        <f>+BL186</f>
        <v/>
      </c>
      <c r="BM185" s="197">
        <f>+BM186</f>
        <v/>
      </c>
      <c r="BN185" s="197">
        <f>+BN186</f>
        <v/>
      </c>
      <c r="BP185" s="198">
        <f>$G185</f>
        <v/>
      </c>
      <c r="BQ185" s="197">
        <f>$J185</f>
        <v/>
      </c>
      <c r="BR185" s="197">
        <f>+BR186</f>
        <v/>
      </c>
      <c r="BS185" s="197">
        <f>+BS186</f>
        <v/>
      </c>
      <c r="BT185" s="197">
        <f>+BT186</f>
        <v/>
      </c>
      <c r="BU185" s="197">
        <f>+BU186</f>
        <v/>
      </c>
      <c r="BV185" s="197">
        <f>+BV186</f>
        <v/>
      </c>
      <c r="BX185" s="198">
        <f>$G185</f>
        <v/>
      </c>
      <c r="BY185" s="197">
        <f>$K185</f>
        <v/>
      </c>
      <c r="BZ185" s="197">
        <f>+BZ186</f>
        <v/>
      </c>
      <c r="CA185" s="197">
        <f>+CA186</f>
        <v/>
      </c>
      <c r="CB185" s="197">
        <f>+CB186</f>
        <v/>
      </c>
      <c r="CC185" s="197">
        <f>+CC186</f>
        <v/>
      </c>
      <c r="CD185" s="197">
        <f>+CD186</f>
        <v/>
      </c>
      <c r="CF185" s="198">
        <f>$G185</f>
        <v/>
      </c>
      <c r="CG185" s="197">
        <f>$L185</f>
        <v/>
      </c>
      <c r="CH185" s="197">
        <f>+CH186</f>
        <v/>
      </c>
      <c r="CI185" s="197">
        <f>+CI186</f>
        <v/>
      </c>
      <c r="CJ185" s="197">
        <f>+CJ186</f>
        <v/>
      </c>
      <c r="CK185" s="197">
        <f>+CK186</f>
        <v/>
      </c>
      <c r="CL185" s="197">
        <f>+CL186</f>
        <v/>
      </c>
      <c r="CO185" s="199" t="n"/>
      <c r="CP185" s="199" t="n">
        <v>6.97</v>
      </c>
      <c r="CR185" s="199" t="inlineStr">
        <is>
          <t>#N/A N/A</t>
        </is>
      </c>
      <c r="CS185" s="970" t="n">
        <v>0.95233</v>
      </c>
    </row>
    <row r="186">
      <c r="B186" s="204">
        <f>+C186-1</f>
        <v/>
      </c>
      <c r="C186" s="204">
        <f>IF('bands_A-H_Avg'!$D$9+1&gt;MONTH(G186),YEAR(G186),YEAR(G186)+1)</f>
        <v/>
      </c>
      <c r="D186" s="204">
        <f>+C186+1</f>
        <v/>
      </c>
      <c r="E186" s="203">
        <f>IF(C186&gt;C185,1,E185+1)</f>
        <v/>
      </c>
      <c r="F186" s="203">
        <f>COUNTIF(C:C,C186)</f>
        <v/>
      </c>
      <c r="G186" s="198">
        <f>+G185+7</f>
        <v/>
      </c>
      <c r="H186" s="361">
        <f>IF(ISBLANK(CO186),CP186,SUMPRODUCT(CO$32:CP$32,CO186:CP186))</f>
        <v/>
      </c>
      <c r="I186" s="968">
        <f>H186/M186</f>
        <v/>
      </c>
      <c r="J186" s="968">
        <f>H186/N186</f>
        <v/>
      </c>
      <c r="K186" s="968">
        <f>(H186+Q186)/O186</f>
        <v/>
      </c>
      <c r="L186" s="968">
        <f>(H186+Q186)/P186</f>
        <v/>
      </c>
      <c r="M186" s="199">
        <f>HLOOKUP(C:C,$4:$10,3,FALSE)+((HLOOKUP(D:D,$4:$10,3,FALSE)-HLOOKUP(C:C,$4:$10,3,FALSE))*E186/F186)</f>
        <v/>
      </c>
      <c r="N186" s="199">
        <f>HLOOKUP(C:C,$4:$10,2,FALSE)+((HLOOKUP(D:D,$4:$10,2,FALSE)-HLOOKUP(C:C,$4:$10,2,FALSE))*E186/F186)</f>
        <v/>
      </c>
      <c r="O186" s="199">
        <f>HLOOKUP(C:C,$4:$10,5,FALSE)+((HLOOKUP(D:D,$4:$10,5,FALSE)-HLOOKUP(C:C,$4:$10,5,FALSE))*E186/F186)</f>
        <v/>
      </c>
      <c r="P186" s="199">
        <f>HLOOKUP(C:C,$4:$10,4,FALSE)+((HLOOKUP(D:D,$4:$10,4,FALSE)-HLOOKUP(C:C,$4:$10,4,FALSE))*E186/F186)</f>
        <v/>
      </c>
      <c r="Q186" s="199">
        <f>HLOOKUP(B:B,$4:$10,6,FALSE)+((HLOOKUP(C:C,$4:$10,6,FALSE)-HLOOKUP(B:B,$4:$10,6,FALSE))*E186/F186)</f>
        <v/>
      </c>
      <c r="T186" s="198">
        <f>$G186</f>
        <v/>
      </c>
      <c r="U186" s="199">
        <f>H186/(HLOOKUP(B:B,$4:$10,3,FALSE)+((HLOOKUP(C:C,$4:$10,3,FALSE)-HLOOKUP(B:B,$4:$10,3,FALSE))*E186/F186))</f>
        <v/>
      </c>
      <c r="V186" s="969">
        <f>HLOOKUP(B:B,$4:$10,7,FALSE)+((HLOOKUP(C:C,$4:$10,7,FALSE)-HLOOKUP(B:B,$4:$10,7,FALSE))*E186/F186)</f>
        <v/>
      </c>
      <c r="AB186" s="198">
        <f>$G186</f>
        <v/>
      </c>
      <c r="AC186" s="199">
        <f>$H186</f>
        <v/>
      </c>
      <c r="AD186" s="199">
        <f>$M186*AD$34</f>
        <v/>
      </c>
      <c r="AE186" s="199">
        <f>$M186*AE$34</f>
        <v/>
      </c>
      <c r="AF186" s="199">
        <f>$M186*AF$34</f>
        <v/>
      </c>
      <c r="AG186" s="199">
        <f>$M186*AG$34</f>
        <v/>
      </c>
      <c r="AH186" s="199">
        <f>$M186*AH$34</f>
        <v/>
      </c>
      <c r="AJ186" s="198">
        <f>$G186</f>
        <v/>
      </c>
      <c r="AK186" s="199">
        <f>$H186</f>
        <v/>
      </c>
      <c r="AL186" s="199">
        <f>$N186*AL$34</f>
        <v/>
      </c>
      <c r="AM186" s="199">
        <f>$N186*AM$34</f>
        <v/>
      </c>
      <c r="AN186" s="199">
        <f>$N186*AN$34</f>
        <v/>
      </c>
      <c r="AO186" s="199">
        <f>$N186*AO$34</f>
        <v/>
      </c>
      <c r="AP186" s="199">
        <f>$N186*AP$34</f>
        <v/>
      </c>
      <c r="AR186" s="198">
        <f>$G186</f>
        <v/>
      </c>
      <c r="AS186" s="199">
        <f>$H186</f>
        <v/>
      </c>
      <c r="AT186" s="199">
        <f>$O186*AT$34-$Q186</f>
        <v/>
      </c>
      <c r="AU186" s="199">
        <f>$O186*AU$34-$Q186</f>
        <v/>
      </c>
      <c r="AV186" s="199">
        <f>$O186*AV$34-$Q186</f>
        <v/>
      </c>
      <c r="AW186" s="199">
        <f>$O186*AW$34-$Q186</f>
        <v/>
      </c>
      <c r="AX186" s="199">
        <f>$O186*AX$34-$Q186</f>
        <v/>
      </c>
      <c r="AZ186" s="198">
        <f>$G186</f>
        <v/>
      </c>
      <c r="BA186" s="199">
        <f>$H186</f>
        <v/>
      </c>
      <c r="BB186" s="199">
        <f>$P186*BB$34-$Q186</f>
        <v/>
      </c>
      <c r="BC186" s="199">
        <f>$P186*BC$34-$Q186</f>
        <v/>
      </c>
      <c r="BD186" s="199">
        <f>$P186*BD$34-$Q186</f>
        <v/>
      </c>
      <c r="BE186" s="199">
        <f>$P186*BE$34-$Q186</f>
        <v/>
      </c>
      <c r="BF186" s="199">
        <f>$P186*BF$34-$Q186</f>
        <v/>
      </c>
      <c r="BH186" s="198">
        <f>$G186</f>
        <v/>
      </c>
      <c r="BI186" s="197">
        <f>$I186</f>
        <v/>
      </c>
      <c r="BJ186" s="197">
        <f>+BJ187</f>
        <v/>
      </c>
      <c r="BK186" s="197">
        <f>+BK187</f>
        <v/>
      </c>
      <c r="BL186" s="197">
        <f>+BL187</f>
        <v/>
      </c>
      <c r="BM186" s="197">
        <f>+BM187</f>
        <v/>
      </c>
      <c r="BN186" s="197">
        <f>+BN187</f>
        <v/>
      </c>
      <c r="BP186" s="198">
        <f>$G186</f>
        <v/>
      </c>
      <c r="BQ186" s="197">
        <f>$J186</f>
        <v/>
      </c>
      <c r="BR186" s="197">
        <f>+BR187</f>
        <v/>
      </c>
      <c r="BS186" s="197">
        <f>+BS187</f>
        <v/>
      </c>
      <c r="BT186" s="197">
        <f>+BT187</f>
        <v/>
      </c>
      <c r="BU186" s="197">
        <f>+BU187</f>
        <v/>
      </c>
      <c r="BV186" s="197">
        <f>+BV187</f>
        <v/>
      </c>
      <c r="BX186" s="198">
        <f>$G186</f>
        <v/>
      </c>
      <c r="BY186" s="197">
        <f>$K186</f>
        <v/>
      </c>
      <c r="BZ186" s="197">
        <f>+BZ187</f>
        <v/>
      </c>
      <c r="CA186" s="197">
        <f>+CA187</f>
        <v/>
      </c>
      <c r="CB186" s="197">
        <f>+CB187</f>
        <v/>
      </c>
      <c r="CC186" s="197">
        <f>+CC187</f>
        <v/>
      </c>
      <c r="CD186" s="197">
        <f>+CD187</f>
        <v/>
      </c>
      <c r="CF186" s="198">
        <f>$G186</f>
        <v/>
      </c>
      <c r="CG186" s="197">
        <f>$L186</f>
        <v/>
      </c>
      <c r="CH186" s="197">
        <f>+CH187</f>
        <v/>
      </c>
      <c r="CI186" s="197">
        <f>+CI187</f>
        <v/>
      </c>
      <c r="CJ186" s="197">
        <f>+CJ187</f>
        <v/>
      </c>
      <c r="CK186" s="197">
        <f>+CK187</f>
        <v/>
      </c>
      <c r="CL186" s="197">
        <f>+CL187</f>
        <v/>
      </c>
      <c r="CO186" s="199" t="n"/>
      <c r="CP186" s="199" t="n">
        <v>6.82</v>
      </c>
      <c r="CR186" s="199" t="inlineStr">
        <is>
          <t>#N/A N/A</t>
        </is>
      </c>
      <c r="CS186" s="970" t="n">
        <v>0.95388</v>
      </c>
    </row>
    <row r="187">
      <c r="B187" s="204">
        <f>+C187-1</f>
        <v/>
      </c>
      <c r="C187" s="204">
        <f>IF('bands_A-H_Avg'!$D$9+1&gt;MONTH(G187),YEAR(G187),YEAR(G187)+1)</f>
        <v/>
      </c>
      <c r="D187" s="204">
        <f>+C187+1</f>
        <v/>
      </c>
      <c r="E187" s="203">
        <f>IF(C187&gt;C186,1,E186+1)</f>
        <v/>
      </c>
      <c r="F187" s="203">
        <f>COUNTIF(C:C,C187)</f>
        <v/>
      </c>
      <c r="G187" s="198">
        <f>+G186+7</f>
        <v/>
      </c>
      <c r="H187" s="361">
        <f>IF(ISBLANK(CO187),CP187,SUMPRODUCT(CO$32:CP$32,CO187:CP187))</f>
        <v/>
      </c>
      <c r="I187" s="968">
        <f>H187/M187</f>
        <v/>
      </c>
      <c r="J187" s="968">
        <f>H187/N187</f>
        <v/>
      </c>
      <c r="K187" s="968">
        <f>(H187+Q187)/O187</f>
        <v/>
      </c>
      <c r="L187" s="968">
        <f>(H187+Q187)/P187</f>
        <v/>
      </c>
      <c r="M187" s="199">
        <f>HLOOKUP(C:C,$4:$10,3,FALSE)+((HLOOKUP(D:D,$4:$10,3,FALSE)-HLOOKUP(C:C,$4:$10,3,FALSE))*E187/F187)</f>
        <v/>
      </c>
      <c r="N187" s="199">
        <f>HLOOKUP(C:C,$4:$10,2,FALSE)+((HLOOKUP(D:D,$4:$10,2,FALSE)-HLOOKUP(C:C,$4:$10,2,FALSE))*E187/F187)</f>
        <v/>
      </c>
      <c r="O187" s="199">
        <f>HLOOKUP(C:C,$4:$10,5,FALSE)+((HLOOKUP(D:D,$4:$10,5,FALSE)-HLOOKUP(C:C,$4:$10,5,FALSE))*E187/F187)</f>
        <v/>
      </c>
      <c r="P187" s="199">
        <f>HLOOKUP(C:C,$4:$10,4,FALSE)+((HLOOKUP(D:D,$4:$10,4,FALSE)-HLOOKUP(C:C,$4:$10,4,FALSE))*E187/F187)</f>
        <v/>
      </c>
      <c r="Q187" s="199">
        <f>HLOOKUP(B:B,$4:$10,6,FALSE)+((HLOOKUP(C:C,$4:$10,6,FALSE)-HLOOKUP(B:B,$4:$10,6,FALSE))*E187/F187)</f>
        <v/>
      </c>
      <c r="T187" s="198">
        <f>$G187</f>
        <v/>
      </c>
      <c r="U187" s="199">
        <f>H187/(HLOOKUP(B:B,$4:$10,3,FALSE)+((HLOOKUP(C:C,$4:$10,3,FALSE)-HLOOKUP(B:B,$4:$10,3,FALSE))*E187/F187))</f>
        <v/>
      </c>
      <c r="V187" s="969">
        <f>HLOOKUP(B:B,$4:$10,7,FALSE)+((HLOOKUP(C:C,$4:$10,7,FALSE)-HLOOKUP(B:B,$4:$10,7,FALSE))*E187/F187)</f>
        <v/>
      </c>
      <c r="AB187" s="198">
        <f>$G187</f>
        <v/>
      </c>
      <c r="AC187" s="199">
        <f>$H187</f>
        <v/>
      </c>
      <c r="AD187" s="199">
        <f>$M187*AD$34</f>
        <v/>
      </c>
      <c r="AE187" s="199">
        <f>$M187*AE$34</f>
        <v/>
      </c>
      <c r="AF187" s="199">
        <f>$M187*AF$34</f>
        <v/>
      </c>
      <c r="AG187" s="199">
        <f>$M187*AG$34</f>
        <v/>
      </c>
      <c r="AH187" s="199">
        <f>$M187*AH$34</f>
        <v/>
      </c>
      <c r="AJ187" s="198">
        <f>$G187</f>
        <v/>
      </c>
      <c r="AK187" s="199">
        <f>$H187</f>
        <v/>
      </c>
      <c r="AL187" s="199">
        <f>$N187*AL$34</f>
        <v/>
      </c>
      <c r="AM187" s="199">
        <f>$N187*AM$34</f>
        <v/>
      </c>
      <c r="AN187" s="199">
        <f>$N187*AN$34</f>
        <v/>
      </c>
      <c r="AO187" s="199">
        <f>$N187*AO$34</f>
        <v/>
      </c>
      <c r="AP187" s="199">
        <f>$N187*AP$34</f>
        <v/>
      </c>
      <c r="AR187" s="198">
        <f>$G187</f>
        <v/>
      </c>
      <c r="AS187" s="199">
        <f>$H187</f>
        <v/>
      </c>
      <c r="AT187" s="199">
        <f>$O187*AT$34-$Q187</f>
        <v/>
      </c>
      <c r="AU187" s="199">
        <f>$O187*AU$34-$Q187</f>
        <v/>
      </c>
      <c r="AV187" s="199">
        <f>$O187*AV$34-$Q187</f>
        <v/>
      </c>
      <c r="AW187" s="199">
        <f>$O187*AW$34-$Q187</f>
        <v/>
      </c>
      <c r="AX187" s="199">
        <f>$O187*AX$34-$Q187</f>
        <v/>
      </c>
      <c r="AZ187" s="198">
        <f>$G187</f>
        <v/>
      </c>
      <c r="BA187" s="199">
        <f>$H187</f>
        <v/>
      </c>
      <c r="BB187" s="199">
        <f>$P187*BB$34-$Q187</f>
        <v/>
      </c>
      <c r="BC187" s="199">
        <f>$P187*BC$34-$Q187</f>
        <v/>
      </c>
      <c r="BD187" s="199">
        <f>$P187*BD$34-$Q187</f>
        <v/>
      </c>
      <c r="BE187" s="199">
        <f>$P187*BE$34-$Q187</f>
        <v/>
      </c>
      <c r="BF187" s="199">
        <f>$P187*BF$34-$Q187</f>
        <v/>
      </c>
      <c r="BH187" s="198">
        <f>$G187</f>
        <v/>
      </c>
      <c r="BI187" s="197">
        <f>$I187</f>
        <v/>
      </c>
      <c r="BJ187" s="197">
        <f>+BJ188</f>
        <v/>
      </c>
      <c r="BK187" s="197">
        <f>+BK188</f>
        <v/>
      </c>
      <c r="BL187" s="197">
        <f>+BL188</f>
        <v/>
      </c>
      <c r="BM187" s="197">
        <f>+BM188</f>
        <v/>
      </c>
      <c r="BN187" s="197">
        <f>+BN188</f>
        <v/>
      </c>
      <c r="BP187" s="198">
        <f>$G187</f>
        <v/>
      </c>
      <c r="BQ187" s="197">
        <f>$J187</f>
        <v/>
      </c>
      <c r="BR187" s="197">
        <f>+BR188</f>
        <v/>
      </c>
      <c r="BS187" s="197">
        <f>+BS188</f>
        <v/>
      </c>
      <c r="BT187" s="197">
        <f>+BT188</f>
        <v/>
      </c>
      <c r="BU187" s="197">
        <f>+BU188</f>
        <v/>
      </c>
      <c r="BV187" s="197">
        <f>+BV188</f>
        <v/>
      </c>
      <c r="BX187" s="198">
        <f>$G187</f>
        <v/>
      </c>
      <c r="BY187" s="197">
        <f>$K187</f>
        <v/>
      </c>
      <c r="BZ187" s="197">
        <f>+BZ188</f>
        <v/>
      </c>
      <c r="CA187" s="197">
        <f>+CA188</f>
        <v/>
      </c>
      <c r="CB187" s="197">
        <f>+CB188</f>
        <v/>
      </c>
      <c r="CC187" s="197">
        <f>+CC188</f>
        <v/>
      </c>
      <c r="CD187" s="197">
        <f>+CD188</f>
        <v/>
      </c>
      <c r="CF187" s="198">
        <f>$G187</f>
        <v/>
      </c>
      <c r="CG187" s="197">
        <f>$L187</f>
        <v/>
      </c>
      <c r="CH187" s="197">
        <f>+CH188</f>
        <v/>
      </c>
      <c r="CI187" s="197">
        <f>+CI188</f>
        <v/>
      </c>
      <c r="CJ187" s="197">
        <f>+CJ188</f>
        <v/>
      </c>
      <c r="CK187" s="197">
        <f>+CK188</f>
        <v/>
      </c>
      <c r="CL187" s="197">
        <f>+CL188</f>
        <v/>
      </c>
      <c r="CO187" s="199" t="n"/>
      <c r="CP187" s="199" t="n">
        <v>5.52</v>
      </c>
      <c r="CR187" s="199" t="inlineStr">
        <is>
          <t>#N/A N/A</t>
        </is>
      </c>
      <c r="CS187" s="970" t="n">
        <v>0.95233</v>
      </c>
    </row>
    <row r="188">
      <c r="B188" s="204">
        <f>+C188-1</f>
        <v/>
      </c>
      <c r="C188" s="204">
        <f>IF('bands_A-H_Avg'!$D$9+1&gt;MONTH(G188),YEAR(G188),YEAR(G188)+1)</f>
        <v/>
      </c>
      <c r="D188" s="204">
        <f>+C188+1</f>
        <v/>
      </c>
      <c r="E188" s="203">
        <f>IF(C188&gt;C187,1,E187+1)</f>
        <v/>
      </c>
      <c r="F188" s="203">
        <f>COUNTIF(C:C,C188)</f>
        <v/>
      </c>
      <c r="G188" s="198">
        <f>+G187+7</f>
        <v/>
      </c>
      <c r="H188" s="361">
        <f>IF(ISBLANK(CO188),CP188,SUMPRODUCT(CO$32:CP$32,CO188:CP188))</f>
        <v/>
      </c>
      <c r="I188" s="968">
        <f>H188/M188</f>
        <v/>
      </c>
      <c r="J188" s="968">
        <f>H188/N188</f>
        <v/>
      </c>
      <c r="K188" s="968">
        <f>(H188+Q188)/O188</f>
        <v/>
      </c>
      <c r="L188" s="968">
        <f>(H188+Q188)/P188</f>
        <v/>
      </c>
      <c r="M188" s="199">
        <f>HLOOKUP(C:C,$4:$10,3,FALSE)+((HLOOKUP(D:D,$4:$10,3,FALSE)-HLOOKUP(C:C,$4:$10,3,FALSE))*E188/F188)</f>
        <v/>
      </c>
      <c r="N188" s="199">
        <f>HLOOKUP(C:C,$4:$10,2,FALSE)+((HLOOKUP(D:D,$4:$10,2,FALSE)-HLOOKUP(C:C,$4:$10,2,FALSE))*E188/F188)</f>
        <v/>
      </c>
      <c r="O188" s="199">
        <f>HLOOKUP(C:C,$4:$10,5,FALSE)+((HLOOKUP(D:D,$4:$10,5,FALSE)-HLOOKUP(C:C,$4:$10,5,FALSE))*E188/F188)</f>
        <v/>
      </c>
      <c r="P188" s="199">
        <f>HLOOKUP(C:C,$4:$10,4,FALSE)+((HLOOKUP(D:D,$4:$10,4,FALSE)-HLOOKUP(C:C,$4:$10,4,FALSE))*E188/F188)</f>
        <v/>
      </c>
      <c r="Q188" s="199">
        <f>HLOOKUP(B:B,$4:$10,6,FALSE)+((HLOOKUP(C:C,$4:$10,6,FALSE)-HLOOKUP(B:B,$4:$10,6,FALSE))*E188/F188)</f>
        <v/>
      </c>
      <c r="T188" s="198">
        <f>$G188</f>
        <v/>
      </c>
      <c r="U188" s="199">
        <f>H188/(HLOOKUP(B:B,$4:$10,3,FALSE)+((HLOOKUP(C:C,$4:$10,3,FALSE)-HLOOKUP(B:B,$4:$10,3,FALSE))*E188/F188))</f>
        <v/>
      </c>
      <c r="V188" s="969">
        <f>HLOOKUP(B:B,$4:$10,7,FALSE)+((HLOOKUP(C:C,$4:$10,7,FALSE)-HLOOKUP(B:B,$4:$10,7,FALSE))*E188/F188)</f>
        <v/>
      </c>
      <c r="AB188" s="198">
        <f>$G188</f>
        <v/>
      </c>
      <c r="AC188" s="199">
        <f>$H188</f>
        <v/>
      </c>
      <c r="AD188" s="199">
        <f>$M188*AD$34</f>
        <v/>
      </c>
      <c r="AE188" s="199">
        <f>$M188*AE$34</f>
        <v/>
      </c>
      <c r="AF188" s="199">
        <f>$M188*AF$34</f>
        <v/>
      </c>
      <c r="AG188" s="199">
        <f>$M188*AG$34</f>
        <v/>
      </c>
      <c r="AH188" s="199">
        <f>$M188*AH$34</f>
        <v/>
      </c>
      <c r="AJ188" s="198">
        <f>$G188</f>
        <v/>
      </c>
      <c r="AK188" s="199">
        <f>$H188</f>
        <v/>
      </c>
      <c r="AL188" s="199">
        <f>$N188*AL$34</f>
        <v/>
      </c>
      <c r="AM188" s="199">
        <f>$N188*AM$34</f>
        <v/>
      </c>
      <c r="AN188" s="199">
        <f>$N188*AN$34</f>
        <v/>
      </c>
      <c r="AO188" s="199">
        <f>$N188*AO$34</f>
        <v/>
      </c>
      <c r="AP188" s="199">
        <f>$N188*AP$34</f>
        <v/>
      </c>
      <c r="AR188" s="198">
        <f>$G188</f>
        <v/>
      </c>
      <c r="AS188" s="199">
        <f>$H188</f>
        <v/>
      </c>
      <c r="AT188" s="199">
        <f>$O188*AT$34-$Q188</f>
        <v/>
      </c>
      <c r="AU188" s="199">
        <f>$O188*AU$34-$Q188</f>
        <v/>
      </c>
      <c r="AV188" s="199">
        <f>$O188*AV$34-$Q188</f>
        <v/>
      </c>
      <c r="AW188" s="199">
        <f>$O188*AW$34-$Q188</f>
        <v/>
      </c>
      <c r="AX188" s="199">
        <f>$O188*AX$34-$Q188</f>
        <v/>
      </c>
      <c r="AZ188" s="198">
        <f>$G188</f>
        <v/>
      </c>
      <c r="BA188" s="199">
        <f>$H188</f>
        <v/>
      </c>
      <c r="BB188" s="199">
        <f>$P188*BB$34-$Q188</f>
        <v/>
      </c>
      <c r="BC188" s="199">
        <f>$P188*BC$34-$Q188</f>
        <v/>
      </c>
      <c r="BD188" s="199">
        <f>$P188*BD$34-$Q188</f>
        <v/>
      </c>
      <c r="BE188" s="199">
        <f>$P188*BE$34-$Q188</f>
        <v/>
      </c>
      <c r="BF188" s="199">
        <f>$P188*BF$34-$Q188</f>
        <v/>
      </c>
      <c r="BH188" s="198">
        <f>$G188</f>
        <v/>
      </c>
      <c r="BI188" s="197">
        <f>$I188</f>
        <v/>
      </c>
      <c r="BJ188" s="197">
        <f>+BJ189</f>
        <v/>
      </c>
      <c r="BK188" s="197">
        <f>+BK189</f>
        <v/>
      </c>
      <c r="BL188" s="197">
        <f>+BL189</f>
        <v/>
      </c>
      <c r="BM188" s="197">
        <f>+BM189</f>
        <v/>
      </c>
      <c r="BN188" s="197">
        <f>+BN189</f>
        <v/>
      </c>
      <c r="BP188" s="198">
        <f>$G188</f>
        <v/>
      </c>
      <c r="BQ188" s="197">
        <f>$J188</f>
        <v/>
      </c>
      <c r="BR188" s="197">
        <f>+BR189</f>
        <v/>
      </c>
      <c r="BS188" s="197">
        <f>+BS189</f>
        <v/>
      </c>
      <c r="BT188" s="197">
        <f>+BT189</f>
        <v/>
      </c>
      <c r="BU188" s="197">
        <f>+BU189</f>
        <v/>
      </c>
      <c r="BV188" s="197">
        <f>+BV189</f>
        <v/>
      </c>
      <c r="BX188" s="198">
        <f>$G188</f>
        <v/>
      </c>
      <c r="BY188" s="197">
        <f>$K188</f>
        <v/>
      </c>
      <c r="BZ188" s="197">
        <f>+BZ189</f>
        <v/>
      </c>
      <c r="CA188" s="197">
        <f>+CA189</f>
        <v/>
      </c>
      <c r="CB188" s="197">
        <f>+CB189</f>
        <v/>
      </c>
      <c r="CC188" s="197">
        <f>+CC189</f>
        <v/>
      </c>
      <c r="CD188" s="197">
        <f>+CD189</f>
        <v/>
      </c>
      <c r="CF188" s="198">
        <f>$G188</f>
        <v/>
      </c>
      <c r="CG188" s="197">
        <f>$L188</f>
        <v/>
      </c>
      <c r="CH188" s="197">
        <f>+CH189</f>
        <v/>
      </c>
      <c r="CI188" s="197">
        <f>+CI189</f>
        <v/>
      </c>
      <c r="CJ188" s="197">
        <f>+CJ189</f>
        <v/>
      </c>
      <c r="CK188" s="197">
        <f>+CK189</f>
        <v/>
      </c>
      <c r="CL188" s="197">
        <f>+CL189</f>
        <v/>
      </c>
      <c r="CO188" s="199" t="n"/>
      <c r="CP188" s="199" t="n">
        <v>6.18</v>
      </c>
      <c r="CR188" s="199" t="inlineStr">
        <is>
          <t>#N/A N/A</t>
        </is>
      </c>
      <c r="CS188" s="970" t="n">
        <v>0.95033</v>
      </c>
    </row>
    <row r="189">
      <c r="B189" s="204">
        <f>+C189-1</f>
        <v/>
      </c>
      <c r="C189" s="204">
        <f>IF('bands_A-H_Avg'!$D$9+1&gt;MONTH(G189),YEAR(G189),YEAR(G189)+1)</f>
        <v/>
      </c>
      <c r="D189" s="204">
        <f>+C189+1</f>
        <v/>
      </c>
      <c r="E189" s="203">
        <f>IF(C189&gt;C188,1,E188+1)</f>
        <v/>
      </c>
      <c r="F189" s="203">
        <f>COUNTIF(C:C,C189)</f>
        <v/>
      </c>
      <c r="G189" s="198">
        <f>+G188+7</f>
        <v/>
      </c>
      <c r="H189" s="361">
        <f>IF(ISBLANK(CO189),CP189,SUMPRODUCT(CO$32:CP$32,CO189:CP189))</f>
        <v/>
      </c>
      <c r="I189" s="968">
        <f>H189/M189</f>
        <v/>
      </c>
      <c r="J189" s="968">
        <f>H189/N189</f>
        <v/>
      </c>
      <c r="K189" s="968">
        <f>(H189+Q189)/O189</f>
        <v/>
      </c>
      <c r="L189" s="968">
        <f>(H189+Q189)/P189</f>
        <v/>
      </c>
      <c r="M189" s="199">
        <f>HLOOKUP(C:C,$4:$10,3,FALSE)+((HLOOKUP(D:D,$4:$10,3,FALSE)-HLOOKUP(C:C,$4:$10,3,FALSE))*E189/F189)</f>
        <v/>
      </c>
      <c r="N189" s="199">
        <f>HLOOKUP(C:C,$4:$10,2,FALSE)+((HLOOKUP(D:D,$4:$10,2,FALSE)-HLOOKUP(C:C,$4:$10,2,FALSE))*E189/F189)</f>
        <v/>
      </c>
      <c r="O189" s="199">
        <f>HLOOKUP(C:C,$4:$10,5,FALSE)+((HLOOKUP(D:D,$4:$10,5,FALSE)-HLOOKUP(C:C,$4:$10,5,FALSE))*E189/F189)</f>
        <v/>
      </c>
      <c r="P189" s="199">
        <f>HLOOKUP(C:C,$4:$10,4,FALSE)+((HLOOKUP(D:D,$4:$10,4,FALSE)-HLOOKUP(C:C,$4:$10,4,FALSE))*E189/F189)</f>
        <v/>
      </c>
      <c r="Q189" s="199">
        <f>HLOOKUP(B:B,$4:$10,6,FALSE)+((HLOOKUP(C:C,$4:$10,6,FALSE)-HLOOKUP(B:B,$4:$10,6,FALSE))*E189/F189)</f>
        <v/>
      </c>
      <c r="T189" s="198">
        <f>$G189</f>
        <v/>
      </c>
      <c r="U189" s="199">
        <f>H189/(HLOOKUP(B:B,$4:$10,3,FALSE)+((HLOOKUP(C:C,$4:$10,3,FALSE)-HLOOKUP(B:B,$4:$10,3,FALSE))*E189/F189))</f>
        <v/>
      </c>
      <c r="V189" s="969">
        <f>HLOOKUP(B:B,$4:$10,7,FALSE)+((HLOOKUP(C:C,$4:$10,7,FALSE)-HLOOKUP(B:B,$4:$10,7,FALSE))*E189/F189)</f>
        <v/>
      </c>
      <c r="AB189" s="198">
        <f>$G189</f>
        <v/>
      </c>
      <c r="AC189" s="199">
        <f>$H189</f>
        <v/>
      </c>
      <c r="AD189" s="199">
        <f>$M189*AD$34</f>
        <v/>
      </c>
      <c r="AE189" s="199">
        <f>$M189*AE$34</f>
        <v/>
      </c>
      <c r="AF189" s="199">
        <f>$M189*AF$34</f>
        <v/>
      </c>
      <c r="AG189" s="199">
        <f>$M189*AG$34</f>
        <v/>
      </c>
      <c r="AH189" s="199">
        <f>$M189*AH$34</f>
        <v/>
      </c>
      <c r="AJ189" s="198">
        <f>$G189</f>
        <v/>
      </c>
      <c r="AK189" s="199">
        <f>$H189</f>
        <v/>
      </c>
      <c r="AL189" s="199">
        <f>$N189*AL$34</f>
        <v/>
      </c>
      <c r="AM189" s="199">
        <f>$N189*AM$34</f>
        <v/>
      </c>
      <c r="AN189" s="199">
        <f>$N189*AN$34</f>
        <v/>
      </c>
      <c r="AO189" s="199">
        <f>$N189*AO$34</f>
        <v/>
      </c>
      <c r="AP189" s="199">
        <f>$N189*AP$34</f>
        <v/>
      </c>
      <c r="AR189" s="198">
        <f>$G189</f>
        <v/>
      </c>
      <c r="AS189" s="199">
        <f>$H189</f>
        <v/>
      </c>
      <c r="AT189" s="199">
        <f>$O189*AT$34-$Q189</f>
        <v/>
      </c>
      <c r="AU189" s="199">
        <f>$O189*AU$34-$Q189</f>
        <v/>
      </c>
      <c r="AV189" s="199">
        <f>$O189*AV$34-$Q189</f>
        <v/>
      </c>
      <c r="AW189" s="199">
        <f>$O189*AW$34-$Q189</f>
        <v/>
      </c>
      <c r="AX189" s="199">
        <f>$O189*AX$34-$Q189</f>
        <v/>
      </c>
      <c r="AZ189" s="198">
        <f>$G189</f>
        <v/>
      </c>
      <c r="BA189" s="199">
        <f>$H189</f>
        <v/>
      </c>
      <c r="BB189" s="199">
        <f>$P189*BB$34-$Q189</f>
        <v/>
      </c>
      <c r="BC189" s="199">
        <f>$P189*BC$34-$Q189</f>
        <v/>
      </c>
      <c r="BD189" s="199">
        <f>$P189*BD$34-$Q189</f>
        <v/>
      </c>
      <c r="BE189" s="199">
        <f>$P189*BE$34-$Q189</f>
        <v/>
      </c>
      <c r="BF189" s="199">
        <f>$P189*BF$34-$Q189</f>
        <v/>
      </c>
      <c r="BH189" s="198">
        <f>$G189</f>
        <v/>
      </c>
      <c r="BI189" s="197">
        <f>$I189</f>
        <v/>
      </c>
      <c r="BJ189" s="197">
        <f>+BJ190</f>
        <v/>
      </c>
      <c r="BK189" s="197">
        <f>+BK190</f>
        <v/>
      </c>
      <c r="BL189" s="197">
        <f>+BL190</f>
        <v/>
      </c>
      <c r="BM189" s="197">
        <f>+BM190</f>
        <v/>
      </c>
      <c r="BN189" s="197">
        <f>+BN190</f>
        <v/>
      </c>
      <c r="BP189" s="198">
        <f>$G189</f>
        <v/>
      </c>
      <c r="BQ189" s="197">
        <f>$J189</f>
        <v/>
      </c>
      <c r="BR189" s="197">
        <f>+BR190</f>
        <v/>
      </c>
      <c r="BS189" s="197">
        <f>+BS190</f>
        <v/>
      </c>
      <c r="BT189" s="197">
        <f>+BT190</f>
        <v/>
      </c>
      <c r="BU189" s="197">
        <f>+BU190</f>
        <v/>
      </c>
      <c r="BV189" s="197">
        <f>+BV190</f>
        <v/>
      </c>
      <c r="BX189" s="198">
        <f>$G189</f>
        <v/>
      </c>
      <c r="BY189" s="197">
        <f>$K189</f>
        <v/>
      </c>
      <c r="BZ189" s="197">
        <f>+BZ190</f>
        <v/>
      </c>
      <c r="CA189" s="197">
        <f>+CA190</f>
        <v/>
      </c>
      <c r="CB189" s="197">
        <f>+CB190</f>
        <v/>
      </c>
      <c r="CC189" s="197">
        <f>+CC190</f>
        <v/>
      </c>
      <c r="CD189" s="197">
        <f>+CD190</f>
        <v/>
      </c>
      <c r="CF189" s="198">
        <f>$G189</f>
        <v/>
      </c>
      <c r="CG189" s="197">
        <f>$L189</f>
        <v/>
      </c>
      <c r="CH189" s="197">
        <f>+CH190</f>
        <v/>
      </c>
      <c r="CI189" s="197">
        <f>+CI190</f>
        <v/>
      </c>
      <c r="CJ189" s="197">
        <f>+CJ190</f>
        <v/>
      </c>
      <c r="CK189" s="197">
        <f>+CK190</f>
        <v/>
      </c>
      <c r="CL189" s="197">
        <f>+CL190</f>
        <v/>
      </c>
      <c r="CO189" s="199" t="n"/>
      <c r="CP189" s="199" t="n">
        <v>6.6</v>
      </c>
      <c r="CR189" s="199" t="inlineStr">
        <is>
          <t>#N/A N/A</t>
        </is>
      </c>
      <c r="CS189" s="970" t="n">
        <v>0.94989</v>
      </c>
    </row>
    <row r="190">
      <c r="B190" s="204">
        <f>+C190-1</f>
        <v/>
      </c>
      <c r="C190" s="204">
        <f>IF('bands_A-H_Avg'!$D$9+1&gt;MONTH(G190),YEAR(G190),YEAR(G190)+1)</f>
        <v/>
      </c>
      <c r="D190" s="204">
        <f>+C190+1</f>
        <v/>
      </c>
      <c r="E190" s="203">
        <f>IF(C190&gt;C189,1,E189+1)</f>
        <v/>
      </c>
      <c r="F190" s="203">
        <f>COUNTIF(C:C,C190)</f>
        <v/>
      </c>
      <c r="G190" s="198">
        <f>+G189+7</f>
        <v/>
      </c>
      <c r="H190" s="361">
        <f>IF(ISBLANK(CO190),CP190,SUMPRODUCT(CO$32:CP$32,CO190:CP190))</f>
        <v/>
      </c>
      <c r="I190" s="968">
        <f>H190/M190</f>
        <v/>
      </c>
      <c r="J190" s="968">
        <f>H190/N190</f>
        <v/>
      </c>
      <c r="K190" s="968">
        <f>(H190+Q190)/O190</f>
        <v/>
      </c>
      <c r="L190" s="968">
        <f>(H190+Q190)/P190</f>
        <v/>
      </c>
      <c r="M190" s="199">
        <f>HLOOKUP(C:C,$4:$10,3,FALSE)+((HLOOKUP(D:D,$4:$10,3,FALSE)-HLOOKUP(C:C,$4:$10,3,FALSE))*E190/F190)</f>
        <v/>
      </c>
      <c r="N190" s="199">
        <f>HLOOKUP(C:C,$4:$10,2,FALSE)+((HLOOKUP(D:D,$4:$10,2,FALSE)-HLOOKUP(C:C,$4:$10,2,FALSE))*E190/F190)</f>
        <v/>
      </c>
      <c r="O190" s="199">
        <f>HLOOKUP(C:C,$4:$10,5,FALSE)+((HLOOKUP(D:D,$4:$10,5,FALSE)-HLOOKUP(C:C,$4:$10,5,FALSE))*E190/F190)</f>
        <v/>
      </c>
      <c r="P190" s="199">
        <f>HLOOKUP(C:C,$4:$10,4,FALSE)+((HLOOKUP(D:D,$4:$10,4,FALSE)-HLOOKUP(C:C,$4:$10,4,FALSE))*E190/F190)</f>
        <v/>
      </c>
      <c r="Q190" s="199">
        <f>HLOOKUP(B:B,$4:$10,6,FALSE)+((HLOOKUP(C:C,$4:$10,6,FALSE)-HLOOKUP(B:B,$4:$10,6,FALSE))*E190/F190)</f>
        <v/>
      </c>
      <c r="T190" s="198">
        <f>$G190</f>
        <v/>
      </c>
      <c r="U190" s="199">
        <f>H190/(HLOOKUP(B:B,$4:$10,3,FALSE)+((HLOOKUP(C:C,$4:$10,3,FALSE)-HLOOKUP(B:B,$4:$10,3,FALSE))*E190/F190))</f>
        <v/>
      </c>
      <c r="V190" s="969">
        <f>HLOOKUP(B:B,$4:$10,7,FALSE)+((HLOOKUP(C:C,$4:$10,7,FALSE)-HLOOKUP(B:B,$4:$10,7,FALSE))*E190/F190)</f>
        <v/>
      </c>
      <c r="AB190" s="198">
        <f>$G190</f>
        <v/>
      </c>
      <c r="AC190" s="199">
        <f>$H190</f>
        <v/>
      </c>
      <c r="AD190" s="199">
        <f>$M190*AD$34</f>
        <v/>
      </c>
      <c r="AE190" s="199">
        <f>$M190*AE$34</f>
        <v/>
      </c>
      <c r="AF190" s="199">
        <f>$M190*AF$34</f>
        <v/>
      </c>
      <c r="AG190" s="199">
        <f>$M190*AG$34</f>
        <v/>
      </c>
      <c r="AH190" s="199">
        <f>$M190*AH$34</f>
        <v/>
      </c>
      <c r="AJ190" s="198">
        <f>$G190</f>
        <v/>
      </c>
      <c r="AK190" s="199">
        <f>$H190</f>
        <v/>
      </c>
      <c r="AL190" s="199">
        <f>$N190*AL$34</f>
        <v/>
      </c>
      <c r="AM190" s="199">
        <f>$N190*AM$34</f>
        <v/>
      </c>
      <c r="AN190" s="199">
        <f>$N190*AN$34</f>
        <v/>
      </c>
      <c r="AO190" s="199">
        <f>$N190*AO$34</f>
        <v/>
      </c>
      <c r="AP190" s="199">
        <f>$N190*AP$34</f>
        <v/>
      </c>
      <c r="AR190" s="198">
        <f>$G190</f>
        <v/>
      </c>
      <c r="AS190" s="199">
        <f>$H190</f>
        <v/>
      </c>
      <c r="AT190" s="199">
        <f>$O190*AT$34-$Q190</f>
        <v/>
      </c>
      <c r="AU190" s="199">
        <f>$O190*AU$34-$Q190</f>
        <v/>
      </c>
      <c r="AV190" s="199">
        <f>$O190*AV$34-$Q190</f>
        <v/>
      </c>
      <c r="AW190" s="199">
        <f>$O190*AW$34-$Q190</f>
        <v/>
      </c>
      <c r="AX190" s="199">
        <f>$O190*AX$34-$Q190</f>
        <v/>
      </c>
      <c r="AZ190" s="198">
        <f>$G190</f>
        <v/>
      </c>
      <c r="BA190" s="199">
        <f>$H190</f>
        <v/>
      </c>
      <c r="BB190" s="199">
        <f>$P190*BB$34-$Q190</f>
        <v/>
      </c>
      <c r="BC190" s="199">
        <f>$P190*BC$34-$Q190</f>
        <v/>
      </c>
      <c r="BD190" s="199">
        <f>$P190*BD$34-$Q190</f>
        <v/>
      </c>
      <c r="BE190" s="199">
        <f>$P190*BE$34-$Q190</f>
        <v/>
      </c>
      <c r="BF190" s="199">
        <f>$P190*BF$34-$Q190</f>
        <v/>
      </c>
      <c r="BH190" s="198">
        <f>$G190</f>
        <v/>
      </c>
      <c r="BI190" s="197">
        <f>$I190</f>
        <v/>
      </c>
      <c r="BJ190" s="197">
        <f>+BJ191</f>
        <v/>
      </c>
      <c r="BK190" s="197">
        <f>+BK191</f>
        <v/>
      </c>
      <c r="BL190" s="197">
        <f>+BL191</f>
        <v/>
      </c>
      <c r="BM190" s="197">
        <f>+BM191</f>
        <v/>
      </c>
      <c r="BN190" s="197">
        <f>+BN191</f>
        <v/>
      </c>
      <c r="BP190" s="198">
        <f>$G190</f>
        <v/>
      </c>
      <c r="BQ190" s="197">
        <f>$J190</f>
        <v/>
      </c>
      <c r="BR190" s="197">
        <f>+BR191</f>
        <v/>
      </c>
      <c r="BS190" s="197">
        <f>+BS191</f>
        <v/>
      </c>
      <c r="BT190" s="197">
        <f>+BT191</f>
        <v/>
      </c>
      <c r="BU190" s="197">
        <f>+BU191</f>
        <v/>
      </c>
      <c r="BV190" s="197">
        <f>+BV191</f>
        <v/>
      </c>
      <c r="BX190" s="198">
        <f>$G190</f>
        <v/>
      </c>
      <c r="BY190" s="197">
        <f>$K190</f>
        <v/>
      </c>
      <c r="BZ190" s="197">
        <f>+BZ191</f>
        <v/>
      </c>
      <c r="CA190" s="197">
        <f>+CA191</f>
        <v/>
      </c>
      <c r="CB190" s="197">
        <f>+CB191</f>
        <v/>
      </c>
      <c r="CC190" s="197">
        <f>+CC191</f>
        <v/>
      </c>
      <c r="CD190" s="197">
        <f>+CD191</f>
        <v/>
      </c>
      <c r="CF190" s="198">
        <f>$G190</f>
        <v/>
      </c>
      <c r="CG190" s="197">
        <f>$L190</f>
        <v/>
      </c>
      <c r="CH190" s="197">
        <f>+CH191</f>
        <v/>
      </c>
      <c r="CI190" s="197">
        <f>+CI191</f>
        <v/>
      </c>
      <c r="CJ190" s="197">
        <f>+CJ191</f>
        <v/>
      </c>
      <c r="CK190" s="197">
        <f>+CK191</f>
        <v/>
      </c>
      <c r="CL190" s="197">
        <f>+CL191</f>
        <v/>
      </c>
      <c r="CO190" s="199" t="n"/>
      <c r="CP190" s="199" t="n">
        <v>5.86</v>
      </c>
      <c r="CR190" s="199" t="inlineStr">
        <is>
          <t>#N/A N/A</t>
        </is>
      </c>
      <c r="CS190" s="970" t="n">
        <v>0.94621</v>
      </c>
    </row>
    <row r="191">
      <c r="B191" s="204">
        <f>+C191-1</f>
        <v/>
      </c>
      <c r="C191" s="204">
        <f>IF('bands_A-H_Avg'!$D$9+1&gt;MONTH(G191),YEAR(G191),YEAR(G191)+1)</f>
        <v/>
      </c>
      <c r="D191" s="204">
        <f>+C191+1</f>
        <v/>
      </c>
      <c r="E191" s="203">
        <f>IF(C191&gt;C190,1,E190+1)</f>
        <v/>
      </c>
      <c r="F191" s="203">
        <f>COUNTIF(C:C,C191)</f>
        <v/>
      </c>
      <c r="G191" s="198">
        <f>+G190+7</f>
        <v/>
      </c>
      <c r="H191" s="361">
        <f>IF(ISBLANK(CO191),CP191,SUMPRODUCT(CO$32:CP$32,CO191:CP191))</f>
        <v/>
      </c>
      <c r="I191" s="968">
        <f>H191/M191</f>
        <v/>
      </c>
      <c r="J191" s="968">
        <f>H191/N191</f>
        <v/>
      </c>
      <c r="K191" s="968">
        <f>(H191+Q191)/O191</f>
        <v/>
      </c>
      <c r="L191" s="968">
        <f>(H191+Q191)/P191</f>
        <v/>
      </c>
      <c r="M191" s="199">
        <f>HLOOKUP(C:C,$4:$10,3,FALSE)+((HLOOKUP(D:D,$4:$10,3,FALSE)-HLOOKUP(C:C,$4:$10,3,FALSE))*E191/F191)</f>
        <v/>
      </c>
      <c r="N191" s="199">
        <f>HLOOKUP(C:C,$4:$10,2,FALSE)+((HLOOKUP(D:D,$4:$10,2,FALSE)-HLOOKUP(C:C,$4:$10,2,FALSE))*E191/F191)</f>
        <v/>
      </c>
      <c r="O191" s="199">
        <f>HLOOKUP(C:C,$4:$10,5,FALSE)+((HLOOKUP(D:D,$4:$10,5,FALSE)-HLOOKUP(C:C,$4:$10,5,FALSE))*E191/F191)</f>
        <v/>
      </c>
      <c r="P191" s="199">
        <f>HLOOKUP(C:C,$4:$10,4,FALSE)+((HLOOKUP(D:D,$4:$10,4,FALSE)-HLOOKUP(C:C,$4:$10,4,FALSE))*E191/F191)</f>
        <v/>
      </c>
      <c r="Q191" s="199">
        <f>HLOOKUP(B:B,$4:$10,6,FALSE)+((HLOOKUP(C:C,$4:$10,6,FALSE)-HLOOKUP(B:B,$4:$10,6,FALSE))*E191/F191)</f>
        <v/>
      </c>
      <c r="T191" s="198">
        <f>$G191</f>
        <v/>
      </c>
      <c r="U191" s="199">
        <f>H191/(HLOOKUP(B:B,$4:$10,3,FALSE)+((HLOOKUP(C:C,$4:$10,3,FALSE)-HLOOKUP(B:B,$4:$10,3,FALSE))*E191/F191))</f>
        <v/>
      </c>
      <c r="V191" s="969">
        <f>HLOOKUP(B:B,$4:$10,7,FALSE)+((HLOOKUP(C:C,$4:$10,7,FALSE)-HLOOKUP(B:B,$4:$10,7,FALSE))*E191/F191)</f>
        <v/>
      </c>
      <c r="AB191" s="198">
        <f>$G191</f>
        <v/>
      </c>
      <c r="AC191" s="199">
        <f>$H191</f>
        <v/>
      </c>
      <c r="AD191" s="199">
        <f>$M191*AD$34</f>
        <v/>
      </c>
      <c r="AE191" s="199">
        <f>$M191*AE$34</f>
        <v/>
      </c>
      <c r="AF191" s="199">
        <f>$M191*AF$34</f>
        <v/>
      </c>
      <c r="AG191" s="199">
        <f>$M191*AG$34</f>
        <v/>
      </c>
      <c r="AH191" s="199">
        <f>$M191*AH$34</f>
        <v/>
      </c>
      <c r="AJ191" s="198">
        <f>$G191</f>
        <v/>
      </c>
      <c r="AK191" s="199">
        <f>$H191</f>
        <v/>
      </c>
      <c r="AL191" s="199">
        <f>$N191*AL$34</f>
        <v/>
      </c>
      <c r="AM191" s="199">
        <f>$N191*AM$34</f>
        <v/>
      </c>
      <c r="AN191" s="199">
        <f>$N191*AN$34</f>
        <v/>
      </c>
      <c r="AO191" s="199">
        <f>$N191*AO$34</f>
        <v/>
      </c>
      <c r="AP191" s="199">
        <f>$N191*AP$34</f>
        <v/>
      </c>
      <c r="AR191" s="198">
        <f>$G191</f>
        <v/>
      </c>
      <c r="AS191" s="199">
        <f>$H191</f>
        <v/>
      </c>
      <c r="AT191" s="199">
        <f>$O191*AT$34-$Q191</f>
        <v/>
      </c>
      <c r="AU191" s="199">
        <f>$O191*AU$34-$Q191</f>
        <v/>
      </c>
      <c r="AV191" s="199">
        <f>$O191*AV$34-$Q191</f>
        <v/>
      </c>
      <c r="AW191" s="199">
        <f>$O191*AW$34-$Q191</f>
        <v/>
      </c>
      <c r="AX191" s="199">
        <f>$O191*AX$34-$Q191</f>
        <v/>
      </c>
      <c r="AZ191" s="198">
        <f>$G191</f>
        <v/>
      </c>
      <c r="BA191" s="199">
        <f>$H191</f>
        <v/>
      </c>
      <c r="BB191" s="199">
        <f>$P191*BB$34-$Q191</f>
        <v/>
      </c>
      <c r="BC191" s="199">
        <f>$P191*BC$34-$Q191</f>
        <v/>
      </c>
      <c r="BD191" s="199">
        <f>$P191*BD$34-$Q191</f>
        <v/>
      </c>
      <c r="BE191" s="199">
        <f>$P191*BE$34-$Q191</f>
        <v/>
      </c>
      <c r="BF191" s="199">
        <f>$P191*BF$34-$Q191</f>
        <v/>
      </c>
      <c r="BH191" s="198">
        <f>$G191</f>
        <v/>
      </c>
      <c r="BI191" s="197">
        <f>$I191</f>
        <v/>
      </c>
      <c r="BJ191" s="197">
        <f>+BJ192</f>
        <v/>
      </c>
      <c r="BK191" s="197">
        <f>+BK192</f>
        <v/>
      </c>
      <c r="BL191" s="197">
        <f>+BL192</f>
        <v/>
      </c>
      <c r="BM191" s="197">
        <f>+BM192</f>
        <v/>
      </c>
      <c r="BN191" s="197">
        <f>+BN192</f>
        <v/>
      </c>
      <c r="BP191" s="198">
        <f>$G191</f>
        <v/>
      </c>
      <c r="BQ191" s="197">
        <f>$J191</f>
        <v/>
      </c>
      <c r="BR191" s="197">
        <f>+BR192</f>
        <v/>
      </c>
      <c r="BS191" s="197">
        <f>+BS192</f>
        <v/>
      </c>
      <c r="BT191" s="197">
        <f>+BT192</f>
        <v/>
      </c>
      <c r="BU191" s="197">
        <f>+BU192</f>
        <v/>
      </c>
      <c r="BV191" s="197">
        <f>+BV192</f>
        <v/>
      </c>
      <c r="BX191" s="198">
        <f>$G191</f>
        <v/>
      </c>
      <c r="BY191" s="197">
        <f>$K191</f>
        <v/>
      </c>
      <c r="BZ191" s="197">
        <f>+BZ192</f>
        <v/>
      </c>
      <c r="CA191" s="197">
        <f>+CA192</f>
        <v/>
      </c>
      <c r="CB191" s="197">
        <f>+CB192</f>
        <v/>
      </c>
      <c r="CC191" s="197">
        <f>+CC192</f>
        <v/>
      </c>
      <c r="CD191" s="197">
        <f>+CD192</f>
        <v/>
      </c>
      <c r="CF191" s="198">
        <f>$G191</f>
        <v/>
      </c>
      <c r="CG191" s="197">
        <f>$L191</f>
        <v/>
      </c>
      <c r="CH191" s="197">
        <f>+CH192</f>
        <v/>
      </c>
      <c r="CI191" s="197">
        <f>+CI192</f>
        <v/>
      </c>
      <c r="CJ191" s="197">
        <f>+CJ192</f>
        <v/>
      </c>
      <c r="CK191" s="197">
        <f>+CK192</f>
        <v/>
      </c>
      <c r="CL191" s="197">
        <f>+CL192</f>
        <v/>
      </c>
      <c r="CO191" s="199" t="n"/>
      <c r="CP191" s="199" t="n">
        <v>5.95</v>
      </c>
      <c r="CR191" s="199" t="inlineStr">
        <is>
          <t>#N/A N/A</t>
        </is>
      </c>
      <c r="CS191" s="970" t="n">
        <v>0.94472</v>
      </c>
    </row>
    <row r="192">
      <c r="B192" s="204">
        <f>+C192-1</f>
        <v/>
      </c>
      <c r="C192" s="204">
        <f>IF('bands_A-H_Avg'!$D$9+1&gt;MONTH(G192),YEAR(G192),YEAR(G192)+1)</f>
        <v/>
      </c>
      <c r="D192" s="204">
        <f>+C192+1</f>
        <v/>
      </c>
      <c r="E192" s="203">
        <f>IF(C192&gt;C191,1,E191+1)</f>
        <v/>
      </c>
      <c r="F192" s="203">
        <f>COUNTIF(C:C,C192)</f>
        <v/>
      </c>
      <c r="G192" s="198">
        <f>+G191+7</f>
        <v/>
      </c>
      <c r="H192" s="361">
        <f>IF(ISBLANK(CO192),CP192,SUMPRODUCT(CO$32:CP$32,CO192:CP192))</f>
        <v/>
      </c>
      <c r="I192" s="968">
        <f>H192/M192</f>
        <v/>
      </c>
      <c r="J192" s="968">
        <f>H192/N192</f>
        <v/>
      </c>
      <c r="K192" s="968">
        <f>(H192+Q192)/O192</f>
        <v/>
      </c>
      <c r="L192" s="968">
        <f>(H192+Q192)/P192</f>
        <v/>
      </c>
      <c r="M192" s="199">
        <f>HLOOKUP(C:C,$4:$10,3,FALSE)+((HLOOKUP(D:D,$4:$10,3,FALSE)-HLOOKUP(C:C,$4:$10,3,FALSE))*E192/F192)</f>
        <v/>
      </c>
      <c r="N192" s="199">
        <f>HLOOKUP(C:C,$4:$10,2,FALSE)+((HLOOKUP(D:D,$4:$10,2,FALSE)-HLOOKUP(C:C,$4:$10,2,FALSE))*E192/F192)</f>
        <v/>
      </c>
      <c r="O192" s="199">
        <f>HLOOKUP(C:C,$4:$10,5,FALSE)+((HLOOKUP(D:D,$4:$10,5,FALSE)-HLOOKUP(C:C,$4:$10,5,FALSE))*E192/F192)</f>
        <v/>
      </c>
      <c r="P192" s="199">
        <f>HLOOKUP(C:C,$4:$10,4,FALSE)+((HLOOKUP(D:D,$4:$10,4,FALSE)-HLOOKUP(C:C,$4:$10,4,FALSE))*E192/F192)</f>
        <v/>
      </c>
      <c r="Q192" s="199">
        <f>HLOOKUP(B:B,$4:$10,6,FALSE)+((HLOOKUP(C:C,$4:$10,6,FALSE)-HLOOKUP(B:B,$4:$10,6,FALSE))*E192/F192)</f>
        <v/>
      </c>
      <c r="T192" s="198">
        <f>$G192</f>
        <v/>
      </c>
      <c r="U192" s="199">
        <f>H192/(HLOOKUP(B:B,$4:$10,3,FALSE)+((HLOOKUP(C:C,$4:$10,3,FALSE)-HLOOKUP(B:B,$4:$10,3,FALSE))*E192/F192))</f>
        <v/>
      </c>
      <c r="V192" s="969">
        <f>HLOOKUP(B:B,$4:$10,7,FALSE)+((HLOOKUP(C:C,$4:$10,7,FALSE)-HLOOKUP(B:B,$4:$10,7,FALSE))*E192/F192)</f>
        <v/>
      </c>
      <c r="AB192" s="198">
        <f>$G192</f>
        <v/>
      </c>
      <c r="AC192" s="199">
        <f>$H192</f>
        <v/>
      </c>
      <c r="AD192" s="199">
        <f>$M192*AD$34</f>
        <v/>
      </c>
      <c r="AE192" s="199">
        <f>$M192*AE$34</f>
        <v/>
      </c>
      <c r="AF192" s="199">
        <f>$M192*AF$34</f>
        <v/>
      </c>
      <c r="AG192" s="199">
        <f>$M192*AG$34</f>
        <v/>
      </c>
      <c r="AH192" s="199">
        <f>$M192*AH$34</f>
        <v/>
      </c>
      <c r="AJ192" s="198">
        <f>$G192</f>
        <v/>
      </c>
      <c r="AK192" s="199">
        <f>$H192</f>
        <v/>
      </c>
      <c r="AL192" s="199">
        <f>$N192*AL$34</f>
        <v/>
      </c>
      <c r="AM192" s="199">
        <f>$N192*AM$34</f>
        <v/>
      </c>
      <c r="AN192" s="199">
        <f>$N192*AN$34</f>
        <v/>
      </c>
      <c r="AO192" s="199">
        <f>$N192*AO$34</f>
        <v/>
      </c>
      <c r="AP192" s="199">
        <f>$N192*AP$34</f>
        <v/>
      </c>
      <c r="AR192" s="198">
        <f>$G192</f>
        <v/>
      </c>
      <c r="AS192" s="199">
        <f>$H192</f>
        <v/>
      </c>
      <c r="AT192" s="199">
        <f>$O192*AT$34-$Q192</f>
        <v/>
      </c>
      <c r="AU192" s="199">
        <f>$O192*AU$34-$Q192</f>
        <v/>
      </c>
      <c r="AV192" s="199">
        <f>$O192*AV$34-$Q192</f>
        <v/>
      </c>
      <c r="AW192" s="199">
        <f>$O192*AW$34-$Q192</f>
        <v/>
      </c>
      <c r="AX192" s="199">
        <f>$O192*AX$34-$Q192</f>
        <v/>
      </c>
      <c r="AZ192" s="198">
        <f>$G192</f>
        <v/>
      </c>
      <c r="BA192" s="199">
        <f>$H192</f>
        <v/>
      </c>
      <c r="BB192" s="199">
        <f>$P192*BB$34-$Q192</f>
        <v/>
      </c>
      <c r="BC192" s="199">
        <f>$P192*BC$34-$Q192</f>
        <v/>
      </c>
      <c r="BD192" s="199">
        <f>$P192*BD$34-$Q192</f>
        <v/>
      </c>
      <c r="BE192" s="199">
        <f>$P192*BE$34-$Q192</f>
        <v/>
      </c>
      <c r="BF192" s="199">
        <f>$P192*BF$34-$Q192</f>
        <v/>
      </c>
      <c r="BH192" s="198">
        <f>$G192</f>
        <v/>
      </c>
      <c r="BI192" s="197">
        <f>$I192</f>
        <v/>
      </c>
      <c r="BJ192" s="197">
        <f>+BJ193</f>
        <v/>
      </c>
      <c r="BK192" s="197">
        <f>+BK193</f>
        <v/>
      </c>
      <c r="BL192" s="197">
        <f>+BL193</f>
        <v/>
      </c>
      <c r="BM192" s="197">
        <f>+BM193</f>
        <v/>
      </c>
      <c r="BN192" s="197">
        <f>+BN193</f>
        <v/>
      </c>
      <c r="BP192" s="198">
        <f>$G192</f>
        <v/>
      </c>
      <c r="BQ192" s="197">
        <f>$J192</f>
        <v/>
      </c>
      <c r="BR192" s="197">
        <f>+BR193</f>
        <v/>
      </c>
      <c r="BS192" s="197">
        <f>+BS193</f>
        <v/>
      </c>
      <c r="BT192" s="197">
        <f>+BT193</f>
        <v/>
      </c>
      <c r="BU192" s="197">
        <f>+BU193</f>
        <v/>
      </c>
      <c r="BV192" s="197">
        <f>+BV193</f>
        <v/>
      </c>
      <c r="BX192" s="198">
        <f>$G192</f>
        <v/>
      </c>
      <c r="BY192" s="197">
        <f>$K192</f>
        <v/>
      </c>
      <c r="BZ192" s="197">
        <f>+BZ193</f>
        <v/>
      </c>
      <c r="CA192" s="197">
        <f>+CA193</f>
        <v/>
      </c>
      <c r="CB192" s="197">
        <f>+CB193</f>
        <v/>
      </c>
      <c r="CC192" s="197">
        <f>+CC193</f>
        <v/>
      </c>
      <c r="CD192" s="197">
        <f>+CD193</f>
        <v/>
      </c>
      <c r="CF192" s="198">
        <f>$G192</f>
        <v/>
      </c>
      <c r="CG192" s="197">
        <f>$L192</f>
        <v/>
      </c>
      <c r="CH192" s="197">
        <f>+CH193</f>
        <v/>
      </c>
      <c r="CI192" s="197">
        <f>+CI193</f>
        <v/>
      </c>
      <c r="CJ192" s="197">
        <f>+CJ193</f>
        <v/>
      </c>
      <c r="CK192" s="197">
        <f>+CK193</f>
        <v/>
      </c>
      <c r="CL192" s="197">
        <f>+CL193</f>
        <v/>
      </c>
      <c r="CO192" s="199" t="n"/>
      <c r="CP192" s="199" t="n">
        <v>6.6</v>
      </c>
      <c r="CR192" s="199" t="inlineStr">
        <is>
          <t>#N/A N/A</t>
        </is>
      </c>
      <c r="CS192" s="970" t="n">
        <v>0.93596</v>
      </c>
    </row>
    <row r="193">
      <c r="B193" s="204">
        <f>+C193-1</f>
        <v/>
      </c>
      <c r="C193" s="204">
        <f>IF('bands_A-H_Avg'!$D$9+1&gt;MONTH(G193),YEAR(G193),YEAR(G193)+1)</f>
        <v/>
      </c>
      <c r="D193" s="204">
        <f>+C193+1</f>
        <v/>
      </c>
      <c r="E193" s="203">
        <f>IF(C193&gt;C192,1,E192+1)</f>
        <v/>
      </c>
      <c r="F193" s="203">
        <f>COUNTIF(C:C,C193)</f>
        <v/>
      </c>
      <c r="G193" s="198">
        <f>+G192+7</f>
        <v/>
      </c>
      <c r="H193" s="361">
        <f>IF(ISBLANK(CO193),CP193,SUMPRODUCT(CO$32:CP$32,CO193:CP193))</f>
        <v/>
      </c>
      <c r="I193" s="968">
        <f>H193/M193</f>
        <v/>
      </c>
      <c r="J193" s="968">
        <f>H193/N193</f>
        <v/>
      </c>
      <c r="K193" s="968">
        <f>(H193+Q193)/O193</f>
        <v/>
      </c>
      <c r="L193" s="968">
        <f>(H193+Q193)/P193</f>
        <v/>
      </c>
      <c r="M193" s="199">
        <f>HLOOKUP(C:C,$4:$10,3,FALSE)+((HLOOKUP(D:D,$4:$10,3,FALSE)-HLOOKUP(C:C,$4:$10,3,FALSE))*E193/F193)</f>
        <v/>
      </c>
      <c r="N193" s="199">
        <f>HLOOKUP(C:C,$4:$10,2,FALSE)+((HLOOKUP(D:D,$4:$10,2,FALSE)-HLOOKUP(C:C,$4:$10,2,FALSE))*E193/F193)</f>
        <v/>
      </c>
      <c r="O193" s="199">
        <f>HLOOKUP(C:C,$4:$10,5,FALSE)+((HLOOKUP(D:D,$4:$10,5,FALSE)-HLOOKUP(C:C,$4:$10,5,FALSE))*E193/F193)</f>
        <v/>
      </c>
      <c r="P193" s="199">
        <f>HLOOKUP(C:C,$4:$10,4,FALSE)+((HLOOKUP(D:D,$4:$10,4,FALSE)-HLOOKUP(C:C,$4:$10,4,FALSE))*E193/F193)</f>
        <v/>
      </c>
      <c r="Q193" s="199">
        <f>HLOOKUP(B:B,$4:$10,6,FALSE)+((HLOOKUP(C:C,$4:$10,6,FALSE)-HLOOKUP(B:B,$4:$10,6,FALSE))*E193/F193)</f>
        <v/>
      </c>
      <c r="T193" s="198">
        <f>$G193</f>
        <v/>
      </c>
      <c r="U193" s="199">
        <f>H193/(HLOOKUP(B:B,$4:$10,3,FALSE)+((HLOOKUP(C:C,$4:$10,3,FALSE)-HLOOKUP(B:B,$4:$10,3,FALSE))*E193/F193))</f>
        <v/>
      </c>
      <c r="V193" s="969">
        <f>HLOOKUP(B:B,$4:$10,7,FALSE)+((HLOOKUP(C:C,$4:$10,7,FALSE)-HLOOKUP(B:B,$4:$10,7,FALSE))*E193/F193)</f>
        <v/>
      </c>
      <c r="AB193" s="198">
        <f>$G193</f>
        <v/>
      </c>
      <c r="AC193" s="199">
        <f>$H193</f>
        <v/>
      </c>
      <c r="AD193" s="199">
        <f>$M193*AD$34</f>
        <v/>
      </c>
      <c r="AE193" s="199">
        <f>$M193*AE$34</f>
        <v/>
      </c>
      <c r="AF193" s="199">
        <f>$M193*AF$34</f>
        <v/>
      </c>
      <c r="AG193" s="199">
        <f>$M193*AG$34</f>
        <v/>
      </c>
      <c r="AH193" s="199">
        <f>$M193*AH$34</f>
        <v/>
      </c>
      <c r="AJ193" s="198">
        <f>$G193</f>
        <v/>
      </c>
      <c r="AK193" s="199">
        <f>$H193</f>
        <v/>
      </c>
      <c r="AL193" s="199">
        <f>$N193*AL$34</f>
        <v/>
      </c>
      <c r="AM193" s="199">
        <f>$N193*AM$34</f>
        <v/>
      </c>
      <c r="AN193" s="199">
        <f>$N193*AN$34</f>
        <v/>
      </c>
      <c r="AO193" s="199">
        <f>$N193*AO$34</f>
        <v/>
      </c>
      <c r="AP193" s="199">
        <f>$N193*AP$34</f>
        <v/>
      </c>
      <c r="AR193" s="198">
        <f>$G193</f>
        <v/>
      </c>
      <c r="AS193" s="199">
        <f>$H193</f>
        <v/>
      </c>
      <c r="AT193" s="199">
        <f>$O193*AT$34-$Q193</f>
        <v/>
      </c>
      <c r="AU193" s="199">
        <f>$O193*AU$34-$Q193</f>
        <v/>
      </c>
      <c r="AV193" s="199">
        <f>$O193*AV$34-$Q193</f>
        <v/>
      </c>
      <c r="AW193" s="199">
        <f>$O193*AW$34-$Q193</f>
        <v/>
      </c>
      <c r="AX193" s="199">
        <f>$O193*AX$34-$Q193</f>
        <v/>
      </c>
      <c r="AZ193" s="198">
        <f>$G193</f>
        <v/>
      </c>
      <c r="BA193" s="199">
        <f>$H193</f>
        <v/>
      </c>
      <c r="BB193" s="199">
        <f>$P193*BB$34-$Q193</f>
        <v/>
      </c>
      <c r="BC193" s="199">
        <f>$P193*BC$34-$Q193</f>
        <v/>
      </c>
      <c r="BD193" s="199">
        <f>$P193*BD$34-$Q193</f>
        <v/>
      </c>
      <c r="BE193" s="199">
        <f>$P193*BE$34-$Q193</f>
        <v/>
      </c>
      <c r="BF193" s="199">
        <f>$P193*BF$34-$Q193</f>
        <v/>
      </c>
      <c r="BH193" s="198">
        <f>$G193</f>
        <v/>
      </c>
      <c r="BI193" s="197">
        <f>$I193</f>
        <v/>
      </c>
      <c r="BJ193" s="197">
        <f>+BJ194</f>
        <v/>
      </c>
      <c r="BK193" s="197">
        <f>+BK194</f>
        <v/>
      </c>
      <c r="BL193" s="197">
        <f>+BL194</f>
        <v/>
      </c>
      <c r="BM193" s="197">
        <f>+BM194</f>
        <v/>
      </c>
      <c r="BN193" s="197">
        <f>+BN194</f>
        <v/>
      </c>
      <c r="BP193" s="198">
        <f>$G193</f>
        <v/>
      </c>
      <c r="BQ193" s="197">
        <f>$J193</f>
        <v/>
      </c>
      <c r="BR193" s="197">
        <f>+BR194</f>
        <v/>
      </c>
      <c r="BS193" s="197">
        <f>+BS194</f>
        <v/>
      </c>
      <c r="BT193" s="197">
        <f>+BT194</f>
        <v/>
      </c>
      <c r="BU193" s="197">
        <f>+BU194</f>
        <v/>
      </c>
      <c r="BV193" s="197">
        <f>+BV194</f>
        <v/>
      </c>
      <c r="BX193" s="198">
        <f>$G193</f>
        <v/>
      </c>
      <c r="BY193" s="197">
        <f>$K193</f>
        <v/>
      </c>
      <c r="BZ193" s="197">
        <f>+BZ194</f>
        <v/>
      </c>
      <c r="CA193" s="197">
        <f>+CA194</f>
        <v/>
      </c>
      <c r="CB193" s="197">
        <f>+CB194</f>
        <v/>
      </c>
      <c r="CC193" s="197">
        <f>+CC194</f>
        <v/>
      </c>
      <c r="CD193" s="197">
        <f>+CD194</f>
        <v/>
      </c>
      <c r="CF193" s="198">
        <f>$G193</f>
        <v/>
      </c>
      <c r="CG193" s="197">
        <f>$L193</f>
        <v/>
      </c>
      <c r="CH193" s="197">
        <f>+CH194</f>
        <v/>
      </c>
      <c r="CI193" s="197">
        <f>+CI194</f>
        <v/>
      </c>
      <c r="CJ193" s="197">
        <f>+CJ194</f>
        <v/>
      </c>
      <c r="CK193" s="197">
        <f>+CK194</f>
        <v/>
      </c>
      <c r="CL193" s="197">
        <f>+CL194</f>
        <v/>
      </c>
      <c r="CO193" s="199" t="n"/>
      <c r="CP193" s="199" t="n">
        <v>6.61</v>
      </c>
      <c r="CR193" s="199" t="inlineStr">
        <is>
          <t>#N/A N/A</t>
        </is>
      </c>
      <c r="CS193" s="970" t="n">
        <v>0.9323900000000001</v>
      </c>
    </row>
    <row r="194">
      <c r="B194" s="204">
        <f>+C194-1</f>
        <v/>
      </c>
      <c r="C194" s="204">
        <f>IF('bands_A-H_Avg'!$D$9+1&gt;MONTH(G194),YEAR(G194),YEAR(G194)+1)</f>
        <v/>
      </c>
      <c r="D194" s="204">
        <f>+C194+1</f>
        <v/>
      </c>
      <c r="E194" s="203">
        <f>IF(C194&gt;C193,1,E193+1)</f>
        <v/>
      </c>
      <c r="F194" s="203">
        <f>COUNTIF(C:C,C194)</f>
        <v/>
      </c>
      <c r="G194" s="198">
        <f>+G193+7</f>
        <v/>
      </c>
      <c r="H194" s="361">
        <f>IF(ISBLANK(CO194),CP194,SUMPRODUCT(CO$32:CP$32,CO194:CP194))</f>
        <v/>
      </c>
      <c r="I194" s="968">
        <f>H194/M194</f>
        <v/>
      </c>
      <c r="J194" s="968">
        <f>H194/N194</f>
        <v/>
      </c>
      <c r="K194" s="968">
        <f>(H194+Q194)/O194</f>
        <v/>
      </c>
      <c r="L194" s="968">
        <f>(H194+Q194)/P194</f>
        <v/>
      </c>
      <c r="M194" s="199">
        <f>HLOOKUP(C:C,$4:$10,3,FALSE)+((HLOOKUP(D:D,$4:$10,3,FALSE)-HLOOKUP(C:C,$4:$10,3,FALSE))*E194/F194)</f>
        <v/>
      </c>
      <c r="N194" s="199">
        <f>HLOOKUP(C:C,$4:$10,2,FALSE)+((HLOOKUP(D:D,$4:$10,2,FALSE)-HLOOKUP(C:C,$4:$10,2,FALSE))*E194/F194)</f>
        <v/>
      </c>
      <c r="O194" s="199">
        <f>HLOOKUP(C:C,$4:$10,5,FALSE)+((HLOOKUP(D:D,$4:$10,5,FALSE)-HLOOKUP(C:C,$4:$10,5,FALSE))*E194/F194)</f>
        <v/>
      </c>
      <c r="P194" s="199">
        <f>HLOOKUP(C:C,$4:$10,4,FALSE)+((HLOOKUP(D:D,$4:$10,4,FALSE)-HLOOKUP(C:C,$4:$10,4,FALSE))*E194/F194)</f>
        <v/>
      </c>
      <c r="Q194" s="199">
        <f>HLOOKUP(B:B,$4:$10,6,FALSE)+((HLOOKUP(C:C,$4:$10,6,FALSE)-HLOOKUP(B:B,$4:$10,6,FALSE))*E194/F194)</f>
        <v/>
      </c>
      <c r="T194" s="198">
        <f>$G194</f>
        <v/>
      </c>
      <c r="U194" s="199">
        <f>H194/(HLOOKUP(B:B,$4:$10,3,FALSE)+((HLOOKUP(C:C,$4:$10,3,FALSE)-HLOOKUP(B:B,$4:$10,3,FALSE))*E194/F194))</f>
        <v/>
      </c>
      <c r="V194" s="969">
        <f>HLOOKUP(B:B,$4:$10,7,FALSE)+((HLOOKUP(C:C,$4:$10,7,FALSE)-HLOOKUP(B:B,$4:$10,7,FALSE))*E194/F194)</f>
        <v/>
      </c>
      <c r="AB194" s="198">
        <f>$G194</f>
        <v/>
      </c>
      <c r="AC194" s="199">
        <f>$H194</f>
        <v/>
      </c>
      <c r="AD194" s="199">
        <f>$M194*AD$34</f>
        <v/>
      </c>
      <c r="AE194" s="199">
        <f>$M194*AE$34</f>
        <v/>
      </c>
      <c r="AF194" s="199">
        <f>$M194*AF$34</f>
        <v/>
      </c>
      <c r="AG194" s="199">
        <f>$M194*AG$34</f>
        <v/>
      </c>
      <c r="AH194" s="199">
        <f>$M194*AH$34</f>
        <v/>
      </c>
      <c r="AJ194" s="198">
        <f>$G194</f>
        <v/>
      </c>
      <c r="AK194" s="199">
        <f>$H194</f>
        <v/>
      </c>
      <c r="AL194" s="199">
        <f>$N194*AL$34</f>
        <v/>
      </c>
      <c r="AM194" s="199">
        <f>$N194*AM$34</f>
        <v/>
      </c>
      <c r="AN194" s="199">
        <f>$N194*AN$34</f>
        <v/>
      </c>
      <c r="AO194" s="199">
        <f>$N194*AO$34</f>
        <v/>
      </c>
      <c r="AP194" s="199">
        <f>$N194*AP$34</f>
        <v/>
      </c>
      <c r="AR194" s="198">
        <f>$G194</f>
        <v/>
      </c>
      <c r="AS194" s="199">
        <f>$H194</f>
        <v/>
      </c>
      <c r="AT194" s="199">
        <f>$O194*AT$34-$Q194</f>
        <v/>
      </c>
      <c r="AU194" s="199">
        <f>$O194*AU$34-$Q194</f>
        <v/>
      </c>
      <c r="AV194" s="199">
        <f>$O194*AV$34-$Q194</f>
        <v/>
      </c>
      <c r="AW194" s="199">
        <f>$O194*AW$34-$Q194</f>
        <v/>
      </c>
      <c r="AX194" s="199">
        <f>$O194*AX$34-$Q194</f>
        <v/>
      </c>
      <c r="AZ194" s="198">
        <f>$G194</f>
        <v/>
      </c>
      <c r="BA194" s="199">
        <f>$H194</f>
        <v/>
      </c>
      <c r="BB194" s="199">
        <f>$P194*BB$34-$Q194</f>
        <v/>
      </c>
      <c r="BC194" s="199">
        <f>$P194*BC$34-$Q194</f>
        <v/>
      </c>
      <c r="BD194" s="199">
        <f>$P194*BD$34-$Q194</f>
        <v/>
      </c>
      <c r="BE194" s="199">
        <f>$P194*BE$34-$Q194</f>
        <v/>
      </c>
      <c r="BF194" s="199">
        <f>$P194*BF$34-$Q194</f>
        <v/>
      </c>
      <c r="BH194" s="198">
        <f>$G194</f>
        <v/>
      </c>
      <c r="BI194" s="197">
        <f>$I194</f>
        <v/>
      </c>
      <c r="BJ194" s="197">
        <f>+BJ195</f>
        <v/>
      </c>
      <c r="BK194" s="197">
        <f>+BK195</f>
        <v/>
      </c>
      <c r="BL194" s="197">
        <f>+BL195</f>
        <v/>
      </c>
      <c r="BM194" s="197">
        <f>+BM195</f>
        <v/>
      </c>
      <c r="BN194" s="197">
        <f>+BN195</f>
        <v/>
      </c>
      <c r="BP194" s="198">
        <f>$G194</f>
        <v/>
      </c>
      <c r="BQ194" s="197">
        <f>$J194</f>
        <v/>
      </c>
      <c r="BR194" s="197">
        <f>+BR195</f>
        <v/>
      </c>
      <c r="BS194" s="197">
        <f>+BS195</f>
        <v/>
      </c>
      <c r="BT194" s="197">
        <f>+BT195</f>
        <v/>
      </c>
      <c r="BU194" s="197">
        <f>+BU195</f>
        <v/>
      </c>
      <c r="BV194" s="197">
        <f>+BV195</f>
        <v/>
      </c>
      <c r="BX194" s="198">
        <f>$G194</f>
        <v/>
      </c>
      <c r="BY194" s="197">
        <f>$K194</f>
        <v/>
      </c>
      <c r="BZ194" s="197">
        <f>+BZ195</f>
        <v/>
      </c>
      <c r="CA194" s="197">
        <f>+CA195</f>
        <v/>
      </c>
      <c r="CB194" s="197">
        <f>+CB195</f>
        <v/>
      </c>
      <c r="CC194" s="197">
        <f>+CC195</f>
        <v/>
      </c>
      <c r="CD194" s="197">
        <f>+CD195</f>
        <v/>
      </c>
      <c r="CF194" s="198">
        <f>$G194</f>
        <v/>
      </c>
      <c r="CG194" s="197">
        <f>$L194</f>
        <v/>
      </c>
      <c r="CH194" s="197">
        <f>+CH195</f>
        <v/>
      </c>
      <c r="CI194" s="197">
        <f>+CI195</f>
        <v/>
      </c>
      <c r="CJ194" s="197">
        <f>+CJ195</f>
        <v/>
      </c>
      <c r="CK194" s="197">
        <f>+CK195</f>
        <v/>
      </c>
      <c r="CL194" s="197">
        <f>+CL195</f>
        <v/>
      </c>
      <c r="CO194" s="199" t="n"/>
      <c r="CP194" s="199" t="n">
        <v>7.12</v>
      </c>
      <c r="CR194" s="199" t="inlineStr">
        <is>
          <t>#N/A N/A</t>
        </is>
      </c>
      <c r="CS194" s="970" t="n">
        <v>0.93027</v>
      </c>
    </row>
    <row r="195">
      <c r="B195" s="204">
        <f>+C195-1</f>
        <v/>
      </c>
      <c r="C195" s="204">
        <f>IF('bands_A-H_Avg'!$D$9+1&gt;MONTH(G195),YEAR(G195),YEAR(G195)+1)</f>
        <v/>
      </c>
      <c r="D195" s="204">
        <f>+C195+1</f>
        <v/>
      </c>
      <c r="E195" s="203">
        <f>IF(C195&gt;C194,1,E194+1)</f>
        <v/>
      </c>
      <c r="F195" s="203">
        <f>COUNTIF(C:C,C195)</f>
        <v/>
      </c>
      <c r="G195" s="198">
        <f>+G194+7</f>
        <v/>
      </c>
      <c r="H195" s="361">
        <f>IF(ISBLANK(CO195),CP195,SUMPRODUCT(CO$32:CP$32,CO195:CP195))</f>
        <v/>
      </c>
      <c r="I195" s="968">
        <f>H195/M195</f>
        <v/>
      </c>
      <c r="J195" s="968">
        <f>H195/N195</f>
        <v/>
      </c>
      <c r="K195" s="968">
        <f>(H195+Q195)/O195</f>
        <v/>
      </c>
      <c r="L195" s="968">
        <f>(H195+Q195)/P195</f>
        <v/>
      </c>
      <c r="M195" s="199">
        <f>HLOOKUP(C:C,$4:$10,3,FALSE)+((HLOOKUP(D:D,$4:$10,3,FALSE)-HLOOKUP(C:C,$4:$10,3,FALSE))*E195/F195)</f>
        <v/>
      </c>
      <c r="N195" s="199">
        <f>HLOOKUP(C:C,$4:$10,2,FALSE)+((HLOOKUP(D:D,$4:$10,2,FALSE)-HLOOKUP(C:C,$4:$10,2,FALSE))*E195/F195)</f>
        <v/>
      </c>
      <c r="O195" s="199">
        <f>HLOOKUP(C:C,$4:$10,5,FALSE)+((HLOOKUP(D:D,$4:$10,5,FALSE)-HLOOKUP(C:C,$4:$10,5,FALSE))*E195/F195)</f>
        <v/>
      </c>
      <c r="P195" s="199">
        <f>HLOOKUP(C:C,$4:$10,4,FALSE)+((HLOOKUP(D:D,$4:$10,4,FALSE)-HLOOKUP(C:C,$4:$10,4,FALSE))*E195/F195)</f>
        <v/>
      </c>
      <c r="Q195" s="199">
        <f>HLOOKUP(B:B,$4:$10,6,FALSE)+((HLOOKUP(C:C,$4:$10,6,FALSE)-HLOOKUP(B:B,$4:$10,6,FALSE))*E195/F195)</f>
        <v/>
      </c>
      <c r="T195" s="198">
        <f>$G195</f>
        <v/>
      </c>
      <c r="U195" s="199">
        <f>H195/(HLOOKUP(B:B,$4:$10,3,FALSE)+((HLOOKUP(C:C,$4:$10,3,FALSE)-HLOOKUP(B:B,$4:$10,3,FALSE))*E195/F195))</f>
        <v/>
      </c>
      <c r="V195" s="969">
        <f>HLOOKUP(B:B,$4:$10,7,FALSE)+((HLOOKUP(C:C,$4:$10,7,FALSE)-HLOOKUP(B:B,$4:$10,7,FALSE))*E195/F195)</f>
        <v/>
      </c>
      <c r="AB195" s="198">
        <f>$G195</f>
        <v/>
      </c>
      <c r="AC195" s="199">
        <f>$H195</f>
        <v/>
      </c>
      <c r="AD195" s="199">
        <f>$M195*AD$34</f>
        <v/>
      </c>
      <c r="AE195" s="199">
        <f>$M195*AE$34</f>
        <v/>
      </c>
      <c r="AF195" s="199">
        <f>$M195*AF$34</f>
        <v/>
      </c>
      <c r="AG195" s="199">
        <f>$M195*AG$34</f>
        <v/>
      </c>
      <c r="AH195" s="199">
        <f>$M195*AH$34</f>
        <v/>
      </c>
      <c r="AJ195" s="198">
        <f>$G195</f>
        <v/>
      </c>
      <c r="AK195" s="199">
        <f>$H195</f>
        <v/>
      </c>
      <c r="AL195" s="199">
        <f>$N195*AL$34</f>
        <v/>
      </c>
      <c r="AM195" s="199">
        <f>$N195*AM$34</f>
        <v/>
      </c>
      <c r="AN195" s="199">
        <f>$N195*AN$34</f>
        <v/>
      </c>
      <c r="AO195" s="199">
        <f>$N195*AO$34</f>
        <v/>
      </c>
      <c r="AP195" s="199">
        <f>$N195*AP$34</f>
        <v/>
      </c>
      <c r="AR195" s="198">
        <f>$G195</f>
        <v/>
      </c>
      <c r="AS195" s="199">
        <f>$H195</f>
        <v/>
      </c>
      <c r="AT195" s="199">
        <f>$O195*AT$34-$Q195</f>
        <v/>
      </c>
      <c r="AU195" s="199">
        <f>$O195*AU$34-$Q195</f>
        <v/>
      </c>
      <c r="AV195" s="199">
        <f>$O195*AV$34-$Q195</f>
        <v/>
      </c>
      <c r="AW195" s="199">
        <f>$O195*AW$34-$Q195</f>
        <v/>
      </c>
      <c r="AX195" s="199">
        <f>$O195*AX$34-$Q195</f>
        <v/>
      </c>
      <c r="AZ195" s="198">
        <f>$G195</f>
        <v/>
      </c>
      <c r="BA195" s="199">
        <f>$H195</f>
        <v/>
      </c>
      <c r="BB195" s="199">
        <f>$P195*BB$34-$Q195</f>
        <v/>
      </c>
      <c r="BC195" s="199">
        <f>$P195*BC$34-$Q195</f>
        <v/>
      </c>
      <c r="BD195" s="199">
        <f>$P195*BD$34-$Q195</f>
        <v/>
      </c>
      <c r="BE195" s="199">
        <f>$P195*BE$34-$Q195</f>
        <v/>
      </c>
      <c r="BF195" s="199">
        <f>$P195*BF$34-$Q195</f>
        <v/>
      </c>
      <c r="BH195" s="198">
        <f>$G195</f>
        <v/>
      </c>
      <c r="BI195" s="197">
        <f>$I195</f>
        <v/>
      </c>
      <c r="BJ195" s="197">
        <f>+BJ196</f>
        <v/>
      </c>
      <c r="BK195" s="197">
        <f>+BK196</f>
        <v/>
      </c>
      <c r="BL195" s="197">
        <f>+BL196</f>
        <v/>
      </c>
      <c r="BM195" s="197">
        <f>+BM196</f>
        <v/>
      </c>
      <c r="BN195" s="197">
        <f>+BN196</f>
        <v/>
      </c>
      <c r="BP195" s="198">
        <f>$G195</f>
        <v/>
      </c>
      <c r="BQ195" s="197">
        <f>$J195</f>
        <v/>
      </c>
      <c r="BR195" s="197">
        <f>+BR196</f>
        <v/>
      </c>
      <c r="BS195" s="197">
        <f>+BS196</f>
        <v/>
      </c>
      <c r="BT195" s="197">
        <f>+BT196</f>
        <v/>
      </c>
      <c r="BU195" s="197">
        <f>+BU196</f>
        <v/>
      </c>
      <c r="BV195" s="197">
        <f>+BV196</f>
        <v/>
      </c>
      <c r="BX195" s="198">
        <f>$G195</f>
        <v/>
      </c>
      <c r="BY195" s="197">
        <f>$K195</f>
        <v/>
      </c>
      <c r="BZ195" s="197">
        <f>+BZ196</f>
        <v/>
      </c>
      <c r="CA195" s="197">
        <f>+CA196</f>
        <v/>
      </c>
      <c r="CB195" s="197">
        <f>+CB196</f>
        <v/>
      </c>
      <c r="CC195" s="197">
        <f>+CC196</f>
        <v/>
      </c>
      <c r="CD195" s="197">
        <f>+CD196</f>
        <v/>
      </c>
      <c r="CF195" s="198">
        <f>$G195</f>
        <v/>
      </c>
      <c r="CG195" s="197">
        <f>$L195</f>
        <v/>
      </c>
      <c r="CH195" s="197">
        <f>+CH196</f>
        <v/>
      </c>
      <c r="CI195" s="197">
        <f>+CI196</f>
        <v/>
      </c>
      <c r="CJ195" s="197">
        <f>+CJ196</f>
        <v/>
      </c>
      <c r="CK195" s="197">
        <f>+CK196</f>
        <v/>
      </c>
      <c r="CL195" s="197">
        <f>+CL196</f>
        <v/>
      </c>
      <c r="CO195" s="199" t="n"/>
      <c r="CP195" s="199" t="n">
        <v>6.27</v>
      </c>
      <c r="CR195" s="199" t="inlineStr">
        <is>
          <t>#N/A N/A</t>
        </is>
      </c>
      <c r="CS195" s="970" t="n">
        <v>0.92767</v>
      </c>
    </row>
    <row r="196">
      <c r="B196" s="204">
        <f>+C196-1</f>
        <v/>
      </c>
      <c r="C196" s="204">
        <f>IF('bands_A-H_Avg'!$D$9+1&gt;MONTH(G196),YEAR(G196),YEAR(G196)+1)</f>
        <v/>
      </c>
      <c r="D196" s="204">
        <f>+C196+1</f>
        <v/>
      </c>
      <c r="E196" s="203">
        <f>IF(C196&gt;C195,1,E195+1)</f>
        <v/>
      </c>
      <c r="F196" s="203">
        <f>COUNTIF(C:C,C196)</f>
        <v/>
      </c>
      <c r="G196" s="198">
        <f>+G195+7</f>
        <v/>
      </c>
      <c r="H196" s="361">
        <f>IF(ISBLANK(CO196),CP196,SUMPRODUCT(CO$32:CP$32,CO196:CP196))</f>
        <v/>
      </c>
      <c r="I196" s="968">
        <f>H196/M196</f>
        <v/>
      </c>
      <c r="J196" s="968">
        <f>H196/N196</f>
        <v/>
      </c>
      <c r="K196" s="968">
        <f>(H196+Q196)/O196</f>
        <v/>
      </c>
      <c r="L196" s="968">
        <f>(H196+Q196)/P196</f>
        <v/>
      </c>
      <c r="M196" s="199">
        <f>HLOOKUP(C:C,$4:$10,3,FALSE)+((HLOOKUP(D:D,$4:$10,3,FALSE)-HLOOKUP(C:C,$4:$10,3,FALSE))*E196/F196)</f>
        <v/>
      </c>
      <c r="N196" s="199">
        <f>HLOOKUP(C:C,$4:$10,2,FALSE)+((HLOOKUP(D:D,$4:$10,2,FALSE)-HLOOKUP(C:C,$4:$10,2,FALSE))*E196/F196)</f>
        <v/>
      </c>
      <c r="O196" s="199">
        <f>HLOOKUP(C:C,$4:$10,5,FALSE)+((HLOOKUP(D:D,$4:$10,5,FALSE)-HLOOKUP(C:C,$4:$10,5,FALSE))*E196/F196)</f>
        <v/>
      </c>
      <c r="P196" s="199">
        <f>HLOOKUP(C:C,$4:$10,4,FALSE)+((HLOOKUP(D:D,$4:$10,4,FALSE)-HLOOKUP(C:C,$4:$10,4,FALSE))*E196/F196)</f>
        <v/>
      </c>
      <c r="Q196" s="199">
        <f>HLOOKUP(B:B,$4:$10,6,FALSE)+((HLOOKUP(C:C,$4:$10,6,FALSE)-HLOOKUP(B:B,$4:$10,6,FALSE))*E196/F196)</f>
        <v/>
      </c>
      <c r="T196" s="198">
        <f>$G196</f>
        <v/>
      </c>
      <c r="U196" s="199">
        <f>H196/(HLOOKUP(B:B,$4:$10,3,FALSE)+((HLOOKUP(C:C,$4:$10,3,FALSE)-HLOOKUP(B:B,$4:$10,3,FALSE))*E196/F196))</f>
        <v/>
      </c>
      <c r="V196" s="969">
        <f>HLOOKUP(B:B,$4:$10,7,FALSE)+((HLOOKUP(C:C,$4:$10,7,FALSE)-HLOOKUP(B:B,$4:$10,7,FALSE))*E196/F196)</f>
        <v/>
      </c>
      <c r="AB196" s="198">
        <f>$G196</f>
        <v/>
      </c>
      <c r="AC196" s="199">
        <f>$H196</f>
        <v/>
      </c>
      <c r="AD196" s="199">
        <f>$M196*AD$34</f>
        <v/>
      </c>
      <c r="AE196" s="199">
        <f>$M196*AE$34</f>
        <v/>
      </c>
      <c r="AF196" s="199">
        <f>$M196*AF$34</f>
        <v/>
      </c>
      <c r="AG196" s="199">
        <f>$M196*AG$34</f>
        <v/>
      </c>
      <c r="AH196" s="199">
        <f>$M196*AH$34</f>
        <v/>
      </c>
      <c r="AJ196" s="198">
        <f>$G196</f>
        <v/>
      </c>
      <c r="AK196" s="199">
        <f>$H196</f>
        <v/>
      </c>
      <c r="AL196" s="199">
        <f>$N196*AL$34</f>
        <v/>
      </c>
      <c r="AM196" s="199">
        <f>$N196*AM$34</f>
        <v/>
      </c>
      <c r="AN196" s="199">
        <f>$N196*AN$34</f>
        <v/>
      </c>
      <c r="AO196" s="199">
        <f>$N196*AO$34</f>
        <v/>
      </c>
      <c r="AP196" s="199">
        <f>$N196*AP$34</f>
        <v/>
      </c>
      <c r="AR196" s="198">
        <f>$G196</f>
        <v/>
      </c>
      <c r="AS196" s="199">
        <f>$H196</f>
        <v/>
      </c>
      <c r="AT196" s="199">
        <f>$O196*AT$34-$Q196</f>
        <v/>
      </c>
      <c r="AU196" s="199">
        <f>$O196*AU$34-$Q196</f>
        <v/>
      </c>
      <c r="AV196" s="199">
        <f>$O196*AV$34-$Q196</f>
        <v/>
      </c>
      <c r="AW196" s="199">
        <f>$O196*AW$34-$Q196</f>
        <v/>
      </c>
      <c r="AX196" s="199">
        <f>$O196*AX$34-$Q196</f>
        <v/>
      </c>
      <c r="AZ196" s="198">
        <f>$G196</f>
        <v/>
      </c>
      <c r="BA196" s="199">
        <f>$H196</f>
        <v/>
      </c>
      <c r="BB196" s="199">
        <f>$P196*BB$34-$Q196</f>
        <v/>
      </c>
      <c r="BC196" s="199">
        <f>$P196*BC$34-$Q196</f>
        <v/>
      </c>
      <c r="BD196" s="199">
        <f>$P196*BD$34-$Q196</f>
        <v/>
      </c>
      <c r="BE196" s="199">
        <f>$P196*BE$34-$Q196</f>
        <v/>
      </c>
      <c r="BF196" s="199">
        <f>$P196*BF$34-$Q196</f>
        <v/>
      </c>
      <c r="BH196" s="198">
        <f>$G196</f>
        <v/>
      </c>
      <c r="BI196" s="197">
        <f>$I196</f>
        <v/>
      </c>
      <c r="BJ196" s="197">
        <f>+BJ197</f>
        <v/>
      </c>
      <c r="BK196" s="197">
        <f>+BK197</f>
        <v/>
      </c>
      <c r="BL196" s="197">
        <f>+BL197</f>
        <v/>
      </c>
      <c r="BM196" s="197">
        <f>+BM197</f>
        <v/>
      </c>
      <c r="BN196" s="197">
        <f>+BN197</f>
        <v/>
      </c>
      <c r="BP196" s="198">
        <f>$G196</f>
        <v/>
      </c>
      <c r="BQ196" s="197">
        <f>$J196</f>
        <v/>
      </c>
      <c r="BR196" s="197">
        <f>+BR197</f>
        <v/>
      </c>
      <c r="BS196" s="197">
        <f>+BS197</f>
        <v/>
      </c>
      <c r="BT196" s="197">
        <f>+BT197</f>
        <v/>
      </c>
      <c r="BU196" s="197">
        <f>+BU197</f>
        <v/>
      </c>
      <c r="BV196" s="197">
        <f>+BV197</f>
        <v/>
      </c>
      <c r="BX196" s="198">
        <f>$G196</f>
        <v/>
      </c>
      <c r="BY196" s="197">
        <f>$K196</f>
        <v/>
      </c>
      <c r="BZ196" s="197">
        <f>+BZ197</f>
        <v/>
      </c>
      <c r="CA196" s="197">
        <f>+CA197</f>
        <v/>
      </c>
      <c r="CB196" s="197">
        <f>+CB197</f>
        <v/>
      </c>
      <c r="CC196" s="197">
        <f>+CC197</f>
        <v/>
      </c>
      <c r="CD196" s="197">
        <f>+CD197</f>
        <v/>
      </c>
      <c r="CF196" s="198">
        <f>$G196</f>
        <v/>
      </c>
      <c r="CG196" s="197">
        <f>$L196</f>
        <v/>
      </c>
      <c r="CH196" s="197">
        <f>+CH197</f>
        <v/>
      </c>
      <c r="CI196" s="197">
        <f>+CI197</f>
        <v/>
      </c>
      <c r="CJ196" s="197">
        <f>+CJ197</f>
        <v/>
      </c>
      <c r="CK196" s="197">
        <f>+CK197</f>
        <v/>
      </c>
      <c r="CL196" s="197">
        <f>+CL197</f>
        <v/>
      </c>
      <c r="CO196" s="199" t="n"/>
      <c r="CP196" s="199" t="n">
        <v>5.87</v>
      </c>
      <c r="CR196" s="199" t="inlineStr">
        <is>
          <t>#N/A N/A</t>
        </is>
      </c>
      <c r="CS196" s="970" t="n">
        <v>0.92369</v>
      </c>
    </row>
    <row r="197">
      <c r="B197" s="204">
        <f>+C197-1</f>
        <v/>
      </c>
      <c r="C197" s="204">
        <f>IF('bands_A-H_Avg'!$D$9+1&gt;MONTH(G197),YEAR(G197),YEAR(G197)+1)</f>
        <v/>
      </c>
      <c r="D197" s="204">
        <f>+C197+1</f>
        <v/>
      </c>
      <c r="E197" s="203">
        <f>IF(C197&gt;C196,1,E196+1)</f>
        <v/>
      </c>
      <c r="F197" s="203">
        <f>COUNTIF(C:C,C197)</f>
        <v/>
      </c>
      <c r="G197" s="198">
        <f>+G196+7</f>
        <v/>
      </c>
      <c r="H197" s="361">
        <f>IF(ISBLANK(CO197),CP197,SUMPRODUCT(CO$32:CP$32,CO197:CP197))</f>
        <v/>
      </c>
      <c r="I197" s="968">
        <f>H197/M197</f>
        <v/>
      </c>
      <c r="J197" s="968">
        <f>H197/N197</f>
        <v/>
      </c>
      <c r="K197" s="968">
        <f>(H197+Q197)/O197</f>
        <v/>
      </c>
      <c r="L197" s="968">
        <f>(H197+Q197)/P197</f>
        <v/>
      </c>
      <c r="M197" s="199">
        <f>HLOOKUP(C:C,$4:$10,3,FALSE)+((HLOOKUP(D:D,$4:$10,3,FALSE)-HLOOKUP(C:C,$4:$10,3,FALSE))*E197/F197)</f>
        <v/>
      </c>
      <c r="N197" s="199">
        <f>HLOOKUP(C:C,$4:$10,2,FALSE)+((HLOOKUP(D:D,$4:$10,2,FALSE)-HLOOKUP(C:C,$4:$10,2,FALSE))*E197/F197)</f>
        <v/>
      </c>
      <c r="O197" s="199">
        <f>HLOOKUP(C:C,$4:$10,5,FALSE)+((HLOOKUP(D:D,$4:$10,5,FALSE)-HLOOKUP(C:C,$4:$10,5,FALSE))*E197/F197)</f>
        <v/>
      </c>
      <c r="P197" s="199">
        <f>HLOOKUP(C:C,$4:$10,4,FALSE)+((HLOOKUP(D:D,$4:$10,4,FALSE)-HLOOKUP(C:C,$4:$10,4,FALSE))*E197/F197)</f>
        <v/>
      </c>
      <c r="Q197" s="199">
        <f>HLOOKUP(B:B,$4:$10,6,FALSE)+((HLOOKUP(C:C,$4:$10,6,FALSE)-HLOOKUP(B:B,$4:$10,6,FALSE))*E197/F197)</f>
        <v/>
      </c>
      <c r="T197" s="198">
        <f>$G197</f>
        <v/>
      </c>
      <c r="U197" s="199">
        <f>H197/(HLOOKUP(B:B,$4:$10,3,FALSE)+((HLOOKUP(C:C,$4:$10,3,FALSE)-HLOOKUP(B:B,$4:$10,3,FALSE))*E197/F197))</f>
        <v/>
      </c>
      <c r="V197" s="969">
        <f>HLOOKUP(B:B,$4:$10,7,FALSE)+((HLOOKUP(C:C,$4:$10,7,FALSE)-HLOOKUP(B:B,$4:$10,7,FALSE))*E197/F197)</f>
        <v/>
      </c>
      <c r="AB197" s="198">
        <f>$G197</f>
        <v/>
      </c>
      <c r="AC197" s="199">
        <f>$H197</f>
        <v/>
      </c>
      <c r="AD197" s="199">
        <f>$M197*AD$34</f>
        <v/>
      </c>
      <c r="AE197" s="199">
        <f>$M197*AE$34</f>
        <v/>
      </c>
      <c r="AF197" s="199">
        <f>$M197*AF$34</f>
        <v/>
      </c>
      <c r="AG197" s="199">
        <f>$M197*AG$34</f>
        <v/>
      </c>
      <c r="AH197" s="199">
        <f>$M197*AH$34</f>
        <v/>
      </c>
      <c r="AJ197" s="198">
        <f>$G197</f>
        <v/>
      </c>
      <c r="AK197" s="199">
        <f>$H197</f>
        <v/>
      </c>
      <c r="AL197" s="199">
        <f>$N197*AL$34</f>
        <v/>
      </c>
      <c r="AM197" s="199">
        <f>$N197*AM$34</f>
        <v/>
      </c>
      <c r="AN197" s="199">
        <f>$N197*AN$34</f>
        <v/>
      </c>
      <c r="AO197" s="199">
        <f>$N197*AO$34</f>
        <v/>
      </c>
      <c r="AP197" s="199">
        <f>$N197*AP$34</f>
        <v/>
      </c>
      <c r="AR197" s="198">
        <f>$G197</f>
        <v/>
      </c>
      <c r="AS197" s="199">
        <f>$H197</f>
        <v/>
      </c>
      <c r="AT197" s="199">
        <f>$O197*AT$34-$Q197</f>
        <v/>
      </c>
      <c r="AU197" s="199">
        <f>$O197*AU$34-$Q197</f>
        <v/>
      </c>
      <c r="AV197" s="199">
        <f>$O197*AV$34-$Q197</f>
        <v/>
      </c>
      <c r="AW197" s="199">
        <f>$O197*AW$34-$Q197</f>
        <v/>
      </c>
      <c r="AX197" s="199">
        <f>$O197*AX$34-$Q197</f>
        <v/>
      </c>
      <c r="AZ197" s="198">
        <f>$G197</f>
        <v/>
      </c>
      <c r="BA197" s="199">
        <f>$H197</f>
        <v/>
      </c>
      <c r="BB197" s="199">
        <f>$P197*BB$34-$Q197</f>
        <v/>
      </c>
      <c r="BC197" s="199">
        <f>$P197*BC$34-$Q197</f>
        <v/>
      </c>
      <c r="BD197" s="199">
        <f>$P197*BD$34-$Q197</f>
        <v/>
      </c>
      <c r="BE197" s="199">
        <f>$P197*BE$34-$Q197</f>
        <v/>
      </c>
      <c r="BF197" s="199">
        <f>$P197*BF$34-$Q197</f>
        <v/>
      </c>
      <c r="BH197" s="198">
        <f>$G197</f>
        <v/>
      </c>
      <c r="BI197" s="197">
        <f>$I197</f>
        <v/>
      </c>
      <c r="BJ197" s="197">
        <f>+BJ198</f>
        <v/>
      </c>
      <c r="BK197" s="197">
        <f>+BK198</f>
        <v/>
      </c>
      <c r="BL197" s="197">
        <f>+BL198</f>
        <v/>
      </c>
      <c r="BM197" s="197">
        <f>+BM198</f>
        <v/>
      </c>
      <c r="BN197" s="197">
        <f>+BN198</f>
        <v/>
      </c>
      <c r="BP197" s="198">
        <f>$G197</f>
        <v/>
      </c>
      <c r="BQ197" s="197">
        <f>$J197</f>
        <v/>
      </c>
      <c r="BR197" s="197">
        <f>+BR198</f>
        <v/>
      </c>
      <c r="BS197" s="197">
        <f>+BS198</f>
        <v/>
      </c>
      <c r="BT197" s="197">
        <f>+BT198</f>
        <v/>
      </c>
      <c r="BU197" s="197">
        <f>+BU198</f>
        <v/>
      </c>
      <c r="BV197" s="197">
        <f>+BV198</f>
        <v/>
      </c>
      <c r="BX197" s="198">
        <f>$G197</f>
        <v/>
      </c>
      <c r="BY197" s="197">
        <f>$K197</f>
        <v/>
      </c>
      <c r="BZ197" s="197">
        <f>+BZ198</f>
        <v/>
      </c>
      <c r="CA197" s="197">
        <f>+CA198</f>
        <v/>
      </c>
      <c r="CB197" s="197">
        <f>+CB198</f>
        <v/>
      </c>
      <c r="CC197" s="197">
        <f>+CC198</f>
        <v/>
      </c>
      <c r="CD197" s="197">
        <f>+CD198</f>
        <v/>
      </c>
      <c r="CF197" s="198">
        <f>$G197</f>
        <v/>
      </c>
      <c r="CG197" s="197">
        <f>$L197</f>
        <v/>
      </c>
      <c r="CH197" s="197">
        <f>+CH198</f>
        <v/>
      </c>
      <c r="CI197" s="197">
        <f>+CI198</f>
        <v/>
      </c>
      <c r="CJ197" s="197">
        <f>+CJ198</f>
        <v/>
      </c>
      <c r="CK197" s="197">
        <f>+CK198</f>
        <v/>
      </c>
      <c r="CL197" s="197">
        <f>+CL198</f>
        <v/>
      </c>
      <c r="CO197" s="199" t="n"/>
      <c r="CP197" s="199" t="n">
        <v>6.14</v>
      </c>
      <c r="CR197" s="199" t="inlineStr">
        <is>
          <t>#N/A N/A</t>
        </is>
      </c>
      <c r="CS197" s="970" t="n">
        <v>0.92213</v>
      </c>
    </row>
    <row r="198">
      <c r="B198" s="204">
        <f>+C198-1</f>
        <v/>
      </c>
      <c r="C198" s="204">
        <f>IF('bands_A-H_Avg'!$D$9+1&gt;MONTH(G198),YEAR(G198),YEAR(G198)+1)</f>
        <v/>
      </c>
      <c r="D198" s="204">
        <f>+C198+1</f>
        <v/>
      </c>
      <c r="E198" s="203">
        <f>IF(C198&gt;C197,1,E197+1)</f>
        <v/>
      </c>
      <c r="F198" s="203">
        <f>COUNTIF(C:C,C198)</f>
        <v/>
      </c>
      <c r="G198" s="198">
        <f>+G197+7</f>
        <v/>
      </c>
      <c r="H198" s="361">
        <f>IF(ISBLANK(CO198),CP198,SUMPRODUCT(CO$32:CP$32,CO198:CP198))</f>
        <v/>
      </c>
      <c r="I198" s="968">
        <f>H198/M198</f>
        <v/>
      </c>
      <c r="J198" s="968">
        <f>H198/N198</f>
        <v/>
      </c>
      <c r="K198" s="968">
        <f>(H198+Q198)/O198</f>
        <v/>
      </c>
      <c r="L198" s="968">
        <f>(H198+Q198)/P198</f>
        <v/>
      </c>
      <c r="M198" s="199">
        <f>HLOOKUP(C:C,$4:$10,3,FALSE)+((HLOOKUP(D:D,$4:$10,3,FALSE)-HLOOKUP(C:C,$4:$10,3,FALSE))*E198/F198)</f>
        <v/>
      </c>
      <c r="N198" s="199">
        <f>HLOOKUP(C:C,$4:$10,2,FALSE)+((HLOOKUP(D:D,$4:$10,2,FALSE)-HLOOKUP(C:C,$4:$10,2,FALSE))*E198/F198)</f>
        <v/>
      </c>
      <c r="O198" s="199">
        <f>HLOOKUP(C:C,$4:$10,5,FALSE)+((HLOOKUP(D:D,$4:$10,5,FALSE)-HLOOKUP(C:C,$4:$10,5,FALSE))*E198/F198)</f>
        <v/>
      </c>
      <c r="P198" s="199">
        <f>HLOOKUP(C:C,$4:$10,4,FALSE)+((HLOOKUP(D:D,$4:$10,4,FALSE)-HLOOKUP(C:C,$4:$10,4,FALSE))*E198/F198)</f>
        <v/>
      </c>
      <c r="Q198" s="199">
        <f>HLOOKUP(B:B,$4:$10,6,FALSE)+((HLOOKUP(C:C,$4:$10,6,FALSE)-HLOOKUP(B:B,$4:$10,6,FALSE))*E198/F198)</f>
        <v/>
      </c>
      <c r="T198" s="198">
        <f>$G198</f>
        <v/>
      </c>
      <c r="U198" s="199">
        <f>H198/(HLOOKUP(B:B,$4:$10,3,FALSE)+((HLOOKUP(C:C,$4:$10,3,FALSE)-HLOOKUP(B:B,$4:$10,3,FALSE))*E198/F198))</f>
        <v/>
      </c>
      <c r="V198" s="969">
        <f>HLOOKUP(B:B,$4:$10,7,FALSE)+((HLOOKUP(C:C,$4:$10,7,FALSE)-HLOOKUP(B:B,$4:$10,7,FALSE))*E198/F198)</f>
        <v/>
      </c>
      <c r="AB198" s="198">
        <f>$G198</f>
        <v/>
      </c>
      <c r="AC198" s="199">
        <f>$H198</f>
        <v/>
      </c>
      <c r="AD198" s="199">
        <f>$M198*AD$34</f>
        <v/>
      </c>
      <c r="AE198" s="199">
        <f>$M198*AE$34</f>
        <v/>
      </c>
      <c r="AF198" s="199">
        <f>$M198*AF$34</f>
        <v/>
      </c>
      <c r="AG198" s="199">
        <f>$M198*AG$34</f>
        <v/>
      </c>
      <c r="AH198" s="199">
        <f>$M198*AH$34</f>
        <v/>
      </c>
      <c r="AJ198" s="198">
        <f>$G198</f>
        <v/>
      </c>
      <c r="AK198" s="199">
        <f>$H198</f>
        <v/>
      </c>
      <c r="AL198" s="199">
        <f>$N198*AL$34</f>
        <v/>
      </c>
      <c r="AM198" s="199">
        <f>$N198*AM$34</f>
        <v/>
      </c>
      <c r="AN198" s="199">
        <f>$N198*AN$34</f>
        <v/>
      </c>
      <c r="AO198" s="199">
        <f>$N198*AO$34</f>
        <v/>
      </c>
      <c r="AP198" s="199">
        <f>$N198*AP$34</f>
        <v/>
      </c>
      <c r="AR198" s="198">
        <f>$G198</f>
        <v/>
      </c>
      <c r="AS198" s="199">
        <f>$H198</f>
        <v/>
      </c>
      <c r="AT198" s="199">
        <f>$O198*AT$34-$Q198</f>
        <v/>
      </c>
      <c r="AU198" s="199">
        <f>$O198*AU$34-$Q198</f>
        <v/>
      </c>
      <c r="AV198" s="199">
        <f>$O198*AV$34-$Q198</f>
        <v/>
      </c>
      <c r="AW198" s="199">
        <f>$O198*AW$34-$Q198</f>
        <v/>
      </c>
      <c r="AX198" s="199">
        <f>$O198*AX$34-$Q198</f>
        <v/>
      </c>
      <c r="AZ198" s="198">
        <f>$G198</f>
        <v/>
      </c>
      <c r="BA198" s="199">
        <f>$H198</f>
        <v/>
      </c>
      <c r="BB198" s="199">
        <f>$P198*BB$34-$Q198</f>
        <v/>
      </c>
      <c r="BC198" s="199">
        <f>$P198*BC$34-$Q198</f>
        <v/>
      </c>
      <c r="BD198" s="199">
        <f>$P198*BD$34-$Q198</f>
        <v/>
      </c>
      <c r="BE198" s="199">
        <f>$P198*BE$34-$Q198</f>
        <v/>
      </c>
      <c r="BF198" s="199">
        <f>$P198*BF$34-$Q198</f>
        <v/>
      </c>
      <c r="BH198" s="198">
        <f>$G198</f>
        <v/>
      </c>
      <c r="BI198" s="197">
        <f>$I198</f>
        <v/>
      </c>
      <c r="BJ198" s="197">
        <f>+BJ199</f>
        <v/>
      </c>
      <c r="BK198" s="197">
        <f>+BK199</f>
        <v/>
      </c>
      <c r="BL198" s="197">
        <f>+BL199</f>
        <v/>
      </c>
      <c r="BM198" s="197">
        <f>+BM199</f>
        <v/>
      </c>
      <c r="BN198" s="197">
        <f>+BN199</f>
        <v/>
      </c>
      <c r="BP198" s="198">
        <f>$G198</f>
        <v/>
      </c>
      <c r="BQ198" s="197">
        <f>$J198</f>
        <v/>
      </c>
      <c r="BR198" s="197">
        <f>+BR199</f>
        <v/>
      </c>
      <c r="BS198" s="197">
        <f>+BS199</f>
        <v/>
      </c>
      <c r="BT198" s="197">
        <f>+BT199</f>
        <v/>
      </c>
      <c r="BU198" s="197">
        <f>+BU199</f>
        <v/>
      </c>
      <c r="BV198" s="197">
        <f>+BV199</f>
        <v/>
      </c>
      <c r="BX198" s="198">
        <f>$G198</f>
        <v/>
      </c>
      <c r="BY198" s="197">
        <f>$K198</f>
        <v/>
      </c>
      <c r="BZ198" s="197">
        <f>+BZ199</f>
        <v/>
      </c>
      <c r="CA198" s="197">
        <f>+CA199</f>
        <v/>
      </c>
      <c r="CB198" s="197">
        <f>+CB199</f>
        <v/>
      </c>
      <c r="CC198" s="197">
        <f>+CC199</f>
        <v/>
      </c>
      <c r="CD198" s="197">
        <f>+CD199</f>
        <v/>
      </c>
      <c r="CF198" s="198">
        <f>$G198</f>
        <v/>
      </c>
      <c r="CG198" s="197">
        <f>$L198</f>
        <v/>
      </c>
      <c r="CH198" s="197">
        <f>+CH199</f>
        <v/>
      </c>
      <c r="CI198" s="197">
        <f>+CI199</f>
        <v/>
      </c>
      <c r="CJ198" s="197">
        <f>+CJ199</f>
        <v/>
      </c>
      <c r="CK198" s="197">
        <f>+CK199</f>
        <v/>
      </c>
      <c r="CL198" s="197">
        <f>+CL199</f>
        <v/>
      </c>
      <c r="CO198" s="199" t="n"/>
      <c r="CP198" s="199" t="n">
        <v>6.01</v>
      </c>
      <c r="CR198" s="199" t="inlineStr">
        <is>
          <t>#N/A N/A</t>
        </is>
      </c>
      <c r="CS198" s="970" t="n">
        <v>0.92088</v>
      </c>
    </row>
    <row r="199">
      <c r="B199" s="204">
        <f>+C199-1</f>
        <v/>
      </c>
      <c r="C199" s="204">
        <f>IF('bands_A-H_Avg'!$D$9+1&gt;MONTH(G199),YEAR(G199),YEAR(G199)+1)</f>
        <v/>
      </c>
      <c r="D199" s="204">
        <f>+C199+1</f>
        <v/>
      </c>
      <c r="E199" s="203">
        <f>IF(C199&gt;C198,1,E198+1)</f>
        <v/>
      </c>
      <c r="F199" s="203">
        <f>COUNTIF(C:C,C199)</f>
        <v/>
      </c>
      <c r="G199" s="198">
        <f>+G198+7</f>
        <v/>
      </c>
      <c r="H199" s="361">
        <f>IF(ISBLANK(CO199),CP199,SUMPRODUCT(CO$32:CP$32,CO199:CP199))</f>
        <v/>
      </c>
      <c r="I199" s="968">
        <f>H199/M199</f>
        <v/>
      </c>
      <c r="J199" s="968">
        <f>H199/N199</f>
        <v/>
      </c>
      <c r="K199" s="968">
        <f>(H199+Q199)/O199</f>
        <v/>
      </c>
      <c r="L199" s="968">
        <f>(H199+Q199)/P199</f>
        <v/>
      </c>
      <c r="M199" s="199">
        <f>HLOOKUP(C:C,$4:$10,3,FALSE)+((HLOOKUP(D:D,$4:$10,3,FALSE)-HLOOKUP(C:C,$4:$10,3,FALSE))*E199/F199)</f>
        <v/>
      </c>
      <c r="N199" s="199">
        <f>HLOOKUP(C:C,$4:$10,2,FALSE)+((HLOOKUP(D:D,$4:$10,2,FALSE)-HLOOKUP(C:C,$4:$10,2,FALSE))*E199/F199)</f>
        <v/>
      </c>
      <c r="O199" s="199">
        <f>HLOOKUP(C:C,$4:$10,5,FALSE)+((HLOOKUP(D:D,$4:$10,5,FALSE)-HLOOKUP(C:C,$4:$10,5,FALSE))*E199/F199)</f>
        <v/>
      </c>
      <c r="P199" s="199">
        <f>HLOOKUP(C:C,$4:$10,4,FALSE)+((HLOOKUP(D:D,$4:$10,4,FALSE)-HLOOKUP(C:C,$4:$10,4,FALSE))*E199/F199)</f>
        <v/>
      </c>
      <c r="Q199" s="199">
        <f>HLOOKUP(B:B,$4:$10,6,FALSE)+((HLOOKUP(C:C,$4:$10,6,FALSE)-HLOOKUP(B:B,$4:$10,6,FALSE))*E199/F199)</f>
        <v/>
      </c>
      <c r="T199" s="198">
        <f>$G199</f>
        <v/>
      </c>
      <c r="U199" s="199">
        <f>H199/(HLOOKUP(B:B,$4:$10,3,FALSE)+((HLOOKUP(C:C,$4:$10,3,FALSE)-HLOOKUP(B:B,$4:$10,3,FALSE))*E199/F199))</f>
        <v/>
      </c>
      <c r="V199" s="969">
        <f>HLOOKUP(B:B,$4:$10,7,FALSE)+((HLOOKUP(C:C,$4:$10,7,FALSE)-HLOOKUP(B:B,$4:$10,7,FALSE))*E199/F199)</f>
        <v/>
      </c>
      <c r="AB199" s="198">
        <f>$G199</f>
        <v/>
      </c>
      <c r="AC199" s="199">
        <f>$H199</f>
        <v/>
      </c>
      <c r="AD199" s="199">
        <f>$M199*AD$34</f>
        <v/>
      </c>
      <c r="AE199" s="199">
        <f>$M199*AE$34</f>
        <v/>
      </c>
      <c r="AF199" s="199">
        <f>$M199*AF$34</f>
        <v/>
      </c>
      <c r="AG199" s="199">
        <f>$M199*AG$34</f>
        <v/>
      </c>
      <c r="AH199" s="199">
        <f>$M199*AH$34</f>
        <v/>
      </c>
      <c r="AJ199" s="198">
        <f>$G199</f>
        <v/>
      </c>
      <c r="AK199" s="199">
        <f>$H199</f>
        <v/>
      </c>
      <c r="AL199" s="199">
        <f>$N199*AL$34</f>
        <v/>
      </c>
      <c r="AM199" s="199">
        <f>$N199*AM$34</f>
        <v/>
      </c>
      <c r="AN199" s="199">
        <f>$N199*AN$34</f>
        <v/>
      </c>
      <c r="AO199" s="199">
        <f>$N199*AO$34</f>
        <v/>
      </c>
      <c r="AP199" s="199">
        <f>$N199*AP$34</f>
        <v/>
      </c>
      <c r="AR199" s="198">
        <f>$G199</f>
        <v/>
      </c>
      <c r="AS199" s="199">
        <f>$H199</f>
        <v/>
      </c>
      <c r="AT199" s="199">
        <f>$O199*AT$34-$Q199</f>
        <v/>
      </c>
      <c r="AU199" s="199">
        <f>$O199*AU$34-$Q199</f>
        <v/>
      </c>
      <c r="AV199" s="199">
        <f>$O199*AV$34-$Q199</f>
        <v/>
      </c>
      <c r="AW199" s="199">
        <f>$O199*AW$34-$Q199</f>
        <v/>
      </c>
      <c r="AX199" s="199">
        <f>$O199*AX$34-$Q199</f>
        <v/>
      </c>
      <c r="AZ199" s="198">
        <f>$G199</f>
        <v/>
      </c>
      <c r="BA199" s="199">
        <f>$H199</f>
        <v/>
      </c>
      <c r="BB199" s="199">
        <f>$P199*BB$34-$Q199</f>
        <v/>
      </c>
      <c r="BC199" s="199">
        <f>$P199*BC$34-$Q199</f>
        <v/>
      </c>
      <c r="BD199" s="199">
        <f>$P199*BD$34-$Q199</f>
        <v/>
      </c>
      <c r="BE199" s="199">
        <f>$P199*BE$34-$Q199</f>
        <v/>
      </c>
      <c r="BF199" s="199">
        <f>$P199*BF$34-$Q199</f>
        <v/>
      </c>
      <c r="BH199" s="198">
        <f>$G199</f>
        <v/>
      </c>
      <c r="BI199" s="197">
        <f>$I199</f>
        <v/>
      </c>
      <c r="BJ199" s="197">
        <f>+BJ200</f>
        <v/>
      </c>
      <c r="BK199" s="197">
        <f>+BK200</f>
        <v/>
      </c>
      <c r="BL199" s="197">
        <f>+BL200</f>
        <v/>
      </c>
      <c r="BM199" s="197">
        <f>+BM200</f>
        <v/>
      </c>
      <c r="BN199" s="197">
        <f>+BN200</f>
        <v/>
      </c>
      <c r="BP199" s="198">
        <f>$G199</f>
        <v/>
      </c>
      <c r="BQ199" s="197">
        <f>$J199</f>
        <v/>
      </c>
      <c r="BR199" s="197">
        <f>+BR200</f>
        <v/>
      </c>
      <c r="BS199" s="197">
        <f>+BS200</f>
        <v/>
      </c>
      <c r="BT199" s="197">
        <f>+BT200</f>
        <v/>
      </c>
      <c r="BU199" s="197">
        <f>+BU200</f>
        <v/>
      </c>
      <c r="BV199" s="197">
        <f>+BV200</f>
        <v/>
      </c>
      <c r="BX199" s="198">
        <f>$G199</f>
        <v/>
      </c>
      <c r="BY199" s="197">
        <f>$K199</f>
        <v/>
      </c>
      <c r="BZ199" s="197">
        <f>+BZ200</f>
        <v/>
      </c>
      <c r="CA199" s="197">
        <f>+CA200</f>
        <v/>
      </c>
      <c r="CB199" s="197">
        <f>+CB200</f>
        <v/>
      </c>
      <c r="CC199" s="197">
        <f>+CC200</f>
        <v/>
      </c>
      <c r="CD199" s="197">
        <f>+CD200</f>
        <v/>
      </c>
      <c r="CF199" s="198">
        <f>$G199</f>
        <v/>
      </c>
      <c r="CG199" s="197">
        <f>$L199</f>
        <v/>
      </c>
      <c r="CH199" s="197">
        <f>+CH200</f>
        <v/>
      </c>
      <c r="CI199" s="197">
        <f>+CI200</f>
        <v/>
      </c>
      <c r="CJ199" s="197">
        <f>+CJ200</f>
        <v/>
      </c>
      <c r="CK199" s="197">
        <f>+CK200</f>
        <v/>
      </c>
      <c r="CL199" s="197">
        <f>+CL200</f>
        <v/>
      </c>
      <c r="CO199" s="199" t="n"/>
      <c r="CP199" s="199" t="n">
        <v>6.32</v>
      </c>
      <c r="CR199" s="199" t="inlineStr">
        <is>
          <t>#N/A N/A</t>
        </is>
      </c>
      <c r="CS199" s="970" t="n">
        <v>0.92082</v>
      </c>
    </row>
    <row r="200">
      <c r="B200" s="204">
        <f>+C200-1</f>
        <v/>
      </c>
      <c r="C200" s="204">
        <f>IF('bands_A-H_Avg'!$D$9+1&gt;MONTH(G200),YEAR(G200),YEAR(G200)+1)</f>
        <v/>
      </c>
      <c r="D200" s="204">
        <f>+C200+1</f>
        <v/>
      </c>
      <c r="E200" s="203">
        <f>IF(C200&gt;C199,1,E199+1)</f>
        <v/>
      </c>
      <c r="F200" s="203">
        <f>COUNTIF(C:C,C200)</f>
        <v/>
      </c>
      <c r="G200" s="198">
        <f>+G199+7</f>
        <v/>
      </c>
      <c r="H200" s="361">
        <f>IF(ISBLANK(CO200),CP200,SUMPRODUCT(CO$32:CP$32,CO200:CP200))</f>
        <v/>
      </c>
      <c r="I200" s="968">
        <f>H200/M200</f>
        <v/>
      </c>
      <c r="J200" s="968">
        <f>H200/N200</f>
        <v/>
      </c>
      <c r="K200" s="968">
        <f>(H200+Q200)/O200</f>
        <v/>
      </c>
      <c r="L200" s="968">
        <f>(H200+Q200)/P200</f>
        <v/>
      </c>
      <c r="M200" s="199">
        <f>HLOOKUP(C:C,$4:$10,3,FALSE)+((HLOOKUP(D:D,$4:$10,3,FALSE)-HLOOKUP(C:C,$4:$10,3,FALSE))*E200/F200)</f>
        <v/>
      </c>
      <c r="N200" s="199">
        <f>HLOOKUP(C:C,$4:$10,2,FALSE)+((HLOOKUP(D:D,$4:$10,2,FALSE)-HLOOKUP(C:C,$4:$10,2,FALSE))*E200/F200)</f>
        <v/>
      </c>
      <c r="O200" s="199">
        <f>HLOOKUP(C:C,$4:$10,5,FALSE)+((HLOOKUP(D:D,$4:$10,5,FALSE)-HLOOKUP(C:C,$4:$10,5,FALSE))*E200/F200)</f>
        <v/>
      </c>
      <c r="P200" s="199">
        <f>HLOOKUP(C:C,$4:$10,4,FALSE)+((HLOOKUP(D:D,$4:$10,4,FALSE)-HLOOKUP(C:C,$4:$10,4,FALSE))*E200/F200)</f>
        <v/>
      </c>
      <c r="Q200" s="199">
        <f>HLOOKUP(B:B,$4:$10,6,FALSE)+((HLOOKUP(C:C,$4:$10,6,FALSE)-HLOOKUP(B:B,$4:$10,6,FALSE))*E200/F200)</f>
        <v/>
      </c>
      <c r="T200" s="198">
        <f>$G200</f>
        <v/>
      </c>
      <c r="U200" s="199">
        <f>H200/(HLOOKUP(B:B,$4:$10,3,FALSE)+((HLOOKUP(C:C,$4:$10,3,FALSE)-HLOOKUP(B:B,$4:$10,3,FALSE))*E200/F200))</f>
        <v/>
      </c>
      <c r="V200" s="969">
        <f>HLOOKUP(B:B,$4:$10,7,FALSE)+((HLOOKUP(C:C,$4:$10,7,FALSE)-HLOOKUP(B:B,$4:$10,7,FALSE))*E200/F200)</f>
        <v/>
      </c>
      <c r="AB200" s="198">
        <f>$G200</f>
        <v/>
      </c>
      <c r="AC200" s="199">
        <f>$H200</f>
        <v/>
      </c>
      <c r="AD200" s="199">
        <f>$M200*AD$34</f>
        <v/>
      </c>
      <c r="AE200" s="199">
        <f>$M200*AE$34</f>
        <v/>
      </c>
      <c r="AF200" s="199">
        <f>$M200*AF$34</f>
        <v/>
      </c>
      <c r="AG200" s="199">
        <f>$M200*AG$34</f>
        <v/>
      </c>
      <c r="AH200" s="199">
        <f>$M200*AH$34</f>
        <v/>
      </c>
      <c r="AJ200" s="198">
        <f>$G200</f>
        <v/>
      </c>
      <c r="AK200" s="199">
        <f>$H200</f>
        <v/>
      </c>
      <c r="AL200" s="199">
        <f>$N200*AL$34</f>
        <v/>
      </c>
      <c r="AM200" s="199">
        <f>$N200*AM$34</f>
        <v/>
      </c>
      <c r="AN200" s="199">
        <f>$N200*AN$34</f>
        <v/>
      </c>
      <c r="AO200" s="199">
        <f>$N200*AO$34</f>
        <v/>
      </c>
      <c r="AP200" s="199">
        <f>$N200*AP$34</f>
        <v/>
      </c>
      <c r="AR200" s="198">
        <f>$G200</f>
        <v/>
      </c>
      <c r="AS200" s="199">
        <f>$H200</f>
        <v/>
      </c>
      <c r="AT200" s="199">
        <f>$O200*AT$34-$Q200</f>
        <v/>
      </c>
      <c r="AU200" s="199">
        <f>$O200*AU$34-$Q200</f>
        <v/>
      </c>
      <c r="AV200" s="199">
        <f>$O200*AV$34-$Q200</f>
        <v/>
      </c>
      <c r="AW200" s="199">
        <f>$O200*AW$34-$Q200</f>
        <v/>
      </c>
      <c r="AX200" s="199">
        <f>$O200*AX$34-$Q200</f>
        <v/>
      </c>
      <c r="AZ200" s="198">
        <f>$G200</f>
        <v/>
      </c>
      <c r="BA200" s="199">
        <f>$H200</f>
        <v/>
      </c>
      <c r="BB200" s="199">
        <f>$P200*BB$34-$Q200</f>
        <v/>
      </c>
      <c r="BC200" s="199">
        <f>$P200*BC$34-$Q200</f>
        <v/>
      </c>
      <c r="BD200" s="199">
        <f>$P200*BD$34-$Q200</f>
        <v/>
      </c>
      <c r="BE200" s="199">
        <f>$P200*BE$34-$Q200</f>
        <v/>
      </c>
      <c r="BF200" s="199">
        <f>$P200*BF$34-$Q200</f>
        <v/>
      </c>
      <c r="BH200" s="198">
        <f>$G200</f>
        <v/>
      </c>
      <c r="BI200" s="197">
        <f>$I200</f>
        <v/>
      </c>
      <c r="BJ200" s="197">
        <f>+BJ201</f>
        <v/>
      </c>
      <c r="BK200" s="197">
        <f>+BK201</f>
        <v/>
      </c>
      <c r="BL200" s="197">
        <f>+BL201</f>
        <v/>
      </c>
      <c r="BM200" s="197">
        <f>+BM201</f>
        <v/>
      </c>
      <c r="BN200" s="197">
        <f>+BN201</f>
        <v/>
      </c>
      <c r="BP200" s="198">
        <f>$G200</f>
        <v/>
      </c>
      <c r="BQ200" s="197">
        <f>$J200</f>
        <v/>
      </c>
      <c r="BR200" s="197">
        <f>+BR201</f>
        <v/>
      </c>
      <c r="BS200" s="197">
        <f>+BS201</f>
        <v/>
      </c>
      <c r="BT200" s="197">
        <f>+BT201</f>
        <v/>
      </c>
      <c r="BU200" s="197">
        <f>+BU201</f>
        <v/>
      </c>
      <c r="BV200" s="197">
        <f>+BV201</f>
        <v/>
      </c>
      <c r="BX200" s="198">
        <f>$G200</f>
        <v/>
      </c>
      <c r="BY200" s="197">
        <f>$K200</f>
        <v/>
      </c>
      <c r="BZ200" s="197">
        <f>+BZ201</f>
        <v/>
      </c>
      <c r="CA200" s="197">
        <f>+CA201</f>
        <v/>
      </c>
      <c r="CB200" s="197">
        <f>+CB201</f>
        <v/>
      </c>
      <c r="CC200" s="197">
        <f>+CC201</f>
        <v/>
      </c>
      <c r="CD200" s="197">
        <f>+CD201</f>
        <v/>
      </c>
      <c r="CF200" s="198">
        <f>$G200</f>
        <v/>
      </c>
      <c r="CG200" s="197">
        <f>$L200</f>
        <v/>
      </c>
      <c r="CH200" s="197">
        <f>+CH201</f>
        <v/>
      </c>
      <c r="CI200" s="197">
        <f>+CI201</f>
        <v/>
      </c>
      <c r="CJ200" s="197">
        <f>+CJ201</f>
        <v/>
      </c>
      <c r="CK200" s="197">
        <f>+CK201</f>
        <v/>
      </c>
      <c r="CL200" s="197">
        <f>+CL201</f>
        <v/>
      </c>
      <c r="CO200" s="199" t="n"/>
      <c r="CP200" s="199" t="n">
        <v>5.99</v>
      </c>
      <c r="CR200" s="199" t="inlineStr">
        <is>
          <t>#N/A N/A</t>
        </is>
      </c>
      <c r="CS200" s="970" t="n">
        <v>0.916</v>
      </c>
    </row>
    <row r="201">
      <c r="B201" s="204">
        <f>+C201-1</f>
        <v/>
      </c>
      <c r="C201" s="204">
        <f>IF('bands_A-H_Avg'!$D$9+1&gt;MONTH(G201),YEAR(G201),YEAR(G201)+1)</f>
        <v/>
      </c>
      <c r="D201" s="204">
        <f>+C201+1</f>
        <v/>
      </c>
      <c r="E201" s="203">
        <f>IF(C201&gt;C200,1,E200+1)</f>
        <v/>
      </c>
      <c r="F201" s="203">
        <f>COUNTIF(C:C,C201)</f>
        <v/>
      </c>
      <c r="G201" s="198">
        <f>+G200+7</f>
        <v/>
      </c>
      <c r="H201" s="361">
        <f>IF(ISBLANK(CO201),CP201,SUMPRODUCT(CO$32:CP$32,CO201:CP201))</f>
        <v/>
      </c>
      <c r="I201" s="968">
        <f>H201/M201</f>
        <v/>
      </c>
      <c r="J201" s="968">
        <f>H201/N201</f>
        <v/>
      </c>
      <c r="K201" s="968">
        <f>(H201+Q201)/O201</f>
        <v/>
      </c>
      <c r="L201" s="968">
        <f>(H201+Q201)/P201</f>
        <v/>
      </c>
      <c r="M201" s="199">
        <f>HLOOKUP(C:C,$4:$10,3,FALSE)+((HLOOKUP(D:D,$4:$10,3,FALSE)-HLOOKUP(C:C,$4:$10,3,FALSE))*E201/F201)</f>
        <v/>
      </c>
      <c r="N201" s="199">
        <f>HLOOKUP(C:C,$4:$10,2,FALSE)+((HLOOKUP(D:D,$4:$10,2,FALSE)-HLOOKUP(C:C,$4:$10,2,FALSE))*E201/F201)</f>
        <v/>
      </c>
      <c r="O201" s="199">
        <f>HLOOKUP(C:C,$4:$10,5,FALSE)+((HLOOKUP(D:D,$4:$10,5,FALSE)-HLOOKUP(C:C,$4:$10,5,FALSE))*E201/F201)</f>
        <v/>
      </c>
      <c r="P201" s="199">
        <f>HLOOKUP(C:C,$4:$10,4,FALSE)+((HLOOKUP(D:D,$4:$10,4,FALSE)-HLOOKUP(C:C,$4:$10,4,FALSE))*E201/F201)</f>
        <v/>
      </c>
      <c r="Q201" s="199">
        <f>HLOOKUP(B:B,$4:$10,6,FALSE)+((HLOOKUP(C:C,$4:$10,6,FALSE)-HLOOKUP(B:B,$4:$10,6,FALSE))*E201/F201)</f>
        <v/>
      </c>
      <c r="T201" s="198">
        <f>$G201</f>
        <v/>
      </c>
      <c r="U201" s="199">
        <f>H201/(HLOOKUP(B:B,$4:$10,3,FALSE)+((HLOOKUP(C:C,$4:$10,3,FALSE)-HLOOKUP(B:B,$4:$10,3,FALSE))*E201/F201))</f>
        <v/>
      </c>
      <c r="V201" s="969">
        <f>HLOOKUP(B:B,$4:$10,7,FALSE)+((HLOOKUP(C:C,$4:$10,7,FALSE)-HLOOKUP(B:B,$4:$10,7,FALSE))*E201/F201)</f>
        <v/>
      </c>
      <c r="AB201" s="198">
        <f>$G201</f>
        <v/>
      </c>
      <c r="AC201" s="199">
        <f>$H201</f>
        <v/>
      </c>
      <c r="AD201" s="199">
        <f>$M201*AD$34</f>
        <v/>
      </c>
      <c r="AE201" s="199">
        <f>$M201*AE$34</f>
        <v/>
      </c>
      <c r="AF201" s="199">
        <f>$M201*AF$34</f>
        <v/>
      </c>
      <c r="AG201" s="199">
        <f>$M201*AG$34</f>
        <v/>
      </c>
      <c r="AH201" s="199">
        <f>$M201*AH$34</f>
        <v/>
      </c>
      <c r="AJ201" s="198">
        <f>$G201</f>
        <v/>
      </c>
      <c r="AK201" s="199">
        <f>$H201</f>
        <v/>
      </c>
      <c r="AL201" s="199">
        <f>$N201*AL$34</f>
        <v/>
      </c>
      <c r="AM201" s="199">
        <f>$N201*AM$34</f>
        <v/>
      </c>
      <c r="AN201" s="199">
        <f>$N201*AN$34</f>
        <v/>
      </c>
      <c r="AO201" s="199">
        <f>$N201*AO$34</f>
        <v/>
      </c>
      <c r="AP201" s="199">
        <f>$N201*AP$34</f>
        <v/>
      </c>
      <c r="AR201" s="198">
        <f>$G201</f>
        <v/>
      </c>
      <c r="AS201" s="199">
        <f>$H201</f>
        <v/>
      </c>
      <c r="AT201" s="199">
        <f>$O201*AT$34-$Q201</f>
        <v/>
      </c>
      <c r="AU201" s="199">
        <f>$O201*AU$34-$Q201</f>
        <v/>
      </c>
      <c r="AV201" s="199">
        <f>$O201*AV$34-$Q201</f>
        <v/>
      </c>
      <c r="AW201" s="199">
        <f>$O201*AW$34-$Q201</f>
        <v/>
      </c>
      <c r="AX201" s="199">
        <f>$O201*AX$34-$Q201</f>
        <v/>
      </c>
      <c r="AZ201" s="198">
        <f>$G201</f>
        <v/>
      </c>
      <c r="BA201" s="199">
        <f>$H201</f>
        <v/>
      </c>
      <c r="BB201" s="199">
        <f>$P201*BB$34-$Q201</f>
        <v/>
      </c>
      <c r="BC201" s="199">
        <f>$P201*BC$34-$Q201</f>
        <v/>
      </c>
      <c r="BD201" s="199">
        <f>$P201*BD$34-$Q201</f>
        <v/>
      </c>
      <c r="BE201" s="199">
        <f>$P201*BE$34-$Q201</f>
        <v/>
      </c>
      <c r="BF201" s="199">
        <f>$P201*BF$34-$Q201</f>
        <v/>
      </c>
      <c r="BH201" s="198">
        <f>$G201</f>
        <v/>
      </c>
      <c r="BI201" s="197">
        <f>$I201</f>
        <v/>
      </c>
      <c r="BJ201" s="197">
        <f>+BJ202</f>
        <v/>
      </c>
      <c r="BK201" s="197">
        <f>+BK202</f>
        <v/>
      </c>
      <c r="BL201" s="197">
        <f>+BL202</f>
        <v/>
      </c>
      <c r="BM201" s="197">
        <f>+BM202</f>
        <v/>
      </c>
      <c r="BN201" s="197">
        <f>+BN202</f>
        <v/>
      </c>
      <c r="BP201" s="198">
        <f>$G201</f>
        <v/>
      </c>
      <c r="BQ201" s="197">
        <f>$J201</f>
        <v/>
      </c>
      <c r="BR201" s="197">
        <f>+BR202</f>
        <v/>
      </c>
      <c r="BS201" s="197">
        <f>+BS202</f>
        <v/>
      </c>
      <c r="BT201" s="197">
        <f>+BT202</f>
        <v/>
      </c>
      <c r="BU201" s="197">
        <f>+BU202</f>
        <v/>
      </c>
      <c r="BV201" s="197">
        <f>+BV202</f>
        <v/>
      </c>
      <c r="BX201" s="198">
        <f>$G201</f>
        <v/>
      </c>
      <c r="BY201" s="197">
        <f>$K201</f>
        <v/>
      </c>
      <c r="BZ201" s="197">
        <f>+BZ202</f>
        <v/>
      </c>
      <c r="CA201" s="197">
        <f>+CA202</f>
        <v/>
      </c>
      <c r="CB201" s="197">
        <f>+CB202</f>
        <v/>
      </c>
      <c r="CC201" s="197">
        <f>+CC202</f>
        <v/>
      </c>
      <c r="CD201" s="197">
        <f>+CD202</f>
        <v/>
      </c>
      <c r="CF201" s="198">
        <f>$G201</f>
        <v/>
      </c>
      <c r="CG201" s="197">
        <f>$L201</f>
        <v/>
      </c>
      <c r="CH201" s="197">
        <f>+CH202</f>
        <v/>
      </c>
      <c r="CI201" s="197">
        <f>+CI202</f>
        <v/>
      </c>
      <c r="CJ201" s="197">
        <f>+CJ202</f>
        <v/>
      </c>
      <c r="CK201" s="197">
        <f>+CK202</f>
        <v/>
      </c>
      <c r="CL201" s="197">
        <f>+CL202</f>
        <v/>
      </c>
      <c r="CO201" s="199" t="n"/>
      <c r="CP201" s="199" t="n">
        <v>5.68</v>
      </c>
      <c r="CR201" s="199" t="inlineStr">
        <is>
          <t>#N/A N/A</t>
        </is>
      </c>
      <c r="CS201" s="970" t="n">
        <v>0.91392</v>
      </c>
    </row>
    <row r="202">
      <c r="B202" s="204">
        <f>+C202-1</f>
        <v/>
      </c>
      <c r="C202" s="204">
        <f>IF('bands_A-H_Avg'!$D$9+1&gt;MONTH(G202),YEAR(G202),YEAR(G202)+1)</f>
        <v/>
      </c>
      <c r="D202" s="204">
        <f>+C202+1</f>
        <v/>
      </c>
      <c r="E202" s="203">
        <f>IF(C202&gt;C201,1,E201+1)</f>
        <v/>
      </c>
      <c r="F202" s="203">
        <f>COUNTIF(C:C,C202)</f>
        <v/>
      </c>
      <c r="G202" s="198">
        <f>+G201+7</f>
        <v/>
      </c>
      <c r="H202" s="361">
        <f>IF(ISBLANK(CO202),CP202,SUMPRODUCT(CO$32:CP$32,CO202:CP202))</f>
        <v/>
      </c>
      <c r="I202" s="968">
        <f>H202/M202</f>
        <v/>
      </c>
      <c r="J202" s="968">
        <f>H202/N202</f>
        <v/>
      </c>
      <c r="K202" s="968">
        <f>(H202+Q202)/O202</f>
        <v/>
      </c>
      <c r="L202" s="968">
        <f>(H202+Q202)/P202</f>
        <v/>
      </c>
      <c r="M202" s="199">
        <f>HLOOKUP(C:C,$4:$10,3,FALSE)+((HLOOKUP(D:D,$4:$10,3,FALSE)-HLOOKUP(C:C,$4:$10,3,FALSE))*E202/F202)</f>
        <v/>
      </c>
      <c r="N202" s="199">
        <f>HLOOKUP(C:C,$4:$10,2,FALSE)+((HLOOKUP(D:D,$4:$10,2,FALSE)-HLOOKUP(C:C,$4:$10,2,FALSE))*E202/F202)</f>
        <v/>
      </c>
      <c r="O202" s="199">
        <f>HLOOKUP(C:C,$4:$10,5,FALSE)+((HLOOKUP(D:D,$4:$10,5,FALSE)-HLOOKUP(C:C,$4:$10,5,FALSE))*E202/F202)</f>
        <v/>
      </c>
      <c r="P202" s="199">
        <f>HLOOKUP(C:C,$4:$10,4,FALSE)+((HLOOKUP(D:D,$4:$10,4,FALSE)-HLOOKUP(C:C,$4:$10,4,FALSE))*E202/F202)</f>
        <v/>
      </c>
      <c r="Q202" s="199">
        <f>HLOOKUP(B:B,$4:$10,6,FALSE)+((HLOOKUP(C:C,$4:$10,6,FALSE)-HLOOKUP(B:B,$4:$10,6,FALSE))*E202/F202)</f>
        <v/>
      </c>
      <c r="T202" s="198">
        <f>$G202</f>
        <v/>
      </c>
      <c r="U202" s="199">
        <f>H202/(HLOOKUP(B:B,$4:$10,3,FALSE)+((HLOOKUP(C:C,$4:$10,3,FALSE)-HLOOKUP(B:B,$4:$10,3,FALSE))*E202/F202))</f>
        <v/>
      </c>
      <c r="V202" s="969">
        <f>HLOOKUP(B:B,$4:$10,7,FALSE)+((HLOOKUP(C:C,$4:$10,7,FALSE)-HLOOKUP(B:B,$4:$10,7,FALSE))*E202/F202)</f>
        <v/>
      </c>
      <c r="AB202" s="198">
        <f>$G202</f>
        <v/>
      </c>
      <c r="AC202" s="199">
        <f>$H202</f>
        <v/>
      </c>
      <c r="AD202" s="199">
        <f>$M202*AD$34</f>
        <v/>
      </c>
      <c r="AE202" s="199">
        <f>$M202*AE$34</f>
        <v/>
      </c>
      <c r="AF202" s="199">
        <f>$M202*AF$34</f>
        <v/>
      </c>
      <c r="AG202" s="199">
        <f>$M202*AG$34</f>
        <v/>
      </c>
      <c r="AH202" s="199">
        <f>$M202*AH$34</f>
        <v/>
      </c>
      <c r="AJ202" s="198">
        <f>$G202</f>
        <v/>
      </c>
      <c r="AK202" s="199">
        <f>$H202</f>
        <v/>
      </c>
      <c r="AL202" s="199">
        <f>$N202*AL$34</f>
        <v/>
      </c>
      <c r="AM202" s="199">
        <f>$N202*AM$34</f>
        <v/>
      </c>
      <c r="AN202" s="199">
        <f>$N202*AN$34</f>
        <v/>
      </c>
      <c r="AO202" s="199">
        <f>$N202*AO$34</f>
        <v/>
      </c>
      <c r="AP202" s="199">
        <f>$N202*AP$34</f>
        <v/>
      </c>
      <c r="AR202" s="198">
        <f>$G202</f>
        <v/>
      </c>
      <c r="AS202" s="199">
        <f>$H202</f>
        <v/>
      </c>
      <c r="AT202" s="199">
        <f>$O202*AT$34-$Q202</f>
        <v/>
      </c>
      <c r="AU202" s="199">
        <f>$O202*AU$34-$Q202</f>
        <v/>
      </c>
      <c r="AV202" s="199">
        <f>$O202*AV$34-$Q202</f>
        <v/>
      </c>
      <c r="AW202" s="199">
        <f>$O202*AW$34-$Q202</f>
        <v/>
      </c>
      <c r="AX202" s="199">
        <f>$O202*AX$34-$Q202</f>
        <v/>
      </c>
      <c r="AZ202" s="198">
        <f>$G202</f>
        <v/>
      </c>
      <c r="BA202" s="199">
        <f>$H202</f>
        <v/>
      </c>
      <c r="BB202" s="199">
        <f>$P202*BB$34-$Q202</f>
        <v/>
      </c>
      <c r="BC202" s="199">
        <f>$P202*BC$34-$Q202</f>
        <v/>
      </c>
      <c r="BD202" s="199">
        <f>$P202*BD$34-$Q202</f>
        <v/>
      </c>
      <c r="BE202" s="199">
        <f>$P202*BE$34-$Q202</f>
        <v/>
      </c>
      <c r="BF202" s="199">
        <f>$P202*BF$34-$Q202</f>
        <v/>
      </c>
      <c r="BH202" s="198">
        <f>$G202</f>
        <v/>
      </c>
      <c r="BI202" s="197">
        <f>$I202</f>
        <v/>
      </c>
      <c r="BJ202" s="197">
        <f>+BJ203</f>
        <v/>
      </c>
      <c r="BK202" s="197">
        <f>+BK203</f>
        <v/>
      </c>
      <c r="BL202" s="197">
        <f>+BL203</f>
        <v/>
      </c>
      <c r="BM202" s="197">
        <f>+BM203</f>
        <v/>
      </c>
      <c r="BN202" s="197">
        <f>+BN203</f>
        <v/>
      </c>
      <c r="BP202" s="198">
        <f>$G202</f>
        <v/>
      </c>
      <c r="BQ202" s="197">
        <f>$J202</f>
        <v/>
      </c>
      <c r="BR202" s="197">
        <f>+BR203</f>
        <v/>
      </c>
      <c r="BS202" s="197">
        <f>+BS203</f>
        <v/>
      </c>
      <c r="BT202" s="197">
        <f>+BT203</f>
        <v/>
      </c>
      <c r="BU202" s="197">
        <f>+BU203</f>
        <v/>
      </c>
      <c r="BV202" s="197">
        <f>+BV203</f>
        <v/>
      </c>
      <c r="BX202" s="198">
        <f>$G202</f>
        <v/>
      </c>
      <c r="BY202" s="197">
        <f>$K202</f>
        <v/>
      </c>
      <c r="BZ202" s="197">
        <f>+BZ203</f>
        <v/>
      </c>
      <c r="CA202" s="197">
        <f>+CA203</f>
        <v/>
      </c>
      <c r="CB202" s="197">
        <f>+CB203</f>
        <v/>
      </c>
      <c r="CC202" s="197">
        <f>+CC203</f>
        <v/>
      </c>
      <c r="CD202" s="197">
        <f>+CD203</f>
        <v/>
      </c>
      <c r="CF202" s="198">
        <f>$G202</f>
        <v/>
      </c>
      <c r="CG202" s="197">
        <f>$L202</f>
        <v/>
      </c>
      <c r="CH202" s="197">
        <f>+CH203</f>
        <v/>
      </c>
      <c r="CI202" s="197">
        <f>+CI203</f>
        <v/>
      </c>
      <c r="CJ202" s="197">
        <f>+CJ203</f>
        <v/>
      </c>
      <c r="CK202" s="197">
        <f>+CK203</f>
        <v/>
      </c>
      <c r="CL202" s="197">
        <f>+CL203</f>
        <v/>
      </c>
      <c r="CO202" s="199" t="n"/>
      <c r="CP202" s="199" t="n">
        <v>4.86</v>
      </c>
      <c r="CR202" s="199" t="inlineStr">
        <is>
          <t>#N/A N/A</t>
        </is>
      </c>
      <c r="CS202" s="970" t="n">
        <v>0.91346</v>
      </c>
    </row>
    <row r="203">
      <c r="B203" s="204">
        <f>+C203-1</f>
        <v/>
      </c>
      <c r="C203" s="204">
        <f>IF('bands_A-H_Avg'!$D$9+1&gt;MONTH(G203),YEAR(G203),YEAR(G203)+1)</f>
        <v/>
      </c>
      <c r="D203" s="204">
        <f>+C203+1</f>
        <v/>
      </c>
      <c r="E203" s="203">
        <f>IF(C203&gt;C202,1,E202+1)</f>
        <v/>
      </c>
      <c r="F203" s="203">
        <f>COUNTIF(C:C,C203)</f>
        <v/>
      </c>
      <c r="G203" s="198">
        <f>+G202+7</f>
        <v/>
      </c>
      <c r="H203" s="361">
        <f>IF(ISBLANK(CO203),CP203,SUMPRODUCT(CO$32:CP$32,CO203:CP203))</f>
        <v/>
      </c>
      <c r="I203" s="968">
        <f>H203/M203</f>
        <v/>
      </c>
      <c r="J203" s="968">
        <f>H203/N203</f>
        <v/>
      </c>
      <c r="K203" s="968">
        <f>(H203+Q203)/O203</f>
        <v/>
      </c>
      <c r="L203" s="968">
        <f>(H203+Q203)/P203</f>
        <v/>
      </c>
      <c r="M203" s="199">
        <f>HLOOKUP(C:C,$4:$10,3,FALSE)+((HLOOKUP(D:D,$4:$10,3,FALSE)-HLOOKUP(C:C,$4:$10,3,FALSE))*E203/F203)</f>
        <v/>
      </c>
      <c r="N203" s="199">
        <f>HLOOKUP(C:C,$4:$10,2,FALSE)+((HLOOKUP(D:D,$4:$10,2,FALSE)-HLOOKUP(C:C,$4:$10,2,FALSE))*E203/F203)</f>
        <v/>
      </c>
      <c r="O203" s="199">
        <f>HLOOKUP(C:C,$4:$10,5,FALSE)+((HLOOKUP(D:D,$4:$10,5,FALSE)-HLOOKUP(C:C,$4:$10,5,FALSE))*E203/F203)</f>
        <v/>
      </c>
      <c r="P203" s="199">
        <f>HLOOKUP(C:C,$4:$10,4,FALSE)+((HLOOKUP(D:D,$4:$10,4,FALSE)-HLOOKUP(C:C,$4:$10,4,FALSE))*E203/F203)</f>
        <v/>
      </c>
      <c r="Q203" s="199">
        <f>HLOOKUP(B:B,$4:$10,6,FALSE)+((HLOOKUP(C:C,$4:$10,6,FALSE)-HLOOKUP(B:B,$4:$10,6,FALSE))*E203/F203)</f>
        <v/>
      </c>
      <c r="T203" s="198">
        <f>$G203</f>
        <v/>
      </c>
      <c r="U203" s="199">
        <f>H203/(HLOOKUP(B:B,$4:$10,3,FALSE)+((HLOOKUP(C:C,$4:$10,3,FALSE)-HLOOKUP(B:B,$4:$10,3,FALSE))*E203/F203))</f>
        <v/>
      </c>
      <c r="V203" s="969">
        <f>HLOOKUP(B:B,$4:$10,7,FALSE)+((HLOOKUP(C:C,$4:$10,7,FALSE)-HLOOKUP(B:B,$4:$10,7,FALSE))*E203/F203)</f>
        <v/>
      </c>
      <c r="AB203" s="198">
        <f>$G203</f>
        <v/>
      </c>
      <c r="AC203" s="199">
        <f>$H203</f>
        <v/>
      </c>
      <c r="AD203" s="199">
        <f>$M203*AD$34</f>
        <v/>
      </c>
      <c r="AE203" s="199">
        <f>$M203*AE$34</f>
        <v/>
      </c>
      <c r="AF203" s="199">
        <f>$M203*AF$34</f>
        <v/>
      </c>
      <c r="AG203" s="199">
        <f>$M203*AG$34</f>
        <v/>
      </c>
      <c r="AH203" s="199">
        <f>$M203*AH$34</f>
        <v/>
      </c>
      <c r="AJ203" s="198">
        <f>$G203</f>
        <v/>
      </c>
      <c r="AK203" s="199">
        <f>$H203</f>
        <v/>
      </c>
      <c r="AL203" s="199">
        <f>$N203*AL$34</f>
        <v/>
      </c>
      <c r="AM203" s="199">
        <f>$N203*AM$34</f>
        <v/>
      </c>
      <c r="AN203" s="199">
        <f>$N203*AN$34</f>
        <v/>
      </c>
      <c r="AO203" s="199">
        <f>$N203*AO$34</f>
        <v/>
      </c>
      <c r="AP203" s="199">
        <f>$N203*AP$34</f>
        <v/>
      </c>
      <c r="AR203" s="198">
        <f>$G203</f>
        <v/>
      </c>
      <c r="AS203" s="199">
        <f>$H203</f>
        <v/>
      </c>
      <c r="AT203" s="199">
        <f>$O203*AT$34-$Q203</f>
        <v/>
      </c>
      <c r="AU203" s="199">
        <f>$O203*AU$34-$Q203</f>
        <v/>
      </c>
      <c r="AV203" s="199">
        <f>$O203*AV$34-$Q203</f>
        <v/>
      </c>
      <c r="AW203" s="199">
        <f>$O203*AW$34-$Q203</f>
        <v/>
      </c>
      <c r="AX203" s="199">
        <f>$O203*AX$34-$Q203</f>
        <v/>
      </c>
      <c r="AZ203" s="198">
        <f>$G203</f>
        <v/>
      </c>
      <c r="BA203" s="199">
        <f>$H203</f>
        <v/>
      </c>
      <c r="BB203" s="199">
        <f>$P203*BB$34-$Q203</f>
        <v/>
      </c>
      <c r="BC203" s="199">
        <f>$P203*BC$34-$Q203</f>
        <v/>
      </c>
      <c r="BD203" s="199">
        <f>$P203*BD$34-$Q203</f>
        <v/>
      </c>
      <c r="BE203" s="199">
        <f>$P203*BE$34-$Q203</f>
        <v/>
      </c>
      <c r="BF203" s="199">
        <f>$P203*BF$34-$Q203</f>
        <v/>
      </c>
      <c r="BH203" s="198">
        <f>$G203</f>
        <v/>
      </c>
      <c r="BI203" s="197">
        <f>$I203</f>
        <v/>
      </c>
      <c r="BJ203" s="197">
        <f>+BJ204</f>
        <v/>
      </c>
      <c r="BK203" s="197">
        <f>+BK204</f>
        <v/>
      </c>
      <c r="BL203" s="197">
        <f>+BL204</f>
        <v/>
      </c>
      <c r="BM203" s="197">
        <f>+BM204</f>
        <v/>
      </c>
      <c r="BN203" s="197">
        <f>+BN204</f>
        <v/>
      </c>
      <c r="BP203" s="198">
        <f>$G203</f>
        <v/>
      </c>
      <c r="BQ203" s="197">
        <f>$J203</f>
        <v/>
      </c>
      <c r="BR203" s="197">
        <f>+BR204</f>
        <v/>
      </c>
      <c r="BS203" s="197">
        <f>+BS204</f>
        <v/>
      </c>
      <c r="BT203" s="197">
        <f>+BT204</f>
        <v/>
      </c>
      <c r="BU203" s="197">
        <f>+BU204</f>
        <v/>
      </c>
      <c r="BV203" s="197">
        <f>+BV204</f>
        <v/>
      </c>
      <c r="BX203" s="198">
        <f>$G203</f>
        <v/>
      </c>
      <c r="BY203" s="197">
        <f>$K203</f>
        <v/>
      </c>
      <c r="BZ203" s="197">
        <f>+BZ204</f>
        <v/>
      </c>
      <c r="CA203" s="197">
        <f>+CA204</f>
        <v/>
      </c>
      <c r="CB203" s="197">
        <f>+CB204</f>
        <v/>
      </c>
      <c r="CC203" s="197">
        <f>+CC204</f>
        <v/>
      </c>
      <c r="CD203" s="197">
        <f>+CD204</f>
        <v/>
      </c>
      <c r="CF203" s="198">
        <f>$G203</f>
        <v/>
      </c>
      <c r="CG203" s="197">
        <f>$L203</f>
        <v/>
      </c>
      <c r="CH203" s="197">
        <f>+CH204</f>
        <v/>
      </c>
      <c r="CI203" s="197">
        <f>+CI204</f>
        <v/>
      </c>
      <c r="CJ203" s="197">
        <f>+CJ204</f>
        <v/>
      </c>
      <c r="CK203" s="197">
        <f>+CK204</f>
        <v/>
      </c>
      <c r="CL203" s="197">
        <f>+CL204</f>
        <v/>
      </c>
      <c r="CO203" s="199" t="n"/>
      <c r="CP203" s="199" t="n">
        <v>4.52</v>
      </c>
      <c r="CR203" s="199" t="inlineStr">
        <is>
          <t>#N/A N/A</t>
        </is>
      </c>
      <c r="CS203" s="970" t="n">
        <v>0.91106</v>
      </c>
    </row>
    <row r="204">
      <c r="B204" s="204">
        <f>+C204-1</f>
        <v/>
      </c>
      <c r="C204" s="204">
        <f>IF('bands_A-H_Avg'!$D$9+1&gt;MONTH(G204),YEAR(G204),YEAR(G204)+1)</f>
        <v/>
      </c>
      <c r="D204" s="204">
        <f>+C204+1</f>
        <v/>
      </c>
      <c r="E204" s="203">
        <f>IF(C204&gt;C203,1,E203+1)</f>
        <v/>
      </c>
      <c r="F204" s="203">
        <f>COUNTIF(C:C,C204)</f>
        <v/>
      </c>
      <c r="G204" s="198">
        <f>+G203+7</f>
        <v/>
      </c>
      <c r="H204" s="361">
        <f>IF(ISBLANK(CO204),CP204,SUMPRODUCT(CO$32:CP$32,CO204:CP204))</f>
        <v/>
      </c>
      <c r="I204" s="968">
        <f>H204/M204</f>
        <v/>
      </c>
      <c r="J204" s="968">
        <f>H204/N204</f>
        <v/>
      </c>
      <c r="K204" s="968">
        <f>(H204+Q204)/O204</f>
        <v/>
      </c>
      <c r="L204" s="968">
        <f>(H204+Q204)/P204</f>
        <v/>
      </c>
      <c r="M204" s="199">
        <f>HLOOKUP(C:C,$4:$10,3,FALSE)+((HLOOKUP(D:D,$4:$10,3,FALSE)-HLOOKUP(C:C,$4:$10,3,FALSE))*E204/F204)</f>
        <v/>
      </c>
      <c r="N204" s="199">
        <f>HLOOKUP(C:C,$4:$10,2,FALSE)+((HLOOKUP(D:D,$4:$10,2,FALSE)-HLOOKUP(C:C,$4:$10,2,FALSE))*E204/F204)</f>
        <v/>
      </c>
      <c r="O204" s="199">
        <f>HLOOKUP(C:C,$4:$10,5,FALSE)+((HLOOKUP(D:D,$4:$10,5,FALSE)-HLOOKUP(C:C,$4:$10,5,FALSE))*E204/F204)</f>
        <v/>
      </c>
      <c r="P204" s="199">
        <f>HLOOKUP(C:C,$4:$10,4,FALSE)+((HLOOKUP(D:D,$4:$10,4,FALSE)-HLOOKUP(C:C,$4:$10,4,FALSE))*E204/F204)</f>
        <v/>
      </c>
      <c r="Q204" s="199">
        <f>HLOOKUP(B:B,$4:$10,6,FALSE)+((HLOOKUP(C:C,$4:$10,6,FALSE)-HLOOKUP(B:B,$4:$10,6,FALSE))*E204/F204)</f>
        <v/>
      </c>
      <c r="T204" s="198">
        <f>$G204</f>
        <v/>
      </c>
      <c r="U204" s="199">
        <f>H204/(HLOOKUP(B:B,$4:$10,3,FALSE)+((HLOOKUP(C:C,$4:$10,3,FALSE)-HLOOKUP(B:B,$4:$10,3,FALSE))*E204/F204))</f>
        <v/>
      </c>
      <c r="V204" s="969">
        <f>HLOOKUP(B:B,$4:$10,7,FALSE)+((HLOOKUP(C:C,$4:$10,7,FALSE)-HLOOKUP(B:B,$4:$10,7,FALSE))*E204/F204)</f>
        <v/>
      </c>
      <c r="AB204" s="198">
        <f>$G204</f>
        <v/>
      </c>
      <c r="AC204" s="199">
        <f>$H204</f>
        <v/>
      </c>
      <c r="AD204" s="199">
        <f>$M204*AD$34</f>
        <v/>
      </c>
      <c r="AE204" s="199">
        <f>$M204*AE$34</f>
        <v/>
      </c>
      <c r="AF204" s="199">
        <f>$M204*AF$34</f>
        <v/>
      </c>
      <c r="AG204" s="199">
        <f>$M204*AG$34</f>
        <v/>
      </c>
      <c r="AH204" s="199">
        <f>$M204*AH$34</f>
        <v/>
      </c>
      <c r="AJ204" s="198">
        <f>$G204</f>
        <v/>
      </c>
      <c r="AK204" s="199">
        <f>$H204</f>
        <v/>
      </c>
      <c r="AL204" s="199">
        <f>$N204*AL$34</f>
        <v/>
      </c>
      <c r="AM204" s="199">
        <f>$N204*AM$34</f>
        <v/>
      </c>
      <c r="AN204" s="199">
        <f>$N204*AN$34</f>
        <v/>
      </c>
      <c r="AO204" s="199">
        <f>$N204*AO$34</f>
        <v/>
      </c>
      <c r="AP204" s="199">
        <f>$N204*AP$34</f>
        <v/>
      </c>
      <c r="AR204" s="198">
        <f>$G204</f>
        <v/>
      </c>
      <c r="AS204" s="199">
        <f>$H204</f>
        <v/>
      </c>
      <c r="AT204" s="199">
        <f>$O204*AT$34-$Q204</f>
        <v/>
      </c>
      <c r="AU204" s="199">
        <f>$O204*AU$34-$Q204</f>
        <v/>
      </c>
      <c r="AV204" s="199">
        <f>$O204*AV$34-$Q204</f>
        <v/>
      </c>
      <c r="AW204" s="199">
        <f>$O204*AW$34-$Q204</f>
        <v/>
      </c>
      <c r="AX204" s="199">
        <f>$O204*AX$34-$Q204</f>
        <v/>
      </c>
      <c r="AZ204" s="198">
        <f>$G204</f>
        <v/>
      </c>
      <c r="BA204" s="199">
        <f>$H204</f>
        <v/>
      </c>
      <c r="BB204" s="199">
        <f>$P204*BB$34-$Q204</f>
        <v/>
      </c>
      <c r="BC204" s="199">
        <f>$P204*BC$34-$Q204</f>
        <v/>
      </c>
      <c r="BD204" s="199">
        <f>$P204*BD$34-$Q204</f>
        <v/>
      </c>
      <c r="BE204" s="199">
        <f>$P204*BE$34-$Q204</f>
        <v/>
      </c>
      <c r="BF204" s="199">
        <f>$P204*BF$34-$Q204</f>
        <v/>
      </c>
      <c r="BH204" s="198">
        <f>$G204</f>
        <v/>
      </c>
      <c r="BI204" s="197">
        <f>$I204</f>
        <v/>
      </c>
      <c r="BJ204" s="197">
        <f>+BJ205</f>
        <v/>
      </c>
      <c r="BK204" s="197">
        <f>+BK205</f>
        <v/>
      </c>
      <c r="BL204" s="197">
        <f>+BL205</f>
        <v/>
      </c>
      <c r="BM204" s="197">
        <f>+BM205</f>
        <v/>
      </c>
      <c r="BN204" s="197">
        <f>+BN205</f>
        <v/>
      </c>
      <c r="BP204" s="198">
        <f>$G204</f>
        <v/>
      </c>
      <c r="BQ204" s="197">
        <f>$J204</f>
        <v/>
      </c>
      <c r="BR204" s="197">
        <f>+BR205</f>
        <v/>
      </c>
      <c r="BS204" s="197">
        <f>+BS205</f>
        <v/>
      </c>
      <c r="BT204" s="197">
        <f>+BT205</f>
        <v/>
      </c>
      <c r="BU204" s="197">
        <f>+BU205</f>
        <v/>
      </c>
      <c r="BV204" s="197">
        <f>+BV205</f>
        <v/>
      </c>
      <c r="BX204" s="198">
        <f>$G204</f>
        <v/>
      </c>
      <c r="BY204" s="197">
        <f>$K204</f>
        <v/>
      </c>
      <c r="BZ204" s="197">
        <f>+BZ205</f>
        <v/>
      </c>
      <c r="CA204" s="197">
        <f>+CA205</f>
        <v/>
      </c>
      <c r="CB204" s="197">
        <f>+CB205</f>
        <v/>
      </c>
      <c r="CC204" s="197">
        <f>+CC205</f>
        <v/>
      </c>
      <c r="CD204" s="197">
        <f>+CD205</f>
        <v/>
      </c>
      <c r="CF204" s="198">
        <f>$G204</f>
        <v/>
      </c>
      <c r="CG204" s="197">
        <f>$L204</f>
        <v/>
      </c>
      <c r="CH204" s="197">
        <f>+CH205</f>
        <v/>
      </c>
      <c r="CI204" s="197">
        <f>+CI205</f>
        <v/>
      </c>
      <c r="CJ204" s="197">
        <f>+CJ205</f>
        <v/>
      </c>
      <c r="CK204" s="197">
        <f>+CK205</f>
        <v/>
      </c>
      <c r="CL204" s="197">
        <f>+CL205</f>
        <v/>
      </c>
      <c r="CO204" s="199" t="n"/>
      <c r="CP204" s="199" t="n">
        <v>4</v>
      </c>
      <c r="CR204" s="199" t="inlineStr">
        <is>
          <t>#N/A N/A</t>
        </is>
      </c>
      <c r="CS204" s="970" t="n">
        <v>0.90657</v>
      </c>
    </row>
    <row r="205">
      <c r="B205" s="204">
        <f>+C205-1</f>
        <v/>
      </c>
      <c r="C205" s="204">
        <f>IF('bands_A-H_Avg'!$D$9+1&gt;MONTH(G205),YEAR(G205),YEAR(G205)+1)</f>
        <v/>
      </c>
      <c r="D205" s="204">
        <f>+C205+1</f>
        <v/>
      </c>
      <c r="E205" s="203">
        <f>IF(C205&gt;C204,1,E204+1)</f>
        <v/>
      </c>
      <c r="F205" s="203">
        <f>COUNTIF(C:C,C205)</f>
        <v/>
      </c>
      <c r="G205" s="198">
        <f>+G204+7</f>
        <v/>
      </c>
      <c r="H205" s="361">
        <f>IF(ISBLANK(CO205),CP205,SUMPRODUCT(CO$32:CP$32,CO205:CP205))</f>
        <v/>
      </c>
      <c r="I205" s="968">
        <f>H205/M205</f>
        <v/>
      </c>
      <c r="J205" s="968">
        <f>H205/N205</f>
        <v/>
      </c>
      <c r="K205" s="968">
        <f>(H205+Q205)/O205</f>
        <v/>
      </c>
      <c r="L205" s="968">
        <f>(H205+Q205)/P205</f>
        <v/>
      </c>
      <c r="M205" s="199">
        <f>HLOOKUP(C:C,$4:$10,3,FALSE)+((HLOOKUP(D:D,$4:$10,3,FALSE)-HLOOKUP(C:C,$4:$10,3,FALSE))*E205/F205)</f>
        <v/>
      </c>
      <c r="N205" s="199">
        <f>HLOOKUP(C:C,$4:$10,2,FALSE)+((HLOOKUP(D:D,$4:$10,2,FALSE)-HLOOKUP(C:C,$4:$10,2,FALSE))*E205/F205)</f>
        <v/>
      </c>
      <c r="O205" s="199">
        <f>HLOOKUP(C:C,$4:$10,5,FALSE)+((HLOOKUP(D:D,$4:$10,5,FALSE)-HLOOKUP(C:C,$4:$10,5,FALSE))*E205/F205)</f>
        <v/>
      </c>
      <c r="P205" s="199">
        <f>HLOOKUP(C:C,$4:$10,4,FALSE)+((HLOOKUP(D:D,$4:$10,4,FALSE)-HLOOKUP(C:C,$4:$10,4,FALSE))*E205/F205)</f>
        <v/>
      </c>
      <c r="Q205" s="199">
        <f>HLOOKUP(B:B,$4:$10,6,FALSE)+((HLOOKUP(C:C,$4:$10,6,FALSE)-HLOOKUP(B:B,$4:$10,6,FALSE))*E205/F205)</f>
        <v/>
      </c>
      <c r="T205" s="198">
        <f>$G205</f>
        <v/>
      </c>
      <c r="U205" s="199">
        <f>H205/(HLOOKUP(B:B,$4:$10,3,FALSE)+((HLOOKUP(C:C,$4:$10,3,FALSE)-HLOOKUP(B:B,$4:$10,3,FALSE))*E205/F205))</f>
        <v/>
      </c>
      <c r="V205" s="969">
        <f>HLOOKUP(B:B,$4:$10,7,FALSE)+((HLOOKUP(C:C,$4:$10,7,FALSE)-HLOOKUP(B:B,$4:$10,7,FALSE))*E205/F205)</f>
        <v/>
      </c>
      <c r="AB205" s="198">
        <f>$G205</f>
        <v/>
      </c>
      <c r="AC205" s="199">
        <f>$H205</f>
        <v/>
      </c>
      <c r="AD205" s="199">
        <f>$M205*AD$34</f>
        <v/>
      </c>
      <c r="AE205" s="199">
        <f>$M205*AE$34</f>
        <v/>
      </c>
      <c r="AF205" s="199">
        <f>$M205*AF$34</f>
        <v/>
      </c>
      <c r="AG205" s="199">
        <f>$M205*AG$34</f>
        <v/>
      </c>
      <c r="AH205" s="199">
        <f>$M205*AH$34</f>
        <v/>
      </c>
      <c r="AJ205" s="198">
        <f>$G205</f>
        <v/>
      </c>
      <c r="AK205" s="199">
        <f>$H205</f>
        <v/>
      </c>
      <c r="AL205" s="199">
        <f>$N205*AL$34</f>
        <v/>
      </c>
      <c r="AM205" s="199">
        <f>$N205*AM$34</f>
        <v/>
      </c>
      <c r="AN205" s="199">
        <f>$N205*AN$34</f>
        <v/>
      </c>
      <c r="AO205" s="199">
        <f>$N205*AO$34</f>
        <v/>
      </c>
      <c r="AP205" s="199">
        <f>$N205*AP$34</f>
        <v/>
      </c>
      <c r="AR205" s="198">
        <f>$G205</f>
        <v/>
      </c>
      <c r="AS205" s="199">
        <f>$H205</f>
        <v/>
      </c>
      <c r="AT205" s="199">
        <f>$O205*AT$34-$Q205</f>
        <v/>
      </c>
      <c r="AU205" s="199">
        <f>$O205*AU$34-$Q205</f>
        <v/>
      </c>
      <c r="AV205" s="199">
        <f>$O205*AV$34-$Q205</f>
        <v/>
      </c>
      <c r="AW205" s="199">
        <f>$O205*AW$34-$Q205</f>
        <v/>
      </c>
      <c r="AX205" s="199">
        <f>$O205*AX$34-$Q205</f>
        <v/>
      </c>
      <c r="AZ205" s="198">
        <f>$G205</f>
        <v/>
      </c>
      <c r="BA205" s="199">
        <f>$H205</f>
        <v/>
      </c>
      <c r="BB205" s="199">
        <f>$P205*BB$34-$Q205</f>
        <v/>
      </c>
      <c r="BC205" s="199">
        <f>$P205*BC$34-$Q205</f>
        <v/>
      </c>
      <c r="BD205" s="199">
        <f>$P205*BD$34-$Q205</f>
        <v/>
      </c>
      <c r="BE205" s="199">
        <f>$P205*BE$34-$Q205</f>
        <v/>
      </c>
      <c r="BF205" s="199">
        <f>$P205*BF$34-$Q205</f>
        <v/>
      </c>
      <c r="BH205" s="198">
        <f>$G205</f>
        <v/>
      </c>
      <c r="BI205" s="197">
        <f>$I205</f>
        <v/>
      </c>
      <c r="BJ205" s="197">
        <f>+BJ206</f>
        <v/>
      </c>
      <c r="BK205" s="197">
        <f>+BK206</f>
        <v/>
      </c>
      <c r="BL205" s="197">
        <f>+BL206</f>
        <v/>
      </c>
      <c r="BM205" s="197">
        <f>+BM206</f>
        <v/>
      </c>
      <c r="BN205" s="197">
        <f>+BN206</f>
        <v/>
      </c>
      <c r="BP205" s="198">
        <f>$G205</f>
        <v/>
      </c>
      <c r="BQ205" s="197">
        <f>$J205</f>
        <v/>
      </c>
      <c r="BR205" s="197">
        <f>+BR206</f>
        <v/>
      </c>
      <c r="BS205" s="197">
        <f>+BS206</f>
        <v/>
      </c>
      <c r="BT205" s="197">
        <f>+BT206</f>
        <v/>
      </c>
      <c r="BU205" s="197">
        <f>+BU206</f>
        <v/>
      </c>
      <c r="BV205" s="197">
        <f>+BV206</f>
        <v/>
      </c>
      <c r="BX205" s="198">
        <f>$G205</f>
        <v/>
      </c>
      <c r="BY205" s="197">
        <f>$K205</f>
        <v/>
      </c>
      <c r="BZ205" s="197">
        <f>+BZ206</f>
        <v/>
      </c>
      <c r="CA205" s="197">
        <f>+CA206</f>
        <v/>
      </c>
      <c r="CB205" s="197">
        <f>+CB206</f>
        <v/>
      </c>
      <c r="CC205" s="197">
        <f>+CC206</f>
        <v/>
      </c>
      <c r="CD205" s="197">
        <f>+CD206</f>
        <v/>
      </c>
      <c r="CF205" s="198">
        <f>$G205</f>
        <v/>
      </c>
      <c r="CG205" s="197">
        <f>$L205</f>
        <v/>
      </c>
      <c r="CH205" s="197">
        <f>+CH206</f>
        <v/>
      </c>
      <c r="CI205" s="197">
        <f>+CI206</f>
        <v/>
      </c>
      <c r="CJ205" s="197">
        <f>+CJ206</f>
        <v/>
      </c>
      <c r="CK205" s="197">
        <f>+CK206</f>
        <v/>
      </c>
      <c r="CL205" s="197">
        <f>+CL206</f>
        <v/>
      </c>
      <c r="CO205" s="199" t="n"/>
      <c r="CP205" s="199" t="n">
        <v>4.99</v>
      </c>
      <c r="CR205" s="199" t="inlineStr">
        <is>
          <t>#N/A N/A</t>
        </is>
      </c>
      <c r="CS205" s="970" t="n">
        <v>0.90115</v>
      </c>
    </row>
    <row r="206">
      <c r="B206" s="204">
        <f>+C206-1</f>
        <v/>
      </c>
      <c r="C206" s="204">
        <f>IF('bands_A-H_Avg'!$D$9+1&gt;MONTH(G206),YEAR(G206),YEAR(G206)+1)</f>
        <v/>
      </c>
      <c r="D206" s="204">
        <f>+C206+1</f>
        <v/>
      </c>
      <c r="E206" s="203">
        <f>IF(C206&gt;C205,1,E205+1)</f>
        <v/>
      </c>
      <c r="F206" s="203">
        <f>COUNTIF(C:C,C206)</f>
        <v/>
      </c>
      <c r="G206" s="198">
        <f>+G205+7</f>
        <v/>
      </c>
      <c r="H206" s="361">
        <f>IF(ISBLANK(CO206),CP206,SUMPRODUCT(CO$32:CP$32,CO206:CP206))</f>
        <v/>
      </c>
      <c r="I206" s="968">
        <f>H206/M206</f>
        <v/>
      </c>
      <c r="J206" s="968">
        <f>H206/N206</f>
        <v/>
      </c>
      <c r="K206" s="968">
        <f>(H206+Q206)/O206</f>
        <v/>
      </c>
      <c r="L206" s="968">
        <f>(H206+Q206)/P206</f>
        <v/>
      </c>
      <c r="M206" s="199">
        <f>HLOOKUP(C:C,$4:$10,3,FALSE)+((HLOOKUP(D:D,$4:$10,3,FALSE)-HLOOKUP(C:C,$4:$10,3,FALSE))*E206/F206)</f>
        <v/>
      </c>
      <c r="N206" s="199">
        <f>HLOOKUP(C:C,$4:$10,2,FALSE)+((HLOOKUP(D:D,$4:$10,2,FALSE)-HLOOKUP(C:C,$4:$10,2,FALSE))*E206/F206)</f>
        <v/>
      </c>
      <c r="O206" s="199">
        <f>HLOOKUP(C:C,$4:$10,5,FALSE)+((HLOOKUP(D:D,$4:$10,5,FALSE)-HLOOKUP(C:C,$4:$10,5,FALSE))*E206/F206)</f>
        <v/>
      </c>
      <c r="P206" s="199">
        <f>HLOOKUP(C:C,$4:$10,4,FALSE)+((HLOOKUP(D:D,$4:$10,4,FALSE)-HLOOKUP(C:C,$4:$10,4,FALSE))*E206/F206)</f>
        <v/>
      </c>
      <c r="Q206" s="199">
        <f>HLOOKUP(B:B,$4:$10,6,FALSE)+((HLOOKUP(C:C,$4:$10,6,FALSE)-HLOOKUP(B:B,$4:$10,6,FALSE))*E206/F206)</f>
        <v/>
      </c>
      <c r="T206" s="198">
        <f>$G206</f>
        <v/>
      </c>
      <c r="U206" s="199">
        <f>H206/(HLOOKUP(B:B,$4:$10,3,FALSE)+((HLOOKUP(C:C,$4:$10,3,FALSE)-HLOOKUP(B:B,$4:$10,3,FALSE))*E206/F206))</f>
        <v/>
      </c>
      <c r="V206" s="969">
        <f>HLOOKUP(B:B,$4:$10,7,FALSE)+((HLOOKUP(C:C,$4:$10,7,FALSE)-HLOOKUP(B:B,$4:$10,7,FALSE))*E206/F206)</f>
        <v/>
      </c>
      <c r="AB206" s="198">
        <f>$G206</f>
        <v/>
      </c>
      <c r="AC206" s="199">
        <f>$H206</f>
        <v/>
      </c>
      <c r="AD206" s="199">
        <f>$M206*AD$34</f>
        <v/>
      </c>
      <c r="AE206" s="199">
        <f>$M206*AE$34</f>
        <v/>
      </c>
      <c r="AF206" s="199">
        <f>$M206*AF$34</f>
        <v/>
      </c>
      <c r="AG206" s="199">
        <f>$M206*AG$34</f>
        <v/>
      </c>
      <c r="AH206" s="199">
        <f>$M206*AH$34</f>
        <v/>
      </c>
      <c r="AJ206" s="198">
        <f>$G206</f>
        <v/>
      </c>
      <c r="AK206" s="199">
        <f>$H206</f>
        <v/>
      </c>
      <c r="AL206" s="199">
        <f>$N206*AL$34</f>
        <v/>
      </c>
      <c r="AM206" s="199">
        <f>$N206*AM$34</f>
        <v/>
      </c>
      <c r="AN206" s="199">
        <f>$N206*AN$34</f>
        <v/>
      </c>
      <c r="AO206" s="199">
        <f>$N206*AO$34</f>
        <v/>
      </c>
      <c r="AP206" s="199">
        <f>$N206*AP$34</f>
        <v/>
      </c>
      <c r="AR206" s="198">
        <f>$G206</f>
        <v/>
      </c>
      <c r="AS206" s="199">
        <f>$H206</f>
        <v/>
      </c>
      <c r="AT206" s="199">
        <f>$O206*AT$34-$Q206</f>
        <v/>
      </c>
      <c r="AU206" s="199">
        <f>$O206*AU$34-$Q206</f>
        <v/>
      </c>
      <c r="AV206" s="199">
        <f>$O206*AV$34-$Q206</f>
        <v/>
      </c>
      <c r="AW206" s="199">
        <f>$O206*AW$34-$Q206</f>
        <v/>
      </c>
      <c r="AX206" s="199">
        <f>$O206*AX$34-$Q206</f>
        <v/>
      </c>
      <c r="AZ206" s="198">
        <f>$G206</f>
        <v/>
      </c>
      <c r="BA206" s="199">
        <f>$H206</f>
        <v/>
      </c>
      <c r="BB206" s="199">
        <f>$P206*BB$34-$Q206</f>
        <v/>
      </c>
      <c r="BC206" s="199">
        <f>$P206*BC$34-$Q206</f>
        <v/>
      </c>
      <c r="BD206" s="199">
        <f>$P206*BD$34-$Q206</f>
        <v/>
      </c>
      <c r="BE206" s="199">
        <f>$P206*BE$34-$Q206</f>
        <v/>
      </c>
      <c r="BF206" s="199">
        <f>$P206*BF$34-$Q206</f>
        <v/>
      </c>
      <c r="BH206" s="198">
        <f>$G206</f>
        <v/>
      </c>
      <c r="BI206" s="197">
        <f>$I206</f>
        <v/>
      </c>
      <c r="BJ206" s="197">
        <f>+BJ207</f>
        <v/>
      </c>
      <c r="BK206" s="197">
        <f>+BK207</f>
        <v/>
      </c>
      <c r="BL206" s="197">
        <f>+BL207</f>
        <v/>
      </c>
      <c r="BM206" s="197">
        <f>+BM207</f>
        <v/>
      </c>
      <c r="BN206" s="197">
        <f>+BN207</f>
        <v/>
      </c>
      <c r="BP206" s="198">
        <f>$G206</f>
        <v/>
      </c>
      <c r="BQ206" s="197">
        <f>$J206</f>
        <v/>
      </c>
      <c r="BR206" s="197">
        <f>+BR207</f>
        <v/>
      </c>
      <c r="BS206" s="197">
        <f>+BS207</f>
        <v/>
      </c>
      <c r="BT206" s="197">
        <f>+BT207</f>
        <v/>
      </c>
      <c r="BU206" s="197">
        <f>+BU207</f>
        <v/>
      </c>
      <c r="BV206" s="197">
        <f>+BV207</f>
        <v/>
      </c>
      <c r="BX206" s="198">
        <f>$G206</f>
        <v/>
      </c>
      <c r="BY206" s="197">
        <f>$K206</f>
        <v/>
      </c>
      <c r="BZ206" s="197">
        <f>+BZ207</f>
        <v/>
      </c>
      <c r="CA206" s="197">
        <f>+CA207</f>
        <v/>
      </c>
      <c r="CB206" s="197">
        <f>+CB207</f>
        <v/>
      </c>
      <c r="CC206" s="197">
        <f>+CC207</f>
        <v/>
      </c>
      <c r="CD206" s="197">
        <f>+CD207</f>
        <v/>
      </c>
      <c r="CF206" s="198">
        <f>$G206</f>
        <v/>
      </c>
      <c r="CG206" s="197">
        <f>$L206</f>
        <v/>
      </c>
      <c r="CH206" s="197">
        <f>+CH207</f>
        <v/>
      </c>
      <c r="CI206" s="197">
        <f>+CI207</f>
        <v/>
      </c>
      <c r="CJ206" s="197">
        <f>+CJ207</f>
        <v/>
      </c>
      <c r="CK206" s="197">
        <f>+CK207</f>
        <v/>
      </c>
      <c r="CL206" s="197">
        <f>+CL207</f>
        <v/>
      </c>
      <c r="CO206" s="199" t="n"/>
      <c r="CP206" s="199" t="n">
        <v>4.87</v>
      </c>
      <c r="CR206" s="199" t="inlineStr">
        <is>
          <t>#N/A N/A</t>
        </is>
      </c>
      <c r="CS206" s="970" t="n">
        <v>0.90059</v>
      </c>
    </row>
    <row r="207">
      <c r="B207" s="204">
        <f>+C207-1</f>
        <v/>
      </c>
      <c r="C207" s="204">
        <f>IF('bands_A-H_Avg'!$D$9+1&gt;MONTH(G207),YEAR(G207),YEAR(G207)+1)</f>
        <v/>
      </c>
      <c r="D207" s="204">
        <f>+C207+1</f>
        <v/>
      </c>
      <c r="E207" s="203">
        <f>IF(C207&gt;C206,1,E206+1)</f>
        <v/>
      </c>
      <c r="F207" s="203">
        <f>COUNTIF(C:C,C207)</f>
        <v/>
      </c>
      <c r="G207" s="198">
        <f>+G206+7</f>
        <v/>
      </c>
      <c r="H207" s="361">
        <f>IF(ISBLANK(CO207),CP207,SUMPRODUCT(CO$32:CP$32,CO207:CP207))</f>
        <v/>
      </c>
      <c r="I207" s="968">
        <f>H207/M207</f>
        <v/>
      </c>
      <c r="J207" s="968">
        <f>H207/N207</f>
        <v/>
      </c>
      <c r="K207" s="968">
        <f>(H207+Q207)/O207</f>
        <v/>
      </c>
      <c r="L207" s="968">
        <f>(H207+Q207)/P207</f>
        <v/>
      </c>
      <c r="M207" s="199">
        <f>HLOOKUP(C:C,$4:$10,3,FALSE)+((HLOOKUP(D:D,$4:$10,3,FALSE)-HLOOKUP(C:C,$4:$10,3,FALSE))*E207/F207)</f>
        <v/>
      </c>
      <c r="N207" s="199">
        <f>HLOOKUP(C:C,$4:$10,2,FALSE)+((HLOOKUP(D:D,$4:$10,2,FALSE)-HLOOKUP(C:C,$4:$10,2,FALSE))*E207/F207)</f>
        <v/>
      </c>
      <c r="O207" s="199">
        <f>HLOOKUP(C:C,$4:$10,5,FALSE)+((HLOOKUP(D:D,$4:$10,5,FALSE)-HLOOKUP(C:C,$4:$10,5,FALSE))*E207/F207)</f>
        <v/>
      </c>
      <c r="P207" s="199">
        <f>HLOOKUP(C:C,$4:$10,4,FALSE)+((HLOOKUP(D:D,$4:$10,4,FALSE)-HLOOKUP(C:C,$4:$10,4,FALSE))*E207/F207)</f>
        <v/>
      </c>
      <c r="Q207" s="199">
        <f>HLOOKUP(B:B,$4:$10,6,FALSE)+((HLOOKUP(C:C,$4:$10,6,FALSE)-HLOOKUP(B:B,$4:$10,6,FALSE))*E207/F207)</f>
        <v/>
      </c>
      <c r="T207" s="198">
        <f>$G207</f>
        <v/>
      </c>
      <c r="U207" s="199">
        <f>H207/(HLOOKUP(B:B,$4:$10,3,FALSE)+((HLOOKUP(C:C,$4:$10,3,FALSE)-HLOOKUP(B:B,$4:$10,3,FALSE))*E207/F207))</f>
        <v/>
      </c>
      <c r="V207" s="969">
        <f>HLOOKUP(B:B,$4:$10,7,FALSE)+((HLOOKUP(C:C,$4:$10,7,FALSE)-HLOOKUP(B:B,$4:$10,7,FALSE))*E207/F207)</f>
        <v/>
      </c>
      <c r="AB207" s="198">
        <f>$G207</f>
        <v/>
      </c>
      <c r="AC207" s="199">
        <f>$H207</f>
        <v/>
      </c>
      <c r="AD207" s="199">
        <f>$M207*AD$34</f>
        <v/>
      </c>
      <c r="AE207" s="199">
        <f>$M207*AE$34</f>
        <v/>
      </c>
      <c r="AF207" s="199">
        <f>$M207*AF$34</f>
        <v/>
      </c>
      <c r="AG207" s="199">
        <f>$M207*AG$34</f>
        <v/>
      </c>
      <c r="AH207" s="199">
        <f>$M207*AH$34</f>
        <v/>
      </c>
      <c r="AJ207" s="198">
        <f>$G207</f>
        <v/>
      </c>
      <c r="AK207" s="199">
        <f>$H207</f>
        <v/>
      </c>
      <c r="AL207" s="199">
        <f>$N207*AL$34</f>
        <v/>
      </c>
      <c r="AM207" s="199">
        <f>$N207*AM$34</f>
        <v/>
      </c>
      <c r="AN207" s="199">
        <f>$N207*AN$34</f>
        <v/>
      </c>
      <c r="AO207" s="199">
        <f>$N207*AO$34</f>
        <v/>
      </c>
      <c r="AP207" s="199">
        <f>$N207*AP$34</f>
        <v/>
      </c>
      <c r="AR207" s="198">
        <f>$G207</f>
        <v/>
      </c>
      <c r="AS207" s="199">
        <f>$H207</f>
        <v/>
      </c>
      <c r="AT207" s="199">
        <f>$O207*AT$34-$Q207</f>
        <v/>
      </c>
      <c r="AU207" s="199">
        <f>$O207*AU$34-$Q207</f>
        <v/>
      </c>
      <c r="AV207" s="199">
        <f>$O207*AV$34-$Q207</f>
        <v/>
      </c>
      <c r="AW207" s="199">
        <f>$O207*AW$34-$Q207</f>
        <v/>
      </c>
      <c r="AX207" s="199">
        <f>$O207*AX$34-$Q207</f>
        <v/>
      </c>
      <c r="AZ207" s="198">
        <f>$G207</f>
        <v/>
      </c>
      <c r="BA207" s="199">
        <f>$H207</f>
        <v/>
      </c>
      <c r="BB207" s="199">
        <f>$P207*BB$34-$Q207</f>
        <v/>
      </c>
      <c r="BC207" s="199">
        <f>$P207*BC$34-$Q207</f>
        <v/>
      </c>
      <c r="BD207" s="199">
        <f>$P207*BD$34-$Q207</f>
        <v/>
      </c>
      <c r="BE207" s="199">
        <f>$P207*BE$34-$Q207</f>
        <v/>
      </c>
      <c r="BF207" s="199">
        <f>$P207*BF$34-$Q207</f>
        <v/>
      </c>
      <c r="BH207" s="198">
        <f>$G207</f>
        <v/>
      </c>
      <c r="BI207" s="197">
        <f>$I207</f>
        <v/>
      </c>
      <c r="BJ207" s="197">
        <f>+BJ208</f>
        <v/>
      </c>
      <c r="BK207" s="197">
        <f>+BK208</f>
        <v/>
      </c>
      <c r="BL207" s="197">
        <f>+BL208</f>
        <v/>
      </c>
      <c r="BM207" s="197">
        <f>+BM208</f>
        <v/>
      </c>
      <c r="BN207" s="197">
        <f>+BN208</f>
        <v/>
      </c>
      <c r="BP207" s="198">
        <f>$G207</f>
        <v/>
      </c>
      <c r="BQ207" s="197">
        <f>$J207</f>
        <v/>
      </c>
      <c r="BR207" s="197">
        <f>+BR208</f>
        <v/>
      </c>
      <c r="BS207" s="197">
        <f>+BS208</f>
        <v/>
      </c>
      <c r="BT207" s="197">
        <f>+BT208</f>
        <v/>
      </c>
      <c r="BU207" s="197">
        <f>+BU208</f>
        <v/>
      </c>
      <c r="BV207" s="197">
        <f>+BV208</f>
        <v/>
      </c>
      <c r="BX207" s="198">
        <f>$G207</f>
        <v/>
      </c>
      <c r="BY207" s="197">
        <f>$K207</f>
        <v/>
      </c>
      <c r="BZ207" s="197">
        <f>+BZ208</f>
        <v/>
      </c>
      <c r="CA207" s="197">
        <f>+CA208</f>
        <v/>
      </c>
      <c r="CB207" s="197">
        <f>+CB208</f>
        <v/>
      </c>
      <c r="CC207" s="197">
        <f>+CC208</f>
        <v/>
      </c>
      <c r="CD207" s="197">
        <f>+CD208</f>
        <v/>
      </c>
      <c r="CF207" s="198">
        <f>$G207</f>
        <v/>
      </c>
      <c r="CG207" s="197">
        <f>$L207</f>
        <v/>
      </c>
      <c r="CH207" s="197">
        <f>+CH208</f>
        <v/>
      </c>
      <c r="CI207" s="197">
        <f>+CI208</f>
        <v/>
      </c>
      <c r="CJ207" s="197">
        <f>+CJ208</f>
        <v/>
      </c>
      <c r="CK207" s="197">
        <f>+CK208</f>
        <v/>
      </c>
      <c r="CL207" s="197">
        <f>+CL208</f>
        <v/>
      </c>
      <c r="CO207" s="199" t="n"/>
      <c r="CP207" s="199" t="n">
        <v>4.53</v>
      </c>
      <c r="CR207" s="199" t="inlineStr">
        <is>
          <t>#N/A N/A</t>
        </is>
      </c>
      <c r="CS207" s="970" t="n">
        <v>0.89945</v>
      </c>
    </row>
    <row r="208">
      <c r="B208" s="204">
        <f>+C208-1</f>
        <v/>
      </c>
      <c r="C208" s="204">
        <f>IF('bands_A-H_Avg'!$D$9+1&gt;MONTH(G208),YEAR(G208),YEAR(G208)+1)</f>
        <v/>
      </c>
      <c r="D208" s="204">
        <f>+C208+1</f>
        <v/>
      </c>
      <c r="E208" s="203">
        <f>IF(C208&gt;C207,1,E207+1)</f>
        <v/>
      </c>
      <c r="F208" s="203">
        <f>COUNTIF(C:C,C208)</f>
        <v/>
      </c>
      <c r="G208" s="198">
        <f>+G207+7</f>
        <v/>
      </c>
      <c r="H208" s="361">
        <f>IF(ISBLANK(CO208),CP208,SUMPRODUCT(CO$32:CP$32,CO208:CP208))</f>
        <v/>
      </c>
      <c r="I208" s="968">
        <f>H208/M208</f>
        <v/>
      </c>
      <c r="J208" s="968">
        <f>H208/N208</f>
        <v/>
      </c>
      <c r="K208" s="968">
        <f>(H208+Q208)/O208</f>
        <v/>
      </c>
      <c r="L208" s="968">
        <f>(H208+Q208)/P208</f>
        <v/>
      </c>
      <c r="M208" s="199">
        <f>HLOOKUP(C:C,$4:$10,3,FALSE)+((HLOOKUP(D:D,$4:$10,3,FALSE)-HLOOKUP(C:C,$4:$10,3,FALSE))*E208/F208)</f>
        <v/>
      </c>
      <c r="N208" s="199">
        <f>HLOOKUP(C:C,$4:$10,2,FALSE)+((HLOOKUP(D:D,$4:$10,2,FALSE)-HLOOKUP(C:C,$4:$10,2,FALSE))*E208/F208)</f>
        <v/>
      </c>
      <c r="O208" s="199">
        <f>HLOOKUP(C:C,$4:$10,5,FALSE)+((HLOOKUP(D:D,$4:$10,5,FALSE)-HLOOKUP(C:C,$4:$10,5,FALSE))*E208/F208)</f>
        <v/>
      </c>
      <c r="P208" s="199">
        <f>HLOOKUP(C:C,$4:$10,4,FALSE)+((HLOOKUP(D:D,$4:$10,4,FALSE)-HLOOKUP(C:C,$4:$10,4,FALSE))*E208/F208)</f>
        <v/>
      </c>
      <c r="Q208" s="199">
        <f>HLOOKUP(B:B,$4:$10,6,FALSE)+((HLOOKUP(C:C,$4:$10,6,FALSE)-HLOOKUP(B:B,$4:$10,6,FALSE))*E208/F208)</f>
        <v/>
      </c>
      <c r="T208" s="198">
        <f>$G208</f>
        <v/>
      </c>
      <c r="U208" s="199">
        <f>H208/(HLOOKUP(B:B,$4:$10,3,FALSE)+((HLOOKUP(C:C,$4:$10,3,FALSE)-HLOOKUP(B:B,$4:$10,3,FALSE))*E208/F208))</f>
        <v/>
      </c>
      <c r="V208" s="969">
        <f>HLOOKUP(B:B,$4:$10,7,FALSE)+((HLOOKUP(C:C,$4:$10,7,FALSE)-HLOOKUP(B:B,$4:$10,7,FALSE))*E208/F208)</f>
        <v/>
      </c>
      <c r="AB208" s="198">
        <f>$G208</f>
        <v/>
      </c>
      <c r="AC208" s="199">
        <f>$H208</f>
        <v/>
      </c>
      <c r="AD208" s="199">
        <f>$M208*AD$34</f>
        <v/>
      </c>
      <c r="AE208" s="199">
        <f>$M208*AE$34</f>
        <v/>
      </c>
      <c r="AF208" s="199">
        <f>$M208*AF$34</f>
        <v/>
      </c>
      <c r="AG208" s="199">
        <f>$M208*AG$34</f>
        <v/>
      </c>
      <c r="AH208" s="199">
        <f>$M208*AH$34</f>
        <v/>
      </c>
      <c r="AJ208" s="198">
        <f>$G208</f>
        <v/>
      </c>
      <c r="AK208" s="199">
        <f>$H208</f>
        <v/>
      </c>
      <c r="AL208" s="199">
        <f>$N208*AL$34</f>
        <v/>
      </c>
      <c r="AM208" s="199">
        <f>$N208*AM$34</f>
        <v/>
      </c>
      <c r="AN208" s="199">
        <f>$N208*AN$34</f>
        <v/>
      </c>
      <c r="AO208" s="199">
        <f>$N208*AO$34</f>
        <v/>
      </c>
      <c r="AP208" s="199">
        <f>$N208*AP$34</f>
        <v/>
      </c>
      <c r="AR208" s="198">
        <f>$G208</f>
        <v/>
      </c>
      <c r="AS208" s="199">
        <f>$H208</f>
        <v/>
      </c>
      <c r="AT208" s="199">
        <f>$O208*AT$34-$Q208</f>
        <v/>
      </c>
      <c r="AU208" s="199">
        <f>$O208*AU$34-$Q208</f>
        <v/>
      </c>
      <c r="AV208" s="199">
        <f>$O208*AV$34-$Q208</f>
        <v/>
      </c>
      <c r="AW208" s="199">
        <f>$O208*AW$34-$Q208</f>
        <v/>
      </c>
      <c r="AX208" s="199">
        <f>$O208*AX$34-$Q208</f>
        <v/>
      </c>
      <c r="AZ208" s="198">
        <f>$G208</f>
        <v/>
      </c>
      <c r="BA208" s="199">
        <f>$H208</f>
        <v/>
      </c>
      <c r="BB208" s="199">
        <f>$P208*BB$34-$Q208</f>
        <v/>
      </c>
      <c r="BC208" s="199">
        <f>$P208*BC$34-$Q208</f>
        <v/>
      </c>
      <c r="BD208" s="199">
        <f>$P208*BD$34-$Q208</f>
        <v/>
      </c>
      <c r="BE208" s="199">
        <f>$P208*BE$34-$Q208</f>
        <v/>
      </c>
      <c r="BF208" s="199">
        <f>$P208*BF$34-$Q208</f>
        <v/>
      </c>
      <c r="BH208" s="198">
        <f>$G208</f>
        <v/>
      </c>
      <c r="BI208" s="197">
        <f>$I208</f>
        <v/>
      </c>
      <c r="BJ208" s="197">
        <f>+BJ209</f>
        <v/>
      </c>
      <c r="BK208" s="197">
        <f>+BK209</f>
        <v/>
      </c>
      <c r="BL208" s="197">
        <f>+BL209</f>
        <v/>
      </c>
      <c r="BM208" s="197">
        <f>+BM209</f>
        <v/>
      </c>
      <c r="BN208" s="197">
        <f>+BN209</f>
        <v/>
      </c>
      <c r="BP208" s="198">
        <f>$G208</f>
        <v/>
      </c>
      <c r="BQ208" s="197">
        <f>$J208</f>
        <v/>
      </c>
      <c r="BR208" s="197">
        <f>+BR209</f>
        <v/>
      </c>
      <c r="BS208" s="197">
        <f>+BS209</f>
        <v/>
      </c>
      <c r="BT208" s="197">
        <f>+BT209</f>
        <v/>
      </c>
      <c r="BU208" s="197">
        <f>+BU209</f>
        <v/>
      </c>
      <c r="BV208" s="197">
        <f>+BV209</f>
        <v/>
      </c>
      <c r="BX208" s="198">
        <f>$G208</f>
        <v/>
      </c>
      <c r="BY208" s="197">
        <f>$K208</f>
        <v/>
      </c>
      <c r="BZ208" s="197">
        <f>+BZ209</f>
        <v/>
      </c>
      <c r="CA208" s="197">
        <f>+CA209</f>
        <v/>
      </c>
      <c r="CB208" s="197">
        <f>+CB209</f>
        <v/>
      </c>
      <c r="CC208" s="197">
        <f>+CC209</f>
        <v/>
      </c>
      <c r="CD208" s="197">
        <f>+CD209</f>
        <v/>
      </c>
      <c r="CF208" s="198">
        <f>$G208</f>
        <v/>
      </c>
      <c r="CG208" s="197">
        <f>$L208</f>
        <v/>
      </c>
      <c r="CH208" s="197">
        <f>+CH209</f>
        <v/>
      </c>
      <c r="CI208" s="197">
        <f>+CI209</f>
        <v/>
      </c>
      <c r="CJ208" s="197">
        <f>+CJ209</f>
        <v/>
      </c>
      <c r="CK208" s="197">
        <f>+CK209</f>
        <v/>
      </c>
      <c r="CL208" s="197">
        <f>+CL209</f>
        <v/>
      </c>
      <c r="CO208" s="199" t="n"/>
      <c r="CP208" s="199" t="n">
        <v>3.73</v>
      </c>
      <c r="CR208" s="199" t="inlineStr">
        <is>
          <t>#N/A N/A</t>
        </is>
      </c>
      <c r="CS208" s="970" t="n">
        <v>0.89728</v>
      </c>
    </row>
    <row r="209">
      <c r="B209" s="204">
        <f>+C209-1</f>
        <v/>
      </c>
      <c r="C209" s="204">
        <f>IF('bands_A-H_Avg'!$D$9+1&gt;MONTH(G209),YEAR(G209),YEAR(G209)+1)</f>
        <v/>
      </c>
      <c r="D209" s="204">
        <f>+C209+1</f>
        <v/>
      </c>
      <c r="E209" s="203">
        <f>IF(C209&gt;C208,1,E208+1)</f>
        <v/>
      </c>
      <c r="F209" s="203">
        <f>COUNTIF(C:C,C209)</f>
        <v/>
      </c>
      <c r="G209" s="198">
        <f>+G208+7</f>
        <v/>
      </c>
      <c r="H209" s="361">
        <f>IF(ISBLANK(CO209),CP209,SUMPRODUCT(CO$32:CP$32,CO209:CP209))</f>
        <v/>
      </c>
      <c r="I209" s="968">
        <f>H209/M209</f>
        <v/>
      </c>
      <c r="J209" s="968">
        <f>H209/N209</f>
        <v/>
      </c>
      <c r="K209" s="968">
        <f>(H209+Q209)/O209</f>
        <v/>
      </c>
      <c r="L209" s="968">
        <f>(H209+Q209)/P209</f>
        <v/>
      </c>
      <c r="M209" s="199">
        <f>HLOOKUP(C:C,$4:$10,3,FALSE)+((HLOOKUP(D:D,$4:$10,3,FALSE)-HLOOKUP(C:C,$4:$10,3,FALSE))*E209/F209)</f>
        <v/>
      </c>
      <c r="N209" s="199">
        <f>HLOOKUP(C:C,$4:$10,2,FALSE)+((HLOOKUP(D:D,$4:$10,2,FALSE)-HLOOKUP(C:C,$4:$10,2,FALSE))*E209/F209)</f>
        <v/>
      </c>
      <c r="O209" s="199">
        <f>HLOOKUP(C:C,$4:$10,5,FALSE)+((HLOOKUP(D:D,$4:$10,5,FALSE)-HLOOKUP(C:C,$4:$10,5,FALSE))*E209/F209)</f>
        <v/>
      </c>
      <c r="P209" s="199">
        <f>HLOOKUP(C:C,$4:$10,4,FALSE)+((HLOOKUP(D:D,$4:$10,4,FALSE)-HLOOKUP(C:C,$4:$10,4,FALSE))*E209/F209)</f>
        <v/>
      </c>
      <c r="Q209" s="199">
        <f>HLOOKUP(B:B,$4:$10,6,FALSE)+((HLOOKUP(C:C,$4:$10,6,FALSE)-HLOOKUP(B:B,$4:$10,6,FALSE))*E209/F209)</f>
        <v/>
      </c>
      <c r="T209" s="198">
        <f>$G209</f>
        <v/>
      </c>
      <c r="U209" s="199">
        <f>H209/(HLOOKUP(B:B,$4:$10,3,FALSE)+((HLOOKUP(C:C,$4:$10,3,FALSE)-HLOOKUP(B:B,$4:$10,3,FALSE))*E209/F209))</f>
        <v/>
      </c>
      <c r="V209" s="969">
        <f>HLOOKUP(B:B,$4:$10,7,FALSE)+((HLOOKUP(C:C,$4:$10,7,FALSE)-HLOOKUP(B:B,$4:$10,7,FALSE))*E209/F209)</f>
        <v/>
      </c>
      <c r="AB209" s="198">
        <f>$G209</f>
        <v/>
      </c>
      <c r="AC209" s="199">
        <f>$H209</f>
        <v/>
      </c>
      <c r="AD209" s="199">
        <f>$M209*AD$34</f>
        <v/>
      </c>
      <c r="AE209" s="199">
        <f>$M209*AE$34</f>
        <v/>
      </c>
      <c r="AF209" s="199">
        <f>$M209*AF$34</f>
        <v/>
      </c>
      <c r="AG209" s="199">
        <f>$M209*AG$34</f>
        <v/>
      </c>
      <c r="AH209" s="199">
        <f>$M209*AH$34</f>
        <v/>
      </c>
      <c r="AJ209" s="198">
        <f>$G209</f>
        <v/>
      </c>
      <c r="AK209" s="199">
        <f>$H209</f>
        <v/>
      </c>
      <c r="AL209" s="199">
        <f>$N209*AL$34</f>
        <v/>
      </c>
      <c r="AM209" s="199">
        <f>$N209*AM$34</f>
        <v/>
      </c>
      <c r="AN209" s="199">
        <f>$N209*AN$34</f>
        <v/>
      </c>
      <c r="AO209" s="199">
        <f>$N209*AO$34</f>
        <v/>
      </c>
      <c r="AP209" s="199">
        <f>$N209*AP$34</f>
        <v/>
      </c>
      <c r="AR209" s="198">
        <f>$G209</f>
        <v/>
      </c>
      <c r="AS209" s="199">
        <f>$H209</f>
        <v/>
      </c>
      <c r="AT209" s="199">
        <f>$O209*AT$34-$Q209</f>
        <v/>
      </c>
      <c r="AU209" s="199">
        <f>$O209*AU$34-$Q209</f>
        <v/>
      </c>
      <c r="AV209" s="199">
        <f>$O209*AV$34-$Q209</f>
        <v/>
      </c>
      <c r="AW209" s="199">
        <f>$O209*AW$34-$Q209</f>
        <v/>
      </c>
      <c r="AX209" s="199">
        <f>$O209*AX$34-$Q209</f>
        <v/>
      </c>
      <c r="AZ209" s="198">
        <f>$G209</f>
        <v/>
      </c>
      <c r="BA209" s="199">
        <f>$H209</f>
        <v/>
      </c>
      <c r="BB209" s="199">
        <f>$P209*BB$34-$Q209</f>
        <v/>
      </c>
      <c r="BC209" s="199">
        <f>$P209*BC$34-$Q209</f>
        <v/>
      </c>
      <c r="BD209" s="199">
        <f>$P209*BD$34-$Q209</f>
        <v/>
      </c>
      <c r="BE209" s="199">
        <f>$P209*BE$34-$Q209</f>
        <v/>
      </c>
      <c r="BF209" s="199">
        <f>$P209*BF$34-$Q209</f>
        <v/>
      </c>
      <c r="BH209" s="198">
        <f>$G209</f>
        <v/>
      </c>
      <c r="BI209" s="197">
        <f>$I209</f>
        <v/>
      </c>
      <c r="BJ209" s="197">
        <f>+BJ210</f>
        <v/>
      </c>
      <c r="BK209" s="197">
        <f>+BK210</f>
        <v/>
      </c>
      <c r="BL209" s="197">
        <f>+BL210</f>
        <v/>
      </c>
      <c r="BM209" s="197">
        <f>+BM210</f>
        <v/>
      </c>
      <c r="BN209" s="197">
        <f>+BN210</f>
        <v/>
      </c>
      <c r="BP209" s="198">
        <f>$G209</f>
        <v/>
      </c>
      <c r="BQ209" s="197">
        <f>$J209</f>
        <v/>
      </c>
      <c r="BR209" s="197">
        <f>+BR210</f>
        <v/>
      </c>
      <c r="BS209" s="197">
        <f>+BS210</f>
        <v/>
      </c>
      <c r="BT209" s="197">
        <f>+BT210</f>
        <v/>
      </c>
      <c r="BU209" s="197">
        <f>+BU210</f>
        <v/>
      </c>
      <c r="BV209" s="197">
        <f>+BV210</f>
        <v/>
      </c>
      <c r="BX209" s="198">
        <f>$G209</f>
        <v/>
      </c>
      <c r="BY209" s="197">
        <f>$K209</f>
        <v/>
      </c>
      <c r="BZ209" s="197">
        <f>+BZ210</f>
        <v/>
      </c>
      <c r="CA209" s="197">
        <f>+CA210</f>
        <v/>
      </c>
      <c r="CB209" s="197">
        <f>+CB210</f>
        <v/>
      </c>
      <c r="CC209" s="197">
        <f>+CC210</f>
        <v/>
      </c>
      <c r="CD209" s="197">
        <f>+CD210</f>
        <v/>
      </c>
      <c r="CF209" s="198">
        <f>$G209</f>
        <v/>
      </c>
      <c r="CG209" s="197">
        <f>$L209</f>
        <v/>
      </c>
      <c r="CH209" s="197">
        <f>+CH210</f>
        <v/>
      </c>
      <c r="CI209" s="197">
        <f>+CI210</f>
        <v/>
      </c>
      <c r="CJ209" s="197">
        <f>+CJ210</f>
        <v/>
      </c>
      <c r="CK209" s="197">
        <f>+CK210</f>
        <v/>
      </c>
      <c r="CL209" s="197">
        <f>+CL210</f>
        <v/>
      </c>
      <c r="CO209" s="199" t="n"/>
      <c r="CP209" s="199" t="n">
        <v>4.52</v>
      </c>
      <c r="CR209" s="199" t="inlineStr">
        <is>
          <t>#N/A N/A</t>
        </is>
      </c>
      <c r="CS209" s="970" t="n">
        <v>0.89972</v>
      </c>
    </row>
    <row r="210">
      <c r="B210" s="204">
        <f>+C210-1</f>
        <v/>
      </c>
      <c r="C210" s="204">
        <f>IF('bands_A-H_Avg'!$D$9+1&gt;MONTH(G210),YEAR(G210),YEAR(G210)+1)</f>
        <v/>
      </c>
      <c r="D210" s="204">
        <f>+C210+1</f>
        <v/>
      </c>
      <c r="E210" s="203">
        <f>IF(C210&gt;C209,1,E209+1)</f>
        <v/>
      </c>
      <c r="F210" s="203">
        <f>COUNTIF(C:C,C210)</f>
        <v/>
      </c>
      <c r="G210" s="198">
        <f>+G209+7</f>
        <v/>
      </c>
      <c r="H210" s="361">
        <f>IF(ISBLANK(CO210),CP210,SUMPRODUCT(CO$32:CP$32,CO210:CP210))</f>
        <v/>
      </c>
      <c r="I210" s="968">
        <f>H210/M210</f>
        <v/>
      </c>
      <c r="J210" s="968">
        <f>H210/N210</f>
        <v/>
      </c>
      <c r="K210" s="968">
        <f>(H210+Q210)/O210</f>
        <v/>
      </c>
      <c r="L210" s="968">
        <f>(H210+Q210)/P210</f>
        <v/>
      </c>
      <c r="M210" s="199">
        <f>HLOOKUP(C:C,$4:$10,3,FALSE)+((HLOOKUP(D:D,$4:$10,3,FALSE)-HLOOKUP(C:C,$4:$10,3,FALSE))*E210/F210)</f>
        <v/>
      </c>
      <c r="N210" s="199">
        <f>HLOOKUP(C:C,$4:$10,2,FALSE)+((HLOOKUP(D:D,$4:$10,2,FALSE)-HLOOKUP(C:C,$4:$10,2,FALSE))*E210/F210)</f>
        <v/>
      </c>
      <c r="O210" s="199">
        <f>HLOOKUP(C:C,$4:$10,5,FALSE)+((HLOOKUP(D:D,$4:$10,5,FALSE)-HLOOKUP(C:C,$4:$10,5,FALSE))*E210/F210)</f>
        <v/>
      </c>
      <c r="P210" s="199">
        <f>HLOOKUP(C:C,$4:$10,4,FALSE)+((HLOOKUP(D:D,$4:$10,4,FALSE)-HLOOKUP(C:C,$4:$10,4,FALSE))*E210/F210)</f>
        <v/>
      </c>
      <c r="Q210" s="199">
        <f>HLOOKUP(B:B,$4:$10,6,FALSE)+((HLOOKUP(C:C,$4:$10,6,FALSE)-HLOOKUP(B:B,$4:$10,6,FALSE))*E210/F210)</f>
        <v/>
      </c>
      <c r="T210" s="198">
        <f>$G210</f>
        <v/>
      </c>
      <c r="U210" s="199">
        <f>H210/(HLOOKUP(B:B,$4:$10,3,FALSE)+((HLOOKUP(C:C,$4:$10,3,FALSE)-HLOOKUP(B:B,$4:$10,3,FALSE))*E210/F210))</f>
        <v/>
      </c>
      <c r="V210" s="969">
        <f>HLOOKUP(B:B,$4:$10,7,FALSE)+((HLOOKUP(C:C,$4:$10,7,FALSE)-HLOOKUP(B:B,$4:$10,7,FALSE))*E210/F210)</f>
        <v/>
      </c>
      <c r="AB210" s="198">
        <f>$G210</f>
        <v/>
      </c>
      <c r="AC210" s="199">
        <f>$H210</f>
        <v/>
      </c>
      <c r="AD210" s="199">
        <f>$M210*AD$34</f>
        <v/>
      </c>
      <c r="AE210" s="199">
        <f>$M210*AE$34</f>
        <v/>
      </c>
      <c r="AF210" s="199">
        <f>$M210*AF$34</f>
        <v/>
      </c>
      <c r="AG210" s="199">
        <f>$M210*AG$34</f>
        <v/>
      </c>
      <c r="AH210" s="199">
        <f>$M210*AH$34</f>
        <v/>
      </c>
      <c r="AJ210" s="198">
        <f>$G210</f>
        <v/>
      </c>
      <c r="AK210" s="199">
        <f>$H210</f>
        <v/>
      </c>
      <c r="AL210" s="199">
        <f>$N210*AL$34</f>
        <v/>
      </c>
      <c r="AM210" s="199">
        <f>$N210*AM$34</f>
        <v/>
      </c>
      <c r="AN210" s="199">
        <f>$N210*AN$34</f>
        <v/>
      </c>
      <c r="AO210" s="199">
        <f>$N210*AO$34</f>
        <v/>
      </c>
      <c r="AP210" s="199">
        <f>$N210*AP$34</f>
        <v/>
      </c>
      <c r="AR210" s="198">
        <f>$G210</f>
        <v/>
      </c>
      <c r="AS210" s="199">
        <f>$H210</f>
        <v/>
      </c>
      <c r="AT210" s="199">
        <f>$O210*AT$34-$Q210</f>
        <v/>
      </c>
      <c r="AU210" s="199">
        <f>$O210*AU$34-$Q210</f>
        <v/>
      </c>
      <c r="AV210" s="199">
        <f>$O210*AV$34-$Q210</f>
        <v/>
      </c>
      <c r="AW210" s="199">
        <f>$O210*AW$34-$Q210</f>
        <v/>
      </c>
      <c r="AX210" s="199">
        <f>$O210*AX$34-$Q210</f>
        <v/>
      </c>
      <c r="AZ210" s="198">
        <f>$G210</f>
        <v/>
      </c>
      <c r="BA210" s="199">
        <f>$H210</f>
        <v/>
      </c>
      <c r="BB210" s="199">
        <f>$P210*BB$34-$Q210</f>
        <v/>
      </c>
      <c r="BC210" s="199">
        <f>$P210*BC$34-$Q210</f>
        <v/>
      </c>
      <c r="BD210" s="199">
        <f>$P210*BD$34-$Q210</f>
        <v/>
      </c>
      <c r="BE210" s="199">
        <f>$P210*BE$34-$Q210</f>
        <v/>
      </c>
      <c r="BF210" s="199">
        <f>$P210*BF$34-$Q210</f>
        <v/>
      </c>
      <c r="BH210" s="198">
        <f>$G210</f>
        <v/>
      </c>
      <c r="BI210" s="197">
        <f>$I210</f>
        <v/>
      </c>
      <c r="BJ210" s="197">
        <f>+BJ211</f>
        <v/>
      </c>
      <c r="BK210" s="197">
        <f>+BK211</f>
        <v/>
      </c>
      <c r="BL210" s="197">
        <f>+BL211</f>
        <v/>
      </c>
      <c r="BM210" s="197">
        <f>+BM211</f>
        <v/>
      </c>
      <c r="BN210" s="197">
        <f>+BN211</f>
        <v/>
      </c>
      <c r="BP210" s="198">
        <f>$G210</f>
        <v/>
      </c>
      <c r="BQ210" s="197">
        <f>$J210</f>
        <v/>
      </c>
      <c r="BR210" s="197">
        <f>+BR211</f>
        <v/>
      </c>
      <c r="BS210" s="197">
        <f>+BS211</f>
        <v/>
      </c>
      <c r="BT210" s="197">
        <f>+BT211</f>
        <v/>
      </c>
      <c r="BU210" s="197">
        <f>+BU211</f>
        <v/>
      </c>
      <c r="BV210" s="197">
        <f>+BV211</f>
        <v/>
      </c>
      <c r="BX210" s="198">
        <f>$G210</f>
        <v/>
      </c>
      <c r="BY210" s="197">
        <f>$K210</f>
        <v/>
      </c>
      <c r="BZ210" s="197">
        <f>+BZ211</f>
        <v/>
      </c>
      <c r="CA210" s="197">
        <f>+CA211</f>
        <v/>
      </c>
      <c r="CB210" s="197">
        <f>+CB211</f>
        <v/>
      </c>
      <c r="CC210" s="197">
        <f>+CC211</f>
        <v/>
      </c>
      <c r="CD210" s="197">
        <f>+CD211</f>
        <v/>
      </c>
      <c r="CF210" s="198">
        <f>$G210</f>
        <v/>
      </c>
      <c r="CG210" s="197">
        <f>$L210</f>
        <v/>
      </c>
      <c r="CH210" s="197">
        <f>+CH211</f>
        <v/>
      </c>
      <c r="CI210" s="197">
        <f>+CI211</f>
        <v/>
      </c>
      <c r="CJ210" s="197">
        <f>+CJ211</f>
        <v/>
      </c>
      <c r="CK210" s="197">
        <f>+CK211</f>
        <v/>
      </c>
      <c r="CL210" s="197">
        <f>+CL211</f>
        <v/>
      </c>
      <c r="CO210" s="199" t="n"/>
      <c r="CP210" s="199" t="n">
        <v>4.51</v>
      </c>
      <c r="CR210" s="199" t="inlineStr">
        <is>
          <t>#N/A N/A</t>
        </is>
      </c>
      <c r="CS210" s="970" t="n">
        <v>0.89653</v>
      </c>
    </row>
    <row r="211">
      <c r="B211" s="204">
        <f>+C211-1</f>
        <v/>
      </c>
      <c r="C211" s="204">
        <f>IF('bands_A-H_Avg'!$D$9+1&gt;MONTH(G211),YEAR(G211),YEAR(G211)+1)</f>
        <v/>
      </c>
      <c r="D211" s="204">
        <f>+C211+1</f>
        <v/>
      </c>
      <c r="E211" s="203">
        <f>IF(C211&gt;C210,1,E210+1)</f>
        <v/>
      </c>
      <c r="F211" s="203">
        <f>COUNTIF(C:C,C211)</f>
        <v/>
      </c>
      <c r="G211" s="198">
        <f>+G210+7</f>
        <v/>
      </c>
      <c r="H211" s="361">
        <f>IF(ISBLANK(CO211),CP211,SUMPRODUCT(CO$32:CP$32,CO211:CP211))</f>
        <v/>
      </c>
      <c r="I211" s="968">
        <f>H211/M211</f>
        <v/>
      </c>
      <c r="J211" s="968">
        <f>H211/N211</f>
        <v/>
      </c>
      <c r="K211" s="968">
        <f>(H211+Q211)/O211</f>
        <v/>
      </c>
      <c r="L211" s="968">
        <f>(H211+Q211)/P211</f>
        <v/>
      </c>
      <c r="M211" s="199">
        <f>HLOOKUP(C:C,$4:$10,3,FALSE)+((HLOOKUP(D:D,$4:$10,3,FALSE)-HLOOKUP(C:C,$4:$10,3,FALSE))*E211/F211)</f>
        <v/>
      </c>
      <c r="N211" s="199">
        <f>HLOOKUP(C:C,$4:$10,2,FALSE)+((HLOOKUP(D:D,$4:$10,2,FALSE)-HLOOKUP(C:C,$4:$10,2,FALSE))*E211/F211)</f>
        <v/>
      </c>
      <c r="O211" s="199">
        <f>HLOOKUP(C:C,$4:$10,5,FALSE)+((HLOOKUP(D:D,$4:$10,5,FALSE)-HLOOKUP(C:C,$4:$10,5,FALSE))*E211/F211)</f>
        <v/>
      </c>
      <c r="P211" s="199">
        <f>HLOOKUP(C:C,$4:$10,4,FALSE)+((HLOOKUP(D:D,$4:$10,4,FALSE)-HLOOKUP(C:C,$4:$10,4,FALSE))*E211/F211)</f>
        <v/>
      </c>
      <c r="Q211" s="199">
        <f>HLOOKUP(B:B,$4:$10,6,FALSE)+((HLOOKUP(C:C,$4:$10,6,FALSE)-HLOOKUP(B:B,$4:$10,6,FALSE))*E211/F211)</f>
        <v/>
      </c>
      <c r="T211" s="198">
        <f>$G211</f>
        <v/>
      </c>
      <c r="U211" s="199">
        <f>H211/(HLOOKUP(B:B,$4:$10,3,FALSE)+((HLOOKUP(C:C,$4:$10,3,FALSE)-HLOOKUP(B:B,$4:$10,3,FALSE))*E211/F211))</f>
        <v/>
      </c>
      <c r="V211" s="969">
        <f>HLOOKUP(B:B,$4:$10,7,FALSE)+((HLOOKUP(C:C,$4:$10,7,FALSE)-HLOOKUP(B:B,$4:$10,7,FALSE))*E211/F211)</f>
        <v/>
      </c>
      <c r="AB211" s="198">
        <f>$G211</f>
        <v/>
      </c>
      <c r="AC211" s="199">
        <f>$H211</f>
        <v/>
      </c>
      <c r="AD211" s="199">
        <f>$M211*AD$34</f>
        <v/>
      </c>
      <c r="AE211" s="199">
        <f>$M211*AE$34</f>
        <v/>
      </c>
      <c r="AF211" s="199">
        <f>$M211*AF$34</f>
        <v/>
      </c>
      <c r="AG211" s="199">
        <f>$M211*AG$34</f>
        <v/>
      </c>
      <c r="AH211" s="199">
        <f>$M211*AH$34</f>
        <v/>
      </c>
      <c r="AJ211" s="198">
        <f>$G211</f>
        <v/>
      </c>
      <c r="AK211" s="199">
        <f>$H211</f>
        <v/>
      </c>
      <c r="AL211" s="199">
        <f>$N211*AL$34</f>
        <v/>
      </c>
      <c r="AM211" s="199">
        <f>$N211*AM$34</f>
        <v/>
      </c>
      <c r="AN211" s="199">
        <f>$N211*AN$34</f>
        <v/>
      </c>
      <c r="AO211" s="199">
        <f>$N211*AO$34</f>
        <v/>
      </c>
      <c r="AP211" s="199">
        <f>$N211*AP$34</f>
        <v/>
      </c>
      <c r="AR211" s="198">
        <f>$G211</f>
        <v/>
      </c>
      <c r="AS211" s="199">
        <f>$H211</f>
        <v/>
      </c>
      <c r="AT211" s="199">
        <f>$O211*AT$34-$Q211</f>
        <v/>
      </c>
      <c r="AU211" s="199">
        <f>$O211*AU$34-$Q211</f>
        <v/>
      </c>
      <c r="AV211" s="199">
        <f>$O211*AV$34-$Q211</f>
        <v/>
      </c>
      <c r="AW211" s="199">
        <f>$O211*AW$34-$Q211</f>
        <v/>
      </c>
      <c r="AX211" s="199">
        <f>$O211*AX$34-$Q211</f>
        <v/>
      </c>
      <c r="AZ211" s="198">
        <f>$G211</f>
        <v/>
      </c>
      <c r="BA211" s="199">
        <f>$H211</f>
        <v/>
      </c>
      <c r="BB211" s="199">
        <f>$P211*BB$34-$Q211</f>
        <v/>
      </c>
      <c r="BC211" s="199">
        <f>$P211*BC$34-$Q211</f>
        <v/>
      </c>
      <c r="BD211" s="199">
        <f>$P211*BD$34-$Q211</f>
        <v/>
      </c>
      <c r="BE211" s="199">
        <f>$P211*BE$34-$Q211</f>
        <v/>
      </c>
      <c r="BF211" s="199">
        <f>$P211*BF$34-$Q211</f>
        <v/>
      </c>
      <c r="BH211" s="198">
        <f>$G211</f>
        <v/>
      </c>
      <c r="BI211" s="197">
        <f>$I211</f>
        <v/>
      </c>
      <c r="BJ211" s="197">
        <f>+BJ212</f>
        <v/>
      </c>
      <c r="BK211" s="197">
        <f>+BK212</f>
        <v/>
      </c>
      <c r="BL211" s="197">
        <f>+BL212</f>
        <v/>
      </c>
      <c r="BM211" s="197">
        <f>+BM212</f>
        <v/>
      </c>
      <c r="BN211" s="197">
        <f>+BN212</f>
        <v/>
      </c>
      <c r="BP211" s="198">
        <f>$G211</f>
        <v/>
      </c>
      <c r="BQ211" s="197">
        <f>$J211</f>
        <v/>
      </c>
      <c r="BR211" s="197">
        <f>+BR212</f>
        <v/>
      </c>
      <c r="BS211" s="197">
        <f>+BS212</f>
        <v/>
      </c>
      <c r="BT211" s="197">
        <f>+BT212</f>
        <v/>
      </c>
      <c r="BU211" s="197">
        <f>+BU212</f>
        <v/>
      </c>
      <c r="BV211" s="197">
        <f>+BV212</f>
        <v/>
      </c>
      <c r="BX211" s="198">
        <f>$G211</f>
        <v/>
      </c>
      <c r="BY211" s="197">
        <f>$K211</f>
        <v/>
      </c>
      <c r="BZ211" s="197">
        <f>+BZ212</f>
        <v/>
      </c>
      <c r="CA211" s="197">
        <f>+CA212</f>
        <v/>
      </c>
      <c r="CB211" s="197">
        <f>+CB212</f>
        <v/>
      </c>
      <c r="CC211" s="197">
        <f>+CC212</f>
        <v/>
      </c>
      <c r="CD211" s="197">
        <f>+CD212</f>
        <v/>
      </c>
      <c r="CF211" s="198">
        <f>$G211</f>
        <v/>
      </c>
      <c r="CG211" s="197">
        <f>$L211</f>
        <v/>
      </c>
      <c r="CH211" s="197">
        <f>+CH212</f>
        <v/>
      </c>
      <c r="CI211" s="197">
        <f>+CI212</f>
        <v/>
      </c>
      <c r="CJ211" s="197">
        <f>+CJ212</f>
        <v/>
      </c>
      <c r="CK211" s="197">
        <f>+CK212</f>
        <v/>
      </c>
      <c r="CL211" s="197">
        <f>+CL212</f>
        <v/>
      </c>
      <c r="CO211" s="199" t="n"/>
      <c r="CP211" s="199" t="n">
        <v>4.34</v>
      </c>
      <c r="CR211" s="199" t="inlineStr">
        <is>
          <t>#N/A N/A</t>
        </is>
      </c>
      <c r="CS211" s="970" t="n">
        <v>0.89635</v>
      </c>
    </row>
    <row r="212">
      <c r="B212" s="204">
        <f>+C212-1</f>
        <v/>
      </c>
      <c r="C212" s="204">
        <f>IF('bands_A-H_Avg'!$D$9+1&gt;MONTH(G212),YEAR(G212),YEAR(G212)+1)</f>
        <v/>
      </c>
      <c r="D212" s="204">
        <f>+C212+1</f>
        <v/>
      </c>
      <c r="E212" s="203">
        <f>IF(C212&gt;C211,1,E211+1)</f>
        <v/>
      </c>
      <c r="F212" s="203">
        <f>COUNTIF(C:C,C212)</f>
        <v/>
      </c>
      <c r="G212" s="198">
        <f>+G211+7</f>
        <v/>
      </c>
      <c r="H212" s="361">
        <f>IF(ISBLANK(CO212),CP212,SUMPRODUCT(CO$32:CP$32,CO212:CP212))</f>
        <v/>
      </c>
      <c r="I212" s="968">
        <f>H212/M212</f>
        <v/>
      </c>
      <c r="J212" s="968">
        <f>H212/N212</f>
        <v/>
      </c>
      <c r="K212" s="968">
        <f>(H212+Q212)/O212</f>
        <v/>
      </c>
      <c r="L212" s="968">
        <f>(H212+Q212)/P212</f>
        <v/>
      </c>
      <c r="M212" s="199">
        <f>HLOOKUP(C:C,$4:$10,3,FALSE)+((HLOOKUP(D:D,$4:$10,3,FALSE)-HLOOKUP(C:C,$4:$10,3,FALSE))*E212/F212)</f>
        <v/>
      </c>
      <c r="N212" s="199">
        <f>HLOOKUP(C:C,$4:$10,2,FALSE)+((HLOOKUP(D:D,$4:$10,2,FALSE)-HLOOKUP(C:C,$4:$10,2,FALSE))*E212/F212)</f>
        <v/>
      </c>
      <c r="O212" s="199">
        <f>HLOOKUP(C:C,$4:$10,5,FALSE)+((HLOOKUP(D:D,$4:$10,5,FALSE)-HLOOKUP(C:C,$4:$10,5,FALSE))*E212/F212)</f>
        <v/>
      </c>
      <c r="P212" s="199">
        <f>HLOOKUP(C:C,$4:$10,4,FALSE)+((HLOOKUP(D:D,$4:$10,4,FALSE)-HLOOKUP(C:C,$4:$10,4,FALSE))*E212/F212)</f>
        <v/>
      </c>
      <c r="Q212" s="199">
        <f>HLOOKUP(B:B,$4:$10,6,FALSE)+((HLOOKUP(C:C,$4:$10,6,FALSE)-HLOOKUP(B:B,$4:$10,6,FALSE))*E212/F212)</f>
        <v/>
      </c>
      <c r="T212" s="198">
        <f>$G212</f>
        <v/>
      </c>
      <c r="U212" s="199">
        <f>H212/(HLOOKUP(B:B,$4:$10,3,FALSE)+((HLOOKUP(C:C,$4:$10,3,FALSE)-HLOOKUP(B:B,$4:$10,3,FALSE))*E212/F212))</f>
        <v/>
      </c>
      <c r="V212" s="969">
        <f>HLOOKUP(B:B,$4:$10,7,FALSE)+((HLOOKUP(C:C,$4:$10,7,FALSE)-HLOOKUP(B:B,$4:$10,7,FALSE))*E212/F212)</f>
        <v/>
      </c>
      <c r="AB212" s="198">
        <f>$G212</f>
        <v/>
      </c>
      <c r="AC212" s="199">
        <f>$H212</f>
        <v/>
      </c>
      <c r="AD212" s="199">
        <f>$M212*AD$34</f>
        <v/>
      </c>
      <c r="AE212" s="199">
        <f>$M212*AE$34</f>
        <v/>
      </c>
      <c r="AF212" s="199">
        <f>$M212*AF$34</f>
        <v/>
      </c>
      <c r="AG212" s="199">
        <f>$M212*AG$34</f>
        <v/>
      </c>
      <c r="AH212" s="199">
        <f>$M212*AH$34</f>
        <v/>
      </c>
      <c r="AJ212" s="198">
        <f>$G212</f>
        <v/>
      </c>
      <c r="AK212" s="199">
        <f>$H212</f>
        <v/>
      </c>
      <c r="AL212" s="199">
        <f>$N212*AL$34</f>
        <v/>
      </c>
      <c r="AM212" s="199">
        <f>$N212*AM$34</f>
        <v/>
      </c>
      <c r="AN212" s="199">
        <f>$N212*AN$34</f>
        <v/>
      </c>
      <c r="AO212" s="199">
        <f>$N212*AO$34</f>
        <v/>
      </c>
      <c r="AP212" s="199">
        <f>$N212*AP$34</f>
        <v/>
      </c>
      <c r="AR212" s="198">
        <f>$G212</f>
        <v/>
      </c>
      <c r="AS212" s="199">
        <f>$H212</f>
        <v/>
      </c>
      <c r="AT212" s="199">
        <f>$O212*AT$34-$Q212</f>
        <v/>
      </c>
      <c r="AU212" s="199">
        <f>$O212*AU$34-$Q212</f>
        <v/>
      </c>
      <c r="AV212" s="199">
        <f>$O212*AV$34-$Q212</f>
        <v/>
      </c>
      <c r="AW212" s="199">
        <f>$O212*AW$34-$Q212</f>
        <v/>
      </c>
      <c r="AX212" s="199">
        <f>$O212*AX$34-$Q212</f>
        <v/>
      </c>
      <c r="AZ212" s="198">
        <f>$G212</f>
        <v/>
      </c>
      <c r="BA212" s="199">
        <f>$H212</f>
        <v/>
      </c>
      <c r="BB212" s="199">
        <f>$P212*BB$34-$Q212</f>
        <v/>
      </c>
      <c r="BC212" s="199">
        <f>$P212*BC$34-$Q212</f>
        <v/>
      </c>
      <c r="BD212" s="199">
        <f>$P212*BD$34-$Q212</f>
        <v/>
      </c>
      <c r="BE212" s="199">
        <f>$P212*BE$34-$Q212</f>
        <v/>
      </c>
      <c r="BF212" s="199">
        <f>$P212*BF$34-$Q212</f>
        <v/>
      </c>
      <c r="BH212" s="198">
        <f>$G212</f>
        <v/>
      </c>
      <c r="BI212" s="197">
        <f>$I212</f>
        <v/>
      </c>
      <c r="BJ212" s="197">
        <f>+BJ213</f>
        <v/>
      </c>
      <c r="BK212" s="197">
        <f>+BK213</f>
        <v/>
      </c>
      <c r="BL212" s="197">
        <f>+BL213</f>
        <v/>
      </c>
      <c r="BM212" s="197">
        <f>+BM213</f>
        <v/>
      </c>
      <c r="BN212" s="197">
        <f>+BN213</f>
        <v/>
      </c>
      <c r="BP212" s="198">
        <f>$G212</f>
        <v/>
      </c>
      <c r="BQ212" s="197">
        <f>$J212</f>
        <v/>
      </c>
      <c r="BR212" s="197">
        <f>+BR213</f>
        <v/>
      </c>
      <c r="BS212" s="197">
        <f>+BS213</f>
        <v/>
      </c>
      <c r="BT212" s="197">
        <f>+BT213</f>
        <v/>
      </c>
      <c r="BU212" s="197">
        <f>+BU213</f>
        <v/>
      </c>
      <c r="BV212" s="197">
        <f>+BV213</f>
        <v/>
      </c>
      <c r="BX212" s="198">
        <f>$G212</f>
        <v/>
      </c>
      <c r="BY212" s="197">
        <f>$K212</f>
        <v/>
      </c>
      <c r="BZ212" s="197">
        <f>+BZ213</f>
        <v/>
      </c>
      <c r="CA212" s="197">
        <f>+CA213</f>
        <v/>
      </c>
      <c r="CB212" s="197">
        <f>+CB213</f>
        <v/>
      </c>
      <c r="CC212" s="197">
        <f>+CC213</f>
        <v/>
      </c>
      <c r="CD212" s="197">
        <f>+CD213</f>
        <v/>
      </c>
      <c r="CF212" s="198">
        <f>$G212</f>
        <v/>
      </c>
      <c r="CG212" s="197">
        <f>$L212</f>
        <v/>
      </c>
      <c r="CH212" s="197">
        <f>+CH213</f>
        <v/>
      </c>
      <c r="CI212" s="197">
        <f>+CI213</f>
        <v/>
      </c>
      <c r="CJ212" s="197">
        <f>+CJ213</f>
        <v/>
      </c>
      <c r="CK212" s="197">
        <f>+CK213</f>
        <v/>
      </c>
      <c r="CL212" s="197">
        <f>+CL213</f>
        <v/>
      </c>
      <c r="CO212" s="199" t="n"/>
      <c r="CP212" s="199" t="n">
        <v>4.72</v>
      </c>
      <c r="CR212" s="199" t="inlineStr">
        <is>
          <t>#N/A N/A</t>
        </is>
      </c>
      <c r="CS212" s="970" t="n">
        <v>0.89624</v>
      </c>
    </row>
    <row r="213">
      <c r="B213" s="204">
        <f>+C213-1</f>
        <v/>
      </c>
      <c r="C213" s="204">
        <f>IF('bands_A-H_Avg'!$D$9+1&gt;MONTH(G213),YEAR(G213),YEAR(G213)+1)</f>
        <v/>
      </c>
      <c r="D213" s="204">
        <f>+C213+1</f>
        <v/>
      </c>
      <c r="E213" s="203">
        <f>IF(C213&gt;C212,1,E212+1)</f>
        <v/>
      </c>
      <c r="F213" s="203">
        <f>COUNTIF(C:C,C213)</f>
        <v/>
      </c>
      <c r="G213" s="198">
        <f>+G212+7</f>
        <v/>
      </c>
      <c r="H213" s="361">
        <f>IF(ISBLANK(CO213),CP213,SUMPRODUCT(CO$32:CP$32,CO213:CP213))</f>
        <v/>
      </c>
      <c r="I213" s="968">
        <f>H213/M213</f>
        <v/>
      </c>
      <c r="J213" s="968">
        <f>H213/N213</f>
        <v/>
      </c>
      <c r="K213" s="968">
        <f>(H213+Q213)/O213</f>
        <v/>
      </c>
      <c r="L213" s="968">
        <f>(H213+Q213)/P213</f>
        <v/>
      </c>
      <c r="M213" s="199">
        <f>HLOOKUP(C:C,$4:$10,3,FALSE)+((HLOOKUP(D:D,$4:$10,3,FALSE)-HLOOKUP(C:C,$4:$10,3,FALSE))*E213/F213)</f>
        <v/>
      </c>
      <c r="N213" s="199">
        <f>HLOOKUP(C:C,$4:$10,2,FALSE)+((HLOOKUP(D:D,$4:$10,2,FALSE)-HLOOKUP(C:C,$4:$10,2,FALSE))*E213/F213)</f>
        <v/>
      </c>
      <c r="O213" s="199">
        <f>HLOOKUP(C:C,$4:$10,5,FALSE)+((HLOOKUP(D:D,$4:$10,5,FALSE)-HLOOKUP(C:C,$4:$10,5,FALSE))*E213/F213)</f>
        <v/>
      </c>
      <c r="P213" s="199">
        <f>HLOOKUP(C:C,$4:$10,4,FALSE)+((HLOOKUP(D:D,$4:$10,4,FALSE)-HLOOKUP(C:C,$4:$10,4,FALSE))*E213/F213)</f>
        <v/>
      </c>
      <c r="Q213" s="199">
        <f>HLOOKUP(B:B,$4:$10,6,FALSE)+((HLOOKUP(C:C,$4:$10,6,FALSE)-HLOOKUP(B:B,$4:$10,6,FALSE))*E213/F213)</f>
        <v/>
      </c>
      <c r="T213" s="198">
        <f>$G213</f>
        <v/>
      </c>
      <c r="U213" s="199">
        <f>H213/(HLOOKUP(B:B,$4:$10,3,FALSE)+((HLOOKUP(C:C,$4:$10,3,FALSE)-HLOOKUP(B:B,$4:$10,3,FALSE))*E213/F213))</f>
        <v/>
      </c>
      <c r="V213" s="969">
        <f>HLOOKUP(B:B,$4:$10,7,FALSE)+((HLOOKUP(C:C,$4:$10,7,FALSE)-HLOOKUP(B:B,$4:$10,7,FALSE))*E213/F213)</f>
        <v/>
      </c>
      <c r="AB213" s="198">
        <f>$G213</f>
        <v/>
      </c>
      <c r="AC213" s="199">
        <f>$H213</f>
        <v/>
      </c>
      <c r="AD213" s="199">
        <f>$M213*AD$34</f>
        <v/>
      </c>
      <c r="AE213" s="199">
        <f>$M213*AE$34</f>
        <v/>
      </c>
      <c r="AF213" s="199">
        <f>$M213*AF$34</f>
        <v/>
      </c>
      <c r="AG213" s="199">
        <f>$M213*AG$34</f>
        <v/>
      </c>
      <c r="AH213" s="199">
        <f>$M213*AH$34</f>
        <v/>
      </c>
      <c r="AJ213" s="198">
        <f>$G213</f>
        <v/>
      </c>
      <c r="AK213" s="199">
        <f>$H213</f>
        <v/>
      </c>
      <c r="AL213" s="199">
        <f>$N213*AL$34</f>
        <v/>
      </c>
      <c r="AM213" s="199">
        <f>$N213*AM$34</f>
        <v/>
      </c>
      <c r="AN213" s="199">
        <f>$N213*AN$34</f>
        <v/>
      </c>
      <c r="AO213" s="199">
        <f>$N213*AO$34</f>
        <v/>
      </c>
      <c r="AP213" s="199">
        <f>$N213*AP$34</f>
        <v/>
      </c>
      <c r="AR213" s="198">
        <f>$G213</f>
        <v/>
      </c>
      <c r="AS213" s="199">
        <f>$H213</f>
        <v/>
      </c>
      <c r="AT213" s="199">
        <f>$O213*AT$34-$Q213</f>
        <v/>
      </c>
      <c r="AU213" s="199">
        <f>$O213*AU$34-$Q213</f>
        <v/>
      </c>
      <c r="AV213" s="199">
        <f>$O213*AV$34-$Q213</f>
        <v/>
      </c>
      <c r="AW213" s="199">
        <f>$O213*AW$34-$Q213</f>
        <v/>
      </c>
      <c r="AX213" s="199">
        <f>$O213*AX$34-$Q213</f>
        <v/>
      </c>
      <c r="AZ213" s="198">
        <f>$G213</f>
        <v/>
      </c>
      <c r="BA213" s="199">
        <f>$H213</f>
        <v/>
      </c>
      <c r="BB213" s="199">
        <f>$P213*BB$34-$Q213</f>
        <v/>
      </c>
      <c r="BC213" s="199">
        <f>$P213*BC$34-$Q213</f>
        <v/>
      </c>
      <c r="BD213" s="199">
        <f>$P213*BD$34-$Q213</f>
        <v/>
      </c>
      <c r="BE213" s="199">
        <f>$P213*BE$34-$Q213</f>
        <v/>
      </c>
      <c r="BF213" s="199">
        <f>$P213*BF$34-$Q213</f>
        <v/>
      </c>
      <c r="BH213" s="198">
        <f>$G213</f>
        <v/>
      </c>
      <c r="BI213" s="197">
        <f>$I213</f>
        <v/>
      </c>
      <c r="BJ213" s="197">
        <f>+BJ214</f>
        <v/>
      </c>
      <c r="BK213" s="197">
        <f>+BK214</f>
        <v/>
      </c>
      <c r="BL213" s="197">
        <f>+BL214</f>
        <v/>
      </c>
      <c r="BM213" s="197">
        <f>+BM214</f>
        <v/>
      </c>
      <c r="BN213" s="197">
        <f>+BN214</f>
        <v/>
      </c>
      <c r="BP213" s="198">
        <f>$G213</f>
        <v/>
      </c>
      <c r="BQ213" s="197">
        <f>$J213</f>
        <v/>
      </c>
      <c r="BR213" s="197">
        <f>+BR214</f>
        <v/>
      </c>
      <c r="BS213" s="197">
        <f>+BS214</f>
        <v/>
      </c>
      <c r="BT213" s="197">
        <f>+BT214</f>
        <v/>
      </c>
      <c r="BU213" s="197">
        <f>+BU214</f>
        <v/>
      </c>
      <c r="BV213" s="197">
        <f>+BV214</f>
        <v/>
      </c>
      <c r="BX213" s="198">
        <f>$G213</f>
        <v/>
      </c>
      <c r="BY213" s="197">
        <f>$K213</f>
        <v/>
      </c>
      <c r="BZ213" s="197">
        <f>+BZ214</f>
        <v/>
      </c>
      <c r="CA213" s="197">
        <f>+CA214</f>
        <v/>
      </c>
      <c r="CB213" s="197">
        <f>+CB214</f>
        <v/>
      </c>
      <c r="CC213" s="197">
        <f>+CC214</f>
        <v/>
      </c>
      <c r="CD213" s="197">
        <f>+CD214</f>
        <v/>
      </c>
      <c r="CF213" s="198">
        <f>$G213</f>
        <v/>
      </c>
      <c r="CG213" s="197">
        <f>$L213</f>
        <v/>
      </c>
      <c r="CH213" s="197">
        <f>+CH214</f>
        <v/>
      </c>
      <c r="CI213" s="197">
        <f>+CI214</f>
        <v/>
      </c>
      <c r="CJ213" s="197">
        <f>+CJ214</f>
        <v/>
      </c>
      <c r="CK213" s="197">
        <f>+CK214</f>
        <v/>
      </c>
      <c r="CL213" s="197">
        <f>+CL214</f>
        <v/>
      </c>
      <c r="CO213" s="199" t="n"/>
      <c r="CP213" s="199" t="n">
        <v>4.5</v>
      </c>
      <c r="CR213" s="199" t="inlineStr">
        <is>
          <t>#N/A N/A</t>
        </is>
      </c>
      <c r="CS213" s="970" t="n">
        <v>0.8897</v>
      </c>
    </row>
    <row r="214">
      <c r="B214" s="204">
        <f>+C214-1</f>
        <v/>
      </c>
      <c r="C214" s="204">
        <f>IF('bands_A-H_Avg'!$D$9+1&gt;MONTH(G214),YEAR(G214),YEAR(G214)+1)</f>
        <v/>
      </c>
      <c r="D214" s="204">
        <f>+C214+1</f>
        <v/>
      </c>
      <c r="E214" s="203">
        <f>IF(C214&gt;C213,1,E213+1)</f>
        <v/>
      </c>
      <c r="F214" s="203">
        <f>COUNTIF(C:C,C214)</f>
        <v/>
      </c>
      <c r="G214" s="198">
        <f>+G213+7</f>
        <v/>
      </c>
      <c r="H214" s="361">
        <f>IF(ISBLANK(CO214),CP214,SUMPRODUCT(CO$32:CP$32,CO214:CP214))</f>
        <v/>
      </c>
      <c r="I214" s="968">
        <f>H214/M214</f>
        <v/>
      </c>
      <c r="J214" s="968">
        <f>H214/N214</f>
        <v/>
      </c>
      <c r="K214" s="968">
        <f>(H214+Q214)/O214</f>
        <v/>
      </c>
      <c r="L214" s="968">
        <f>(H214+Q214)/P214</f>
        <v/>
      </c>
      <c r="M214" s="199">
        <f>HLOOKUP(C:C,$4:$10,3,FALSE)+((HLOOKUP(D:D,$4:$10,3,FALSE)-HLOOKUP(C:C,$4:$10,3,FALSE))*E214/F214)</f>
        <v/>
      </c>
      <c r="N214" s="199">
        <f>HLOOKUP(C:C,$4:$10,2,FALSE)+((HLOOKUP(D:D,$4:$10,2,FALSE)-HLOOKUP(C:C,$4:$10,2,FALSE))*E214/F214)</f>
        <v/>
      </c>
      <c r="O214" s="199">
        <f>HLOOKUP(C:C,$4:$10,5,FALSE)+((HLOOKUP(D:D,$4:$10,5,FALSE)-HLOOKUP(C:C,$4:$10,5,FALSE))*E214/F214)</f>
        <v/>
      </c>
      <c r="P214" s="199">
        <f>HLOOKUP(C:C,$4:$10,4,FALSE)+((HLOOKUP(D:D,$4:$10,4,FALSE)-HLOOKUP(C:C,$4:$10,4,FALSE))*E214/F214)</f>
        <v/>
      </c>
      <c r="Q214" s="199">
        <f>HLOOKUP(B:B,$4:$10,6,FALSE)+((HLOOKUP(C:C,$4:$10,6,FALSE)-HLOOKUP(B:B,$4:$10,6,FALSE))*E214/F214)</f>
        <v/>
      </c>
      <c r="T214" s="198">
        <f>$G214</f>
        <v/>
      </c>
      <c r="U214" s="199">
        <f>H214/(HLOOKUP(B:B,$4:$10,3,FALSE)+((HLOOKUP(C:C,$4:$10,3,FALSE)-HLOOKUP(B:B,$4:$10,3,FALSE))*E214/F214))</f>
        <v/>
      </c>
      <c r="V214" s="969">
        <f>HLOOKUP(B:B,$4:$10,7,FALSE)+((HLOOKUP(C:C,$4:$10,7,FALSE)-HLOOKUP(B:B,$4:$10,7,FALSE))*E214/F214)</f>
        <v/>
      </c>
      <c r="AB214" s="198">
        <f>$G214</f>
        <v/>
      </c>
      <c r="AC214" s="199">
        <f>$H214</f>
        <v/>
      </c>
      <c r="AD214" s="199">
        <f>$M214*AD$34</f>
        <v/>
      </c>
      <c r="AE214" s="199">
        <f>$M214*AE$34</f>
        <v/>
      </c>
      <c r="AF214" s="199">
        <f>$M214*AF$34</f>
        <v/>
      </c>
      <c r="AG214" s="199">
        <f>$M214*AG$34</f>
        <v/>
      </c>
      <c r="AH214" s="199">
        <f>$M214*AH$34</f>
        <v/>
      </c>
      <c r="AJ214" s="198">
        <f>$G214</f>
        <v/>
      </c>
      <c r="AK214" s="199">
        <f>$H214</f>
        <v/>
      </c>
      <c r="AL214" s="199">
        <f>$N214*AL$34</f>
        <v/>
      </c>
      <c r="AM214" s="199">
        <f>$N214*AM$34</f>
        <v/>
      </c>
      <c r="AN214" s="199">
        <f>$N214*AN$34</f>
        <v/>
      </c>
      <c r="AO214" s="199">
        <f>$N214*AO$34</f>
        <v/>
      </c>
      <c r="AP214" s="199">
        <f>$N214*AP$34</f>
        <v/>
      </c>
      <c r="AR214" s="198">
        <f>$G214</f>
        <v/>
      </c>
      <c r="AS214" s="199">
        <f>$H214</f>
        <v/>
      </c>
      <c r="AT214" s="199">
        <f>$O214*AT$34-$Q214</f>
        <v/>
      </c>
      <c r="AU214" s="199">
        <f>$O214*AU$34-$Q214</f>
        <v/>
      </c>
      <c r="AV214" s="199">
        <f>$O214*AV$34-$Q214</f>
        <v/>
      </c>
      <c r="AW214" s="199">
        <f>$O214*AW$34-$Q214</f>
        <v/>
      </c>
      <c r="AX214" s="199">
        <f>$O214*AX$34-$Q214</f>
        <v/>
      </c>
      <c r="AZ214" s="198">
        <f>$G214</f>
        <v/>
      </c>
      <c r="BA214" s="199">
        <f>$H214</f>
        <v/>
      </c>
      <c r="BB214" s="199">
        <f>$P214*BB$34-$Q214</f>
        <v/>
      </c>
      <c r="BC214" s="199">
        <f>$P214*BC$34-$Q214</f>
        <v/>
      </c>
      <c r="BD214" s="199">
        <f>$P214*BD$34-$Q214</f>
        <v/>
      </c>
      <c r="BE214" s="199">
        <f>$P214*BE$34-$Q214</f>
        <v/>
      </c>
      <c r="BF214" s="199">
        <f>$P214*BF$34-$Q214</f>
        <v/>
      </c>
      <c r="BH214" s="198">
        <f>$G214</f>
        <v/>
      </c>
      <c r="BI214" s="197">
        <f>$I214</f>
        <v/>
      </c>
      <c r="BJ214" s="197">
        <f>+BJ215</f>
        <v/>
      </c>
      <c r="BK214" s="197">
        <f>+BK215</f>
        <v/>
      </c>
      <c r="BL214" s="197">
        <f>+BL215</f>
        <v/>
      </c>
      <c r="BM214" s="197">
        <f>+BM215</f>
        <v/>
      </c>
      <c r="BN214" s="197">
        <f>+BN215</f>
        <v/>
      </c>
      <c r="BP214" s="198">
        <f>$G214</f>
        <v/>
      </c>
      <c r="BQ214" s="197">
        <f>$J214</f>
        <v/>
      </c>
      <c r="BR214" s="197">
        <f>+BR215</f>
        <v/>
      </c>
      <c r="BS214" s="197">
        <f>+BS215</f>
        <v/>
      </c>
      <c r="BT214" s="197">
        <f>+BT215</f>
        <v/>
      </c>
      <c r="BU214" s="197">
        <f>+BU215</f>
        <v/>
      </c>
      <c r="BV214" s="197">
        <f>+BV215</f>
        <v/>
      </c>
      <c r="BX214" s="198">
        <f>$G214</f>
        <v/>
      </c>
      <c r="BY214" s="197">
        <f>$K214</f>
        <v/>
      </c>
      <c r="BZ214" s="197">
        <f>+BZ215</f>
        <v/>
      </c>
      <c r="CA214" s="197">
        <f>+CA215</f>
        <v/>
      </c>
      <c r="CB214" s="197">
        <f>+CB215</f>
        <v/>
      </c>
      <c r="CC214" s="197">
        <f>+CC215</f>
        <v/>
      </c>
      <c r="CD214" s="197">
        <f>+CD215</f>
        <v/>
      </c>
      <c r="CF214" s="198">
        <f>$G214</f>
        <v/>
      </c>
      <c r="CG214" s="197">
        <f>$L214</f>
        <v/>
      </c>
      <c r="CH214" s="197">
        <f>+CH215</f>
        <v/>
      </c>
      <c r="CI214" s="197">
        <f>+CI215</f>
        <v/>
      </c>
      <c r="CJ214" s="197">
        <f>+CJ215</f>
        <v/>
      </c>
      <c r="CK214" s="197">
        <f>+CK215</f>
        <v/>
      </c>
      <c r="CL214" s="197">
        <f>+CL215</f>
        <v/>
      </c>
      <c r="CO214" s="199" t="n"/>
      <c r="CP214" s="199" t="n">
        <v>4.62</v>
      </c>
      <c r="CR214" s="199" t="inlineStr">
        <is>
          <t>#N/A N/A</t>
        </is>
      </c>
      <c r="CS214" s="970" t="n">
        <v>0.88955</v>
      </c>
    </row>
    <row r="215">
      <c r="B215" s="204">
        <f>+C215-1</f>
        <v/>
      </c>
      <c r="C215" s="204">
        <f>IF('bands_A-H_Avg'!$D$9+1&gt;MONTH(G215),YEAR(G215),YEAR(G215)+1)</f>
        <v/>
      </c>
      <c r="D215" s="204">
        <f>+C215+1</f>
        <v/>
      </c>
      <c r="E215" s="203">
        <f>IF(C215&gt;C214,1,E214+1)</f>
        <v/>
      </c>
      <c r="F215" s="203">
        <f>COUNTIF(C:C,C215)</f>
        <v/>
      </c>
      <c r="G215" s="198">
        <f>+G214+7</f>
        <v/>
      </c>
      <c r="H215" s="361">
        <f>IF(ISBLANK(CO215),CP215,SUMPRODUCT(CO$32:CP$32,CO215:CP215))</f>
        <v/>
      </c>
      <c r="I215" s="968">
        <f>H215/M215</f>
        <v/>
      </c>
      <c r="J215" s="968">
        <f>H215/N215</f>
        <v/>
      </c>
      <c r="K215" s="968">
        <f>(H215+Q215)/O215</f>
        <v/>
      </c>
      <c r="L215" s="968">
        <f>(H215+Q215)/P215</f>
        <v/>
      </c>
      <c r="M215" s="199">
        <f>HLOOKUP(C:C,$4:$10,3,FALSE)+((HLOOKUP(D:D,$4:$10,3,FALSE)-HLOOKUP(C:C,$4:$10,3,FALSE))*E215/F215)</f>
        <v/>
      </c>
      <c r="N215" s="199">
        <f>HLOOKUP(C:C,$4:$10,2,FALSE)+((HLOOKUP(D:D,$4:$10,2,FALSE)-HLOOKUP(C:C,$4:$10,2,FALSE))*E215/F215)</f>
        <v/>
      </c>
      <c r="O215" s="199">
        <f>HLOOKUP(C:C,$4:$10,5,FALSE)+((HLOOKUP(D:D,$4:$10,5,FALSE)-HLOOKUP(C:C,$4:$10,5,FALSE))*E215/F215)</f>
        <v/>
      </c>
      <c r="P215" s="199">
        <f>HLOOKUP(C:C,$4:$10,4,FALSE)+((HLOOKUP(D:D,$4:$10,4,FALSE)-HLOOKUP(C:C,$4:$10,4,FALSE))*E215/F215)</f>
        <v/>
      </c>
      <c r="Q215" s="199">
        <f>HLOOKUP(B:B,$4:$10,6,FALSE)+((HLOOKUP(C:C,$4:$10,6,FALSE)-HLOOKUP(B:B,$4:$10,6,FALSE))*E215/F215)</f>
        <v/>
      </c>
      <c r="T215" s="198">
        <f>$G215</f>
        <v/>
      </c>
      <c r="U215" s="199">
        <f>H215/(HLOOKUP(B:B,$4:$10,3,FALSE)+((HLOOKUP(C:C,$4:$10,3,FALSE)-HLOOKUP(B:B,$4:$10,3,FALSE))*E215/F215))</f>
        <v/>
      </c>
      <c r="V215" s="969">
        <f>HLOOKUP(B:B,$4:$10,7,FALSE)+((HLOOKUP(C:C,$4:$10,7,FALSE)-HLOOKUP(B:B,$4:$10,7,FALSE))*E215/F215)</f>
        <v/>
      </c>
      <c r="AB215" s="198">
        <f>$G215</f>
        <v/>
      </c>
      <c r="AC215" s="199">
        <f>$H215</f>
        <v/>
      </c>
      <c r="AD215" s="199">
        <f>$M215*AD$34</f>
        <v/>
      </c>
      <c r="AE215" s="199">
        <f>$M215*AE$34</f>
        <v/>
      </c>
      <c r="AF215" s="199">
        <f>$M215*AF$34</f>
        <v/>
      </c>
      <c r="AG215" s="199">
        <f>$M215*AG$34</f>
        <v/>
      </c>
      <c r="AH215" s="199">
        <f>$M215*AH$34</f>
        <v/>
      </c>
      <c r="AJ215" s="198">
        <f>$G215</f>
        <v/>
      </c>
      <c r="AK215" s="199">
        <f>$H215</f>
        <v/>
      </c>
      <c r="AL215" s="199">
        <f>$N215*AL$34</f>
        <v/>
      </c>
      <c r="AM215" s="199">
        <f>$N215*AM$34</f>
        <v/>
      </c>
      <c r="AN215" s="199">
        <f>$N215*AN$34</f>
        <v/>
      </c>
      <c r="AO215" s="199">
        <f>$N215*AO$34</f>
        <v/>
      </c>
      <c r="AP215" s="199">
        <f>$N215*AP$34</f>
        <v/>
      </c>
      <c r="AR215" s="198">
        <f>$G215</f>
        <v/>
      </c>
      <c r="AS215" s="199">
        <f>$H215</f>
        <v/>
      </c>
      <c r="AT215" s="199">
        <f>$O215*AT$34-$Q215</f>
        <v/>
      </c>
      <c r="AU215" s="199">
        <f>$O215*AU$34-$Q215</f>
        <v/>
      </c>
      <c r="AV215" s="199">
        <f>$O215*AV$34-$Q215</f>
        <v/>
      </c>
      <c r="AW215" s="199">
        <f>$O215*AW$34-$Q215</f>
        <v/>
      </c>
      <c r="AX215" s="199">
        <f>$O215*AX$34-$Q215</f>
        <v/>
      </c>
      <c r="AZ215" s="198">
        <f>$G215</f>
        <v/>
      </c>
      <c r="BA215" s="199">
        <f>$H215</f>
        <v/>
      </c>
      <c r="BB215" s="199">
        <f>$P215*BB$34-$Q215</f>
        <v/>
      </c>
      <c r="BC215" s="199">
        <f>$P215*BC$34-$Q215</f>
        <v/>
      </c>
      <c r="BD215" s="199">
        <f>$P215*BD$34-$Q215</f>
        <v/>
      </c>
      <c r="BE215" s="199">
        <f>$P215*BE$34-$Q215</f>
        <v/>
      </c>
      <c r="BF215" s="199">
        <f>$P215*BF$34-$Q215</f>
        <v/>
      </c>
      <c r="BH215" s="198">
        <f>$G215</f>
        <v/>
      </c>
      <c r="BI215" s="197">
        <f>$I215</f>
        <v/>
      </c>
      <c r="BJ215" s="197">
        <f>+BJ216</f>
        <v/>
      </c>
      <c r="BK215" s="197">
        <f>+BK216</f>
        <v/>
      </c>
      <c r="BL215" s="197">
        <f>+BL216</f>
        <v/>
      </c>
      <c r="BM215" s="197">
        <f>+BM216</f>
        <v/>
      </c>
      <c r="BN215" s="197">
        <f>+BN216</f>
        <v/>
      </c>
      <c r="BP215" s="198">
        <f>$G215</f>
        <v/>
      </c>
      <c r="BQ215" s="197">
        <f>$J215</f>
        <v/>
      </c>
      <c r="BR215" s="197">
        <f>+BR216</f>
        <v/>
      </c>
      <c r="BS215" s="197">
        <f>+BS216</f>
        <v/>
      </c>
      <c r="BT215" s="197">
        <f>+BT216</f>
        <v/>
      </c>
      <c r="BU215" s="197">
        <f>+BU216</f>
        <v/>
      </c>
      <c r="BV215" s="197">
        <f>+BV216</f>
        <v/>
      </c>
      <c r="BX215" s="198">
        <f>$G215</f>
        <v/>
      </c>
      <c r="BY215" s="197">
        <f>$K215</f>
        <v/>
      </c>
      <c r="BZ215" s="197">
        <f>+BZ216</f>
        <v/>
      </c>
      <c r="CA215" s="197">
        <f>+CA216</f>
        <v/>
      </c>
      <c r="CB215" s="197">
        <f>+CB216</f>
        <v/>
      </c>
      <c r="CC215" s="197">
        <f>+CC216</f>
        <v/>
      </c>
      <c r="CD215" s="197">
        <f>+CD216</f>
        <v/>
      </c>
      <c r="CF215" s="198">
        <f>$G215</f>
        <v/>
      </c>
      <c r="CG215" s="197">
        <f>$L215</f>
        <v/>
      </c>
      <c r="CH215" s="197">
        <f>+CH216</f>
        <v/>
      </c>
      <c r="CI215" s="197">
        <f>+CI216</f>
        <v/>
      </c>
      <c r="CJ215" s="197">
        <f>+CJ216</f>
        <v/>
      </c>
      <c r="CK215" s="197">
        <f>+CK216</f>
        <v/>
      </c>
      <c r="CL215" s="197">
        <f>+CL216</f>
        <v/>
      </c>
      <c r="CO215" s="199" t="n"/>
      <c r="CP215" s="199" t="n">
        <v>4.35</v>
      </c>
      <c r="CR215" s="199" t="inlineStr">
        <is>
          <t>#N/A N/A</t>
        </is>
      </c>
      <c r="CS215" s="970" t="n">
        <v>0.88661</v>
      </c>
    </row>
    <row r="216">
      <c r="B216" s="204">
        <f>+C216-1</f>
        <v/>
      </c>
      <c r="C216" s="204">
        <f>IF('bands_A-H_Avg'!$D$9+1&gt;MONTH(G216),YEAR(G216),YEAR(G216)+1)</f>
        <v/>
      </c>
      <c r="D216" s="204">
        <f>+C216+1</f>
        <v/>
      </c>
      <c r="E216" s="203">
        <f>IF(C216&gt;C215,1,E215+1)</f>
        <v/>
      </c>
      <c r="F216" s="203">
        <f>COUNTIF(C:C,C216)</f>
        <v/>
      </c>
      <c r="G216" s="198">
        <f>+G215+7</f>
        <v/>
      </c>
      <c r="H216" s="361">
        <f>IF(ISBLANK(CO216),CP216,SUMPRODUCT(CO$32:CP$32,CO216:CP216))</f>
        <v/>
      </c>
      <c r="I216" s="968">
        <f>H216/M216</f>
        <v/>
      </c>
      <c r="J216" s="968">
        <f>H216/N216</f>
        <v/>
      </c>
      <c r="K216" s="968">
        <f>(H216+Q216)/O216</f>
        <v/>
      </c>
      <c r="L216" s="968">
        <f>(H216+Q216)/P216</f>
        <v/>
      </c>
      <c r="M216" s="199">
        <f>HLOOKUP(C:C,$4:$10,3,FALSE)+((HLOOKUP(D:D,$4:$10,3,FALSE)-HLOOKUP(C:C,$4:$10,3,FALSE))*E216/F216)</f>
        <v/>
      </c>
      <c r="N216" s="199">
        <f>HLOOKUP(C:C,$4:$10,2,FALSE)+((HLOOKUP(D:D,$4:$10,2,FALSE)-HLOOKUP(C:C,$4:$10,2,FALSE))*E216/F216)</f>
        <v/>
      </c>
      <c r="O216" s="199">
        <f>HLOOKUP(C:C,$4:$10,5,FALSE)+((HLOOKUP(D:D,$4:$10,5,FALSE)-HLOOKUP(C:C,$4:$10,5,FALSE))*E216/F216)</f>
        <v/>
      </c>
      <c r="P216" s="199">
        <f>HLOOKUP(C:C,$4:$10,4,FALSE)+((HLOOKUP(D:D,$4:$10,4,FALSE)-HLOOKUP(C:C,$4:$10,4,FALSE))*E216/F216)</f>
        <v/>
      </c>
      <c r="Q216" s="199">
        <f>HLOOKUP(B:B,$4:$10,6,FALSE)+((HLOOKUP(C:C,$4:$10,6,FALSE)-HLOOKUP(B:B,$4:$10,6,FALSE))*E216/F216)</f>
        <v/>
      </c>
      <c r="T216" s="198">
        <f>$G216</f>
        <v/>
      </c>
      <c r="U216" s="199">
        <f>H216/(HLOOKUP(B:B,$4:$10,3,FALSE)+((HLOOKUP(C:C,$4:$10,3,FALSE)-HLOOKUP(B:B,$4:$10,3,FALSE))*E216/F216))</f>
        <v/>
      </c>
      <c r="V216" s="969">
        <f>HLOOKUP(B:B,$4:$10,7,FALSE)+((HLOOKUP(C:C,$4:$10,7,FALSE)-HLOOKUP(B:B,$4:$10,7,FALSE))*E216/F216)</f>
        <v/>
      </c>
      <c r="AB216" s="198">
        <f>$G216</f>
        <v/>
      </c>
      <c r="AC216" s="199">
        <f>$H216</f>
        <v/>
      </c>
      <c r="AD216" s="199">
        <f>$M216*AD$34</f>
        <v/>
      </c>
      <c r="AE216" s="199">
        <f>$M216*AE$34</f>
        <v/>
      </c>
      <c r="AF216" s="199">
        <f>$M216*AF$34</f>
        <v/>
      </c>
      <c r="AG216" s="199">
        <f>$M216*AG$34</f>
        <v/>
      </c>
      <c r="AH216" s="199">
        <f>$M216*AH$34</f>
        <v/>
      </c>
      <c r="AJ216" s="198">
        <f>$G216</f>
        <v/>
      </c>
      <c r="AK216" s="199">
        <f>$H216</f>
        <v/>
      </c>
      <c r="AL216" s="199">
        <f>$N216*AL$34</f>
        <v/>
      </c>
      <c r="AM216" s="199">
        <f>$N216*AM$34</f>
        <v/>
      </c>
      <c r="AN216" s="199">
        <f>$N216*AN$34</f>
        <v/>
      </c>
      <c r="AO216" s="199">
        <f>$N216*AO$34</f>
        <v/>
      </c>
      <c r="AP216" s="199">
        <f>$N216*AP$34</f>
        <v/>
      </c>
      <c r="AR216" s="198">
        <f>$G216</f>
        <v/>
      </c>
      <c r="AS216" s="199">
        <f>$H216</f>
        <v/>
      </c>
      <c r="AT216" s="199">
        <f>$O216*AT$34-$Q216</f>
        <v/>
      </c>
      <c r="AU216" s="199">
        <f>$O216*AU$34-$Q216</f>
        <v/>
      </c>
      <c r="AV216" s="199">
        <f>$O216*AV$34-$Q216</f>
        <v/>
      </c>
      <c r="AW216" s="199">
        <f>$O216*AW$34-$Q216</f>
        <v/>
      </c>
      <c r="AX216" s="199">
        <f>$O216*AX$34-$Q216</f>
        <v/>
      </c>
      <c r="AZ216" s="198">
        <f>$G216</f>
        <v/>
      </c>
      <c r="BA216" s="199">
        <f>$H216</f>
        <v/>
      </c>
      <c r="BB216" s="199">
        <f>$P216*BB$34-$Q216</f>
        <v/>
      </c>
      <c r="BC216" s="199">
        <f>$P216*BC$34-$Q216</f>
        <v/>
      </c>
      <c r="BD216" s="199">
        <f>$P216*BD$34-$Q216</f>
        <v/>
      </c>
      <c r="BE216" s="199">
        <f>$P216*BE$34-$Q216</f>
        <v/>
      </c>
      <c r="BF216" s="199">
        <f>$P216*BF$34-$Q216</f>
        <v/>
      </c>
      <c r="BH216" s="198">
        <f>$G216</f>
        <v/>
      </c>
      <c r="BI216" s="197">
        <f>$I216</f>
        <v/>
      </c>
      <c r="BJ216" s="197">
        <f>+BJ217</f>
        <v/>
      </c>
      <c r="BK216" s="197">
        <f>+BK217</f>
        <v/>
      </c>
      <c r="BL216" s="197">
        <f>+BL217</f>
        <v/>
      </c>
      <c r="BM216" s="197">
        <f>+BM217</f>
        <v/>
      </c>
      <c r="BN216" s="197">
        <f>+BN217</f>
        <v/>
      </c>
      <c r="BP216" s="198">
        <f>$G216</f>
        <v/>
      </c>
      <c r="BQ216" s="197">
        <f>$J216</f>
        <v/>
      </c>
      <c r="BR216" s="197">
        <f>+BR217</f>
        <v/>
      </c>
      <c r="BS216" s="197">
        <f>+BS217</f>
        <v/>
      </c>
      <c r="BT216" s="197">
        <f>+BT217</f>
        <v/>
      </c>
      <c r="BU216" s="197">
        <f>+BU217</f>
        <v/>
      </c>
      <c r="BV216" s="197">
        <f>+BV217</f>
        <v/>
      </c>
      <c r="BX216" s="198">
        <f>$G216</f>
        <v/>
      </c>
      <c r="BY216" s="197">
        <f>$K216</f>
        <v/>
      </c>
      <c r="BZ216" s="197">
        <f>+BZ217</f>
        <v/>
      </c>
      <c r="CA216" s="197">
        <f>+CA217</f>
        <v/>
      </c>
      <c r="CB216" s="197">
        <f>+CB217</f>
        <v/>
      </c>
      <c r="CC216" s="197">
        <f>+CC217</f>
        <v/>
      </c>
      <c r="CD216" s="197">
        <f>+CD217</f>
        <v/>
      </c>
      <c r="CF216" s="198">
        <f>$G216</f>
        <v/>
      </c>
      <c r="CG216" s="197">
        <f>$L216</f>
        <v/>
      </c>
      <c r="CH216" s="197">
        <f>+CH217</f>
        <v/>
      </c>
      <c r="CI216" s="197">
        <f>+CI217</f>
        <v/>
      </c>
      <c r="CJ216" s="197">
        <f>+CJ217</f>
        <v/>
      </c>
      <c r="CK216" s="197">
        <f>+CK217</f>
        <v/>
      </c>
      <c r="CL216" s="197">
        <f>+CL217</f>
        <v/>
      </c>
      <c r="CO216" s="199" t="n"/>
      <c r="CP216" s="199" t="n">
        <v>3.93</v>
      </c>
      <c r="CR216" s="199" t="inlineStr">
        <is>
          <t>#N/A N/A</t>
        </is>
      </c>
      <c r="CS216" s="970" t="n">
        <v>0.88323</v>
      </c>
    </row>
    <row r="217">
      <c r="B217" s="204">
        <f>+C217-1</f>
        <v/>
      </c>
      <c r="C217" s="204">
        <f>IF('bands_A-H_Avg'!$D$9+1&gt;MONTH(G217),YEAR(G217),YEAR(G217)+1)</f>
        <v/>
      </c>
      <c r="D217" s="204">
        <f>+C217+1</f>
        <v/>
      </c>
      <c r="E217" s="203">
        <f>IF(C217&gt;C216,1,E216+1)</f>
        <v/>
      </c>
      <c r="F217" s="203">
        <f>COUNTIF(C:C,C217)</f>
        <v/>
      </c>
      <c r="G217" s="198">
        <f>+G216+7</f>
        <v/>
      </c>
      <c r="H217" s="361">
        <f>IF(ISBLANK(CO217),CP217,SUMPRODUCT(CO$32:CP$32,CO217:CP217))</f>
        <v/>
      </c>
      <c r="I217" s="968">
        <f>H217/M217</f>
        <v/>
      </c>
      <c r="J217" s="968">
        <f>H217/N217</f>
        <v/>
      </c>
      <c r="K217" s="968">
        <f>(H217+Q217)/O217</f>
        <v/>
      </c>
      <c r="L217" s="968">
        <f>(H217+Q217)/P217</f>
        <v/>
      </c>
      <c r="M217" s="199">
        <f>HLOOKUP(C:C,$4:$10,3,FALSE)+((HLOOKUP(D:D,$4:$10,3,FALSE)-HLOOKUP(C:C,$4:$10,3,FALSE))*E217/F217)</f>
        <v/>
      </c>
      <c r="N217" s="199">
        <f>HLOOKUP(C:C,$4:$10,2,FALSE)+((HLOOKUP(D:D,$4:$10,2,FALSE)-HLOOKUP(C:C,$4:$10,2,FALSE))*E217/F217)</f>
        <v/>
      </c>
      <c r="O217" s="199">
        <f>HLOOKUP(C:C,$4:$10,5,FALSE)+((HLOOKUP(D:D,$4:$10,5,FALSE)-HLOOKUP(C:C,$4:$10,5,FALSE))*E217/F217)</f>
        <v/>
      </c>
      <c r="P217" s="199">
        <f>HLOOKUP(C:C,$4:$10,4,FALSE)+((HLOOKUP(D:D,$4:$10,4,FALSE)-HLOOKUP(C:C,$4:$10,4,FALSE))*E217/F217)</f>
        <v/>
      </c>
      <c r="Q217" s="199">
        <f>HLOOKUP(B:B,$4:$10,6,FALSE)+((HLOOKUP(C:C,$4:$10,6,FALSE)-HLOOKUP(B:B,$4:$10,6,FALSE))*E217/F217)</f>
        <v/>
      </c>
      <c r="T217" s="198">
        <f>$G217</f>
        <v/>
      </c>
      <c r="U217" s="199">
        <f>H217/(HLOOKUP(B:B,$4:$10,3,FALSE)+((HLOOKUP(C:C,$4:$10,3,FALSE)-HLOOKUP(B:B,$4:$10,3,FALSE))*E217/F217))</f>
        <v/>
      </c>
      <c r="V217" s="969">
        <f>HLOOKUP(B:B,$4:$10,7,FALSE)+((HLOOKUP(C:C,$4:$10,7,FALSE)-HLOOKUP(B:B,$4:$10,7,FALSE))*E217/F217)</f>
        <v/>
      </c>
      <c r="AB217" s="198">
        <f>$G217</f>
        <v/>
      </c>
      <c r="AC217" s="199">
        <f>$H217</f>
        <v/>
      </c>
      <c r="AD217" s="199">
        <f>$M217*AD$34</f>
        <v/>
      </c>
      <c r="AE217" s="199">
        <f>$M217*AE$34</f>
        <v/>
      </c>
      <c r="AF217" s="199">
        <f>$M217*AF$34</f>
        <v/>
      </c>
      <c r="AG217" s="199">
        <f>$M217*AG$34</f>
        <v/>
      </c>
      <c r="AH217" s="199">
        <f>$M217*AH$34</f>
        <v/>
      </c>
      <c r="AJ217" s="198">
        <f>$G217</f>
        <v/>
      </c>
      <c r="AK217" s="199">
        <f>$H217</f>
        <v/>
      </c>
      <c r="AL217" s="199">
        <f>$N217*AL$34</f>
        <v/>
      </c>
      <c r="AM217" s="199">
        <f>$N217*AM$34</f>
        <v/>
      </c>
      <c r="AN217" s="199">
        <f>$N217*AN$34</f>
        <v/>
      </c>
      <c r="AO217" s="199">
        <f>$N217*AO$34</f>
        <v/>
      </c>
      <c r="AP217" s="199">
        <f>$N217*AP$34</f>
        <v/>
      </c>
      <c r="AR217" s="198">
        <f>$G217</f>
        <v/>
      </c>
      <c r="AS217" s="199">
        <f>$H217</f>
        <v/>
      </c>
      <c r="AT217" s="199">
        <f>$O217*AT$34-$Q217</f>
        <v/>
      </c>
      <c r="AU217" s="199">
        <f>$O217*AU$34-$Q217</f>
        <v/>
      </c>
      <c r="AV217" s="199">
        <f>$O217*AV$34-$Q217</f>
        <v/>
      </c>
      <c r="AW217" s="199">
        <f>$O217*AW$34-$Q217</f>
        <v/>
      </c>
      <c r="AX217" s="199">
        <f>$O217*AX$34-$Q217</f>
        <v/>
      </c>
      <c r="AZ217" s="198">
        <f>$G217</f>
        <v/>
      </c>
      <c r="BA217" s="199">
        <f>$H217</f>
        <v/>
      </c>
      <c r="BB217" s="199">
        <f>$P217*BB$34-$Q217</f>
        <v/>
      </c>
      <c r="BC217" s="199">
        <f>$P217*BC$34-$Q217</f>
        <v/>
      </c>
      <c r="BD217" s="199">
        <f>$P217*BD$34-$Q217</f>
        <v/>
      </c>
      <c r="BE217" s="199">
        <f>$P217*BE$34-$Q217</f>
        <v/>
      </c>
      <c r="BF217" s="199">
        <f>$P217*BF$34-$Q217</f>
        <v/>
      </c>
      <c r="BH217" s="198">
        <f>$G217</f>
        <v/>
      </c>
      <c r="BI217" s="197">
        <f>$I217</f>
        <v/>
      </c>
      <c r="BJ217" s="197">
        <f>+BJ218</f>
        <v/>
      </c>
      <c r="BK217" s="197">
        <f>+BK218</f>
        <v/>
      </c>
      <c r="BL217" s="197">
        <f>+BL218</f>
        <v/>
      </c>
      <c r="BM217" s="197">
        <f>+BM218</f>
        <v/>
      </c>
      <c r="BN217" s="197">
        <f>+BN218</f>
        <v/>
      </c>
      <c r="BP217" s="198">
        <f>$G217</f>
        <v/>
      </c>
      <c r="BQ217" s="197">
        <f>$J217</f>
        <v/>
      </c>
      <c r="BR217" s="197">
        <f>+BR218</f>
        <v/>
      </c>
      <c r="BS217" s="197">
        <f>+BS218</f>
        <v/>
      </c>
      <c r="BT217" s="197">
        <f>+BT218</f>
        <v/>
      </c>
      <c r="BU217" s="197">
        <f>+BU218</f>
        <v/>
      </c>
      <c r="BV217" s="197">
        <f>+BV218</f>
        <v/>
      </c>
      <c r="BX217" s="198">
        <f>$G217</f>
        <v/>
      </c>
      <c r="BY217" s="197">
        <f>$K217</f>
        <v/>
      </c>
      <c r="BZ217" s="197">
        <f>+BZ218</f>
        <v/>
      </c>
      <c r="CA217" s="197">
        <f>+CA218</f>
        <v/>
      </c>
      <c r="CB217" s="197">
        <f>+CB218</f>
        <v/>
      </c>
      <c r="CC217" s="197">
        <f>+CC218</f>
        <v/>
      </c>
      <c r="CD217" s="197">
        <f>+CD218</f>
        <v/>
      </c>
      <c r="CF217" s="198">
        <f>$G217</f>
        <v/>
      </c>
      <c r="CG217" s="197">
        <f>$L217</f>
        <v/>
      </c>
      <c r="CH217" s="197">
        <f>+CH218</f>
        <v/>
      </c>
      <c r="CI217" s="197">
        <f>+CI218</f>
        <v/>
      </c>
      <c r="CJ217" s="197">
        <f>+CJ218</f>
        <v/>
      </c>
      <c r="CK217" s="197">
        <f>+CK218</f>
        <v/>
      </c>
      <c r="CL217" s="197">
        <f>+CL218</f>
        <v/>
      </c>
      <c r="CO217" s="199" t="n"/>
      <c r="CP217" s="199" t="n">
        <v>3.95</v>
      </c>
      <c r="CR217" s="199" t="inlineStr">
        <is>
          <t>#N/A N/A</t>
        </is>
      </c>
      <c r="CS217" s="970" t="n">
        <v>0.88158</v>
      </c>
    </row>
    <row r="218">
      <c r="B218" s="204">
        <f>+C218-1</f>
        <v/>
      </c>
      <c r="C218" s="204">
        <f>IF('bands_A-H_Avg'!$D$9+1&gt;MONTH(G218),YEAR(G218),YEAR(G218)+1)</f>
        <v/>
      </c>
      <c r="D218" s="204">
        <f>+C218+1</f>
        <v/>
      </c>
      <c r="E218" s="203">
        <f>IF(C218&gt;C217,1,E217+1)</f>
        <v/>
      </c>
      <c r="F218" s="203">
        <f>COUNTIF(C:C,C218)</f>
        <v/>
      </c>
      <c r="G218" s="198">
        <f>+G217+7</f>
        <v/>
      </c>
      <c r="H218" s="361">
        <f>IF(ISBLANK(CO218),CP218,SUMPRODUCT(CO$32:CP$32,CO218:CP218))</f>
        <v/>
      </c>
      <c r="I218" s="968">
        <f>H218/M218</f>
        <v/>
      </c>
      <c r="J218" s="968">
        <f>H218/N218</f>
        <v/>
      </c>
      <c r="K218" s="968">
        <f>(H218+Q218)/O218</f>
        <v/>
      </c>
      <c r="L218" s="968">
        <f>(H218+Q218)/P218</f>
        <v/>
      </c>
      <c r="M218" s="199">
        <f>HLOOKUP(C:C,$4:$10,3,FALSE)+((HLOOKUP(D:D,$4:$10,3,FALSE)-HLOOKUP(C:C,$4:$10,3,FALSE))*E218/F218)</f>
        <v/>
      </c>
      <c r="N218" s="199">
        <f>HLOOKUP(C:C,$4:$10,2,FALSE)+((HLOOKUP(D:D,$4:$10,2,FALSE)-HLOOKUP(C:C,$4:$10,2,FALSE))*E218/F218)</f>
        <v/>
      </c>
      <c r="O218" s="199">
        <f>HLOOKUP(C:C,$4:$10,5,FALSE)+((HLOOKUP(D:D,$4:$10,5,FALSE)-HLOOKUP(C:C,$4:$10,5,FALSE))*E218/F218)</f>
        <v/>
      </c>
      <c r="P218" s="199">
        <f>HLOOKUP(C:C,$4:$10,4,FALSE)+((HLOOKUP(D:D,$4:$10,4,FALSE)-HLOOKUP(C:C,$4:$10,4,FALSE))*E218/F218)</f>
        <v/>
      </c>
      <c r="Q218" s="199">
        <f>HLOOKUP(B:B,$4:$10,6,FALSE)+((HLOOKUP(C:C,$4:$10,6,FALSE)-HLOOKUP(B:B,$4:$10,6,FALSE))*E218/F218)</f>
        <v/>
      </c>
      <c r="T218" s="198">
        <f>$G218</f>
        <v/>
      </c>
      <c r="U218" s="199">
        <f>H218/(HLOOKUP(B:B,$4:$10,3,FALSE)+((HLOOKUP(C:C,$4:$10,3,FALSE)-HLOOKUP(B:B,$4:$10,3,FALSE))*E218/F218))</f>
        <v/>
      </c>
      <c r="V218" s="969">
        <f>HLOOKUP(B:B,$4:$10,7,FALSE)+((HLOOKUP(C:C,$4:$10,7,FALSE)-HLOOKUP(B:B,$4:$10,7,FALSE))*E218/F218)</f>
        <v/>
      </c>
      <c r="AB218" s="198">
        <f>$G218</f>
        <v/>
      </c>
      <c r="AC218" s="199">
        <f>$H218</f>
        <v/>
      </c>
      <c r="AD218" s="199">
        <f>$M218*AD$34</f>
        <v/>
      </c>
      <c r="AE218" s="199">
        <f>$M218*AE$34</f>
        <v/>
      </c>
      <c r="AF218" s="199">
        <f>$M218*AF$34</f>
        <v/>
      </c>
      <c r="AG218" s="199">
        <f>$M218*AG$34</f>
        <v/>
      </c>
      <c r="AH218" s="199">
        <f>$M218*AH$34</f>
        <v/>
      </c>
      <c r="AJ218" s="198">
        <f>$G218</f>
        <v/>
      </c>
      <c r="AK218" s="199">
        <f>$H218</f>
        <v/>
      </c>
      <c r="AL218" s="199">
        <f>$N218*AL$34</f>
        <v/>
      </c>
      <c r="AM218" s="199">
        <f>$N218*AM$34</f>
        <v/>
      </c>
      <c r="AN218" s="199">
        <f>$N218*AN$34</f>
        <v/>
      </c>
      <c r="AO218" s="199">
        <f>$N218*AO$34</f>
        <v/>
      </c>
      <c r="AP218" s="199">
        <f>$N218*AP$34</f>
        <v/>
      </c>
      <c r="AR218" s="198">
        <f>$G218</f>
        <v/>
      </c>
      <c r="AS218" s="199">
        <f>$H218</f>
        <v/>
      </c>
      <c r="AT218" s="199">
        <f>$O218*AT$34-$Q218</f>
        <v/>
      </c>
      <c r="AU218" s="199">
        <f>$O218*AU$34-$Q218</f>
        <v/>
      </c>
      <c r="AV218" s="199">
        <f>$O218*AV$34-$Q218</f>
        <v/>
      </c>
      <c r="AW218" s="199">
        <f>$O218*AW$34-$Q218</f>
        <v/>
      </c>
      <c r="AX218" s="199">
        <f>$O218*AX$34-$Q218</f>
        <v/>
      </c>
      <c r="AZ218" s="198">
        <f>$G218</f>
        <v/>
      </c>
      <c r="BA218" s="199">
        <f>$H218</f>
        <v/>
      </c>
      <c r="BB218" s="199">
        <f>$P218*BB$34-$Q218</f>
        <v/>
      </c>
      <c r="BC218" s="199">
        <f>$P218*BC$34-$Q218</f>
        <v/>
      </c>
      <c r="BD218" s="199">
        <f>$P218*BD$34-$Q218</f>
        <v/>
      </c>
      <c r="BE218" s="199">
        <f>$P218*BE$34-$Q218</f>
        <v/>
      </c>
      <c r="BF218" s="199">
        <f>$P218*BF$34-$Q218</f>
        <v/>
      </c>
      <c r="BH218" s="198">
        <f>$G218</f>
        <v/>
      </c>
      <c r="BI218" s="197">
        <f>$I218</f>
        <v/>
      </c>
      <c r="BJ218" s="197">
        <f>+BJ219</f>
        <v/>
      </c>
      <c r="BK218" s="197">
        <f>+BK219</f>
        <v/>
      </c>
      <c r="BL218" s="197">
        <f>+BL219</f>
        <v/>
      </c>
      <c r="BM218" s="197">
        <f>+BM219</f>
        <v/>
      </c>
      <c r="BN218" s="197">
        <f>+BN219</f>
        <v/>
      </c>
      <c r="BP218" s="198">
        <f>$G218</f>
        <v/>
      </c>
      <c r="BQ218" s="197">
        <f>$J218</f>
        <v/>
      </c>
      <c r="BR218" s="197">
        <f>+BR219</f>
        <v/>
      </c>
      <c r="BS218" s="197">
        <f>+BS219</f>
        <v/>
      </c>
      <c r="BT218" s="197">
        <f>+BT219</f>
        <v/>
      </c>
      <c r="BU218" s="197">
        <f>+BU219</f>
        <v/>
      </c>
      <c r="BV218" s="197">
        <f>+BV219</f>
        <v/>
      </c>
      <c r="BX218" s="198">
        <f>$G218</f>
        <v/>
      </c>
      <c r="BY218" s="197">
        <f>$K218</f>
        <v/>
      </c>
      <c r="BZ218" s="197">
        <f>+BZ219</f>
        <v/>
      </c>
      <c r="CA218" s="197">
        <f>+CA219</f>
        <v/>
      </c>
      <c r="CB218" s="197">
        <f>+CB219</f>
        <v/>
      </c>
      <c r="CC218" s="197">
        <f>+CC219</f>
        <v/>
      </c>
      <c r="CD218" s="197">
        <f>+CD219</f>
        <v/>
      </c>
      <c r="CF218" s="198">
        <f>$G218</f>
        <v/>
      </c>
      <c r="CG218" s="197">
        <f>$L218</f>
        <v/>
      </c>
      <c r="CH218" s="197">
        <f>+CH219</f>
        <v/>
      </c>
      <c r="CI218" s="197">
        <f>+CI219</f>
        <v/>
      </c>
      <c r="CJ218" s="197">
        <f>+CJ219</f>
        <v/>
      </c>
      <c r="CK218" s="197">
        <f>+CK219</f>
        <v/>
      </c>
      <c r="CL218" s="197">
        <f>+CL219</f>
        <v/>
      </c>
      <c r="CO218" s="199" t="n"/>
      <c r="CP218" s="199" t="n">
        <v>3.75</v>
      </c>
      <c r="CR218" s="199" t="inlineStr">
        <is>
          <t>#N/A N/A</t>
        </is>
      </c>
      <c r="CS218" s="970" t="n">
        <v>0.8793800000000001</v>
      </c>
    </row>
    <row r="219">
      <c r="B219" s="204">
        <f>+C219-1</f>
        <v/>
      </c>
      <c r="C219" s="204">
        <f>IF('bands_A-H_Avg'!$D$9+1&gt;MONTH(G219),YEAR(G219),YEAR(G219)+1)</f>
        <v/>
      </c>
      <c r="D219" s="204">
        <f>+C219+1</f>
        <v/>
      </c>
      <c r="E219" s="203">
        <f>IF(C219&gt;C218,1,E218+1)</f>
        <v/>
      </c>
      <c r="F219" s="203">
        <f>COUNTIF(C:C,C219)</f>
        <v/>
      </c>
      <c r="G219" s="198">
        <f>+G218+7</f>
        <v/>
      </c>
      <c r="H219" s="361">
        <f>IF(ISBLANK(CO219),CP219,SUMPRODUCT(CO$32:CP$32,CO219:CP219))</f>
        <v/>
      </c>
      <c r="I219" s="968">
        <f>H219/M219</f>
        <v/>
      </c>
      <c r="J219" s="968">
        <f>H219/N219</f>
        <v/>
      </c>
      <c r="K219" s="968">
        <f>(H219+Q219)/O219</f>
        <v/>
      </c>
      <c r="L219" s="968">
        <f>(H219+Q219)/P219</f>
        <v/>
      </c>
      <c r="M219" s="199">
        <f>HLOOKUP(C:C,$4:$10,3,FALSE)+((HLOOKUP(D:D,$4:$10,3,FALSE)-HLOOKUP(C:C,$4:$10,3,FALSE))*E219/F219)</f>
        <v/>
      </c>
      <c r="N219" s="199">
        <f>HLOOKUP(C:C,$4:$10,2,FALSE)+((HLOOKUP(D:D,$4:$10,2,FALSE)-HLOOKUP(C:C,$4:$10,2,FALSE))*E219/F219)</f>
        <v/>
      </c>
      <c r="O219" s="199">
        <f>HLOOKUP(C:C,$4:$10,5,FALSE)+((HLOOKUP(D:D,$4:$10,5,FALSE)-HLOOKUP(C:C,$4:$10,5,FALSE))*E219/F219)</f>
        <v/>
      </c>
      <c r="P219" s="199">
        <f>HLOOKUP(C:C,$4:$10,4,FALSE)+((HLOOKUP(D:D,$4:$10,4,FALSE)-HLOOKUP(C:C,$4:$10,4,FALSE))*E219/F219)</f>
        <v/>
      </c>
      <c r="Q219" s="199">
        <f>HLOOKUP(B:B,$4:$10,6,FALSE)+((HLOOKUP(C:C,$4:$10,6,FALSE)-HLOOKUP(B:B,$4:$10,6,FALSE))*E219/F219)</f>
        <v/>
      </c>
      <c r="T219" s="198">
        <f>$G219</f>
        <v/>
      </c>
      <c r="U219" s="199">
        <f>H219/(HLOOKUP(B:B,$4:$10,3,FALSE)+((HLOOKUP(C:C,$4:$10,3,FALSE)-HLOOKUP(B:B,$4:$10,3,FALSE))*E219/F219))</f>
        <v/>
      </c>
      <c r="V219" s="969">
        <f>HLOOKUP(B:B,$4:$10,7,FALSE)+((HLOOKUP(C:C,$4:$10,7,FALSE)-HLOOKUP(B:B,$4:$10,7,FALSE))*E219/F219)</f>
        <v/>
      </c>
      <c r="AB219" s="198">
        <f>$G219</f>
        <v/>
      </c>
      <c r="AC219" s="199">
        <f>$H219</f>
        <v/>
      </c>
      <c r="AD219" s="199">
        <f>$M219*AD$34</f>
        <v/>
      </c>
      <c r="AE219" s="199">
        <f>$M219*AE$34</f>
        <v/>
      </c>
      <c r="AF219" s="199">
        <f>$M219*AF$34</f>
        <v/>
      </c>
      <c r="AG219" s="199">
        <f>$M219*AG$34</f>
        <v/>
      </c>
      <c r="AH219" s="199">
        <f>$M219*AH$34</f>
        <v/>
      </c>
      <c r="AJ219" s="198">
        <f>$G219</f>
        <v/>
      </c>
      <c r="AK219" s="199">
        <f>$H219</f>
        <v/>
      </c>
      <c r="AL219" s="199">
        <f>$N219*AL$34</f>
        <v/>
      </c>
      <c r="AM219" s="199">
        <f>$N219*AM$34</f>
        <v/>
      </c>
      <c r="AN219" s="199">
        <f>$N219*AN$34</f>
        <v/>
      </c>
      <c r="AO219" s="199">
        <f>$N219*AO$34</f>
        <v/>
      </c>
      <c r="AP219" s="199">
        <f>$N219*AP$34</f>
        <v/>
      </c>
      <c r="AR219" s="198">
        <f>$G219</f>
        <v/>
      </c>
      <c r="AS219" s="199">
        <f>$H219</f>
        <v/>
      </c>
      <c r="AT219" s="199">
        <f>$O219*AT$34-$Q219</f>
        <v/>
      </c>
      <c r="AU219" s="199">
        <f>$O219*AU$34-$Q219</f>
        <v/>
      </c>
      <c r="AV219" s="199">
        <f>$O219*AV$34-$Q219</f>
        <v/>
      </c>
      <c r="AW219" s="199">
        <f>$O219*AW$34-$Q219</f>
        <v/>
      </c>
      <c r="AX219" s="199">
        <f>$O219*AX$34-$Q219</f>
        <v/>
      </c>
      <c r="AZ219" s="198">
        <f>$G219</f>
        <v/>
      </c>
      <c r="BA219" s="199">
        <f>$H219</f>
        <v/>
      </c>
      <c r="BB219" s="199">
        <f>$P219*BB$34-$Q219</f>
        <v/>
      </c>
      <c r="BC219" s="199">
        <f>$P219*BC$34-$Q219</f>
        <v/>
      </c>
      <c r="BD219" s="199">
        <f>$P219*BD$34-$Q219</f>
        <v/>
      </c>
      <c r="BE219" s="199">
        <f>$P219*BE$34-$Q219</f>
        <v/>
      </c>
      <c r="BF219" s="199">
        <f>$P219*BF$34-$Q219</f>
        <v/>
      </c>
      <c r="BH219" s="198">
        <f>$G219</f>
        <v/>
      </c>
      <c r="BI219" s="197">
        <f>$I219</f>
        <v/>
      </c>
      <c r="BJ219" s="197">
        <f>+BJ220</f>
        <v/>
      </c>
      <c r="BK219" s="197">
        <f>+BK220</f>
        <v/>
      </c>
      <c r="BL219" s="197">
        <f>+BL220</f>
        <v/>
      </c>
      <c r="BM219" s="197">
        <f>+BM220</f>
        <v/>
      </c>
      <c r="BN219" s="197">
        <f>+BN220</f>
        <v/>
      </c>
      <c r="BP219" s="198">
        <f>$G219</f>
        <v/>
      </c>
      <c r="BQ219" s="197">
        <f>$J219</f>
        <v/>
      </c>
      <c r="BR219" s="197">
        <f>+BR220</f>
        <v/>
      </c>
      <c r="BS219" s="197">
        <f>+BS220</f>
        <v/>
      </c>
      <c r="BT219" s="197">
        <f>+BT220</f>
        <v/>
      </c>
      <c r="BU219" s="197">
        <f>+BU220</f>
        <v/>
      </c>
      <c r="BV219" s="197">
        <f>+BV220</f>
        <v/>
      </c>
      <c r="BX219" s="198">
        <f>$G219</f>
        <v/>
      </c>
      <c r="BY219" s="197">
        <f>$K219</f>
        <v/>
      </c>
      <c r="BZ219" s="197">
        <f>+BZ220</f>
        <v/>
      </c>
      <c r="CA219" s="197">
        <f>+CA220</f>
        <v/>
      </c>
      <c r="CB219" s="197">
        <f>+CB220</f>
        <v/>
      </c>
      <c r="CC219" s="197">
        <f>+CC220</f>
        <v/>
      </c>
      <c r="CD219" s="197">
        <f>+CD220</f>
        <v/>
      </c>
      <c r="CF219" s="198">
        <f>$G219</f>
        <v/>
      </c>
      <c r="CG219" s="197">
        <f>$L219</f>
        <v/>
      </c>
      <c r="CH219" s="197">
        <f>+CH220</f>
        <v/>
      </c>
      <c r="CI219" s="197">
        <f>+CI220</f>
        <v/>
      </c>
      <c r="CJ219" s="197">
        <f>+CJ220</f>
        <v/>
      </c>
      <c r="CK219" s="197">
        <f>+CK220</f>
        <v/>
      </c>
      <c r="CL219" s="197">
        <f>+CL220</f>
        <v/>
      </c>
      <c r="CO219" s="199" t="n"/>
      <c r="CP219" s="199" t="n">
        <v>3.57</v>
      </c>
      <c r="CR219" s="199" t="inlineStr">
        <is>
          <t>#N/A N/A</t>
        </is>
      </c>
      <c r="CS219" s="970" t="n">
        <v>0.8794</v>
      </c>
    </row>
    <row r="220">
      <c r="B220" s="204">
        <f>+C220-1</f>
        <v/>
      </c>
      <c r="C220" s="204">
        <f>IF('bands_A-H_Avg'!$D$9+1&gt;MONTH(G220),YEAR(G220),YEAR(G220)+1)</f>
        <v/>
      </c>
      <c r="D220" s="204">
        <f>+C220+1</f>
        <v/>
      </c>
      <c r="E220" s="203">
        <f>IF(C220&gt;C219,1,E219+1)</f>
        <v/>
      </c>
      <c r="F220" s="203">
        <f>COUNTIF(C:C,C220)</f>
        <v/>
      </c>
      <c r="G220" s="198">
        <f>+G219+7</f>
        <v/>
      </c>
      <c r="H220" s="361">
        <f>IF(ISBLANK(CO220),CP220,SUMPRODUCT(CO$32:CP$32,CO220:CP220))</f>
        <v/>
      </c>
      <c r="I220" s="968">
        <f>H220/M220</f>
        <v/>
      </c>
      <c r="J220" s="968">
        <f>H220/N220</f>
        <v/>
      </c>
      <c r="K220" s="968">
        <f>(H220+Q220)/O220</f>
        <v/>
      </c>
      <c r="L220" s="968">
        <f>(H220+Q220)/P220</f>
        <v/>
      </c>
      <c r="M220" s="199">
        <f>HLOOKUP(C:C,$4:$10,3,FALSE)+((HLOOKUP(D:D,$4:$10,3,FALSE)-HLOOKUP(C:C,$4:$10,3,FALSE))*E220/F220)</f>
        <v/>
      </c>
      <c r="N220" s="199">
        <f>HLOOKUP(C:C,$4:$10,2,FALSE)+((HLOOKUP(D:D,$4:$10,2,FALSE)-HLOOKUP(C:C,$4:$10,2,FALSE))*E220/F220)</f>
        <v/>
      </c>
      <c r="O220" s="199">
        <f>HLOOKUP(C:C,$4:$10,5,FALSE)+((HLOOKUP(D:D,$4:$10,5,FALSE)-HLOOKUP(C:C,$4:$10,5,FALSE))*E220/F220)</f>
        <v/>
      </c>
      <c r="P220" s="199">
        <f>HLOOKUP(C:C,$4:$10,4,FALSE)+((HLOOKUP(D:D,$4:$10,4,FALSE)-HLOOKUP(C:C,$4:$10,4,FALSE))*E220/F220)</f>
        <v/>
      </c>
      <c r="Q220" s="199">
        <f>HLOOKUP(B:B,$4:$10,6,FALSE)+((HLOOKUP(C:C,$4:$10,6,FALSE)-HLOOKUP(B:B,$4:$10,6,FALSE))*E220/F220)</f>
        <v/>
      </c>
      <c r="T220" s="198">
        <f>$G220</f>
        <v/>
      </c>
      <c r="U220" s="199">
        <f>H220/(HLOOKUP(B:B,$4:$10,3,FALSE)+((HLOOKUP(C:C,$4:$10,3,FALSE)-HLOOKUP(B:B,$4:$10,3,FALSE))*E220/F220))</f>
        <v/>
      </c>
      <c r="V220" s="969">
        <f>HLOOKUP(B:B,$4:$10,7,FALSE)+((HLOOKUP(C:C,$4:$10,7,FALSE)-HLOOKUP(B:B,$4:$10,7,FALSE))*E220/F220)</f>
        <v/>
      </c>
      <c r="AB220" s="198">
        <f>$G220</f>
        <v/>
      </c>
      <c r="AC220" s="199">
        <f>$H220</f>
        <v/>
      </c>
      <c r="AD220" s="199">
        <f>$M220*AD$34</f>
        <v/>
      </c>
      <c r="AE220" s="199">
        <f>$M220*AE$34</f>
        <v/>
      </c>
      <c r="AF220" s="199">
        <f>$M220*AF$34</f>
        <v/>
      </c>
      <c r="AG220" s="199">
        <f>$M220*AG$34</f>
        <v/>
      </c>
      <c r="AH220" s="199">
        <f>$M220*AH$34</f>
        <v/>
      </c>
      <c r="AJ220" s="198">
        <f>$G220</f>
        <v/>
      </c>
      <c r="AK220" s="199">
        <f>$H220</f>
        <v/>
      </c>
      <c r="AL220" s="199">
        <f>$N220*AL$34</f>
        <v/>
      </c>
      <c r="AM220" s="199">
        <f>$N220*AM$34</f>
        <v/>
      </c>
      <c r="AN220" s="199">
        <f>$N220*AN$34</f>
        <v/>
      </c>
      <c r="AO220" s="199">
        <f>$N220*AO$34</f>
        <v/>
      </c>
      <c r="AP220" s="199">
        <f>$N220*AP$34</f>
        <v/>
      </c>
      <c r="AR220" s="198">
        <f>$G220</f>
        <v/>
      </c>
      <c r="AS220" s="199">
        <f>$H220</f>
        <v/>
      </c>
      <c r="AT220" s="199">
        <f>$O220*AT$34-$Q220</f>
        <v/>
      </c>
      <c r="AU220" s="199">
        <f>$O220*AU$34-$Q220</f>
        <v/>
      </c>
      <c r="AV220" s="199">
        <f>$O220*AV$34-$Q220</f>
        <v/>
      </c>
      <c r="AW220" s="199">
        <f>$O220*AW$34-$Q220</f>
        <v/>
      </c>
      <c r="AX220" s="199">
        <f>$O220*AX$34-$Q220</f>
        <v/>
      </c>
      <c r="AZ220" s="198">
        <f>$G220</f>
        <v/>
      </c>
      <c r="BA220" s="199">
        <f>$H220</f>
        <v/>
      </c>
      <c r="BB220" s="199">
        <f>$P220*BB$34-$Q220</f>
        <v/>
      </c>
      <c r="BC220" s="199">
        <f>$P220*BC$34-$Q220</f>
        <v/>
      </c>
      <c r="BD220" s="199">
        <f>$P220*BD$34-$Q220</f>
        <v/>
      </c>
      <c r="BE220" s="199">
        <f>$P220*BE$34-$Q220</f>
        <v/>
      </c>
      <c r="BF220" s="199">
        <f>$P220*BF$34-$Q220</f>
        <v/>
      </c>
      <c r="BH220" s="198">
        <f>$G220</f>
        <v/>
      </c>
      <c r="BI220" s="197">
        <f>$I220</f>
        <v/>
      </c>
      <c r="BJ220" s="197">
        <f>+BJ221</f>
        <v/>
      </c>
      <c r="BK220" s="197">
        <f>+BK221</f>
        <v/>
      </c>
      <c r="BL220" s="197">
        <f>+BL221</f>
        <v/>
      </c>
      <c r="BM220" s="197">
        <f>+BM221</f>
        <v/>
      </c>
      <c r="BN220" s="197">
        <f>+BN221</f>
        <v/>
      </c>
      <c r="BP220" s="198">
        <f>$G220</f>
        <v/>
      </c>
      <c r="BQ220" s="197">
        <f>$J220</f>
        <v/>
      </c>
      <c r="BR220" s="197">
        <f>+BR221</f>
        <v/>
      </c>
      <c r="BS220" s="197">
        <f>+BS221</f>
        <v/>
      </c>
      <c r="BT220" s="197">
        <f>+BT221</f>
        <v/>
      </c>
      <c r="BU220" s="197">
        <f>+BU221</f>
        <v/>
      </c>
      <c r="BV220" s="197">
        <f>+BV221</f>
        <v/>
      </c>
      <c r="BX220" s="198">
        <f>$G220</f>
        <v/>
      </c>
      <c r="BY220" s="197">
        <f>$K220</f>
        <v/>
      </c>
      <c r="BZ220" s="197">
        <f>+BZ221</f>
        <v/>
      </c>
      <c r="CA220" s="197">
        <f>+CA221</f>
        <v/>
      </c>
      <c r="CB220" s="197">
        <f>+CB221</f>
        <v/>
      </c>
      <c r="CC220" s="197">
        <f>+CC221</f>
        <v/>
      </c>
      <c r="CD220" s="197">
        <f>+CD221</f>
        <v/>
      </c>
      <c r="CF220" s="198">
        <f>$G220</f>
        <v/>
      </c>
      <c r="CG220" s="197">
        <f>$L220</f>
        <v/>
      </c>
      <c r="CH220" s="197">
        <f>+CH221</f>
        <v/>
      </c>
      <c r="CI220" s="197">
        <f>+CI221</f>
        <v/>
      </c>
      <c r="CJ220" s="197">
        <f>+CJ221</f>
        <v/>
      </c>
      <c r="CK220" s="197">
        <f>+CK221</f>
        <v/>
      </c>
      <c r="CL220" s="197">
        <f>+CL221</f>
        <v/>
      </c>
      <c r="CO220" s="199" t="n"/>
      <c r="CP220" s="199" t="n">
        <v>4.25</v>
      </c>
      <c r="CR220" s="199" t="inlineStr">
        <is>
          <t>#N/A N/A</t>
        </is>
      </c>
      <c r="CS220" s="970" t="n">
        <v>0.87564</v>
      </c>
    </row>
    <row r="221">
      <c r="B221" s="204">
        <f>+C221-1</f>
        <v/>
      </c>
      <c r="C221" s="204">
        <f>IF('bands_A-H_Avg'!$D$9+1&gt;MONTH(G221),YEAR(G221),YEAR(G221)+1)</f>
        <v/>
      </c>
      <c r="D221" s="204">
        <f>+C221+1</f>
        <v/>
      </c>
      <c r="E221" s="203">
        <f>IF(C221&gt;C220,1,E220+1)</f>
        <v/>
      </c>
      <c r="F221" s="203">
        <f>COUNTIF(C:C,C221)</f>
        <v/>
      </c>
      <c r="G221" s="198">
        <f>+G220+7</f>
        <v/>
      </c>
      <c r="H221" s="361">
        <f>IF(ISBLANK(CO221),CP221,SUMPRODUCT(CO$32:CP$32,CO221:CP221))</f>
        <v/>
      </c>
      <c r="I221" s="968">
        <f>H221/M221</f>
        <v/>
      </c>
      <c r="J221" s="968">
        <f>H221/N221</f>
        <v/>
      </c>
      <c r="K221" s="968">
        <f>(H221+Q221)/O221</f>
        <v/>
      </c>
      <c r="L221" s="968">
        <f>(H221+Q221)/P221</f>
        <v/>
      </c>
      <c r="M221" s="199">
        <f>HLOOKUP(C:C,$4:$10,3,FALSE)+((HLOOKUP(D:D,$4:$10,3,FALSE)-HLOOKUP(C:C,$4:$10,3,FALSE))*E221/F221)</f>
        <v/>
      </c>
      <c r="N221" s="199">
        <f>HLOOKUP(C:C,$4:$10,2,FALSE)+((HLOOKUP(D:D,$4:$10,2,FALSE)-HLOOKUP(C:C,$4:$10,2,FALSE))*E221/F221)</f>
        <v/>
      </c>
      <c r="O221" s="199">
        <f>HLOOKUP(C:C,$4:$10,5,FALSE)+((HLOOKUP(D:D,$4:$10,5,FALSE)-HLOOKUP(C:C,$4:$10,5,FALSE))*E221/F221)</f>
        <v/>
      </c>
      <c r="P221" s="199">
        <f>HLOOKUP(C:C,$4:$10,4,FALSE)+((HLOOKUP(D:D,$4:$10,4,FALSE)-HLOOKUP(C:C,$4:$10,4,FALSE))*E221/F221)</f>
        <v/>
      </c>
      <c r="Q221" s="199">
        <f>HLOOKUP(B:B,$4:$10,6,FALSE)+((HLOOKUP(C:C,$4:$10,6,FALSE)-HLOOKUP(B:B,$4:$10,6,FALSE))*E221/F221)</f>
        <v/>
      </c>
      <c r="T221" s="198">
        <f>$G221</f>
        <v/>
      </c>
      <c r="U221" s="199">
        <f>H221/(HLOOKUP(B:B,$4:$10,3,FALSE)+((HLOOKUP(C:C,$4:$10,3,FALSE)-HLOOKUP(B:B,$4:$10,3,FALSE))*E221/F221))</f>
        <v/>
      </c>
      <c r="V221" s="969">
        <f>HLOOKUP(B:B,$4:$10,7,FALSE)+((HLOOKUP(C:C,$4:$10,7,FALSE)-HLOOKUP(B:B,$4:$10,7,FALSE))*E221/F221)</f>
        <v/>
      </c>
      <c r="AB221" s="198">
        <f>$G221</f>
        <v/>
      </c>
      <c r="AC221" s="199">
        <f>$H221</f>
        <v/>
      </c>
      <c r="AD221" s="199">
        <f>$M221*AD$34</f>
        <v/>
      </c>
      <c r="AE221" s="199">
        <f>$M221*AE$34</f>
        <v/>
      </c>
      <c r="AF221" s="199">
        <f>$M221*AF$34</f>
        <v/>
      </c>
      <c r="AG221" s="199">
        <f>$M221*AG$34</f>
        <v/>
      </c>
      <c r="AH221" s="199">
        <f>$M221*AH$34</f>
        <v/>
      </c>
      <c r="AJ221" s="198">
        <f>$G221</f>
        <v/>
      </c>
      <c r="AK221" s="199">
        <f>$H221</f>
        <v/>
      </c>
      <c r="AL221" s="199">
        <f>$N221*AL$34</f>
        <v/>
      </c>
      <c r="AM221" s="199">
        <f>$N221*AM$34</f>
        <v/>
      </c>
      <c r="AN221" s="199">
        <f>$N221*AN$34</f>
        <v/>
      </c>
      <c r="AO221" s="199">
        <f>$N221*AO$34</f>
        <v/>
      </c>
      <c r="AP221" s="199">
        <f>$N221*AP$34</f>
        <v/>
      </c>
      <c r="AR221" s="198">
        <f>$G221</f>
        <v/>
      </c>
      <c r="AS221" s="199">
        <f>$H221</f>
        <v/>
      </c>
      <c r="AT221" s="199">
        <f>$O221*AT$34-$Q221</f>
        <v/>
      </c>
      <c r="AU221" s="199">
        <f>$O221*AU$34-$Q221</f>
        <v/>
      </c>
      <c r="AV221" s="199">
        <f>$O221*AV$34-$Q221</f>
        <v/>
      </c>
      <c r="AW221" s="199">
        <f>$O221*AW$34-$Q221</f>
        <v/>
      </c>
      <c r="AX221" s="199">
        <f>$O221*AX$34-$Q221</f>
        <v/>
      </c>
      <c r="AZ221" s="198">
        <f>$G221</f>
        <v/>
      </c>
      <c r="BA221" s="199">
        <f>$H221</f>
        <v/>
      </c>
      <c r="BB221" s="199">
        <f>$P221*BB$34-$Q221</f>
        <v/>
      </c>
      <c r="BC221" s="199">
        <f>$P221*BC$34-$Q221</f>
        <v/>
      </c>
      <c r="BD221" s="199">
        <f>$P221*BD$34-$Q221</f>
        <v/>
      </c>
      <c r="BE221" s="199">
        <f>$P221*BE$34-$Q221</f>
        <v/>
      </c>
      <c r="BF221" s="199">
        <f>$P221*BF$34-$Q221</f>
        <v/>
      </c>
      <c r="BH221" s="198">
        <f>$G221</f>
        <v/>
      </c>
      <c r="BI221" s="197">
        <f>$I221</f>
        <v/>
      </c>
      <c r="BJ221" s="197">
        <f>+BJ222</f>
        <v/>
      </c>
      <c r="BK221" s="197">
        <f>+BK222</f>
        <v/>
      </c>
      <c r="BL221" s="197">
        <f>+BL222</f>
        <v/>
      </c>
      <c r="BM221" s="197">
        <f>+BM222</f>
        <v/>
      </c>
      <c r="BN221" s="197">
        <f>+BN222</f>
        <v/>
      </c>
      <c r="BP221" s="198">
        <f>$G221</f>
        <v/>
      </c>
      <c r="BQ221" s="197">
        <f>$J221</f>
        <v/>
      </c>
      <c r="BR221" s="197">
        <f>+BR222</f>
        <v/>
      </c>
      <c r="BS221" s="197">
        <f>+BS222</f>
        <v/>
      </c>
      <c r="BT221" s="197">
        <f>+BT222</f>
        <v/>
      </c>
      <c r="BU221" s="197">
        <f>+BU222</f>
        <v/>
      </c>
      <c r="BV221" s="197">
        <f>+BV222</f>
        <v/>
      </c>
      <c r="BX221" s="198">
        <f>$G221</f>
        <v/>
      </c>
      <c r="BY221" s="197">
        <f>$K221</f>
        <v/>
      </c>
      <c r="BZ221" s="197">
        <f>+BZ222</f>
        <v/>
      </c>
      <c r="CA221" s="197">
        <f>+CA222</f>
        <v/>
      </c>
      <c r="CB221" s="197">
        <f>+CB222</f>
        <v/>
      </c>
      <c r="CC221" s="197">
        <f>+CC222</f>
        <v/>
      </c>
      <c r="CD221" s="197">
        <f>+CD222</f>
        <v/>
      </c>
      <c r="CF221" s="198">
        <f>$G221</f>
        <v/>
      </c>
      <c r="CG221" s="197">
        <f>$L221</f>
        <v/>
      </c>
      <c r="CH221" s="197">
        <f>+CH222</f>
        <v/>
      </c>
      <c r="CI221" s="197">
        <f>+CI222</f>
        <v/>
      </c>
      <c r="CJ221" s="197">
        <f>+CJ222</f>
        <v/>
      </c>
      <c r="CK221" s="197">
        <f>+CK222</f>
        <v/>
      </c>
      <c r="CL221" s="197">
        <f>+CL222</f>
        <v/>
      </c>
      <c r="CO221" s="199" t="n"/>
      <c r="CP221" s="199" t="n">
        <v>4.01</v>
      </c>
      <c r="CR221" s="199" t="inlineStr">
        <is>
          <t>#N/A N/A</t>
        </is>
      </c>
      <c r="CS221" s="970" t="n">
        <v>0.87417</v>
      </c>
    </row>
    <row r="222">
      <c r="B222" s="204">
        <f>+C222-1</f>
        <v/>
      </c>
      <c r="C222" s="204">
        <f>IF('bands_A-H_Avg'!$D$9+1&gt;MONTH(G222),YEAR(G222),YEAR(G222)+1)</f>
        <v/>
      </c>
      <c r="D222" s="204">
        <f>+C222+1</f>
        <v/>
      </c>
      <c r="E222" s="203">
        <f>IF(C222&gt;C221,1,E221+1)</f>
        <v/>
      </c>
      <c r="F222" s="203">
        <f>COUNTIF(C:C,C222)</f>
        <v/>
      </c>
      <c r="G222" s="198">
        <f>+G221+7</f>
        <v/>
      </c>
      <c r="H222" s="361">
        <f>IF(ISBLANK(CO222),CP222,SUMPRODUCT(CO$32:CP$32,CO222:CP222))</f>
        <v/>
      </c>
      <c r="I222" s="968">
        <f>H222/M222</f>
        <v/>
      </c>
      <c r="J222" s="968">
        <f>H222/N222</f>
        <v/>
      </c>
      <c r="K222" s="968">
        <f>(H222+Q222)/O222</f>
        <v/>
      </c>
      <c r="L222" s="968">
        <f>(H222+Q222)/P222</f>
        <v/>
      </c>
      <c r="M222" s="199">
        <f>HLOOKUP(C:C,$4:$10,3,FALSE)+((HLOOKUP(D:D,$4:$10,3,FALSE)-HLOOKUP(C:C,$4:$10,3,FALSE))*E222/F222)</f>
        <v/>
      </c>
      <c r="N222" s="199">
        <f>HLOOKUP(C:C,$4:$10,2,FALSE)+((HLOOKUP(D:D,$4:$10,2,FALSE)-HLOOKUP(C:C,$4:$10,2,FALSE))*E222/F222)</f>
        <v/>
      </c>
      <c r="O222" s="199">
        <f>HLOOKUP(C:C,$4:$10,5,FALSE)+((HLOOKUP(D:D,$4:$10,5,FALSE)-HLOOKUP(C:C,$4:$10,5,FALSE))*E222/F222)</f>
        <v/>
      </c>
      <c r="P222" s="199">
        <f>HLOOKUP(C:C,$4:$10,4,FALSE)+((HLOOKUP(D:D,$4:$10,4,FALSE)-HLOOKUP(C:C,$4:$10,4,FALSE))*E222/F222)</f>
        <v/>
      </c>
      <c r="Q222" s="199">
        <f>HLOOKUP(B:B,$4:$10,6,FALSE)+((HLOOKUP(C:C,$4:$10,6,FALSE)-HLOOKUP(B:B,$4:$10,6,FALSE))*E222/F222)</f>
        <v/>
      </c>
      <c r="T222" s="198">
        <f>$G222</f>
        <v/>
      </c>
      <c r="U222" s="199">
        <f>H222/(HLOOKUP(B:B,$4:$10,3,FALSE)+((HLOOKUP(C:C,$4:$10,3,FALSE)-HLOOKUP(B:B,$4:$10,3,FALSE))*E222/F222))</f>
        <v/>
      </c>
      <c r="V222" s="969">
        <f>HLOOKUP(B:B,$4:$10,7,FALSE)+((HLOOKUP(C:C,$4:$10,7,FALSE)-HLOOKUP(B:B,$4:$10,7,FALSE))*E222/F222)</f>
        <v/>
      </c>
      <c r="AB222" s="198">
        <f>$G222</f>
        <v/>
      </c>
      <c r="AC222" s="199">
        <f>$H222</f>
        <v/>
      </c>
      <c r="AD222" s="199">
        <f>$M222*AD$34</f>
        <v/>
      </c>
      <c r="AE222" s="199">
        <f>$M222*AE$34</f>
        <v/>
      </c>
      <c r="AF222" s="199">
        <f>$M222*AF$34</f>
        <v/>
      </c>
      <c r="AG222" s="199">
        <f>$M222*AG$34</f>
        <v/>
      </c>
      <c r="AH222" s="199">
        <f>$M222*AH$34</f>
        <v/>
      </c>
      <c r="AJ222" s="198">
        <f>$G222</f>
        <v/>
      </c>
      <c r="AK222" s="199">
        <f>$H222</f>
        <v/>
      </c>
      <c r="AL222" s="199">
        <f>$N222*AL$34</f>
        <v/>
      </c>
      <c r="AM222" s="199">
        <f>$N222*AM$34</f>
        <v/>
      </c>
      <c r="AN222" s="199">
        <f>$N222*AN$34</f>
        <v/>
      </c>
      <c r="AO222" s="199">
        <f>$N222*AO$34</f>
        <v/>
      </c>
      <c r="AP222" s="199">
        <f>$N222*AP$34</f>
        <v/>
      </c>
      <c r="AR222" s="198">
        <f>$G222</f>
        <v/>
      </c>
      <c r="AS222" s="199">
        <f>$H222</f>
        <v/>
      </c>
      <c r="AT222" s="199">
        <f>$O222*AT$34-$Q222</f>
        <v/>
      </c>
      <c r="AU222" s="199">
        <f>$O222*AU$34-$Q222</f>
        <v/>
      </c>
      <c r="AV222" s="199">
        <f>$O222*AV$34-$Q222</f>
        <v/>
      </c>
      <c r="AW222" s="199">
        <f>$O222*AW$34-$Q222</f>
        <v/>
      </c>
      <c r="AX222" s="199">
        <f>$O222*AX$34-$Q222</f>
        <v/>
      </c>
      <c r="AZ222" s="198">
        <f>$G222</f>
        <v/>
      </c>
      <c r="BA222" s="199">
        <f>$H222</f>
        <v/>
      </c>
      <c r="BB222" s="199">
        <f>$P222*BB$34-$Q222</f>
        <v/>
      </c>
      <c r="BC222" s="199">
        <f>$P222*BC$34-$Q222</f>
        <v/>
      </c>
      <c r="BD222" s="199">
        <f>$P222*BD$34-$Q222</f>
        <v/>
      </c>
      <c r="BE222" s="199">
        <f>$P222*BE$34-$Q222</f>
        <v/>
      </c>
      <c r="BF222" s="199">
        <f>$P222*BF$34-$Q222</f>
        <v/>
      </c>
      <c r="BH222" s="198">
        <f>$G222</f>
        <v/>
      </c>
      <c r="BI222" s="197">
        <f>$I222</f>
        <v/>
      </c>
      <c r="BJ222" s="197">
        <f>+BJ223</f>
        <v/>
      </c>
      <c r="BK222" s="197">
        <f>+BK223</f>
        <v/>
      </c>
      <c r="BL222" s="197">
        <f>+BL223</f>
        <v/>
      </c>
      <c r="BM222" s="197">
        <f>+BM223</f>
        <v/>
      </c>
      <c r="BN222" s="197">
        <f>+BN223</f>
        <v/>
      </c>
      <c r="BP222" s="198">
        <f>$G222</f>
        <v/>
      </c>
      <c r="BQ222" s="197">
        <f>$J222</f>
        <v/>
      </c>
      <c r="BR222" s="197">
        <f>+BR223</f>
        <v/>
      </c>
      <c r="BS222" s="197">
        <f>+BS223</f>
        <v/>
      </c>
      <c r="BT222" s="197">
        <f>+BT223</f>
        <v/>
      </c>
      <c r="BU222" s="197">
        <f>+BU223</f>
        <v/>
      </c>
      <c r="BV222" s="197">
        <f>+BV223</f>
        <v/>
      </c>
      <c r="BX222" s="198">
        <f>$G222</f>
        <v/>
      </c>
      <c r="BY222" s="197">
        <f>$K222</f>
        <v/>
      </c>
      <c r="BZ222" s="197">
        <f>+BZ223</f>
        <v/>
      </c>
      <c r="CA222" s="197">
        <f>+CA223</f>
        <v/>
      </c>
      <c r="CB222" s="197">
        <f>+CB223</f>
        <v/>
      </c>
      <c r="CC222" s="197">
        <f>+CC223</f>
        <v/>
      </c>
      <c r="CD222" s="197">
        <f>+CD223</f>
        <v/>
      </c>
      <c r="CF222" s="198">
        <f>$G222</f>
        <v/>
      </c>
      <c r="CG222" s="197">
        <f>$L222</f>
        <v/>
      </c>
      <c r="CH222" s="197">
        <f>+CH223</f>
        <v/>
      </c>
      <c r="CI222" s="197">
        <f>+CI223</f>
        <v/>
      </c>
      <c r="CJ222" s="197">
        <f>+CJ223</f>
        <v/>
      </c>
      <c r="CK222" s="197">
        <f>+CK223</f>
        <v/>
      </c>
      <c r="CL222" s="197">
        <f>+CL223</f>
        <v/>
      </c>
      <c r="CO222" s="199" t="n"/>
      <c r="CP222" s="199" t="n">
        <v>3.73</v>
      </c>
      <c r="CR222" s="199" t="inlineStr">
        <is>
          <t>#N/A N/A</t>
        </is>
      </c>
      <c r="CS222" s="970" t="n">
        <v>0.87421</v>
      </c>
    </row>
    <row r="223">
      <c r="B223" s="204">
        <f>+C223-1</f>
        <v/>
      </c>
      <c r="C223" s="204">
        <f>IF('bands_A-H_Avg'!$D$9+1&gt;MONTH(G223),YEAR(G223),YEAR(G223)+1)</f>
        <v/>
      </c>
      <c r="D223" s="204">
        <f>+C223+1</f>
        <v/>
      </c>
      <c r="E223" s="203">
        <f>IF(C223&gt;C222,1,E222+1)</f>
        <v/>
      </c>
      <c r="F223" s="203">
        <f>COUNTIF(C:C,C223)</f>
        <v/>
      </c>
      <c r="G223" s="198">
        <f>+G222+7</f>
        <v/>
      </c>
      <c r="H223" s="361">
        <f>IF(ISBLANK(CO223),CP223,SUMPRODUCT(CO$32:CP$32,CO223:CP223))</f>
        <v/>
      </c>
      <c r="I223" s="968">
        <f>H223/M223</f>
        <v/>
      </c>
      <c r="J223" s="968">
        <f>H223/N223</f>
        <v/>
      </c>
      <c r="K223" s="968">
        <f>(H223+Q223)/O223</f>
        <v/>
      </c>
      <c r="L223" s="968">
        <f>(H223+Q223)/P223</f>
        <v/>
      </c>
      <c r="M223" s="199">
        <f>HLOOKUP(C:C,$4:$10,3,FALSE)+((HLOOKUP(D:D,$4:$10,3,FALSE)-HLOOKUP(C:C,$4:$10,3,FALSE))*E223/F223)</f>
        <v/>
      </c>
      <c r="N223" s="199">
        <f>HLOOKUP(C:C,$4:$10,2,FALSE)+((HLOOKUP(D:D,$4:$10,2,FALSE)-HLOOKUP(C:C,$4:$10,2,FALSE))*E223/F223)</f>
        <v/>
      </c>
      <c r="O223" s="199">
        <f>HLOOKUP(C:C,$4:$10,5,FALSE)+((HLOOKUP(D:D,$4:$10,5,FALSE)-HLOOKUP(C:C,$4:$10,5,FALSE))*E223/F223)</f>
        <v/>
      </c>
      <c r="P223" s="199">
        <f>HLOOKUP(C:C,$4:$10,4,FALSE)+((HLOOKUP(D:D,$4:$10,4,FALSE)-HLOOKUP(C:C,$4:$10,4,FALSE))*E223/F223)</f>
        <v/>
      </c>
      <c r="Q223" s="199">
        <f>HLOOKUP(B:B,$4:$10,6,FALSE)+((HLOOKUP(C:C,$4:$10,6,FALSE)-HLOOKUP(B:B,$4:$10,6,FALSE))*E223/F223)</f>
        <v/>
      </c>
      <c r="T223" s="198">
        <f>$G223</f>
        <v/>
      </c>
      <c r="U223" s="199">
        <f>H223/(HLOOKUP(B:B,$4:$10,3,FALSE)+((HLOOKUP(C:C,$4:$10,3,FALSE)-HLOOKUP(B:B,$4:$10,3,FALSE))*E223/F223))</f>
        <v/>
      </c>
      <c r="V223" s="969">
        <f>HLOOKUP(B:B,$4:$10,7,FALSE)+((HLOOKUP(C:C,$4:$10,7,FALSE)-HLOOKUP(B:B,$4:$10,7,FALSE))*E223/F223)</f>
        <v/>
      </c>
      <c r="AB223" s="198">
        <f>$G223</f>
        <v/>
      </c>
      <c r="AC223" s="199">
        <f>$H223</f>
        <v/>
      </c>
      <c r="AD223" s="199">
        <f>$M223*AD$34</f>
        <v/>
      </c>
      <c r="AE223" s="199">
        <f>$M223*AE$34</f>
        <v/>
      </c>
      <c r="AF223" s="199">
        <f>$M223*AF$34</f>
        <v/>
      </c>
      <c r="AG223" s="199">
        <f>$M223*AG$34</f>
        <v/>
      </c>
      <c r="AH223" s="199">
        <f>$M223*AH$34</f>
        <v/>
      </c>
      <c r="AJ223" s="198">
        <f>$G223</f>
        <v/>
      </c>
      <c r="AK223" s="199">
        <f>$H223</f>
        <v/>
      </c>
      <c r="AL223" s="199">
        <f>$N223*AL$34</f>
        <v/>
      </c>
      <c r="AM223" s="199">
        <f>$N223*AM$34</f>
        <v/>
      </c>
      <c r="AN223" s="199">
        <f>$N223*AN$34</f>
        <v/>
      </c>
      <c r="AO223" s="199">
        <f>$N223*AO$34</f>
        <v/>
      </c>
      <c r="AP223" s="199">
        <f>$N223*AP$34</f>
        <v/>
      </c>
      <c r="AR223" s="198">
        <f>$G223</f>
        <v/>
      </c>
      <c r="AS223" s="199">
        <f>$H223</f>
        <v/>
      </c>
      <c r="AT223" s="199">
        <f>$O223*AT$34-$Q223</f>
        <v/>
      </c>
      <c r="AU223" s="199">
        <f>$O223*AU$34-$Q223</f>
        <v/>
      </c>
      <c r="AV223" s="199">
        <f>$O223*AV$34-$Q223</f>
        <v/>
      </c>
      <c r="AW223" s="199">
        <f>$O223*AW$34-$Q223</f>
        <v/>
      </c>
      <c r="AX223" s="199">
        <f>$O223*AX$34-$Q223</f>
        <v/>
      </c>
      <c r="AZ223" s="198">
        <f>$G223</f>
        <v/>
      </c>
      <c r="BA223" s="199">
        <f>$H223</f>
        <v/>
      </c>
      <c r="BB223" s="199">
        <f>$P223*BB$34-$Q223</f>
        <v/>
      </c>
      <c r="BC223" s="199">
        <f>$P223*BC$34-$Q223</f>
        <v/>
      </c>
      <c r="BD223" s="199">
        <f>$P223*BD$34-$Q223</f>
        <v/>
      </c>
      <c r="BE223" s="199">
        <f>$P223*BE$34-$Q223</f>
        <v/>
      </c>
      <c r="BF223" s="199">
        <f>$P223*BF$34-$Q223</f>
        <v/>
      </c>
      <c r="BH223" s="198">
        <f>$G223</f>
        <v/>
      </c>
      <c r="BI223" s="197">
        <f>$I223</f>
        <v/>
      </c>
      <c r="BJ223" s="197">
        <f>+BJ224</f>
        <v/>
      </c>
      <c r="BK223" s="197">
        <f>+BK224</f>
        <v/>
      </c>
      <c r="BL223" s="197">
        <f>+BL224</f>
        <v/>
      </c>
      <c r="BM223" s="197">
        <f>+BM224</f>
        <v/>
      </c>
      <c r="BN223" s="197">
        <f>+BN224</f>
        <v/>
      </c>
      <c r="BP223" s="198">
        <f>$G223</f>
        <v/>
      </c>
      <c r="BQ223" s="197">
        <f>$J223</f>
        <v/>
      </c>
      <c r="BR223" s="197">
        <f>+BR224</f>
        <v/>
      </c>
      <c r="BS223" s="197">
        <f>+BS224</f>
        <v/>
      </c>
      <c r="BT223" s="197">
        <f>+BT224</f>
        <v/>
      </c>
      <c r="BU223" s="197">
        <f>+BU224</f>
        <v/>
      </c>
      <c r="BV223" s="197">
        <f>+BV224</f>
        <v/>
      </c>
      <c r="BX223" s="198">
        <f>$G223</f>
        <v/>
      </c>
      <c r="BY223" s="197">
        <f>$K223</f>
        <v/>
      </c>
      <c r="BZ223" s="197">
        <f>+BZ224</f>
        <v/>
      </c>
      <c r="CA223" s="197">
        <f>+CA224</f>
        <v/>
      </c>
      <c r="CB223" s="197">
        <f>+CB224</f>
        <v/>
      </c>
      <c r="CC223" s="197">
        <f>+CC224</f>
        <v/>
      </c>
      <c r="CD223" s="197">
        <f>+CD224</f>
        <v/>
      </c>
      <c r="CF223" s="198">
        <f>$G223</f>
        <v/>
      </c>
      <c r="CG223" s="197">
        <f>$L223</f>
        <v/>
      </c>
      <c r="CH223" s="197">
        <f>+CH224</f>
        <v/>
      </c>
      <c r="CI223" s="197">
        <f>+CI224</f>
        <v/>
      </c>
      <c r="CJ223" s="197">
        <f>+CJ224</f>
        <v/>
      </c>
      <c r="CK223" s="197">
        <f>+CK224</f>
        <v/>
      </c>
      <c r="CL223" s="197">
        <f>+CL224</f>
        <v/>
      </c>
      <c r="CO223" s="199" t="n"/>
      <c r="CP223" s="199" t="n">
        <v>3.32</v>
      </c>
      <c r="CR223" s="199" t="inlineStr">
        <is>
          <t>#N/A N/A</t>
        </is>
      </c>
      <c r="CS223" s="970" t="n">
        <v>0.87666</v>
      </c>
    </row>
    <row r="224">
      <c r="B224" s="204">
        <f>+C224-1</f>
        <v/>
      </c>
      <c r="C224" s="204">
        <f>IF('bands_A-H_Avg'!$D$9+1&gt;MONTH(G224),YEAR(G224),YEAR(G224)+1)</f>
        <v/>
      </c>
      <c r="D224" s="204">
        <f>+C224+1</f>
        <v/>
      </c>
      <c r="E224" s="203">
        <f>IF(C224&gt;C223,1,E223+1)</f>
        <v/>
      </c>
      <c r="F224" s="203">
        <f>COUNTIF(C:C,C224)</f>
        <v/>
      </c>
      <c r="G224" s="198">
        <f>+G223+7</f>
        <v/>
      </c>
      <c r="H224" s="361">
        <f>IF(ISBLANK(CO224),CP224,SUMPRODUCT(CO$32:CP$32,CO224:CP224))</f>
        <v/>
      </c>
      <c r="I224" s="968">
        <f>H224/M224</f>
        <v/>
      </c>
      <c r="J224" s="968">
        <f>H224/N224</f>
        <v/>
      </c>
      <c r="K224" s="968">
        <f>(H224+Q224)/O224</f>
        <v/>
      </c>
      <c r="L224" s="968">
        <f>(H224+Q224)/P224</f>
        <v/>
      </c>
      <c r="M224" s="199">
        <f>HLOOKUP(C:C,$4:$10,3,FALSE)+((HLOOKUP(D:D,$4:$10,3,FALSE)-HLOOKUP(C:C,$4:$10,3,FALSE))*E224/F224)</f>
        <v/>
      </c>
      <c r="N224" s="199">
        <f>HLOOKUP(C:C,$4:$10,2,FALSE)+((HLOOKUP(D:D,$4:$10,2,FALSE)-HLOOKUP(C:C,$4:$10,2,FALSE))*E224/F224)</f>
        <v/>
      </c>
      <c r="O224" s="199">
        <f>HLOOKUP(C:C,$4:$10,5,FALSE)+((HLOOKUP(D:D,$4:$10,5,FALSE)-HLOOKUP(C:C,$4:$10,5,FALSE))*E224/F224)</f>
        <v/>
      </c>
      <c r="P224" s="199">
        <f>HLOOKUP(C:C,$4:$10,4,FALSE)+((HLOOKUP(D:D,$4:$10,4,FALSE)-HLOOKUP(C:C,$4:$10,4,FALSE))*E224/F224)</f>
        <v/>
      </c>
      <c r="Q224" s="199">
        <f>HLOOKUP(B:B,$4:$10,6,FALSE)+((HLOOKUP(C:C,$4:$10,6,FALSE)-HLOOKUP(B:B,$4:$10,6,FALSE))*E224/F224)</f>
        <v/>
      </c>
      <c r="T224" s="198">
        <f>$G224</f>
        <v/>
      </c>
      <c r="U224" s="199">
        <f>H224/(HLOOKUP(B:B,$4:$10,3,FALSE)+((HLOOKUP(C:C,$4:$10,3,FALSE)-HLOOKUP(B:B,$4:$10,3,FALSE))*E224/F224))</f>
        <v/>
      </c>
      <c r="V224" s="969">
        <f>HLOOKUP(B:B,$4:$10,7,FALSE)+((HLOOKUP(C:C,$4:$10,7,FALSE)-HLOOKUP(B:B,$4:$10,7,FALSE))*E224/F224)</f>
        <v/>
      </c>
      <c r="AB224" s="198">
        <f>$G224</f>
        <v/>
      </c>
      <c r="AC224" s="199">
        <f>$H224</f>
        <v/>
      </c>
      <c r="AD224" s="199">
        <f>$M224*AD$34</f>
        <v/>
      </c>
      <c r="AE224" s="199">
        <f>$M224*AE$34</f>
        <v/>
      </c>
      <c r="AF224" s="199">
        <f>$M224*AF$34</f>
        <v/>
      </c>
      <c r="AG224" s="199">
        <f>$M224*AG$34</f>
        <v/>
      </c>
      <c r="AH224" s="199">
        <f>$M224*AH$34</f>
        <v/>
      </c>
      <c r="AJ224" s="198">
        <f>$G224</f>
        <v/>
      </c>
      <c r="AK224" s="199">
        <f>$H224</f>
        <v/>
      </c>
      <c r="AL224" s="199">
        <f>$N224*AL$34</f>
        <v/>
      </c>
      <c r="AM224" s="199">
        <f>$N224*AM$34</f>
        <v/>
      </c>
      <c r="AN224" s="199">
        <f>$N224*AN$34</f>
        <v/>
      </c>
      <c r="AO224" s="199">
        <f>$N224*AO$34</f>
        <v/>
      </c>
      <c r="AP224" s="199">
        <f>$N224*AP$34</f>
        <v/>
      </c>
      <c r="AR224" s="198">
        <f>$G224</f>
        <v/>
      </c>
      <c r="AS224" s="199">
        <f>$H224</f>
        <v/>
      </c>
      <c r="AT224" s="199">
        <f>$O224*AT$34-$Q224</f>
        <v/>
      </c>
      <c r="AU224" s="199">
        <f>$O224*AU$34-$Q224</f>
        <v/>
      </c>
      <c r="AV224" s="199">
        <f>$O224*AV$34-$Q224</f>
        <v/>
      </c>
      <c r="AW224" s="199">
        <f>$O224*AW$34-$Q224</f>
        <v/>
      </c>
      <c r="AX224" s="199">
        <f>$O224*AX$34-$Q224</f>
        <v/>
      </c>
      <c r="AZ224" s="198">
        <f>$G224</f>
        <v/>
      </c>
      <c r="BA224" s="199">
        <f>$H224</f>
        <v/>
      </c>
      <c r="BB224" s="199">
        <f>$P224*BB$34-$Q224</f>
        <v/>
      </c>
      <c r="BC224" s="199">
        <f>$P224*BC$34-$Q224</f>
        <v/>
      </c>
      <c r="BD224" s="199">
        <f>$P224*BD$34-$Q224</f>
        <v/>
      </c>
      <c r="BE224" s="199">
        <f>$P224*BE$34-$Q224</f>
        <v/>
      </c>
      <c r="BF224" s="199">
        <f>$P224*BF$34-$Q224</f>
        <v/>
      </c>
      <c r="BH224" s="198">
        <f>$G224</f>
        <v/>
      </c>
      <c r="BI224" s="197">
        <f>$I224</f>
        <v/>
      </c>
      <c r="BJ224" s="197">
        <f>+BJ225</f>
        <v/>
      </c>
      <c r="BK224" s="197">
        <f>+BK225</f>
        <v/>
      </c>
      <c r="BL224" s="197">
        <f>+BL225</f>
        <v/>
      </c>
      <c r="BM224" s="197">
        <f>+BM225</f>
        <v/>
      </c>
      <c r="BN224" s="197">
        <f>+BN225</f>
        <v/>
      </c>
      <c r="BP224" s="198">
        <f>$G224</f>
        <v/>
      </c>
      <c r="BQ224" s="197">
        <f>$J224</f>
        <v/>
      </c>
      <c r="BR224" s="197">
        <f>+BR225</f>
        <v/>
      </c>
      <c r="BS224" s="197">
        <f>+BS225</f>
        <v/>
      </c>
      <c r="BT224" s="197">
        <f>+BT225</f>
        <v/>
      </c>
      <c r="BU224" s="197">
        <f>+BU225</f>
        <v/>
      </c>
      <c r="BV224" s="197">
        <f>+BV225</f>
        <v/>
      </c>
      <c r="BX224" s="198">
        <f>$G224</f>
        <v/>
      </c>
      <c r="BY224" s="197">
        <f>$K224</f>
        <v/>
      </c>
      <c r="BZ224" s="197">
        <f>+BZ225</f>
        <v/>
      </c>
      <c r="CA224" s="197">
        <f>+CA225</f>
        <v/>
      </c>
      <c r="CB224" s="197">
        <f>+CB225</f>
        <v/>
      </c>
      <c r="CC224" s="197">
        <f>+CC225</f>
        <v/>
      </c>
      <c r="CD224" s="197">
        <f>+CD225</f>
        <v/>
      </c>
      <c r="CF224" s="198">
        <f>$G224</f>
        <v/>
      </c>
      <c r="CG224" s="197">
        <f>$L224</f>
        <v/>
      </c>
      <c r="CH224" s="197">
        <f>+CH225</f>
        <v/>
      </c>
      <c r="CI224" s="197">
        <f>+CI225</f>
        <v/>
      </c>
      <c r="CJ224" s="197">
        <f>+CJ225</f>
        <v/>
      </c>
      <c r="CK224" s="197">
        <f>+CK225</f>
        <v/>
      </c>
      <c r="CL224" s="197">
        <f>+CL225</f>
        <v/>
      </c>
      <c r="CO224" s="199" t="n"/>
      <c r="CP224" s="199" t="n">
        <v>3.13</v>
      </c>
      <c r="CR224" s="199" t="inlineStr">
        <is>
          <t>#N/A N/A</t>
        </is>
      </c>
      <c r="CS224" s="970" t="n">
        <v>0.87787</v>
      </c>
    </row>
    <row r="225">
      <c r="B225" s="204">
        <f>+C225-1</f>
        <v/>
      </c>
      <c r="C225" s="204">
        <f>IF('bands_A-H_Avg'!$D$9+1&gt;MONTH(G225),YEAR(G225),YEAR(G225)+1)</f>
        <v/>
      </c>
      <c r="D225" s="204">
        <f>+C225+1</f>
        <v/>
      </c>
      <c r="E225" s="203">
        <f>IF(C225&gt;C224,1,E224+1)</f>
        <v/>
      </c>
      <c r="F225" s="203">
        <f>COUNTIF(C:C,C225)</f>
        <v/>
      </c>
      <c r="G225" s="198">
        <f>+G224+7</f>
        <v/>
      </c>
      <c r="H225" s="361">
        <f>IF(ISBLANK(CO225),CP225,SUMPRODUCT(CO$32:CP$32,CO225:CP225))</f>
        <v/>
      </c>
      <c r="I225" s="968">
        <f>H225/M225</f>
        <v/>
      </c>
      <c r="J225" s="968">
        <f>H225/N225</f>
        <v/>
      </c>
      <c r="K225" s="968">
        <f>(H225+Q225)/O225</f>
        <v/>
      </c>
      <c r="L225" s="968">
        <f>(H225+Q225)/P225</f>
        <v/>
      </c>
      <c r="M225" s="199">
        <f>HLOOKUP(C:C,$4:$10,3,FALSE)+((HLOOKUP(D:D,$4:$10,3,FALSE)-HLOOKUP(C:C,$4:$10,3,FALSE))*E225/F225)</f>
        <v/>
      </c>
      <c r="N225" s="199">
        <f>HLOOKUP(C:C,$4:$10,2,FALSE)+((HLOOKUP(D:D,$4:$10,2,FALSE)-HLOOKUP(C:C,$4:$10,2,FALSE))*E225/F225)</f>
        <v/>
      </c>
      <c r="O225" s="199">
        <f>HLOOKUP(C:C,$4:$10,5,FALSE)+((HLOOKUP(D:D,$4:$10,5,FALSE)-HLOOKUP(C:C,$4:$10,5,FALSE))*E225/F225)</f>
        <v/>
      </c>
      <c r="P225" s="199">
        <f>HLOOKUP(C:C,$4:$10,4,FALSE)+((HLOOKUP(D:D,$4:$10,4,FALSE)-HLOOKUP(C:C,$4:$10,4,FALSE))*E225/F225)</f>
        <v/>
      </c>
      <c r="Q225" s="199">
        <f>HLOOKUP(B:B,$4:$10,6,FALSE)+((HLOOKUP(C:C,$4:$10,6,FALSE)-HLOOKUP(B:B,$4:$10,6,FALSE))*E225/F225)</f>
        <v/>
      </c>
      <c r="T225" s="198">
        <f>$G225</f>
        <v/>
      </c>
      <c r="U225" s="199">
        <f>H225/(HLOOKUP(B:B,$4:$10,3,FALSE)+((HLOOKUP(C:C,$4:$10,3,FALSE)-HLOOKUP(B:B,$4:$10,3,FALSE))*E225/F225))</f>
        <v/>
      </c>
      <c r="V225" s="969">
        <f>HLOOKUP(B:B,$4:$10,7,FALSE)+((HLOOKUP(C:C,$4:$10,7,FALSE)-HLOOKUP(B:B,$4:$10,7,FALSE))*E225/F225)</f>
        <v/>
      </c>
      <c r="AB225" s="198">
        <f>$G225</f>
        <v/>
      </c>
      <c r="AC225" s="199">
        <f>$H225</f>
        <v/>
      </c>
      <c r="AD225" s="199">
        <f>$M225*AD$34</f>
        <v/>
      </c>
      <c r="AE225" s="199">
        <f>$M225*AE$34</f>
        <v/>
      </c>
      <c r="AF225" s="199">
        <f>$M225*AF$34</f>
        <v/>
      </c>
      <c r="AG225" s="199">
        <f>$M225*AG$34</f>
        <v/>
      </c>
      <c r="AH225" s="199">
        <f>$M225*AH$34</f>
        <v/>
      </c>
      <c r="AJ225" s="198">
        <f>$G225</f>
        <v/>
      </c>
      <c r="AK225" s="199">
        <f>$H225</f>
        <v/>
      </c>
      <c r="AL225" s="199">
        <f>$N225*AL$34</f>
        <v/>
      </c>
      <c r="AM225" s="199">
        <f>$N225*AM$34</f>
        <v/>
      </c>
      <c r="AN225" s="199">
        <f>$N225*AN$34</f>
        <v/>
      </c>
      <c r="AO225" s="199">
        <f>$N225*AO$34</f>
        <v/>
      </c>
      <c r="AP225" s="199">
        <f>$N225*AP$34</f>
        <v/>
      </c>
      <c r="AR225" s="198">
        <f>$G225</f>
        <v/>
      </c>
      <c r="AS225" s="199">
        <f>$H225</f>
        <v/>
      </c>
      <c r="AT225" s="199">
        <f>$O225*AT$34-$Q225</f>
        <v/>
      </c>
      <c r="AU225" s="199">
        <f>$O225*AU$34-$Q225</f>
        <v/>
      </c>
      <c r="AV225" s="199">
        <f>$O225*AV$34-$Q225</f>
        <v/>
      </c>
      <c r="AW225" s="199">
        <f>$O225*AW$34-$Q225</f>
        <v/>
      </c>
      <c r="AX225" s="199">
        <f>$O225*AX$34-$Q225</f>
        <v/>
      </c>
      <c r="AZ225" s="198">
        <f>$G225</f>
        <v/>
      </c>
      <c r="BA225" s="199">
        <f>$H225</f>
        <v/>
      </c>
      <c r="BB225" s="199">
        <f>$P225*BB$34-$Q225</f>
        <v/>
      </c>
      <c r="BC225" s="199">
        <f>$P225*BC$34-$Q225</f>
        <v/>
      </c>
      <c r="BD225" s="199">
        <f>$P225*BD$34-$Q225</f>
        <v/>
      </c>
      <c r="BE225" s="199">
        <f>$P225*BE$34-$Q225</f>
        <v/>
      </c>
      <c r="BF225" s="199">
        <f>$P225*BF$34-$Q225</f>
        <v/>
      </c>
      <c r="BH225" s="198">
        <f>$G225</f>
        <v/>
      </c>
      <c r="BI225" s="197">
        <f>$I225</f>
        <v/>
      </c>
      <c r="BJ225" s="197">
        <f>+BJ226</f>
        <v/>
      </c>
      <c r="BK225" s="197">
        <f>+BK226</f>
        <v/>
      </c>
      <c r="BL225" s="197">
        <f>+BL226</f>
        <v/>
      </c>
      <c r="BM225" s="197">
        <f>+BM226</f>
        <v/>
      </c>
      <c r="BN225" s="197">
        <f>+BN226</f>
        <v/>
      </c>
      <c r="BP225" s="198">
        <f>$G225</f>
        <v/>
      </c>
      <c r="BQ225" s="197">
        <f>$J225</f>
        <v/>
      </c>
      <c r="BR225" s="197">
        <f>+BR226</f>
        <v/>
      </c>
      <c r="BS225" s="197">
        <f>+BS226</f>
        <v/>
      </c>
      <c r="BT225" s="197">
        <f>+BT226</f>
        <v/>
      </c>
      <c r="BU225" s="197">
        <f>+BU226</f>
        <v/>
      </c>
      <c r="BV225" s="197">
        <f>+BV226</f>
        <v/>
      </c>
      <c r="BX225" s="198">
        <f>$G225</f>
        <v/>
      </c>
      <c r="BY225" s="197">
        <f>$K225</f>
        <v/>
      </c>
      <c r="BZ225" s="197">
        <f>+BZ226</f>
        <v/>
      </c>
      <c r="CA225" s="197">
        <f>+CA226</f>
        <v/>
      </c>
      <c r="CB225" s="197">
        <f>+CB226</f>
        <v/>
      </c>
      <c r="CC225" s="197">
        <f>+CC226</f>
        <v/>
      </c>
      <c r="CD225" s="197">
        <f>+CD226</f>
        <v/>
      </c>
      <c r="CF225" s="198">
        <f>$G225</f>
        <v/>
      </c>
      <c r="CG225" s="197">
        <f>$L225</f>
        <v/>
      </c>
      <c r="CH225" s="197">
        <f>+CH226</f>
        <v/>
      </c>
      <c r="CI225" s="197">
        <f>+CI226</f>
        <v/>
      </c>
      <c r="CJ225" s="197">
        <f>+CJ226</f>
        <v/>
      </c>
      <c r="CK225" s="197">
        <f>+CK226</f>
        <v/>
      </c>
      <c r="CL225" s="197">
        <f>+CL226</f>
        <v/>
      </c>
      <c r="CO225" s="199" t="n"/>
      <c r="CP225" s="199" t="n">
        <v>3</v>
      </c>
      <c r="CR225" s="199" t="inlineStr">
        <is>
          <t>#N/A N/A</t>
        </is>
      </c>
      <c r="CS225" s="970" t="n">
        <v>0.87935</v>
      </c>
    </row>
    <row r="226">
      <c r="B226" s="204">
        <f>+C226-1</f>
        <v/>
      </c>
      <c r="C226" s="204">
        <f>IF('bands_A-H_Avg'!$D$9+1&gt;MONTH(G226),YEAR(G226),YEAR(G226)+1)</f>
        <v/>
      </c>
      <c r="D226" s="204">
        <f>+C226+1</f>
        <v/>
      </c>
      <c r="E226" s="203">
        <f>IF(C226&gt;C225,1,E225+1)</f>
        <v/>
      </c>
      <c r="F226" s="203">
        <f>COUNTIF(C:C,C226)</f>
        <v/>
      </c>
      <c r="G226" s="198">
        <f>+G225+7</f>
        <v/>
      </c>
      <c r="H226" s="361">
        <f>IF(ISBLANK(CO226),CP226,SUMPRODUCT(CO$32:CP$32,CO226:CP226))</f>
        <v/>
      </c>
      <c r="I226" s="968">
        <f>H226/M226</f>
        <v/>
      </c>
      <c r="J226" s="968">
        <f>H226/N226</f>
        <v/>
      </c>
      <c r="K226" s="968">
        <f>(H226+Q226)/O226</f>
        <v/>
      </c>
      <c r="L226" s="968">
        <f>(H226+Q226)/P226</f>
        <v/>
      </c>
      <c r="M226" s="199">
        <f>HLOOKUP(C:C,$4:$10,3,FALSE)+((HLOOKUP(D:D,$4:$10,3,FALSE)-HLOOKUP(C:C,$4:$10,3,FALSE))*E226/F226)</f>
        <v/>
      </c>
      <c r="N226" s="199">
        <f>HLOOKUP(C:C,$4:$10,2,FALSE)+((HLOOKUP(D:D,$4:$10,2,FALSE)-HLOOKUP(C:C,$4:$10,2,FALSE))*E226/F226)</f>
        <v/>
      </c>
      <c r="O226" s="199">
        <f>HLOOKUP(C:C,$4:$10,5,FALSE)+((HLOOKUP(D:D,$4:$10,5,FALSE)-HLOOKUP(C:C,$4:$10,5,FALSE))*E226/F226)</f>
        <v/>
      </c>
      <c r="P226" s="199">
        <f>HLOOKUP(C:C,$4:$10,4,FALSE)+((HLOOKUP(D:D,$4:$10,4,FALSE)-HLOOKUP(C:C,$4:$10,4,FALSE))*E226/F226)</f>
        <v/>
      </c>
      <c r="Q226" s="199">
        <f>HLOOKUP(B:B,$4:$10,6,FALSE)+((HLOOKUP(C:C,$4:$10,6,FALSE)-HLOOKUP(B:B,$4:$10,6,FALSE))*E226/F226)</f>
        <v/>
      </c>
      <c r="T226" s="198">
        <f>$G226</f>
        <v/>
      </c>
      <c r="U226" s="199">
        <f>H226/(HLOOKUP(B:B,$4:$10,3,FALSE)+((HLOOKUP(C:C,$4:$10,3,FALSE)-HLOOKUP(B:B,$4:$10,3,FALSE))*E226/F226))</f>
        <v/>
      </c>
      <c r="V226" s="969">
        <f>HLOOKUP(B:B,$4:$10,7,FALSE)+((HLOOKUP(C:C,$4:$10,7,FALSE)-HLOOKUP(B:B,$4:$10,7,FALSE))*E226/F226)</f>
        <v/>
      </c>
      <c r="AB226" s="198">
        <f>$G226</f>
        <v/>
      </c>
      <c r="AC226" s="199">
        <f>$H226</f>
        <v/>
      </c>
      <c r="AD226" s="199">
        <f>$M226*AD$34</f>
        <v/>
      </c>
      <c r="AE226" s="199">
        <f>$M226*AE$34</f>
        <v/>
      </c>
      <c r="AF226" s="199">
        <f>$M226*AF$34</f>
        <v/>
      </c>
      <c r="AG226" s="199">
        <f>$M226*AG$34</f>
        <v/>
      </c>
      <c r="AH226" s="199">
        <f>$M226*AH$34</f>
        <v/>
      </c>
      <c r="AJ226" s="198">
        <f>$G226</f>
        <v/>
      </c>
      <c r="AK226" s="199">
        <f>$H226</f>
        <v/>
      </c>
      <c r="AL226" s="199">
        <f>$N226*AL$34</f>
        <v/>
      </c>
      <c r="AM226" s="199">
        <f>$N226*AM$34</f>
        <v/>
      </c>
      <c r="AN226" s="199">
        <f>$N226*AN$34</f>
        <v/>
      </c>
      <c r="AO226" s="199">
        <f>$N226*AO$34</f>
        <v/>
      </c>
      <c r="AP226" s="199">
        <f>$N226*AP$34</f>
        <v/>
      </c>
      <c r="AR226" s="198">
        <f>$G226</f>
        <v/>
      </c>
      <c r="AS226" s="199">
        <f>$H226</f>
        <v/>
      </c>
      <c r="AT226" s="199">
        <f>$O226*AT$34-$Q226</f>
        <v/>
      </c>
      <c r="AU226" s="199">
        <f>$O226*AU$34-$Q226</f>
        <v/>
      </c>
      <c r="AV226" s="199">
        <f>$O226*AV$34-$Q226</f>
        <v/>
      </c>
      <c r="AW226" s="199">
        <f>$O226*AW$34-$Q226</f>
        <v/>
      </c>
      <c r="AX226" s="199">
        <f>$O226*AX$34-$Q226</f>
        <v/>
      </c>
      <c r="AZ226" s="198">
        <f>$G226</f>
        <v/>
      </c>
      <c r="BA226" s="199">
        <f>$H226</f>
        <v/>
      </c>
      <c r="BB226" s="199">
        <f>$P226*BB$34-$Q226</f>
        <v/>
      </c>
      <c r="BC226" s="199">
        <f>$P226*BC$34-$Q226</f>
        <v/>
      </c>
      <c r="BD226" s="199">
        <f>$P226*BD$34-$Q226</f>
        <v/>
      </c>
      <c r="BE226" s="199">
        <f>$P226*BE$34-$Q226</f>
        <v/>
      </c>
      <c r="BF226" s="199">
        <f>$P226*BF$34-$Q226</f>
        <v/>
      </c>
      <c r="BH226" s="198">
        <f>$G226</f>
        <v/>
      </c>
      <c r="BI226" s="197">
        <f>$I226</f>
        <v/>
      </c>
      <c r="BJ226" s="197">
        <f>+BJ227</f>
        <v/>
      </c>
      <c r="BK226" s="197">
        <f>+BK227</f>
        <v/>
      </c>
      <c r="BL226" s="197">
        <f>+BL227</f>
        <v/>
      </c>
      <c r="BM226" s="197">
        <f>+BM227</f>
        <v/>
      </c>
      <c r="BN226" s="197">
        <f>+BN227</f>
        <v/>
      </c>
      <c r="BP226" s="198">
        <f>$G226</f>
        <v/>
      </c>
      <c r="BQ226" s="197">
        <f>$J226</f>
        <v/>
      </c>
      <c r="BR226" s="197">
        <f>+BR227</f>
        <v/>
      </c>
      <c r="BS226" s="197">
        <f>+BS227</f>
        <v/>
      </c>
      <c r="BT226" s="197">
        <f>+BT227</f>
        <v/>
      </c>
      <c r="BU226" s="197">
        <f>+BU227</f>
        <v/>
      </c>
      <c r="BV226" s="197">
        <f>+BV227</f>
        <v/>
      </c>
      <c r="BX226" s="198">
        <f>$G226</f>
        <v/>
      </c>
      <c r="BY226" s="197">
        <f>$K226</f>
        <v/>
      </c>
      <c r="BZ226" s="197">
        <f>+BZ227</f>
        <v/>
      </c>
      <c r="CA226" s="197">
        <f>+CA227</f>
        <v/>
      </c>
      <c r="CB226" s="197">
        <f>+CB227</f>
        <v/>
      </c>
      <c r="CC226" s="197">
        <f>+CC227</f>
        <v/>
      </c>
      <c r="CD226" s="197">
        <f>+CD227</f>
        <v/>
      </c>
      <c r="CF226" s="198">
        <f>$G226</f>
        <v/>
      </c>
      <c r="CG226" s="197">
        <f>$L226</f>
        <v/>
      </c>
      <c r="CH226" s="197">
        <f>+CH227</f>
        <v/>
      </c>
      <c r="CI226" s="197">
        <f>+CI227</f>
        <v/>
      </c>
      <c r="CJ226" s="197">
        <f>+CJ227</f>
        <v/>
      </c>
      <c r="CK226" s="197">
        <f>+CK227</f>
        <v/>
      </c>
      <c r="CL226" s="197">
        <f>+CL227</f>
        <v/>
      </c>
      <c r="CO226" s="199" t="n"/>
      <c r="CP226" s="199" t="n">
        <v>3</v>
      </c>
      <c r="CR226" s="199" t="inlineStr">
        <is>
          <t>#N/A N/A</t>
        </is>
      </c>
      <c r="CS226" s="970" t="n">
        <v>0.87549</v>
      </c>
    </row>
    <row r="227">
      <c r="B227" s="204">
        <f>+C227-1</f>
        <v/>
      </c>
      <c r="C227" s="204">
        <f>IF('bands_A-H_Avg'!$D$9+1&gt;MONTH(G227),YEAR(G227),YEAR(G227)+1)</f>
        <v/>
      </c>
      <c r="D227" s="204">
        <f>+C227+1</f>
        <v/>
      </c>
      <c r="E227" s="203">
        <f>IF(C227&gt;C226,1,E226+1)</f>
        <v/>
      </c>
      <c r="F227" s="203">
        <f>COUNTIF(C:C,C227)</f>
        <v/>
      </c>
      <c r="G227" s="198">
        <f>+G226+7</f>
        <v/>
      </c>
      <c r="H227" s="361">
        <f>IF(ISBLANK(CO227),CP227,SUMPRODUCT(CO$32:CP$32,CO227:CP227))</f>
        <v/>
      </c>
      <c r="I227" s="968">
        <f>H227/M227</f>
        <v/>
      </c>
      <c r="J227" s="968">
        <f>H227/N227</f>
        <v/>
      </c>
      <c r="K227" s="968">
        <f>(H227+Q227)/O227</f>
        <v/>
      </c>
      <c r="L227" s="968">
        <f>(H227+Q227)/P227</f>
        <v/>
      </c>
      <c r="M227" s="199">
        <f>HLOOKUP(C:C,$4:$10,3,FALSE)+((HLOOKUP(D:D,$4:$10,3,FALSE)-HLOOKUP(C:C,$4:$10,3,FALSE))*E227/F227)</f>
        <v/>
      </c>
      <c r="N227" s="199">
        <f>HLOOKUP(C:C,$4:$10,2,FALSE)+((HLOOKUP(D:D,$4:$10,2,FALSE)-HLOOKUP(C:C,$4:$10,2,FALSE))*E227/F227)</f>
        <v/>
      </c>
      <c r="O227" s="199">
        <f>HLOOKUP(C:C,$4:$10,5,FALSE)+((HLOOKUP(D:D,$4:$10,5,FALSE)-HLOOKUP(C:C,$4:$10,5,FALSE))*E227/F227)</f>
        <v/>
      </c>
      <c r="P227" s="199">
        <f>HLOOKUP(C:C,$4:$10,4,FALSE)+((HLOOKUP(D:D,$4:$10,4,FALSE)-HLOOKUP(C:C,$4:$10,4,FALSE))*E227/F227)</f>
        <v/>
      </c>
      <c r="Q227" s="199">
        <f>HLOOKUP(B:B,$4:$10,6,FALSE)+((HLOOKUP(C:C,$4:$10,6,FALSE)-HLOOKUP(B:B,$4:$10,6,FALSE))*E227/F227)</f>
        <v/>
      </c>
      <c r="T227" s="198">
        <f>$G227</f>
        <v/>
      </c>
      <c r="U227" s="199">
        <f>H227/(HLOOKUP(B:B,$4:$10,3,FALSE)+((HLOOKUP(C:C,$4:$10,3,FALSE)-HLOOKUP(B:B,$4:$10,3,FALSE))*E227/F227))</f>
        <v/>
      </c>
      <c r="V227" s="969">
        <f>HLOOKUP(B:B,$4:$10,7,FALSE)+((HLOOKUP(C:C,$4:$10,7,FALSE)-HLOOKUP(B:B,$4:$10,7,FALSE))*E227/F227)</f>
        <v/>
      </c>
      <c r="AB227" s="198">
        <f>$G227</f>
        <v/>
      </c>
      <c r="AC227" s="199">
        <f>$H227</f>
        <v/>
      </c>
      <c r="AD227" s="199">
        <f>$M227*AD$34</f>
        <v/>
      </c>
      <c r="AE227" s="199">
        <f>$M227*AE$34</f>
        <v/>
      </c>
      <c r="AF227" s="199">
        <f>$M227*AF$34</f>
        <v/>
      </c>
      <c r="AG227" s="199">
        <f>$M227*AG$34</f>
        <v/>
      </c>
      <c r="AH227" s="199">
        <f>$M227*AH$34</f>
        <v/>
      </c>
      <c r="AJ227" s="198">
        <f>$G227</f>
        <v/>
      </c>
      <c r="AK227" s="199">
        <f>$H227</f>
        <v/>
      </c>
      <c r="AL227" s="199">
        <f>$N227*AL$34</f>
        <v/>
      </c>
      <c r="AM227" s="199">
        <f>$N227*AM$34</f>
        <v/>
      </c>
      <c r="AN227" s="199">
        <f>$N227*AN$34</f>
        <v/>
      </c>
      <c r="AO227" s="199">
        <f>$N227*AO$34</f>
        <v/>
      </c>
      <c r="AP227" s="199">
        <f>$N227*AP$34</f>
        <v/>
      </c>
      <c r="AR227" s="198">
        <f>$G227</f>
        <v/>
      </c>
      <c r="AS227" s="199">
        <f>$H227</f>
        <v/>
      </c>
      <c r="AT227" s="199">
        <f>$O227*AT$34-$Q227</f>
        <v/>
      </c>
      <c r="AU227" s="199">
        <f>$O227*AU$34-$Q227</f>
        <v/>
      </c>
      <c r="AV227" s="199">
        <f>$O227*AV$34-$Q227</f>
        <v/>
      </c>
      <c r="AW227" s="199">
        <f>$O227*AW$34-$Q227</f>
        <v/>
      </c>
      <c r="AX227" s="199">
        <f>$O227*AX$34-$Q227</f>
        <v/>
      </c>
      <c r="AZ227" s="198">
        <f>$G227</f>
        <v/>
      </c>
      <c r="BA227" s="199">
        <f>$H227</f>
        <v/>
      </c>
      <c r="BB227" s="199">
        <f>$P227*BB$34-$Q227</f>
        <v/>
      </c>
      <c r="BC227" s="199">
        <f>$P227*BC$34-$Q227</f>
        <v/>
      </c>
      <c r="BD227" s="199">
        <f>$P227*BD$34-$Q227</f>
        <v/>
      </c>
      <c r="BE227" s="199">
        <f>$P227*BE$34-$Q227</f>
        <v/>
      </c>
      <c r="BF227" s="199">
        <f>$P227*BF$34-$Q227</f>
        <v/>
      </c>
      <c r="BH227" s="198">
        <f>$G227</f>
        <v/>
      </c>
      <c r="BI227" s="197">
        <f>$I227</f>
        <v/>
      </c>
      <c r="BJ227" s="197">
        <f>+BJ228</f>
        <v/>
      </c>
      <c r="BK227" s="197">
        <f>+BK228</f>
        <v/>
      </c>
      <c r="BL227" s="197">
        <f>+BL228</f>
        <v/>
      </c>
      <c r="BM227" s="197">
        <f>+BM228</f>
        <v/>
      </c>
      <c r="BN227" s="197">
        <f>+BN228</f>
        <v/>
      </c>
      <c r="BP227" s="198">
        <f>$G227</f>
        <v/>
      </c>
      <c r="BQ227" s="197">
        <f>$J227</f>
        <v/>
      </c>
      <c r="BR227" s="197">
        <f>+BR228</f>
        <v/>
      </c>
      <c r="BS227" s="197">
        <f>+BS228</f>
        <v/>
      </c>
      <c r="BT227" s="197">
        <f>+BT228</f>
        <v/>
      </c>
      <c r="BU227" s="197">
        <f>+BU228</f>
        <v/>
      </c>
      <c r="BV227" s="197">
        <f>+BV228</f>
        <v/>
      </c>
      <c r="BX227" s="198">
        <f>$G227</f>
        <v/>
      </c>
      <c r="BY227" s="197">
        <f>$K227</f>
        <v/>
      </c>
      <c r="BZ227" s="197">
        <f>+BZ228</f>
        <v/>
      </c>
      <c r="CA227" s="197">
        <f>+CA228</f>
        <v/>
      </c>
      <c r="CB227" s="197">
        <f>+CB228</f>
        <v/>
      </c>
      <c r="CC227" s="197">
        <f>+CC228</f>
        <v/>
      </c>
      <c r="CD227" s="197">
        <f>+CD228</f>
        <v/>
      </c>
      <c r="CF227" s="198">
        <f>$G227</f>
        <v/>
      </c>
      <c r="CG227" s="197">
        <f>$L227</f>
        <v/>
      </c>
      <c r="CH227" s="197">
        <f>+CH228</f>
        <v/>
      </c>
      <c r="CI227" s="197">
        <f>+CI228</f>
        <v/>
      </c>
      <c r="CJ227" s="197">
        <f>+CJ228</f>
        <v/>
      </c>
      <c r="CK227" s="197">
        <f>+CK228</f>
        <v/>
      </c>
      <c r="CL227" s="197">
        <f>+CL228</f>
        <v/>
      </c>
      <c r="CO227" s="199" t="n"/>
      <c r="CP227" s="199" t="n">
        <v>3.25</v>
      </c>
      <c r="CR227" s="199" t="inlineStr">
        <is>
          <t>#N/A N/A</t>
        </is>
      </c>
      <c r="CS227" s="970" t="n">
        <v>0.87612</v>
      </c>
    </row>
    <row r="228">
      <c r="B228" s="204">
        <f>+C228-1</f>
        <v/>
      </c>
      <c r="C228" s="204">
        <f>IF('bands_A-H_Avg'!$D$9+1&gt;MONTH(G228),YEAR(G228),YEAR(G228)+1)</f>
        <v/>
      </c>
      <c r="D228" s="204">
        <f>+C228+1</f>
        <v/>
      </c>
      <c r="E228" s="203">
        <f>IF(C228&gt;C227,1,E227+1)</f>
        <v/>
      </c>
      <c r="F228" s="203">
        <f>COUNTIF(C:C,C228)</f>
        <v/>
      </c>
      <c r="G228" s="198">
        <f>+G227+7</f>
        <v/>
      </c>
      <c r="H228" s="361">
        <f>IF(ISBLANK(CO228),CP228,SUMPRODUCT(CO$32:CP$32,CO228:CP228))</f>
        <v/>
      </c>
      <c r="I228" s="968">
        <f>H228/M228</f>
        <v/>
      </c>
      <c r="J228" s="968">
        <f>H228/N228</f>
        <v/>
      </c>
      <c r="K228" s="968">
        <f>(H228+Q228)/O228</f>
        <v/>
      </c>
      <c r="L228" s="968">
        <f>(H228+Q228)/P228</f>
        <v/>
      </c>
      <c r="M228" s="199">
        <f>HLOOKUP(C:C,$4:$10,3,FALSE)+((HLOOKUP(D:D,$4:$10,3,FALSE)-HLOOKUP(C:C,$4:$10,3,FALSE))*E228/F228)</f>
        <v/>
      </c>
      <c r="N228" s="199">
        <f>HLOOKUP(C:C,$4:$10,2,FALSE)+((HLOOKUP(D:D,$4:$10,2,FALSE)-HLOOKUP(C:C,$4:$10,2,FALSE))*E228/F228)</f>
        <v/>
      </c>
      <c r="O228" s="199">
        <f>HLOOKUP(C:C,$4:$10,5,FALSE)+((HLOOKUP(D:D,$4:$10,5,FALSE)-HLOOKUP(C:C,$4:$10,5,FALSE))*E228/F228)</f>
        <v/>
      </c>
      <c r="P228" s="199">
        <f>HLOOKUP(C:C,$4:$10,4,FALSE)+((HLOOKUP(D:D,$4:$10,4,FALSE)-HLOOKUP(C:C,$4:$10,4,FALSE))*E228/F228)</f>
        <v/>
      </c>
      <c r="Q228" s="199">
        <f>HLOOKUP(B:B,$4:$10,6,FALSE)+((HLOOKUP(C:C,$4:$10,6,FALSE)-HLOOKUP(B:B,$4:$10,6,FALSE))*E228/F228)</f>
        <v/>
      </c>
      <c r="T228" s="198">
        <f>$G228</f>
        <v/>
      </c>
      <c r="U228" s="199">
        <f>H228/(HLOOKUP(B:B,$4:$10,3,FALSE)+((HLOOKUP(C:C,$4:$10,3,FALSE)-HLOOKUP(B:B,$4:$10,3,FALSE))*E228/F228))</f>
        <v/>
      </c>
      <c r="V228" s="969">
        <f>HLOOKUP(B:B,$4:$10,7,FALSE)+((HLOOKUP(C:C,$4:$10,7,FALSE)-HLOOKUP(B:B,$4:$10,7,FALSE))*E228/F228)</f>
        <v/>
      </c>
      <c r="AB228" s="198">
        <f>$G228</f>
        <v/>
      </c>
      <c r="AC228" s="199">
        <f>$H228</f>
        <v/>
      </c>
      <c r="AD228" s="199">
        <f>$M228*AD$34</f>
        <v/>
      </c>
      <c r="AE228" s="199">
        <f>$M228*AE$34</f>
        <v/>
      </c>
      <c r="AF228" s="199">
        <f>$M228*AF$34</f>
        <v/>
      </c>
      <c r="AG228" s="199">
        <f>$M228*AG$34</f>
        <v/>
      </c>
      <c r="AH228" s="199">
        <f>$M228*AH$34</f>
        <v/>
      </c>
      <c r="AJ228" s="198">
        <f>$G228</f>
        <v/>
      </c>
      <c r="AK228" s="199">
        <f>$H228</f>
        <v/>
      </c>
      <c r="AL228" s="199">
        <f>$N228*AL$34</f>
        <v/>
      </c>
      <c r="AM228" s="199">
        <f>$N228*AM$34</f>
        <v/>
      </c>
      <c r="AN228" s="199">
        <f>$N228*AN$34</f>
        <v/>
      </c>
      <c r="AO228" s="199">
        <f>$N228*AO$34</f>
        <v/>
      </c>
      <c r="AP228" s="199">
        <f>$N228*AP$34</f>
        <v/>
      </c>
      <c r="AR228" s="198">
        <f>$G228</f>
        <v/>
      </c>
      <c r="AS228" s="199">
        <f>$H228</f>
        <v/>
      </c>
      <c r="AT228" s="199">
        <f>$O228*AT$34-$Q228</f>
        <v/>
      </c>
      <c r="AU228" s="199">
        <f>$O228*AU$34-$Q228</f>
        <v/>
      </c>
      <c r="AV228" s="199">
        <f>$O228*AV$34-$Q228</f>
        <v/>
      </c>
      <c r="AW228" s="199">
        <f>$O228*AW$34-$Q228</f>
        <v/>
      </c>
      <c r="AX228" s="199">
        <f>$O228*AX$34-$Q228</f>
        <v/>
      </c>
      <c r="AZ228" s="198">
        <f>$G228</f>
        <v/>
      </c>
      <c r="BA228" s="199">
        <f>$H228</f>
        <v/>
      </c>
      <c r="BB228" s="199">
        <f>$P228*BB$34-$Q228</f>
        <v/>
      </c>
      <c r="BC228" s="199">
        <f>$P228*BC$34-$Q228</f>
        <v/>
      </c>
      <c r="BD228" s="199">
        <f>$P228*BD$34-$Q228</f>
        <v/>
      </c>
      <c r="BE228" s="199">
        <f>$P228*BE$34-$Q228</f>
        <v/>
      </c>
      <c r="BF228" s="199">
        <f>$P228*BF$34-$Q228</f>
        <v/>
      </c>
      <c r="BH228" s="198">
        <f>$G228</f>
        <v/>
      </c>
      <c r="BI228" s="197">
        <f>$I228</f>
        <v/>
      </c>
      <c r="BJ228" s="197">
        <f>+BJ229</f>
        <v/>
      </c>
      <c r="BK228" s="197">
        <f>+BK229</f>
        <v/>
      </c>
      <c r="BL228" s="197">
        <f>+BL229</f>
        <v/>
      </c>
      <c r="BM228" s="197">
        <f>+BM229</f>
        <v/>
      </c>
      <c r="BN228" s="197">
        <f>+BN229</f>
        <v/>
      </c>
      <c r="BP228" s="198">
        <f>$G228</f>
        <v/>
      </c>
      <c r="BQ228" s="197">
        <f>$J228</f>
        <v/>
      </c>
      <c r="BR228" s="197">
        <f>+BR229</f>
        <v/>
      </c>
      <c r="BS228" s="197">
        <f>+BS229</f>
        <v/>
      </c>
      <c r="BT228" s="197">
        <f>+BT229</f>
        <v/>
      </c>
      <c r="BU228" s="197">
        <f>+BU229</f>
        <v/>
      </c>
      <c r="BV228" s="197">
        <f>+BV229</f>
        <v/>
      </c>
      <c r="BX228" s="198">
        <f>$G228</f>
        <v/>
      </c>
      <c r="BY228" s="197">
        <f>$K228</f>
        <v/>
      </c>
      <c r="BZ228" s="197">
        <f>+BZ229</f>
        <v/>
      </c>
      <c r="CA228" s="197">
        <f>+CA229</f>
        <v/>
      </c>
      <c r="CB228" s="197">
        <f>+CB229</f>
        <v/>
      </c>
      <c r="CC228" s="197">
        <f>+CC229</f>
        <v/>
      </c>
      <c r="CD228" s="197">
        <f>+CD229</f>
        <v/>
      </c>
      <c r="CF228" s="198">
        <f>$G228</f>
        <v/>
      </c>
      <c r="CG228" s="197">
        <f>$L228</f>
        <v/>
      </c>
      <c r="CH228" s="197">
        <f>+CH229</f>
        <v/>
      </c>
      <c r="CI228" s="197">
        <f>+CI229</f>
        <v/>
      </c>
      <c r="CJ228" s="197">
        <f>+CJ229</f>
        <v/>
      </c>
      <c r="CK228" s="197">
        <f>+CK229</f>
        <v/>
      </c>
      <c r="CL228" s="197">
        <f>+CL229</f>
        <v/>
      </c>
      <c r="CO228" s="199" t="n"/>
      <c r="CP228" s="199" t="n">
        <v>3.03</v>
      </c>
      <c r="CR228" s="199" t="inlineStr">
        <is>
          <t>#N/A N/A</t>
        </is>
      </c>
      <c r="CS228" s="970" t="n">
        <v>0.87614</v>
      </c>
    </row>
    <row r="229">
      <c r="B229" s="204">
        <f>+C229-1</f>
        <v/>
      </c>
      <c r="C229" s="204">
        <f>IF('bands_A-H_Avg'!$D$9+1&gt;MONTH(G229),YEAR(G229),YEAR(G229)+1)</f>
        <v/>
      </c>
      <c r="D229" s="204">
        <f>+C229+1</f>
        <v/>
      </c>
      <c r="E229" s="203">
        <f>IF(C229&gt;C228,1,E228+1)</f>
        <v/>
      </c>
      <c r="F229" s="203">
        <f>COUNTIF(C:C,C229)</f>
        <v/>
      </c>
      <c r="G229" s="198">
        <f>+G228+7</f>
        <v/>
      </c>
      <c r="H229" s="361">
        <f>IF(ISBLANK(CO229),CP229,SUMPRODUCT(CO$32:CP$32,CO229:CP229))</f>
        <v/>
      </c>
      <c r="I229" s="968">
        <f>H229/M229</f>
        <v/>
      </c>
      <c r="J229" s="968">
        <f>H229/N229</f>
        <v/>
      </c>
      <c r="K229" s="968">
        <f>(H229+Q229)/O229</f>
        <v/>
      </c>
      <c r="L229" s="968">
        <f>(H229+Q229)/P229</f>
        <v/>
      </c>
      <c r="M229" s="199">
        <f>HLOOKUP(C:C,$4:$10,3,FALSE)+((HLOOKUP(D:D,$4:$10,3,FALSE)-HLOOKUP(C:C,$4:$10,3,FALSE))*E229/F229)</f>
        <v/>
      </c>
      <c r="N229" s="199">
        <f>HLOOKUP(C:C,$4:$10,2,FALSE)+((HLOOKUP(D:D,$4:$10,2,FALSE)-HLOOKUP(C:C,$4:$10,2,FALSE))*E229/F229)</f>
        <v/>
      </c>
      <c r="O229" s="199">
        <f>HLOOKUP(C:C,$4:$10,5,FALSE)+((HLOOKUP(D:D,$4:$10,5,FALSE)-HLOOKUP(C:C,$4:$10,5,FALSE))*E229/F229)</f>
        <v/>
      </c>
      <c r="P229" s="199">
        <f>HLOOKUP(C:C,$4:$10,4,FALSE)+((HLOOKUP(D:D,$4:$10,4,FALSE)-HLOOKUP(C:C,$4:$10,4,FALSE))*E229/F229)</f>
        <v/>
      </c>
      <c r="Q229" s="199">
        <f>HLOOKUP(B:B,$4:$10,6,FALSE)+((HLOOKUP(C:C,$4:$10,6,FALSE)-HLOOKUP(B:B,$4:$10,6,FALSE))*E229/F229)</f>
        <v/>
      </c>
      <c r="T229" s="198">
        <f>$G229</f>
        <v/>
      </c>
      <c r="U229" s="199">
        <f>H229/(HLOOKUP(B:B,$4:$10,3,FALSE)+((HLOOKUP(C:C,$4:$10,3,FALSE)-HLOOKUP(B:B,$4:$10,3,FALSE))*E229/F229))</f>
        <v/>
      </c>
      <c r="V229" s="969">
        <f>HLOOKUP(B:B,$4:$10,7,FALSE)+((HLOOKUP(C:C,$4:$10,7,FALSE)-HLOOKUP(B:B,$4:$10,7,FALSE))*E229/F229)</f>
        <v/>
      </c>
      <c r="AB229" s="198">
        <f>$G229</f>
        <v/>
      </c>
      <c r="AC229" s="199">
        <f>$H229</f>
        <v/>
      </c>
      <c r="AD229" s="199">
        <f>$M229*AD$34</f>
        <v/>
      </c>
      <c r="AE229" s="199">
        <f>$M229*AE$34</f>
        <v/>
      </c>
      <c r="AF229" s="199">
        <f>$M229*AF$34</f>
        <v/>
      </c>
      <c r="AG229" s="199">
        <f>$M229*AG$34</f>
        <v/>
      </c>
      <c r="AH229" s="199">
        <f>$M229*AH$34</f>
        <v/>
      </c>
      <c r="AJ229" s="198">
        <f>$G229</f>
        <v/>
      </c>
      <c r="AK229" s="199">
        <f>$H229</f>
        <v/>
      </c>
      <c r="AL229" s="199">
        <f>$N229*AL$34</f>
        <v/>
      </c>
      <c r="AM229" s="199">
        <f>$N229*AM$34</f>
        <v/>
      </c>
      <c r="AN229" s="199">
        <f>$N229*AN$34</f>
        <v/>
      </c>
      <c r="AO229" s="199">
        <f>$N229*AO$34</f>
        <v/>
      </c>
      <c r="AP229" s="199">
        <f>$N229*AP$34</f>
        <v/>
      </c>
      <c r="AR229" s="198">
        <f>$G229</f>
        <v/>
      </c>
      <c r="AS229" s="199">
        <f>$H229</f>
        <v/>
      </c>
      <c r="AT229" s="199">
        <f>$O229*AT$34-$Q229</f>
        <v/>
      </c>
      <c r="AU229" s="199">
        <f>$O229*AU$34-$Q229</f>
        <v/>
      </c>
      <c r="AV229" s="199">
        <f>$O229*AV$34-$Q229</f>
        <v/>
      </c>
      <c r="AW229" s="199">
        <f>$O229*AW$34-$Q229</f>
        <v/>
      </c>
      <c r="AX229" s="199">
        <f>$O229*AX$34-$Q229</f>
        <v/>
      </c>
      <c r="AZ229" s="198">
        <f>$G229</f>
        <v/>
      </c>
      <c r="BA229" s="199">
        <f>$H229</f>
        <v/>
      </c>
      <c r="BB229" s="199">
        <f>$P229*BB$34-$Q229</f>
        <v/>
      </c>
      <c r="BC229" s="199">
        <f>$P229*BC$34-$Q229</f>
        <v/>
      </c>
      <c r="BD229" s="199">
        <f>$P229*BD$34-$Q229</f>
        <v/>
      </c>
      <c r="BE229" s="199">
        <f>$P229*BE$34-$Q229</f>
        <v/>
      </c>
      <c r="BF229" s="199">
        <f>$P229*BF$34-$Q229</f>
        <v/>
      </c>
      <c r="BH229" s="198">
        <f>$G229</f>
        <v/>
      </c>
      <c r="BI229" s="197">
        <f>$I229</f>
        <v/>
      </c>
      <c r="BJ229" s="197">
        <f>+BJ230</f>
        <v/>
      </c>
      <c r="BK229" s="197">
        <f>+BK230</f>
        <v/>
      </c>
      <c r="BL229" s="197">
        <f>+BL230</f>
        <v/>
      </c>
      <c r="BM229" s="197">
        <f>+BM230</f>
        <v/>
      </c>
      <c r="BN229" s="197">
        <f>+BN230</f>
        <v/>
      </c>
      <c r="BP229" s="198">
        <f>$G229</f>
        <v/>
      </c>
      <c r="BQ229" s="197">
        <f>$J229</f>
        <v/>
      </c>
      <c r="BR229" s="197">
        <f>+BR230</f>
        <v/>
      </c>
      <c r="BS229" s="197">
        <f>+BS230</f>
        <v/>
      </c>
      <c r="BT229" s="197">
        <f>+BT230</f>
        <v/>
      </c>
      <c r="BU229" s="197">
        <f>+BU230</f>
        <v/>
      </c>
      <c r="BV229" s="197">
        <f>+BV230</f>
        <v/>
      </c>
      <c r="BX229" s="198">
        <f>$G229</f>
        <v/>
      </c>
      <c r="BY229" s="197">
        <f>$K229</f>
        <v/>
      </c>
      <c r="BZ229" s="197">
        <f>+BZ230</f>
        <v/>
      </c>
      <c r="CA229" s="197">
        <f>+CA230</f>
        <v/>
      </c>
      <c r="CB229" s="197">
        <f>+CB230</f>
        <v/>
      </c>
      <c r="CC229" s="197">
        <f>+CC230</f>
        <v/>
      </c>
      <c r="CD229" s="197">
        <f>+CD230</f>
        <v/>
      </c>
      <c r="CF229" s="198">
        <f>$G229</f>
        <v/>
      </c>
      <c r="CG229" s="197">
        <f>$L229</f>
        <v/>
      </c>
      <c r="CH229" s="197">
        <f>+CH230</f>
        <v/>
      </c>
      <c r="CI229" s="197">
        <f>+CI230</f>
        <v/>
      </c>
      <c r="CJ229" s="197">
        <f>+CJ230</f>
        <v/>
      </c>
      <c r="CK229" s="197">
        <f>+CK230</f>
        <v/>
      </c>
      <c r="CL229" s="197">
        <f>+CL230</f>
        <v/>
      </c>
      <c r="CO229" s="199" t="n"/>
      <c r="CP229" s="199" t="n">
        <v>2.46</v>
      </c>
      <c r="CR229" s="199" t="inlineStr">
        <is>
          <t>#N/A N/A</t>
        </is>
      </c>
      <c r="CS229" s="970" t="n">
        <v>0.87767</v>
      </c>
    </row>
    <row r="230">
      <c r="B230" s="204">
        <f>+C230-1</f>
        <v/>
      </c>
      <c r="C230" s="204">
        <f>IF('bands_A-H_Avg'!$D$9+1&gt;MONTH(G230),YEAR(G230),YEAR(G230)+1)</f>
        <v/>
      </c>
      <c r="D230" s="204">
        <f>+C230+1</f>
        <v/>
      </c>
      <c r="E230" s="203">
        <f>IF(C230&gt;C229,1,E229+1)</f>
        <v/>
      </c>
      <c r="F230" s="203">
        <f>COUNTIF(C:C,C230)</f>
        <v/>
      </c>
      <c r="G230" s="198">
        <f>+G229+7</f>
        <v/>
      </c>
      <c r="H230" s="361">
        <f>IF(ISBLANK(CO230),CP230,SUMPRODUCT(CO$32:CP$32,CO230:CP230))</f>
        <v/>
      </c>
      <c r="I230" s="968">
        <f>H230/M230</f>
        <v/>
      </c>
      <c r="J230" s="968">
        <f>H230/N230</f>
        <v/>
      </c>
      <c r="K230" s="968">
        <f>(H230+Q230)/O230</f>
        <v/>
      </c>
      <c r="L230" s="968">
        <f>(H230+Q230)/P230</f>
        <v/>
      </c>
      <c r="M230" s="199">
        <f>HLOOKUP(C:C,$4:$10,3,FALSE)+((HLOOKUP(D:D,$4:$10,3,FALSE)-HLOOKUP(C:C,$4:$10,3,FALSE))*E230/F230)</f>
        <v/>
      </c>
      <c r="N230" s="199">
        <f>HLOOKUP(C:C,$4:$10,2,FALSE)+((HLOOKUP(D:D,$4:$10,2,FALSE)-HLOOKUP(C:C,$4:$10,2,FALSE))*E230/F230)</f>
        <v/>
      </c>
      <c r="O230" s="199">
        <f>HLOOKUP(C:C,$4:$10,5,FALSE)+((HLOOKUP(D:D,$4:$10,5,FALSE)-HLOOKUP(C:C,$4:$10,5,FALSE))*E230/F230)</f>
        <v/>
      </c>
      <c r="P230" s="199">
        <f>HLOOKUP(C:C,$4:$10,4,FALSE)+((HLOOKUP(D:D,$4:$10,4,FALSE)-HLOOKUP(C:C,$4:$10,4,FALSE))*E230/F230)</f>
        <v/>
      </c>
      <c r="Q230" s="199">
        <f>HLOOKUP(B:B,$4:$10,6,FALSE)+((HLOOKUP(C:C,$4:$10,6,FALSE)-HLOOKUP(B:B,$4:$10,6,FALSE))*E230/F230)</f>
        <v/>
      </c>
      <c r="T230" s="198">
        <f>$G230</f>
        <v/>
      </c>
      <c r="U230" s="199">
        <f>H230/(HLOOKUP(B:B,$4:$10,3,FALSE)+((HLOOKUP(C:C,$4:$10,3,FALSE)-HLOOKUP(B:B,$4:$10,3,FALSE))*E230/F230))</f>
        <v/>
      </c>
      <c r="V230" s="969">
        <f>HLOOKUP(B:B,$4:$10,7,FALSE)+((HLOOKUP(C:C,$4:$10,7,FALSE)-HLOOKUP(B:B,$4:$10,7,FALSE))*E230/F230)</f>
        <v/>
      </c>
      <c r="AB230" s="198">
        <f>$G230</f>
        <v/>
      </c>
      <c r="AC230" s="199">
        <f>$H230</f>
        <v/>
      </c>
      <c r="AD230" s="199">
        <f>$M230*AD$34</f>
        <v/>
      </c>
      <c r="AE230" s="199">
        <f>$M230*AE$34</f>
        <v/>
      </c>
      <c r="AF230" s="199">
        <f>$M230*AF$34</f>
        <v/>
      </c>
      <c r="AG230" s="199">
        <f>$M230*AG$34</f>
        <v/>
      </c>
      <c r="AH230" s="199">
        <f>$M230*AH$34</f>
        <v/>
      </c>
      <c r="AJ230" s="198">
        <f>$G230</f>
        <v/>
      </c>
      <c r="AK230" s="199">
        <f>$H230</f>
        <v/>
      </c>
      <c r="AL230" s="199">
        <f>$N230*AL$34</f>
        <v/>
      </c>
      <c r="AM230" s="199">
        <f>$N230*AM$34</f>
        <v/>
      </c>
      <c r="AN230" s="199">
        <f>$N230*AN$34</f>
        <v/>
      </c>
      <c r="AO230" s="199">
        <f>$N230*AO$34</f>
        <v/>
      </c>
      <c r="AP230" s="199">
        <f>$N230*AP$34</f>
        <v/>
      </c>
      <c r="AR230" s="198">
        <f>$G230</f>
        <v/>
      </c>
      <c r="AS230" s="199">
        <f>$H230</f>
        <v/>
      </c>
      <c r="AT230" s="199">
        <f>$O230*AT$34-$Q230</f>
        <v/>
      </c>
      <c r="AU230" s="199">
        <f>$O230*AU$34-$Q230</f>
        <v/>
      </c>
      <c r="AV230" s="199">
        <f>$O230*AV$34-$Q230</f>
        <v/>
      </c>
      <c r="AW230" s="199">
        <f>$O230*AW$34-$Q230</f>
        <v/>
      </c>
      <c r="AX230" s="199">
        <f>$O230*AX$34-$Q230</f>
        <v/>
      </c>
      <c r="AZ230" s="198">
        <f>$G230</f>
        <v/>
      </c>
      <c r="BA230" s="199">
        <f>$H230</f>
        <v/>
      </c>
      <c r="BB230" s="199">
        <f>$P230*BB$34-$Q230</f>
        <v/>
      </c>
      <c r="BC230" s="199">
        <f>$P230*BC$34-$Q230</f>
        <v/>
      </c>
      <c r="BD230" s="199">
        <f>$P230*BD$34-$Q230</f>
        <v/>
      </c>
      <c r="BE230" s="199">
        <f>$P230*BE$34-$Q230</f>
        <v/>
      </c>
      <c r="BF230" s="199">
        <f>$P230*BF$34-$Q230</f>
        <v/>
      </c>
      <c r="BH230" s="198">
        <f>$G230</f>
        <v/>
      </c>
      <c r="BI230" s="197">
        <f>$I230</f>
        <v/>
      </c>
      <c r="BJ230" s="197">
        <f>+BJ231</f>
        <v/>
      </c>
      <c r="BK230" s="197">
        <f>+BK231</f>
        <v/>
      </c>
      <c r="BL230" s="197">
        <f>+BL231</f>
        <v/>
      </c>
      <c r="BM230" s="197">
        <f>+BM231</f>
        <v/>
      </c>
      <c r="BN230" s="197">
        <f>+BN231</f>
        <v/>
      </c>
      <c r="BP230" s="198">
        <f>$G230</f>
        <v/>
      </c>
      <c r="BQ230" s="197">
        <f>$J230</f>
        <v/>
      </c>
      <c r="BR230" s="197">
        <f>+BR231</f>
        <v/>
      </c>
      <c r="BS230" s="197">
        <f>+BS231</f>
        <v/>
      </c>
      <c r="BT230" s="197">
        <f>+BT231</f>
        <v/>
      </c>
      <c r="BU230" s="197">
        <f>+BU231</f>
        <v/>
      </c>
      <c r="BV230" s="197">
        <f>+BV231</f>
        <v/>
      </c>
      <c r="BX230" s="198">
        <f>$G230</f>
        <v/>
      </c>
      <c r="BY230" s="197">
        <f>$K230</f>
        <v/>
      </c>
      <c r="BZ230" s="197">
        <f>+BZ231</f>
        <v/>
      </c>
      <c r="CA230" s="197">
        <f>+CA231</f>
        <v/>
      </c>
      <c r="CB230" s="197">
        <f>+CB231</f>
        <v/>
      </c>
      <c r="CC230" s="197">
        <f>+CC231</f>
        <v/>
      </c>
      <c r="CD230" s="197">
        <f>+CD231</f>
        <v/>
      </c>
      <c r="CF230" s="198">
        <f>$G230</f>
        <v/>
      </c>
      <c r="CG230" s="197">
        <f>$L230</f>
        <v/>
      </c>
      <c r="CH230" s="197">
        <f>+CH231</f>
        <v/>
      </c>
      <c r="CI230" s="197">
        <f>+CI231</f>
        <v/>
      </c>
      <c r="CJ230" s="197">
        <f>+CJ231</f>
        <v/>
      </c>
      <c r="CK230" s="197">
        <f>+CK231</f>
        <v/>
      </c>
      <c r="CL230" s="197">
        <f>+CL231</f>
        <v/>
      </c>
      <c r="CO230" s="199" t="n"/>
      <c r="CP230" s="199" t="n">
        <v>2.39</v>
      </c>
      <c r="CR230" s="199" t="inlineStr">
        <is>
          <t>#N/A N/A</t>
        </is>
      </c>
      <c r="CS230" s="970" t="n">
        <v>0.8791600000000001</v>
      </c>
    </row>
    <row r="231">
      <c r="B231" s="204">
        <f>+C231-1</f>
        <v/>
      </c>
      <c r="C231" s="204">
        <f>IF('bands_A-H_Avg'!$D$9+1&gt;MONTH(G231),YEAR(G231),YEAR(G231)+1)</f>
        <v/>
      </c>
      <c r="D231" s="204">
        <f>+C231+1</f>
        <v/>
      </c>
      <c r="E231" s="203">
        <f>IF(C231&gt;C230,1,E230+1)</f>
        <v/>
      </c>
      <c r="F231" s="203">
        <f>COUNTIF(C:C,C231)</f>
        <v/>
      </c>
      <c r="G231" s="198">
        <f>+G230+7</f>
        <v/>
      </c>
      <c r="H231" s="361">
        <f>IF(ISBLANK(CO231),CP231,SUMPRODUCT(CO$32:CP$32,CO231:CP231))</f>
        <v/>
      </c>
      <c r="I231" s="968">
        <f>H231/M231</f>
        <v/>
      </c>
      <c r="J231" s="968">
        <f>H231/N231</f>
        <v/>
      </c>
      <c r="K231" s="968">
        <f>(H231+Q231)/O231</f>
        <v/>
      </c>
      <c r="L231" s="968">
        <f>(H231+Q231)/P231</f>
        <v/>
      </c>
      <c r="M231" s="199">
        <f>HLOOKUP(C:C,$4:$10,3,FALSE)+((HLOOKUP(D:D,$4:$10,3,FALSE)-HLOOKUP(C:C,$4:$10,3,FALSE))*E231/F231)</f>
        <v/>
      </c>
      <c r="N231" s="199">
        <f>HLOOKUP(C:C,$4:$10,2,FALSE)+((HLOOKUP(D:D,$4:$10,2,FALSE)-HLOOKUP(C:C,$4:$10,2,FALSE))*E231/F231)</f>
        <v/>
      </c>
      <c r="O231" s="199">
        <f>HLOOKUP(C:C,$4:$10,5,FALSE)+((HLOOKUP(D:D,$4:$10,5,FALSE)-HLOOKUP(C:C,$4:$10,5,FALSE))*E231/F231)</f>
        <v/>
      </c>
      <c r="P231" s="199">
        <f>HLOOKUP(C:C,$4:$10,4,FALSE)+((HLOOKUP(D:D,$4:$10,4,FALSE)-HLOOKUP(C:C,$4:$10,4,FALSE))*E231/F231)</f>
        <v/>
      </c>
      <c r="Q231" s="199">
        <f>HLOOKUP(B:B,$4:$10,6,FALSE)+((HLOOKUP(C:C,$4:$10,6,FALSE)-HLOOKUP(B:B,$4:$10,6,FALSE))*E231/F231)</f>
        <v/>
      </c>
      <c r="T231" s="198">
        <f>$G231</f>
        <v/>
      </c>
      <c r="U231" s="199">
        <f>H231/(HLOOKUP(B:B,$4:$10,3,FALSE)+((HLOOKUP(C:C,$4:$10,3,FALSE)-HLOOKUP(B:B,$4:$10,3,FALSE))*E231/F231))</f>
        <v/>
      </c>
      <c r="V231" s="969">
        <f>HLOOKUP(B:B,$4:$10,7,FALSE)+((HLOOKUP(C:C,$4:$10,7,FALSE)-HLOOKUP(B:B,$4:$10,7,FALSE))*E231/F231)</f>
        <v/>
      </c>
      <c r="AB231" s="198">
        <f>$G231</f>
        <v/>
      </c>
      <c r="AC231" s="199">
        <f>$H231</f>
        <v/>
      </c>
      <c r="AD231" s="199">
        <f>$M231*AD$34</f>
        <v/>
      </c>
      <c r="AE231" s="199">
        <f>$M231*AE$34</f>
        <v/>
      </c>
      <c r="AF231" s="199">
        <f>$M231*AF$34</f>
        <v/>
      </c>
      <c r="AG231" s="199">
        <f>$M231*AG$34</f>
        <v/>
      </c>
      <c r="AH231" s="199">
        <f>$M231*AH$34</f>
        <v/>
      </c>
      <c r="AJ231" s="198">
        <f>$G231</f>
        <v/>
      </c>
      <c r="AK231" s="199">
        <f>$H231</f>
        <v/>
      </c>
      <c r="AL231" s="199">
        <f>$N231*AL$34</f>
        <v/>
      </c>
      <c r="AM231" s="199">
        <f>$N231*AM$34</f>
        <v/>
      </c>
      <c r="AN231" s="199">
        <f>$N231*AN$34</f>
        <v/>
      </c>
      <c r="AO231" s="199">
        <f>$N231*AO$34</f>
        <v/>
      </c>
      <c r="AP231" s="199">
        <f>$N231*AP$34</f>
        <v/>
      </c>
      <c r="AR231" s="198">
        <f>$G231</f>
        <v/>
      </c>
      <c r="AS231" s="199">
        <f>$H231</f>
        <v/>
      </c>
      <c r="AT231" s="199">
        <f>$O231*AT$34-$Q231</f>
        <v/>
      </c>
      <c r="AU231" s="199">
        <f>$O231*AU$34-$Q231</f>
        <v/>
      </c>
      <c r="AV231" s="199">
        <f>$O231*AV$34-$Q231</f>
        <v/>
      </c>
      <c r="AW231" s="199">
        <f>$O231*AW$34-$Q231</f>
        <v/>
      </c>
      <c r="AX231" s="199">
        <f>$O231*AX$34-$Q231</f>
        <v/>
      </c>
      <c r="AZ231" s="198">
        <f>$G231</f>
        <v/>
      </c>
      <c r="BA231" s="199">
        <f>$H231</f>
        <v/>
      </c>
      <c r="BB231" s="199">
        <f>$P231*BB$34-$Q231</f>
        <v/>
      </c>
      <c r="BC231" s="199">
        <f>$P231*BC$34-$Q231</f>
        <v/>
      </c>
      <c r="BD231" s="199">
        <f>$P231*BD$34-$Q231</f>
        <v/>
      </c>
      <c r="BE231" s="199">
        <f>$P231*BE$34-$Q231</f>
        <v/>
      </c>
      <c r="BF231" s="199">
        <f>$P231*BF$34-$Q231</f>
        <v/>
      </c>
      <c r="BH231" s="198">
        <f>$G231</f>
        <v/>
      </c>
      <c r="BI231" s="197">
        <f>$I231</f>
        <v/>
      </c>
      <c r="BJ231" s="197">
        <f>+BJ232</f>
        <v/>
      </c>
      <c r="BK231" s="197">
        <f>+BK232</f>
        <v/>
      </c>
      <c r="BL231" s="197">
        <f>+BL232</f>
        <v/>
      </c>
      <c r="BM231" s="197">
        <f>+BM232</f>
        <v/>
      </c>
      <c r="BN231" s="197">
        <f>+BN232</f>
        <v/>
      </c>
      <c r="BP231" s="198">
        <f>$G231</f>
        <v/>
      </c>
      <c r="BQ231" s="197">
        <f>$J231</f>
        <v/>
      </c>
      <c r="BR231" s="197">
        <f>+BR232</f>
        <v/>
      </c>
      <c r="BS231" s="197">
        <f>+BS232</f>
        <v/>
      </c>
      <c r="BT231" s="197">
        <f>+BT232</f>
        <v/>
      </c>
      <c r="BU231" s="197">
        <f>+BU232</f>
        <v/>
      </c>
      <c r="BV231" s="197">
        <f>+BV232</f>
        <v/>
      </c>
      <c r="BX231" s="198">
        <f>$G231</f>
        <v/>
      </c>
      <c r="BY231" s="197">
        <f>$K231</f>
        <v/>
      </c>
      <c r="BZ231" s="197">
        <f>+BZ232</f>
        <v/>
      </c>
      <c r="CA231" s="197">
        <f>+CA232</f>
        <v/>
      </c>
      <c r="CB231" s="197">
        <f>+CB232</f>
        <v/>
      </c>
      <c r="CC231" s="197">
        <f>+CC232</f>
        <v/>
      </c>
      <c r="CD231" s="197">
        <f>+CD232</f>
        <v/>
      </c>
      <c r="CF231" s="198">
        <f>$G231</f>
        <v/>
      </c>
      <c r="CG231" s="197">
        <f>$L231</f>
        <v/>
      </c>
      <c r="CH231" s="197">
        <f>+CH232</f>
        <v/>
      </c>
      <c r="CI231" s="197">
        <f>+CI232</f>
        <v/>
      </c>
      <c r="CJ231" s="197">
        <f>+CJ232</f>
        <v/>
      </c>
      <c r="CK231" s="197">
        <f>+CK232</f>
        <v/>
      </c>
      <c r="CL231" s="197">
        <f>+CL232</f>
        <v/>
      </c>
      <c r="CO231" s="199" t="n"/>
      <c r="CP231" s="199" t="n">
        <v>2.37</v>
      </c>
      <c r="CR231" s="199" t="inlineStr">
        <is>
          <t>#N/A N/A</t>
        </is>
      </c>
      <c r="CS231" s="970" t="n">
        <v>0.87998</v>
      </c>
    </row>
    <row r="232">
      <c r="B232" s="204">
        <f>+C232-1</f>
        <v/>
      </c>
      <c r="C232" s="204">
        <f>IF('bands_A-H_Avg'!$D$9+1&gt;MONTH(G232),YEAR(G232),YEAR(G232)+1)</f>
        <v/>
      </c>
      <c r="D232" s="204">
        <f>+C232+1</f>
        <v/>
      </c>
      <c r="E232" s="203">
        <f>IF(C232&gt;C231,1,E231+1)</f>
        <v/>
      </c>
      <c r="F232" s="203">
        <f>COUNTIF(C:C,C232)</f>
        <v/>
      </c>
      <c r="G232" s="198">
        <f>+G231+7</f>
        <v/>
      </c>
      <c r="H232" s="361">
        <f>IF(ISBLANK(CO232),CP232,SUMPRODUCT(CO$32:CP$32,CO232:CP232))</f>
        <v/>
      </c>
      <c r="I232" s="968">
        <f>H232/M232</f>
        <v/>
      </c>
      <c r="J232" s="968">
        <f>H232/N232</f>
        <v/>
      </c>
      <c r="K232" s="968">
        <f>(H232+Q232)/O232</f>
        <v/>
      </c>
      <c r="L232" s="968">
        <f>(H232+Q232)/P232</f>
        <v/>
      </c>
      <c r="M232" s="199">
        <f>HLOOKUP(C:C,$4:$10,3,FALSE)+((HLOOKUP(D:D,$4:$10,3,FALSE)-HLOOKUP(C:C,$4:$10,3,FALSE))*E232/F232)</f>
        <v/>
      </c>
      <c r="N232" s="199">
        <f>HLOOKUP(C:C,$4:$10,2,FALSE)+((HLOOKUP(D:D,$4:$10,2,FALSE)-HLOOKUP(C:C,$4:$10,2,FALSE))*E232/F232)</f>
        <v/>
      </c>
      <c r="O232" s="199">
        <f>HLOOKUP(C:C,$4:$10,5,FALSE)+((HLOOKUP(D:D,$4:$10,5,FALSE)-HLOOKUP(C:C,$4:$10,5,FALSE))*E232/F232)</f>
        <v/>
      </c>
      <c r="P232" s="199">
        <f>HLOOKUP(C:C,$4:$10,4,FALSE)+((HLOOKUP(D:D,$4:$10,4,FALSE)-HLOOKUP(C:C,$4:$10,4,FALSE))*E232/F232)</f>
        <v/>
      </c>
      <c r="Q232" s="199">
        <f>HLOOKUP(B:B,$4:$10,6,FALSE)+((HLOOKUP(C:C,$4:$10,6,FALSE)-HLOOKUP(B:B,$4:$10,6,FALSE))*E232/F232)</f>
        <v/>
      </c>
      <c r="T232" s="198">
        <f>$G232</f>
        <v/>
      </c>
      <c r="U232" s="199">
        <f>H232/(HLOOKUP(B:B,$4:$10,3,FALSE)+((HLOOKUP(C:C,$4:$10,3,FALSE)-HLOOKUP(B:B,$4:$10,3,FALSE))*E232/F232))</f>
        <v/>
      </c>
      <c r="V232" s="969">
        <f>HLOOKUP(B:B,$4:$10,7,FALSE)+((HLOOKUP(C:C,$4:$10,7,FALSE)-HLOOKUP(B:B,$4:$10,7,FALSE))*E232/F232)</f>
        <v/>
      </c>
      <c r="AB232" s="198">
        <f>$G232</f>
        <v/>
      </c>
      <c r="AC232" s="199">
        <f>$H232</f>
        <v/>
      </c>
      <c r="AD232" s="199">
        <f>$M232*AD$34</f>
        <v/>
      </c>
      <c r="AE232" s="199">
        <f>$M232*AE$34</f>
        <v/>
      </c>
      <c r="AF232" s="199">
        <f>$M232*AF$34</f>
        <v/>
      </c>
      <c r="AG232" s="199">
        <f>$M232*AG$34</f>
        <v/>
      </c>
      <c r="AH232" s="199">
        <f>$M232*AH$34</f>
        <v/>
      </c>
      <c r="AJ232" s="198">
        <f>$G232</f>
        <v/>
      </c>
      <c r="AK232" s="199">
        <f>$H232</f>
        <v/>
      </c>
      <c r="AL232" s="199">
        <f>$N232*AL$34</f>
        <v/>
      </c>
      <c r="AM232" s="199">
        <f>$N232*AM$34</f>
        <v/>
      </c>
      <c r="AN232" s="199">
        <f>$N232*AN$34</f>
        <v/>
      </c>
      <c r="AO232" s="199">
        <f>$N232*AO$34</f>
        <v/>
      </c>
      <c r="AP232" s="199">
        <f>$N232*AP$34</f>
        <v/>
      </c>
      <c r="AR232" s="198">
        <f>$G232</f>
        <v/>
      </c>
      <c r="AS232" s="199">
        <f>$H232</f>
        <v/>
      </c>
      <c r="AT232" s="199">
        <f>$O232*AT$34-$Q232</f>
        <v/>
      </c>
      <c r="AU232" s="199">
        <f>$O232*AU$34-$Q232</f>
        <v/>
      </c>
      <c r="AV232" s="199">
        <f>$O232*AV$34-$Q232</f>
        <v/>
      </c>
      <c r="AW232" s="199">
        <f>$O232*AW$34-$Q232</f>
        <v/>
      </c>
      <c r="AX232" s="199">
        <f>$O232*AX$34-$Q232</f>
        <v/>
      </c>
      <c r="AZ232" s="198">
        <f>$G232</f>
        <v/>
      </c>
      <c r="BA232" s="199">
        <f>$H232</f>
        <v/>
      </c>
      <c r="BB232" s="199">
        <f>$P232*BB$34-$Q232</f>
        <v/>
      </c>
      <c r="BC232" s="199">
        <f>$P232*BC$34-$Q232</f>
        <v/>
      </c>
      <c r="BD232" s="199">
        <f>$P232*BD$34-$Q232</f>
        <v/>
      </c>
      <c r="BE232" s="199">
        <f>$P232*BE$34-$Q232</f>
        <v/>
      </c>
      <c r="BF232" s="199">
        <f>$P232*BF$34-$Q232</f>
        <v/>
      </c>
      <c r="BH232" s="198">
        <f>$G232</f>
        <v/>
      </c>
      <c r="BI232" s="197">
        <f>$I232</f>
        <v/>
      </c>
      <c r="BJ232" s="197">
        <f>+BJ233</f>
        <v/>
      </c>
      <c r="BK232" s="197">
        <f>+BK233</f>
        <v/>
      </c>
      <c r="BL232" s="197">
        <f>+BL233</f>
        <v/>
      </c>
      <c r="BM232" s="197">
        <f>+BM233</f>
        <v/>
      </c>
      <c r="BN232" s="197">
        <f>+BN233</f>
        <v/>
      </c>
      <c r="BP232" s="198">
        <f>$G232</f>
        <v/>
      </c>
      <c r="BQ232" s="197">
        <f>$J232</f>
        <v/>
      </c>
      <c r="BR232" s="197">
        <f>+BR233</f>
        <v/>
      </c>
      <c r="BS232" s="197">
        <f>+BS233</f>
        <v/>
      </c>
      <c r="BT232" s="197">
        <f>+BT233</f>
        <v/>
      </c>
      <c r="BU232" s="197">
        <f>+BU233</f>
        <v/>
      </c>
      <c r="BV232" s="197">
        <f>+BV233</f>
        <v/>
      </c>
      <c r="BX232" s="198">
        <f>$G232</f>
        <v/>
      </c>
      <c r="BY232" s="197">
        <f>$K232</f>
        <v/>
      </c>
      <c r="BZ232" s="197">
        <f>+BZ233</f>
        <v/>
      </c>
      <c r="CA232" s="197">
        <f>+CA233</f>
        <v/>
      </c>
      <c r="CB232" s="197">
        <f>+CB233</f>
        <v/>
      </c>
      <c r="CC232" s="197">
        <f>+CC233</f>
        <v/>
      </c>
      <c r="CD232" s="197">
        <f>+CD233</f>
        <v/>
      </c>
      <c r="CF232" s="198">
        <f>$G232</f>
        <v/>
      </c>
      <c r="CG232" s="197">
        <f>$L232</f>
        <v/>
      </c>
      <c r="CH232" s="197">
        <f>+CH233</f>
        <v/>
      </c>
      <c r="CI232" s="197">
        <f>+CI233</f>
        <v/>
      </c>
      <c r="CJ232" s="197">
        <f>+CJ233</f>
        <v/>
      </c>
      <c r="CK232" s="197">
        <f>+CK233</f>
        <v/>
      </c>
      <c r="CL232" s="197">
        <f>+CL233</f>
        <v/>
      </c>
      <c r="CO232" s="199" t="n"/>
      <c r="CP232" s="199" t="n">
        <v>2.42</v>
      </c>
      <c r="CR232" s="199" t="inlineStr">
        <is>
          <t>#N/A N/A</t>
        </is>
      </c>
      <c r="CS232" s="970" t="n">
        <v>0.8813</v>
      </c>
    </row>
    <row r="233">
      <c r="B233" s="204">
        <f>+C233-1</f>
        <v/>
      </c>
      <c r="C233" s="204">
        <f>IF('bands_A-H_Avg'!$D$9+1&gt;MONTH(G233),YEAR(G233),YEAR(G233)+1)</f>
        <v/>
      </c>
      <c r="D233" s="204">
        <f>+C233+1</f>
        <v/>
      </c>
      <c r="E233" s="203">
        <f>IF(C233&gt;C232,1,E232+1)</f>
        <v/>
      </c>
      <c r="F233" s="203">
        <f>COUNTIF(C:C,C233)</f>
        <v/>
      </c>
      <c r="G233" s="198">
        <f>+G232+7</f>
        <v/>
      </c>
      <c r="H233" s="361">
        <f>IF(ISBLANK(CO233),CP233,SUMPRODUCT(CO$32:CP$32,CO233:CP233))</f>
        <v/>
      </c>
      <c r="I233" s="968">
        <f>H233/M233</f>
        <v/>
      </c>
      <c r="J233" s="968">
        <f>H233/N233</f>
        <v/>
      </c>
      <c r="K233" s="968">
        <f>(H233+Q233)/O233</f>
        <v/>
      </c>
      <c r="L233" s="968">
        <f>(H233+Q233)/P233</f>
        <v/>
      </c>
      <c r="M233" s="199">
        <f>HLOOKUP(C:C,$4:$10,3,FALSE)+((HLOOKUP(D:D,$4:$10,3,FALSE)-HLOOKUP(C:C,$4:$10,3,FALSE))*E233/F233)</f>
        <v/>
      </c>
      <c r="N233" s="199">
        <f>HLOOKUP(C:C,$4:$10,2,FALSE)+((HLOOKUP(D:D,$4:$10,2,FALSE)-HLOOKUP(C:C,$4:$10,2,FALSE))*E233/F233)</f>
        <v/>
      </c>
      <c r="O233" s="199">
        <f>HLOOKUP(C:C,$4:$10,5,FALSE)+((HLOOKUP(D:D,$4:$10,5,FALSE)-HLOOKUP(C:C,$4:$10,5,FALSE))*E233/F233)</f>
        <v/>
      </c>
      <c r="P233" s="199">
        <f>HLOOKUP(C:C,$4:$10,4,FALSE)+((HLOOKUP(D:D,$4:$10,4,FALSE)-HLOOKUP(C:C,$4:$10,4,FALSE))*E233/F233)</f>
        <v/>
      </c>
      <c r="Q233" s="199">
        <f>HLOOKUP(B:B,$4:$10,6,FALSE)+((HLOOKUP(C:C,$4:$10,6,FALSE)-HLOOKUP(B:B,$4:$10,6,FALSE))*E233/F233)</f>
        <v/>
      </c>
      <c r="T233" s="198">
        <f>$G233</f>
        <v/>
      </c>
      <c r="U233" s="199">
        <f>H233/(HLOOKUP(B:B,$4:$10,3,FALSE)+((HLOOKUP(C:C,$4:$10,3,FALSE)-HLOOKUP(B:B,$4:$10,3,FALSE))*E233/F233))</f>
        <v/>
      </c>
      <c r="V233" s="969">
        <f>HLOOKUP(B:B,$4:$10,7,FALSE)+((HLOOKUP(C:C,$4:$10,7,FALSE)-HLOOKUP(B:B,$4:$10,7,FALSE))*E233/F233)</f>
        <v/>
      </c>
      <c r="AB233" s="198">
        <f>$G233</f>
        <v/>
      </c>
      <c r="AC233" s="199">
        <f>$H233</f>
        <v/>
      </c>
      <c r="AD233" s="199">
        <f>$M233*AD$34</f>
        <v/>
      </c>
      <c r="AE233" s="199">
        <f>$M233*AE$34</f>
        <v/>
      </c>
      <c r="AF233" s="199">
        <f>$M233*AF$34</f>
        <v/>
      </c>
      <c r="AG233" s="199">
        <f>$M233*AG$34</f>
        <v/>
      </c>
      <c r="AH233" s="199">
        <f>$M233*AH$34</f>
        <v/>
      </c>
      <c r="AJ233" s="198">
        <f>$G233</f>
        <v/>
      </c>
      <c r="AK233" s="199">
        <f>$H233</f>
        <v/>
      </c>
      <c r="AL233" s="199">
        <f>$N233*AL$34</f>
        <v/>
      </c>
      <c r="AM233" s="199">
        <f>$N233*AM$34</f>
        <v/>
      </c>
      <c r="AN233" s="199">
        <f>$N233*AN$34</f>
        <v/>
      </c>
      <c r="AO233" s="199">
        <f>$N233*AO$34</f>
        <v/>
      </c>
      <c r="AP233" s="199">
        <f>$N233*AP$34</f>
        <v/>
      </c>
      <c r="AR233" s="198">
        <f>$G233</f>
        <v/>
      </c>
      <c r="AS233" s="199">
        <f>$H233</f>
        <v/>
      </c>
      <c r="AT233" s="199">
        <f>$O233*AT$34-$Q233</f>
        <v/>
      </c>
      <c r="AU233" s="199">
        <f>$O233*AU$34-$Q233</f>
        <v/>
      </c>
      <c r="AV233" s="199">
        <f>$O233*AV$34-$Q233</f>
        <v/>
      </c>
      <c r="AW233" s="199">
        <f>$O233*AW$34-$Q233</f>
        <v/>
      </c>
      <c r="AX233" s="199">
        <f>$O233*AX$34-$Q233</f>
        <v/>
      </c>
      <c r="AZ233" s="198">
        <f>$G233</f>
        <v/>
      </c>
      <c r="BA233" s="199">
        <f>$H233</f>
        <v/>
      </c>
      <c r="BB233" s="199">
        <f>$P233*BB$34-$Q233</f>
        <v/>
      </c>
      <c r="BC233" s="199">
        <f>$P233*BC$34-$Q233</f>
        <v/>
      </c>
      <c r="BD233" s="199">
        <f>$P233*BD$34-$Q233</f>
        <v/>
      </c>
      <c r="BE233" s="199">
        <f>$P233*BE$34-$Q233</f>
        <v/>
      </c>
      <c r="BF233" s="199">
        <f>$P233*BF$34-$Q233</f>
        <v/>
      </c>
      <c r="BH233" s="198">
        <f>$G233</f>
        <v/>
      </c>
      <c r="BI233" s="197">
        <f>$I233</f>
        <v/>
      </c>
      <c r="BJ233" s="197">
        <f>+BJ234</f>
        <v/>
      </c>
      <c r="BK233" s="197">
        <f>+BK234</f>
        <v/>
      </c>
      <c r="BL233" s="197">
        <f>+BL234</f>
        <v/>
      </c>
      <c r="BM233" s="197">
        <f>+BM234</f>
        <v/>
      </c>
      <c r="BN233" s="197">
        <f>+BN234</f>
        <v/>
      </c>
      <c r="BP233" s="198">
        <f>$G233</f>
        <v/>
      </c>
      <c r="BQ233" s="197">
        <f>$J233</f>
        <v/>
      </c>
      <c r="BR233" s="197">
        <f>+BR234</f>
        <v/>
      </c>
      <c r="BS233" s="197">
        <f>+BS234</f>
        <v/>
      </c>
      <c r="BT233" s="197">
        <f>+BT234</f>
        <v/>
      </c>
      <c r="BU233" s="197">
        <f>+BU234</f>
        <v/>
      </c>
      <c r="BV233" s="197">
        <f>+BV234</f>
        <v/>
      </c>
      <c r="BX233" s="198">
        <f>$G233</f>
        <v/>
      </c>
      <c r="BY233" s="197">
        <f>$K233</f>
        <v/>
      </c>
      <c r="BZ233" s="197">
        <f>+BZ234</f>
        <v/>
      </c>
      <c r="CA233" s="197">
        <f>+CA234</f>
        <v/>
      </c>
      <c r="CB233" s="197">
        <f>+CB234</f>
        <v/>
      </c>
      <c r="CC233" s="197">
        <f>+CC234</f>
        <v/>
      </c>
      <c r="CD233" s="197">
        <f>+CD234</f>
        <v/>
      </c>
      <c r="CF233" s="198">
        <f>$G233</f>
        <v/>
      </c>
      <c r="CG233" s="197">
        <f>$L233</f>
        <v/>
      </c>
      <c r="CH233" s="197">
        <f>+CH234</f>
        <v/>
      </c>
      <c r="CI233" s="197">
        <f>+CI234</f>
        <v/>
      </c>
      <c r="CJ233" s="197">
        <f>+CJ234</f>
        <v/>
      </c>
      <c r="CK233" s="197">
        <f>+CK234</f>
        <v/>
      </c>
      <c r="CL233" s="197">
        <f>+CL234</f>
        <v/>
      </c>
      <c r="CO233" s="199" t="n"/>
      <c r="CP233" s="199" t="n">
        <v>1.7</v>
      </c>
      <c r="CR233" s="199" t="inlineStr">
        <is>
          <t>#N/A N/A</t>
        </is>
      </c>
      <c r="CS233" s="970" t="n">
        <v>0.88058</v>
      </c>
    </row>
    <row r="234">
      <c r="B234" s="204">
        <f>+C234-1</f>
        <v/>
      </c>
      <c r="C234" s="204">
        <f>IF('bands_A-H_Avg'!$D$9+1&gt;MONTH(G234),YEAR(G234),YEAR(G234)+1)</f>
        <v/>
      </c>
      <c r="D234" s="204">
        <f>+C234+1</f>
        <v/>
      </c>
      <c r="E234" s="203">
        <f>IF(C234&gt;C233,1,E233+1)</f>
        <v/>
      </c>
      <c r="F234" s="203">
        <f>COUNTIF(C:C,C234)</f>
        <v/>
      </c>
      <c r="G234" s="198">
        <f>+G233+7</f>
        <v/>
      </c>
      <c r="H234" s="361">
        <f>IF(ISBLANK(CO234),CP234,SUMPRODUCT(CO$32:CP$32,CO234:CP234))</f>
        <v/>
      </c>
      <c r="I234" s="968">
        <f>H234/M234</f>
        <v/>
      </c>
      <c r="J234" s="968">
        <f>H234/N234</f>
        <v/>
      </c>
      <c r="K234" s="968">
        <f>(H234+Q234)/O234</f>
        <v/>
      </c>
      <c r="L234" s="968">
        <f>(H234+Q234)/P234</f>
        <v/>
      </c>
      <c r="M234" s="199">
        <f>HLOOKUP(C:C,$4:$10,3,FALSE)+((HLOOKUP(D:D,$4:$10,3,FALSE)-HLOOKUP(C:C,$4:$10,3,FALSE))*E234/F234)</f>
        <v/>
      </c>
      <c r="N234" s="199">
        <f>HLOOKUP(C:C,$4:$10,2,FALSE)+((HLOOKUP(D:D,$4:$10,2,FALSE)-HLOOKUP(C:C,$4:$10,2,FALSE))*E234/F234)</f>
        <v/>
      </c>
      <c r="O234" s="199">
        <f>HLOOKUP(C:C,$4:$10,5,FALSE)+((HLOOKUP(D:D,$4:$10,5,FALSE)-HLOOKUP(C:C,$4:$10,5,FALSE))*E234/F234)</f>
        <v/>
      </c>
      <c r="P234" s="199">
        <f>HLOOKUP(C:C,$4:$10,4,FALSE)+((HLOOKUP(D:D,$4:$10,4,FALSE)-HLOOKUP(C:C,$4:$10,4,FALSE))*E234/F234)</f>
        <v/>
      </c>
      <c r="Q234" s="199">
        <f>HLOOKUP(B:B,$4:$10,6,FALSE)+((HLOOKUP(C:C,$4:$10,6,FALSE)-HLOOKUP(B:B,$4:$10,6,FALSE))*E234/F234)</f>
        <v/>
      </c>
      <c r="T234" s="198">
        <f>$G234</f>
        <v/>
      </c>
      <c r="U234" s="199">
        <f>H234/(HLOOKUP(B:B,$4:$10,3,FALSE)+((HLOOKUP(C:C,$4:$10,3,FALSE)-HLOOKUP(B:B,$4:$10,3,FALSE))*E234/F234))</f>
        <v/>
      </c>
      <c r="V234" s="969">
        <f>HLOOKUP(B:B,$4:$10,7,FALSE)+((HLOOKUP(C:C,$4:$10,7,FALSE)-HLOOKUP(B:B,$4:$10,7,FALSE))*E234/F234)</f>
        <v/>
      </c>
      <c r="AB234" s="198">
        <f>$G234</f>
        <v/>
      </c>
      <c r="AC234" s="199">
        <f>$H234</f>
        <v/>
      </c>
      <c r="AD234" s="199">
        <f>$M234*AD$34</f>
        <v/>
      </c>
      <c r="AE234" s="199">
        <f>$M234*AE$34</f>
        <v/>
      </c>
      <c r="AF234" s="199">
        <f>$M234*AF$34</f>
        <v/>
      </c>
      <c r="AG234" s="199">
        <f>$M234*AG$34</f>
        <v/>
      </c>
      <c r="AH234" s="199">
        <f>$M234*AH$34</f>
        <v/>
      </c>
      <c r="AJ234" s="198">
        <f>$G234</f>
        <v/>
      </c>
      <c r="AK234" s="199">
        <f>$H234</f>
        <v/>
      </c>
      <c r="AL234" s="199">
        <f>$N234*AL$34</f>
        <v/>
      </c>
      <c r="AM234" s="199">
        <f>$N234*AM$34</f>
        <v/>
      </c>
      <c r="AN234" s="199">
        <f>$N234*AN$34</f>
        <v/>
      </c>
      <c r="AO234" s="199">
        <f>$N234*AO$34</f>
        <v/>
      </c>
      <c r="AP234" s="199">
        <f>$N234*AP$34</f>
        <v/>
      </c>
      <c r="AR234" s="198">
        <f>$G234</f>
        <v/>
      </c>
      <c r="AS234" s="199">
        <f>$H234</f>
        <v/>
      </c>
      <c r="AT234" s="199">
        <f>$O234*AT$34-$Q234</f>
        <v/>
      </c>
      <c r="AU234" s="199">
        <f>$O234*AU$34-$Q234</f>
        <v/>
      </c>
      <c r="AV234" s="199">
        <f>$O234*AV$34-$Q234</f>
        <v/>
      </c>
      <c r="AW234" s="199">
        <f>$O234*AW$34-$Q234</f>
        <v/>
      </c>
      <c r="AX234" s="199">
        <f>$O234*AX$34-$Q234</f>
        <v/>
      </c>
      <c r="AZ234" s="198">
        <f>$G234</f>
        <v/>
      </c>
      <c r="BA234" s="199">
        <f>$H234</f>
        <v/>
      </c>
      <c r="BB234" s="199">
        <f>$P234*BB$34-$Q234</f>
        <v/>
      </c>
      <c r="BC234" s="199">
        <f>$P234*BC$34-$Q234</f>
        <v/>
      </c>
      <c r="BD234" s="199">
        <f>$P234*BD$34-$Q234</f>
        <v/>
      </c>
      <c r="BE234" s="199">
        <f>$P234*BE$34-$Q234</f>
        <v/>
      </c>
      <c r="BF234" s="199">
        <f>$P234*BF$34-$Q234</f>
        <v/>
      </c>
      <c r="BH234" s="198">
        <f>$G234</f>
        <v/>
      </c>
      <c r="BI234" s="197">
        <f>$I234</f>
        <v/>
      </c>
      <c r="BJ234" s="197">
        <f>+BJ235</f>
        <v/>
      </c>
      <c r="BK234" s="197">
        <f>+BK235</f>
        <v/>
      </c>
      <c r="BL234" s="197">
        <f>+BL235</f>
        <v/>
      </c>
      <c r="BM234" s="197">
        <f>+BM235</f>
        <v/>
      </c>
      <c r="BN234" s="197">
        <f>+BN235</f>
        <v/>
      </c>
      <c r="BP234" s="198">
        <f>$G234</f>
        <v/>
      </c>
      <c r="BQ234" s="197">
        <f>$J234</f>
        <v/>
      </c>
      <c r="BR234" s="197">
        <f>+BR235</f>
        <v/>
      </c>
      <c r="BS234" s="197">
        <f>+BS235</f>
        <v/>
      </c>
      <c r="BT234" s="197">
        <f>+BT235</f>
        <v/>
      </c>
      <c r="BU234" s="197">
        <f>+BU235</f>
        <v/>
      </c>
      <c r="BV234" s="197">
        <f>+BV235</f>
        <v/>
      </c>
      <c r="BX234" s="198">
        <f>$G234</f>
        <v/>
      </c>
      <c r="BY234" s="197">
        <f>$K234</f>
        <v/>
      </c>
      <c r="BZ234" s="197">
        <f>+BZ235</f>
        <v/>
      </c>
      <c r="CA234" s="197">
        <f>+CA235</f>
        <v/>
      </c>
      <c r="CB234" s="197">
        <f>+CB235</f>
        <v/>
      </c>
      <c r="CC234" s="197">
        <f>+CC235</f>
        <v/>
      </c>
      <c r="CD234" s="197">
        <f>+CD235</f>
        <v/>
      </c>
      <c r="CF234" s="198">
        <f>$G234</f>
        <v/>
      </c>
      <c r="CG234" s="197">
        <f>$L234</f>
        <v/>
      </c>
      <c r="CH234" s="197">
        <f>+CH235</f>
        <v/>
      </c>
      <c r="CI234" s="197">
        <f>+CI235</f>
        <v/>
      </c>
      <c r="CJ234" s="197">
        <f>+CJ235</f>
        <v/>
      </c>
      <c r="CK234" s="197">
        <f>+CK235</f>
        <v/>
      </c>
      <c r="CL234" s="197">
        <f>+CL235</f>
        <v/>
      </c>
      <c r="CO234" s="199" t="n"/>
      <c r="CP234" s="199" t="n">
        <v>1.8</v>
      </c>
      <c r="CR234" s="199" t="inlineStr">
        <is>
          <t>#N/A N/A</t>
        </is>
      </c>
      <c r="CS234" s="970" t="n">
        <v>0.88106</v>
      </c>
    </row>
    <row r="235">
      <c r="B235" s="204">
        <f>+C235-1</f>
        <v/>
      </c>
      <c r="C235" s="204">
        <f>IF('bands_A-H_Avg'!$D$9+1&gt;MONTH(G235),YEAR(G235),YEAR(G235)+1)</f>
        <v/>
      </c>
      <c r="D235" s="204">
        <f>+C235+1</f>
        <v/>
      </c>
      <c r="E235" s="203">
        <f>IF(C235&gt;C234,1,E234+1)</f>
        <v/>
      </c>
      <c r="F235" s="203">
        <f>COUNTIF(C:C,C235)</f>
        <v/>
      </c>
      <c r="G235" s="198">
        <f>+G234+7</f>
        <v/>
      </c>
      <c r="H235" s="361">
        <f>IF(ISBLANK(CO235),CP235,SUMPRODUCT(CO$32:CP$32,CO235:CP235))</f>
        <v/>
      </c>
      <c r="I235" s="968">
        <f>H235/M235</f>
        <v/>
      </c>
      <c r="J235" s="968">
        <f>H235/N235</f>
        <v/>
      </c>
      <c r="K235" s="968">
        <f>(H235+Q235)/O235</f>
        <v/>
      </c>
      <c r="L235" s="968">
        <f>(H235+Q235)/P235</f>
        <v/>
      </c>
      <c r="M235" s="199">
        <f>HLOOKUP(C:C,$4:$10,3,FALSE)+((HLOOKUP(D:D,$4:$10,3,FALSE)-HLOOKUP(C:C,$4:$10,3,FALSE))*E235/F235)</f>
        <v/>
      </c>
      <c r="N235" s="199">
        <f>HLOOKUP(C:C,$4:$10,2,FALSE)+((HLOOKUP(D:D,$4:$10,2,FALSE)-HLOOKUP(C:C,$4:$10,2,FALSE))*E235/F235)</f>
        <v/>
      </c>
      <c r="O235" s="199">
        <f>HLOOKUP(C:C,$4:$10,5,FALSE)+((HLOOKUP(D:D,$4:$10,5,FALSE)-HLOOKUP(C:C,$4:$10,5,FALSE))*E235/F235)</f>
        <v/>
      </c>
      <c r="P235" s="199">
        <f>HLOOKUP(C:C,$4:$10,4,FALSE)+((HLOOKUP(D:D,$4:$10,4,FALSE)-HLOOKUP(C:C,$4:$10,4,FALSE))*E235/F235)</f>
        <v/>
      </c>
      <c r="Q235" s="199">
        <f>HLOOKUP(B:B,$4:$10,6,FALSE)+((HLOOKUP(C:C,$4:$10,6,FALSE)-HLOOKUP(B:B,$4:$10,6,FALSE))*E235/F235)</f>
        <v/>
      </c>
      <c r="T235" s="198">
        <f>$G235</f>
        <v/>
      </c>
      <c r="U235" s="199">
        <f>H235/(HLOOKUP(B:B,$4:$10,3,FALSE)+((HLOOKUP(C:C,$4:$10,3,FALSE)-HLOOKUP(B:B,$4:$10,3,FALSE))*E235/F235))</f>
        <v/>
      </c>
      <c r="V235" s="969">
        <f>HLOOKUP(B:B,$4:$10,7,FALSE)+((HLOOKUP(C:C,$4:$10,7,FALSE)-HLOOKUP(B:B,$4:$10,7,FALSE))*E235/F235)</f>
        <v/>
      </c>
      <c r="AB235" s="198">
        <f>$G235</f>
        <v/>
      </c>
      <c r="AC235" s="199">
        <f>$H235</f>
        <v/>
      </c>
      <c r="AD235" s="199">
        <f>$M235*AD$34</f>
        <v/>
      </c>
      <c r="AE235" s="199">
        <f>$M235*AE$34</f>
        <v/>
      </c>
      <c r="AF235" s="199">
        <f>$M235*AF$34</f>
        <v/>
      </c>
      <c r="AG235" s="199">
        <f>$M235*AG$34</f>
        <v/>
      </c>
      <c r="AH235" s="199">
        <f>$M235*AH$34</f>
        <v/>
      </c>
      <c r="AJ235" s="198">
        <f>$G235</f>
        <v/>
      </c>
      <c r="AK235" s="199">
        <f>$H235</f>
        <v/>
      </c>
      <c r="AL235" s="199">
        <f>$N235*AL$34</f>
        <v/>
      </c>
      <c r="AM235" s="199">
        <f>$N235*AM$34</f>
        <v/>
      </c>
      <c r="AN235" s="199">
        <f>$N235*AN$34</f>
        <v/>
      </c>
      <c r="AO235" s="199">
        <f>$N235*AO$34</f>
        <v/>
      </c>
      <c r="AP235" s="199">
        <f>$N235*AP$34</f>
        <v/>
      </c>
      <c r="AR235" s="198">
        <f>$G235</f>
        <v/>
      </c>
      <c r="AS235" s="199">
        <f>$H235</f>
        <v/>
      </c>
      <c r="AT235" s="199">
        <f>$O235*AT$34-$Q235</f>
        <v/>
      </c>
      <c r="AU235" s="199">
        <f>$O235*AU$34-$Q235</f>
        <v/>
      </c>
      <c r="AV235" s="199">
        <f>$O235*AV$34-$Q235</f>
        <v/>
      </c>
      <c r="AW235" s="199">
        <f>$O235*AW$34-$Q235</f>
        <v/>
      </c>
      <c r="AX235" s="199">
        <f>$O235*AX$34-$Q235</f>
        <v/>
      </c>
      <c r="AZ235" s="198">
        <f>$G235</f>
        <v/>
      </c>
      <c r="BA235" s="199">
        <f>$H235</f>
        <v/>
      </c>
      <c r="BB235" s="199">
        <f>$P235*BB$34-$Q235</f>
        <v/>
      </c>
      <c r="BC235" s="199">
        <f>$P235*BC$34-$Q235</f>
        <v/>
      </c>
      <c r="BD235" s="199">
        <f>$P235*BD$34-$Q235</f>
        <v/>
      </c>
      <c r="BE235" s="199">
        <f>$P235*BE$34-$Q235</f>
        <v/>
      </c>
      <c r="BF235" s="199">
        <f>$P235*BF$34-$Q235</f>
        <v/>
      </c>
      <c r="BH235" s="198">
        <f>$G235</f>
        <v/>
      </c>
      <c r="BI235" s="197">
        <f>$I235</f>
        <v/>
      </c>
      <c r="BJ235" s="197">
        <f>+BJ236</f>
        <v/>
      </c>
      <c r="BK235" s="197">
        <f>+BK236</f>
        <v/>
      </c>
      <c r="BL235" s="197">
        <f>+BL236</f>
        <v/>
      </c>
      <c r="BM235" s="197">
        <f>+BM236</f>
        <v/>
      </c>
      <c r="BN235" s="197">
        <f>+BN236</f>
        <v/>
      </c>
      <c r="BP235" s="198">
        <f>$G235</f>
        <v/>
      </c>
      <c r="BQ235" s="197">
        <f>$J235</f>
        <v/>
      </c>
      <c r="BR235" s="197">
        <f>+BR236</f>
        <v/>
      </c>
      <c r="BS235" s="197">
        <f>+BS236</f>
        <v/>
      </c>
      <c r="BT235" s="197">
        <f>+BT236</f>
        <v/>
      </c>
      <c r="BU235" s="197">
        <f>+BU236</f>
        <v/>
      </c>
      <c r="BV235" s="197">
        <f>+BV236</f>
        <v/>
      </c>
      <c r="BX235" s="198">
        <f>$G235</f>
        <v/>
      </c>
      <c r="BY235" s="197">
        <f>$K235</f>
        <v/>
      </c>
      <c r="BZ235" s="197">
        <f>+BZ236</f>
        <v/>
      </c>
      <c r="CA235" s="197">
        <f>+CA236</f>
        <v/>
      </c>
      <c r="CB235" s="197">
        <f>+CB236</f>
        <v/>
      </c>
      <c r="CC235" s="197">
        <f>+CC236</f>
        <v/>
      </c>
      <c r="CD235" s="197">
        <f>+CD236</f>
        <v/>
      </c>
      <c r="CF235" s="198">
        <f>$G235</f>
        <v/>
      </c>
      <c r="CG235" s="197">
        <f>$L235</f>
        <v/>
      </c>
      <c r="CH235" s="197">
        <f>+CH236</f>
        <v/>
      </c>
      <c r="CI235" s="197">
        <f>+CI236</f>
        <v/>
      </c>
      <c r="CJ235" s="197">
        <f>+CJ236</f>
        <v/>
      </c>
      <c r="CK235" s="197">
        <f>+CK236</f>
        <v/>
      </c>
      <c r="CL235" s="197">
        <f>+CL236</f>
        <v/>
      </c>
      <c r="CO235" s="199" t="n"/>
      <c r="CP235" s="199" t="n">
        <v>1.72</v>
      </c>
      <c r="CR235" s="199" t="inlineStr">
        <is>
          <t>#N/A N/A</t>
        </is>
      </c>
      <c r="CS235" s="970" t="n">
        <v>0.88268</v>
      </c>
    </row>
    <row r="236">
      <c r="B236" s="204">
        <f>+C236-1</f>
        <v/>
      </c>
      <c r="C236" s="204">
        <f>IF('bands_A-H_Avg'!$D$9+1&gt;MONTH(G236),YEAR(G236),YEAR(G236)+1)</f>
        <v/>
      </c>
      <c r="D236" s="204">
        <f>+C236+1</f>
        <v/>
      </c>
      <c r="E236" s="203">
        <f>IF(C236&gt;C235,1,E235+1)</f>
        <v/>
      </c>
      <c r="F236" s="203">
        <f>COUNTIF(C:C,C236)</f>
        <v/>
      </c>
      <c r="G236" s="198">
        <f>+G235+7</f>
        <v/>
      </c>
      <c r="H236" s="361">
        <f>IF(ISBLANK(CO236),CP236,SUMPRODUCT(CO$32:CP$32,CO236:CP236))</f>
        <v/>
      </c>
      <c r="I236" s="968">
        <f>H236/M236</f>
        <v/>
      </c>
      <c r="J236" s="968">
        <f>H236/N236</f>
        <v/>
      </c>
      <c r="K236" s="968">
        <f>(H236+Q236)/O236</f>
        <v/>
      </c>
      <c r="L236" s="968">
        <f>(H236+Q236)/P236</f>
        <v/>
      </c>
      <c r="M236" s="199">
        <f>HLOOKUP(C:C,$4:$10,3,FALSE)+((HLOOKUP(D:D,$4:$10,3,FALSE)-HLOOKUP(C:C,$4:$10,3,FALSE))*E236/F236)</f>
        <v/>
      </c>
      <c r="N236" s="199">
        <f>HLOOKUP(C:C,$4:$10,2,FALSE)+((HLOOKUP(D:D,$4:$10,2,FALSE)-HLOOKUP(C:C,$4:$10,2,FALSE))*E236/F236)</f>
        <v/>
      </c>
      <c r="O236" s="199">
        <f>HLOOKUP(C:C,$4:$10,5,FALSE)+((HLOOKUP(D:D,$4:$10,5,FALSE)-HLOOKUP(C:C,$4:$10,5,FALSE))*E236/F236)</f>
        <v/>
      </c>
      <c r="P236" s="199">
        <f>HLOOKUP(C:C,$4:$10,4,FALSE)+((HLOOKUP(D:D,$4:$10,4,FALSE)-HLOOKUP(C:C,$4:$10,4,FALSE))*E236/F236)</f>
        <v/>
      </c>
      <c r="Q236" s="199">
        <f>HLOOKUP(B:B,$4:$10,6,FALSE)+((HLOOKUP(C:C,$4:$10,6,FALSE)-HLOOKUP(B:B,$4:$10,6,FALSE))*E236/F236)</f>
        <v/>
      </c>
      <c r="T236" s="198">
        <f>$G236</f>
        <v/>
      </c>
      <c r="U236" s="199">
        <f>H236/(HLOOKUP(B:B,$4:$10,3,FALSE)+((HLOOKUP(C:C,$4:$10,3,FALSE)-HLOOKUP(B:B,$4:$10,3,FALSE))*E236/F236))</f>
        <v/>
      </c>
      <c r="V236" s="969">
        <f>HLOOKUP(B:B,$4:$10,7,FALSE)+((HLOOKUP(C:C,$4:$10,7,FALSE)-HLOOKUP(B:B,$4:$10,7,FALSE))*E236/F236)</f>
        <v/>
      </c>
      <c r="AB236" s="198">
        <f>$G236</f>
        <v/>
      </c>
      <c r="AC236" s="199">
        <f>$H236</f>
        <v/>
      </c>
      <c r="AD236" s="199">
        <f>$M236*AD$34</f>
        <v/>
      </c>
      <c r="AE236" s="199">
        <f>$M236*AE$34</f>
        <v/>
      </c>
      <c r="AF236" s="199">
        <f>$M236*AF$34</f>
        <v/>
      </c>
      <c r="AG236" s="199">
        <f>$M236*AG$34</f>
        <v/>
      </c>
      <c r="AH236" s="199">
        <f>$M236*AH$34</f>
        <v/>
      </c>
      <c r="AJ236" s="198">
        <f>$G236</f>
        <v/>
      </c>
      <c r="AK236" s="199">
        <f>$H236</f>
        <v/>
      </c>
      <c r="AL236" s="199">
        <f>$N236*AL$34</f>
        <v/>
      </c>
      <c r="AM236" s="199">
        <f>$N236*AM$34</f>
        <v/>
      </c>
      <c r="AN236" s="199">
        <f>$N236*AN$34</f>
        <v/>
      </c>
      <c r="AO236" s="199">
        <f>$N236*AO$34</f>
        <v/>
      </c>
      <c r="AP236" s="199">
        <f>$N236*AP$34</f>
        <v/>
      </c>
      <c r="AR236" s="198">
        <f>$G236</f>
        <v/>
      </c>
      <c r="AS236" s="199">
        <f>$H236</f>
        <v/>
      </c>
      <c r="AT236" s="199">
        <f>$O236*AT$34-$Q236</f>
        <v/>
      </c>
      <c r="AU236" s="199">
        <f>$O236*AU$34-$Q236</f>
        <v/>
      </c>
      <c r="AV236" s="199">
        <f>$O236*AV$34-$Q236</f>
        <v/>
      </c>
      <c r="AW236" s="199">
        <f>$O236*AW$34-$Q236</f>
        <v/>
      </c>
      <c r="AX236" s="199">
        <f>$O236*AX$34-$Q236</f>
        <v/>
      </c>
      <c r="AZ236" s="198">
        <f>$G236</f>
        <v/>
      </c>
      <c r="BA236" s="199">
        <f>$H236</f>
        <v/>
      </c>
      <c r="BB236" s="199">
        <f>$P236*BB$34-$Q236</f>
        <v/>
      </c>
      <c r="BC236" s="199">
        <f>$P236*BC$34-$Q236</f>
        <v/>
      </c>
      <c r="BD236" s="199">
        <f>$P236*BD$34-$Q236</f>
        <v/>
      </c>
      <c r="BE236" s="199">
        <f>$P236*BE$34-$Q236</f>
        <v/>
      </c>
      <c r="BF236" s="199">
        <f>$P236*BF$34-$Q236</f>
        <v/>
      </c>
      <c r="BH236" s="198">
        <f>$G236</f>
        <v/>
      </c>
      <c r="BI236" s="197">
        <f>$I236</f>
        <v/>
      </c>
      <c r="BJ236" s="197">
        <f>+BJ237</f>
        <v/>
      </c>
      <c r="BK236" s="197">
        <f>+BK237</f>
        <v/>
      </c>
      <c r="BL236" s="197">
        <f>+BL237</f>
        <v/>
      </c>
      <c r="BM236" s="197">
        <f>+BM237</f>
        <v/>
      </c>
      <c r="BN236" s="197">
        <f>+BN237</f>
        <v/>
      </c>
      <c r="BP236" s="198">
        <f>$G236</f>
        <v/>
      </c>
      <c r="BQ236" s="197">
        <f>$J236</f>
        <v/>
      </c>
      <c r="BR236" s="197">
        <f>+BR237</f>
        <v/>
      </c>
      <c r="BS236" s="197">
        <f>+BS237</f>
        <v/>
      </c>
      <c r="BT236" s="197">
        <f>+BT237</f>
        <v/>
      </c>
      <c r="BU236" s="197">
        <f>+BU237</f>
        <v/>
      </c>
      <c r="BV236" s="197">
        <f>+BV237</f>
        <v/>
      </c>
      <c r="BX236" s="198">
        <f>$G236</f>
        <v/>
      </c>
      <c r="BY236" s="197">
        <f>$K236</f>
        <v/>
      </c>
      <c r="BZ236" s="197">
        <f>+BZ237</f>
        <v/>
      </c>
      <c r="CA236" s="197">
        <f>+CA237</f>
        <v/>
      </c>
      <c r="CB236" s="197">
        <f>+CB237</f>
        <v/>
      </c>
      <c r="CC236" s="197">
        <f>+CC237</f>
        <v/>
      </c>
      <c r="CD236" s="197">
        <f>+CD237</f>
        <v/>
      </c>
      <c r="CF236" s="198">
        <f>$G236</f>
        <v/>
      </c>
      <c r="CG236" s="197">
        <f>$L236</f>
        <v/>
      </c>
      <c r="CH236" s="197">
        <f>+CH237</f>
        <v/>
      </c>
      <c r="CI236" s="197">
        <f>+CI237</f>
        <v/>
      </c>
      <c r="CJ236" s="197">
        <f>+CJ237</f>
        <v/>
      </c>
      <c r="CK236" s="197">
        <f>+CK237</f>
        <v/>
      </c>
      <c r="CL236" s="197">
        <f>+CL237</f>
        <v/>
      </c>
      <c r="CO236" s="199" t="n"/>
      <c r="CP236" s="199" t="n">
        <v>2.25</v>
      </c>
      <c r="CR236" s="199" t="inlineStr">
        <is>
          <t>#N/A N/A</t>
        </is>
      </c>
      <c r="CS236" s="970" t="n">
        <v>0.88252</v>
      </c>
    </row>
    <row r="237">
      <c r="B237" s="204">
        <f>+C237-1</f>
        <v/>
      </c>
      <c r="C237" s="204">
        <f>IF('bands_A-H_Avg'!$D$9+1&gt;MONTH(G237),YEAR(G237),YEAR(G237)+1)</f>
        <v/>
      </c>
      <c r="D237" s="204">
        <f>+C237+1</f>
        <v/>
      </c>
      <c r="E237" s="203">
        <f>IF(C237&gt;C236,1,E236+1)</f>
        <v/>
      </c>
      <c r="F237" s="203">
        <f>COUNTIF(C:C,C237)</f>
        <v/>
      </c>
      <c r="G237" s="198">
        <f>+G236+7</f>
        <v/>
      </c>
      <c r="H237" s="361">
        <f>IF(ISBLANK(CO237),CP237,SUMPRODUCT(CO$32:CP$32,CO237:CP237))</f>
        <v/>
      </c>
      <c r="I237" s="968">
        <f>H237/M237</f>
        <v/>
      </c>
      <c r="J237" s="968">
        <f>H237/N237</f>
        <v/>
      </c>
      <c r="K237" s="968">
        <f>(H237+Q237)/O237</f>
        <v/>
      </c>
      <c r="L237" s="968">
        <f>(H237+Q237)/P237</f>
        <v/>
      </c>
      <c r="M237" s="199">
        <f>HLOOKUP(C:C,$4:$10,3,FALSE)+((HLOOKUP(D:D,$4:$10,3,FALSE)-HLOOKUP(C:C,$4:$10,3,FALSE))*E237/F237)</f>
        <v/>
      </c>
      <c r="N237" s="199">
        <f>HLOOKUP(C:C,$4:$10,2,FALSE)+((HLOOKUP(D:D,$4:$10,2,FALSE)-HLOOKUP(C:C,$4:$10,2,FALSE))*E237/F237)</f>
        <v/>
      </c>
      <c r="O237" s="199">
        <f>HLOOKUP(C:C,$4:$10,5,FALSE)+((HLOOKUP(D:D,$4:$10,5,FALSE)-HLOOKUP(C:C,$4:$10,5,FALSE))*E237/F237)</f>
        <v/>
      </c>
      <c r="P237" s="199">
        <f>HLOOKUP(C:C,$4:$10,4,FALSE)+((HLOOKUP(D:D,$4:$10,4,FALSE)-HLOOKUP(C:C,$4:$10,4,FALSE))*E237/F237)</f>
        <v/>
      </c>
      <c r="Q237" s="199">
        <f>HLOOKUP(B:B,$4:$10,6,FALSE)+((HLOOKUP(C:C,$4:$10,6,FALSE)-HLOOKUP(B:B,$4:$10,6,FALSE))*E237/F237)</f>
        <v/>
      </c>
      <c r="T237" s="198">
        <f>$G237</f>
        <v/>
      </c>
      <c r="U237" s="199">
        <f>H237/(HLOOKUP(B:B,$4:$10,3,FALSE)+((HLOOKUP(C:C,$4:$10,3,FALSE)-HLOOKUP(B:B,$4:$10,3,FALSE))*E237/F237))</f>
        <v/>
      </c>
      <c r="V237" s="969">
        <f>HLOOKUP(B:B,$4:$10,7,FALSE)+((HLOOKUP(C:C,$4:$10,7,FALSE)-HLOOKUP(B:B,$4:$10,7,FALSE))*E237/F237)</f>
        <v/>
      </c>
      <c r="AB237" s="198">
        <f>$G237</f>
        <v/>
      </c>
      <c r="AC237" s="199">
        <f>$H237</f>
        <v/>
      </c>
      <c r="AD237" s="199">
        <f>$M237*AD$34</f>
        <v/>
      </c>
      <c r="AE237" s="199">
        <f>$M237*AE$34</f>
        <v/>
      </c>
      <c r="AF237" s="199">
        <f>$M237*AF$34</f>
        <v/>
      </c>
      <c r="AG237" s="199">
        <f>$M237*AG$34</f>
        <v/>
      </c>
      <c r="AH237" s="199">
        <f>$M237*AH$34</f>
        <v/>
      </c>
      <c r="AJ237" s="198">
        <f>$G237</f>
        <v/>
      </c>
      <c r="AK237" s="199">
        <f>$H237</f>
        <v/>
      </c>
      <c r="AL237" s="199">
        <f>$N237*AL$34</f>
        <v/>
      </c>
      <c r="AM237" s="199">
        <f>$N237*AM$34</f>
        <v/>
      </c>
      <c r="AN237" s="199">
        <f>$N237*AN$34</f>
        <v/>
      </c>
      <c r="AO237" s="199">
        <f>$N237*AO$34</f>
        <v/>
      </c>
      <c r="AP237" s="199">
        <f>$N237*AP$34</f>
        <v/>
      </c>
      <c r="AR237" s="198">
        <f>$G237</f>
        <v/>
      </c>
      <c r="AS237" s="199">
        <f>$H237</f>
        <v/>
      </c>
      <c r="AT237" s="199">
        <f>$O237*AT$34-$Q237</f>
        <v/>
      </c>
      <c r="AU237" s="199">
        <f>$O237*AU$34-$Q237</f>
        <v/>
      </c>
      <c r="AV237" s="199">
        <f>$O237*AV$34-$Q237</f>
        <v/>
      </c>
      <c r="AW237" s="199">
        <f>$O237*AW$34-$Q237</f>
        <v/>
      </c>
      <c r="AX237" s="199">
        <f>$O237*AX$34-$Q237</f>
        <v/>
      </c>
      <c r="AZ237" s="198">
        <f>$G237</f>
        <v/>
      </c>
      <c r="BA237" s="199">
        <f>$H237</f>
        <v/>
      </c>
      <c r="BB237" s="199">
        <f>$P237*BB$34-$Q237</f>
        <v/>
      </c>
      <c r="BC237" s="199">
        <f>$P237*BC$34-$Q237</f>
        <v/>
      </c>
      <c r="BD237" s="199">
        <f>$P237*BD$34-$Q237</f>
        <v/>
      </c>
      <c r="BE237" s="199">
        <f>$P237*BE$34-$Q237</f>
        <v/>
      </c>
      <c r="BF237" s="199">
        <f>$P237*BF$34-$Q237</f>
        <v/>
      </c>
      <c r="BH237" s="198">
        <f>$G237</f>
        <v/>
      </c>
      <c r="BI237" s="197">
        <f>$I237</f>
        <v/>
      </c>
      <c r="BJ237" s="197">
        <f>+BJ238</f>
        <v/>
      </c>
      <c r="BK237" s="197">
        <f>+BK238</f>
        <v/>
      </c>
      <c r="BL237" s="197">
        <f>+BL238</f>
        <v/>
      </c>
      <c r="BM237" s="197">
        <f>+BM238</f>
        <v/>
      </c>
      <c r="BN237" s="197">
        <f>+BN238</f>
        <v/>
      </c>
      <c r="BP237" s="198">
        <f>$G237</f>
        <v/>
      </c>
      <c r="BQ237" s="197">
        <f>$J237</f>
        <v/>
      </c>
      <c r="BR237" s="197">
        <f>+BR238</f>
        <v/>
      </c>
      <c r="BS237" s="197">
        <f>+BS238</f>
        <v/>
      </c>
      <c r="BT237" s="197">
        <f>+BT238</f>
        <v/>
      </c>
      <c r="BU237" s="197">
        <f>+BU238</f>
        <v/>
      </c>
      <c r="BV237" s="197">
        <f>+BV238</f>
        <v/>
      </c>
      <c r="BX237" s="198">
        <f>$G237</f>
        <v/>
      </c>
      <c r="BY237" s="197">
        <f>$K237</f>
        <v/>
      </c>
      <c r="BZ237" s="197">
        <f>+BZ238</f>
        <v/>
      </c>
      <c r="CA237" s="197">
        <f>+CA238</f>
        <v/>
      </c>
      <c r="CB237" s="197">
        <f>+CB238</f>
        <v/>
      </c>
      <c r="CC237" s="197">
        <f>+CC238</f>
        <v/>
      </c>
      <c r="CD237" s="197">
        <f>+CD238</f>
        <v/>
      </c>
      <c r="CF237" s="198">
        <f>$G237</f>
        <v/>
      </c>
      <c r="CG237" s="197">
        <f>$L237</f>
        <v/>
      </c>
      <c r="CH237" s="197">
        <f>+CH238</f>
        <v/>
      </c>
      <c r="CI237" s="197">
        <f>+CI238</f>
        <v/>
      </c>
      <c r="CJ237" s="197">
        <f>+CJ238</f>
        <v/>
      </c>
      <c r="CK237" s="197">
        <f>+CK238</f>
        <v/>
      </c>
      <c r="CL237" s="197">
        <f>+CL238</f>
        <v/>
      </c>
      <c r="CO237" s="199" t="n"/>
      <c r="CP237" s="199" t="n">
        <v>2.34</v>
      </c>
      <c r="CR237" s="199" t="inlineStr">
        <is>
          <t>#N/A N/A</t>
        </is>
      </c>
      <c r="CS237" s="970" t="n">
        <v>0.8807199999999999</v>
      </c>
    </row>
    <row r="238">
      <c r="B238" s="204">
        <f>+C238-1</f>
        <v/>
      </c>
      <c r="C238" s="204">
        <f>IF('bands_A-H_Avg'!$D$9+1&gt;MONTH(G238),YEAR(G238),YEAR(G238)+1)</f>
        <v/>
      </c>
      <c r="D238" s="204">
        <f>+C238+1</f>
        <v/>
      </c>
      <c r="E238" s="203">
        <f>IF(C238&gt;C237,1,E237+1)</f>
        <v/>
      </c>
      <c r="F238" s="203">
        <f>COUNTIF(C:C,C238)</f>
        <v/>
      </c>
      <c r="G238" s="198">
        <f>+G237+7</f>
        <v/>
      </c>
      <c r="H238" s="361">
        <f>IF(ISBLANK(CO238),CP238,SUMPRODUCT(CO$32:CP$32,CO238:CP238))</f>
        <v/>
      </c>
      <c r="I238" s="968">
        <f>H238/M238</f>
        <v/>
      </c>
      <c r="J238" s="968">
        <f>H238/N238</f>
        <v/>
      </c>
      <c r="K238" s="968">
        <f>(H238+Q238)/O238</f>
        <v/>
      </c>
      <c r="L238" s="968">
        <f>(H238+Q238)/P238</f>
        <v/>
      </c>
      <c r="M238" s="199">
        <f>HLOOKUP(C:C,$4:$10,3,FALSE)+((HLOOKUP(D:D,$4:$10,3,FALSE)-HLOOKUP(C:C,$4:$10,3,FALSE))*E238/F238)</f>
        <v/>
      </c>
      <c r="N238" s="199">
        <f>HLOOKUP(C:C,$4:$10,2,FALSE)+((HLOOKUP(D:D,$4:$10,2,FALSE)-HLOOKUP(C:C,$4:$10,2,FALSE))*E238/F238)</f>
        <v/>
      </c>
      <c r="O238" s="199">
        <f>HLOOKUP(C:C,$4:$10,5,FALSE)+((HLOOKUP(D:D,$4:$10,5,FALSE)-HLOOKUP(C:C,$4:$10,5,FALSE))*E238/F238)</f>
        <v/>
      </c>
      <c r="P238" s="199">
        <f>HLOOKUP(C:C,$4:$10,4,FALSE)+((HLOOKUP(D:D,$4:$10,4,FALSE)-HLOOKUP(C:C,$4:$10,4,FALSE))*E238/F238)</f>
        <v/>
      </c>
      <c r="Q238" s="199">
        <f>HLOOKUP(B:B,$4:$10,6,FALSE)+((HLOOKUP(C:C,$4:$10,6,FALSE)-HLOOKUP(B:B,$4:$10,6,FALSE))*E238/F238)</f>
        <v/>
      </c>
      <c r="T238" s="198">
        <f>$G238</f>
        <v/>
      </c>
      <c r="U238" s="199">
        <f>H238/(HLOOKUP(B:B,$4:$10,3,FALSE)+((HLOOKUP(C:C,$4:$10,3,FALSE)-HLOOKUP(B:B,$4:$10,3,FALSE))*E238/F238))</f>
        <v/>
      </c>
      <c r="V238" s="969">
        <f>HLOOKUP(B:B,$4:$10,7,FALSE)+((HLOOKUP(C:C,$4:$10,7,FALSE)-HLOOKUP(B:B,$4:$10,7,FALSE))*E238/F238)</f>
        <v/>
      </c>
      <c r="AB238" s="198">
        <f>$G238</f>
        <v/>
      </c>
      <c r="AC238" s="199">
        <f>$H238</f>
        <v/>
      </c>
      <c r="AD238" s="199">
        <f>$M238*AD$34</f>
        <v/>
      </c>
      <c r="AE238" s="199">
        <f>$M238*AE$34</f>
        <v/>
      </c>
      <c r="AF238" s="199">
        <f>$M238*AF$34</f>
        <v/>
      </c>
      <c r="AG238" s="199">
        <f>$M238*AG$34</f>
        <v/>
      </c>
      <c r="AH238" s="199">
        <f>$M238*AH$34</f>
        <v/>
      </c>
      <c r="AJ238" s="198">
        <f>$G238</f>
        <v/>
      </c>
      <c r="AK238" s="199">
        <f>$H238</f>
        <v/>
      </c>
      <c r="AL238" s="199">
        <f>$N238*AL$34</f>
        <v/>
      </c>
      <c r="AM238" s="199">
        <f>$N238*AM$34</f>
        <v/>
      </c>
      <c r="AN238" s="199">
        <f>$N238*AN$34</f>
        <v/>
      </c>
      <c r="AO238" s="199">
        <f>$N238*AO$34</f>
        <v/>
      </c>
      <c r="AP238" s="199">
        <f>$N238*AP$34</f>
        <v/>
      </c>
      <c r="AR238" s="198">
        <f>$G238</f>
        <v/>
      </c>
      <c r="AS238" s="199">
        <f>$H238</f>
        <v/>
      </c>
      <c r="AT238" s="199">
        <f>$O238*AT$34-$Q238</f>
        <v/>
      </c>
      <c r="AU238" s="199">
        <f>$O238*AU$34-$Q238</f>
        <v/>
      </c>
      <c r="AV238" s="199">
        <f>$O238*AV$34-$Q238</f>
        <v/>
      </c>
      <c r="AW238" s="199">
        <f>$O238*AW$34-$Q238</f>
        <v/>
      </c>
      <c r="AX238" s="199">
        <f>$O238*AX$34-$Q238</f>
        <v/>
      </c>
      <c r="AZ238" s="198">
        <f>$G238</f>
        <v/>
      </c>
      <c r="BA238" s="199">
        <f>$H238</f>
        <v/>
      </c>
      <c r="BB238" s="199">
        <f>$P238*BB$34-$Q238</f>
        <v/>
      </c>
      <c r="BC238" s="199">
        <f>$P238*BC$34-$Q238</f>
        <v/>
      </c>
      <c r="BD238" s="199">
        <f>$P238*BD$34-$Q238</f>
        <v/>
      </c>
      <c r="BE238" s="199">
        <f>$P238*BE$34-$Q238</f>
        <v/>
      </c>
      <c r="BF238" s="199">
        <f>$P238*BF$34-$Q238</f>
        <v/>
      </c>
      <c r="BH238" s="198">
        <f>$G238</f>
        <v/>
      </c>
      <c r="BI238" s="197">
        <f>$I238</f>
        <v/>
      </c>
      <c r="BJ238" s="197">
        <f>+BJ239</f>
        <v/>
      </c>
      <c r="BK238" s="197">
        <f>+BK239</f>
        <v/>
      </c>
      <c r="BL238" s="197">
        <f>+BL239</f>
        <v/>
      </c>
      <c r="BM238" s="197">
        <f>+BM239</f>
        <v/>
      </c>
      <c r="BN238" s="197">
        <f>+BN239</f>
        <v/>
      </c>
      <c r="BP238" s="198">
        <f>$G238</f>
        <v/>
      </c>
      <c r="BQ238" s="197">
        <f>$J238</f>
        <v/>
      </c>
      <c r="BR238" s="197">
        <f>+BR239</f>
        <v/>
      </c>
      <c r="BS238" s="197">
        <f>+BS239</f>
        <v/>
      </c>
      <c r="BT238" s="197">
        <f>+BT239</f>
        <v/>
      </c>
      <c r="BU238" s="197">
        <f>+BU239</f>
        <v/>
      </c>
      <c r="BV238" s="197">
        <f>+BV239</f>
        <v/>
      </c>
      <c r="BX238" s="198">
        <f>$G238</f>
        <v/>
      </c>
      <c r="BY238" s="197">
        <f>$K238</f>
        <v/>
      </c>
      <c r="BZ238" s="197">
        <f>+BZ239</f>
        <v/>
      </c>
      <c r="CA238" s="197">
        <f>+CA239</f>
        <v/>
      </c>
      <c r="CB238" s="197">
        <f>+CB239</f>
        <v/>
      </c>
      <c r="CC238" s="197">
        <f>+CC239</f>
        <v/>
      </c>
      <c r="CD238" s="197">
        <f>+CD239</f>
        <v/>
      </c>
      <c r="CF238" s="198">
        <f>$G238</f>
        <v/>
      </c>
      <c r="CG238" s="197">
        <f>$L238</f>
        <v/>
      </c>
      <c r="CH238" s="197">
        <f>+CH239</f>
        <v/>
      </c>
      <c r="CI238" s="197">
        <f>+CI239</f>
        <v/>
      </c>
      <c r="CJ238" s="197">
        <f>+CJ239</f>
        <v/>
      </c>
      <c r="CK238" s="197">
        <f>+CK239</f>
        <v/>
      </c>
      <c r="CL238" s="197">
        <f>+CL239</f>
        <v/>
      </c>
      <c r="CO238" s="199" t="n"/>
      <c r="CP238" s="199" t="n">
        <v>2.62</v>
      </c>
      <c r="CR238" s="199" t="inlineStr">
        <is>
          <t>#N/A N/A</t>
        </is>
      </c>
      <c r="CS238" s="970" t="n">
        <v>0.88058</v>
      </c>
    </row>
    <row r="239">
      <c r="B239" s="204">
        <f>+C239-1</f>
        <v/>
      </c>
      <c r="C239" s="204">
        <f>IF('bands_A-H_Avg'!$D$9+1&gt;MONTH(G239),YEAR(G239),YEAR(G239)+1)</f>
        <v/>
      </c>
      <c r="D239" s="204">
        <f>+C239+1</f>
        <v/>
      </c>
      <c r="E239" s="203">
        <f>IF(C239&gt;C238,1,E238+1)</f>
        <v/>
      </c>
      <c r="F239" s="203">
        <f>COUNTIF(C:C,C239)</f>
        <v/>
      </c>
      <c r="G239" s="198">
        <f>+G238+7</f>
        <v/>
      </c>
      <c r="H239" s="361">
        <f>IF(ISBLANK(CO239),CP239,SUMPRODUCT(CO$32:CP$32,CO239:CP239))</f>
        <v/>
      </c>
      <c r="I239" s="968">
        <f>H239/M239</f>
        <v/>
      </c>
      <c r="J239" s="968">
        <f>H239/N239</f>
        <v/>
      </c>
      <c r="K239" s="968">
        <f>(H239+Q239)/O239</f>
        <v/>
      </c>
      <c r="L239" s="968">
        <f>(H239+Q239)/P239</f>
        <v/>
      </c>
      <c r="M239" s="199">
        <f>HLOOKUP(C:C,$4:$10,3,FALSE)+((HLOOKUP(D:D,$4:$10,3,FALSE)-HLOOKUP(C:C,$4:$10,3,FALSE))*E239/F239)</f>
        <v/>
      </c>
      <c r="N239" s="199">
        <f>HLOOKUP(C:C,$4:$10,2,FALSE)+((HLOOKUP(D:D,$4:$10,2,FALSE)-HLOOKUP(C:C,$4:$10,2,FALSE))*E239/F239)</f>
        <v/>
      </c>
      <c r="O239" s="199">
        <f>HLOOKUP(C:C,$4:$10,5,FALSE)+((HLOOKUP(D:D,$4:$10,5,FALSE)-HLOOKUP(C:C,$4:$10,5,FALSE))*E239/F239)</f>
        <v/>
      </c>
      <c r="P239" s="199">
        <f>HLOOKUP(C:C,$4:$10,4,FALSE)+((HLOOKUP(D:D,$4:$10,4,FALSE)-HLOOKUP(C:C,$4:$10,4,FALSE))*E239/F239)</f>
        <v/>
      </c>
      <c r="Q239" s="199">
        <f>HLOOKUP(B:B,$4:$10,6,FALSE)+((HLOOKUP(C:C,$4:$10,6,FALSE)-HLOOKUP(B:B,$4:$10,6,FALSE))*E239/F239)</f>
        <v/>
      </c>
      <c r="T239" s="198">
        <f>$G239</f>
        <v/>
      </c>
      <c r="U239" s="199">
        <f>H239/(HLOOKUP(B:B,$4:$10,3,FALSE)+((HLOOKUP(C:C,$4:$10,3,FALSE)-HLOOKUP(B:B,$4:$10,3,FALSE))*E239/F239))</f>
        <v/>
      </c>
      <c r="V239" s="969">
        <f>HLOOKUP(B:B,$4:$10,7,FALSE)+((HLOOKUP(C:C,$4:$10,7,FALSE)-HLOOKUP(B:B,$4:$10,7,FALSE))*E239/F239)</f>
        <v/>
      </c>
      <c r="AB239" s="198">
        <f>$G239</f>
        <v/>
      </c>
      <c r="AC239" s="199">
        <f>$H239</f>
        <v/>
      </c>
      <c r="AD239" s="199">
        <f>$M239*AD$34</f>
        <v/>
      </c>
      <c r="AE239" s="199">
        <f>$M239*AE$34</f>
        <v/>
      </c>
      <c r="AF239" s="199">
        <f>$M239*AF$34</f>
        <v/>
      </c>
      <c r="AG239" s="199">
        <f>$M239*AG$34</f>
        <v/>
      </c>
      <c r="AH239" s="199">
        <f>$M239*AH$34</f>
        <v/>
      </c>
      <c r="AJ239" s="198">
        <f>$G239</f>
        <v/>
      </c>
      <c r="AK239" s="199">
        <f>$H239</f>
        <v/>
      </c>
      <c r="AL239" s="199">
        <f>$N239*AL$34</f>
        <v/>
      </c>
      <c r="AM239" s="199">
        <f>$N239*AM$34</f>
        <v/>
      </c>
      <c r="AN239" s="199">
        <f>$N239*AN$34</f>
        <v/>
      </c>
      <c r="AO239" s="199">
        <f>$N239*AO$34</f>
        <v/>
      </c>
      <c r="AP239" s="199">
        <f>$N239*AP$34</f>
        <v/>
      </c>
      <c r="AR239" s="198">
        <f>$G239</f>
        <v/>
      </c>
      <c r="AS239" s="199">
        <f>$H239</f>
        <v/>
      </c>
      <c r="AT239" s="199">
        <f>$O239*AT$34-$Q239</f>
        <v/>
      </c>
      <c r="AU239" s="199">
        <f>$O239*AU$34-$Q239</f>
        <v/>
      </c>
      <c r="AV239" s="199">
        <f>$O239*AV$34-$Q239</f>
        <v/>
      </c>
      <c r="AW239" s="199">
        <f>$O239*AW$34-$Q239</f>
        <v/>
      </c>
      <c r="AX239" s="199">
        <f>$O239*AX$34-$Q239</f>
        <v/>
      </c>
      <c r="AZ239" s="198">
        <f>$G239</f>
        <v/>
      </c>
      <c r="BA239" s="199">
        <f>$H239</f>
        <v/>
      </c>
      <c r="BB239" s="199">
        <f>$P239*BB$34-$Q239</f>
        <v/>
      </c>
      <c r="BC239" s="199">
        <f>$P239*BC$34-$Q239</f>
        <v/>
      </c>
      <c r="BD239" s="199">
        <f>$P239*BD$34-$Q239</f>
        <v/>
      </c>
      <c r="BE239" s="199">
        <f>$P239*BE$34-$Q239</f>
        <v/>
      </c>
      <c r="BF239" s="199">
        <f>$P239*BF$34-$Q239</f>
        <v/>
      </c>
      <c r="BH239" s="198">
        <f>$G239</f>
        <v/>
      </c>
      <c r="BI239" s="197">
        <f>$I239</f>
        <v/>
      </c>
      <c r="BJ239" s="197">
        <f>+BJ240</f>
        <v/>
      </c>
      <c r="BK239" s="197">
        <f>+BK240</f>
        <v/>
      </c>
      <c r="BL239" s="197">
        <f>+BL240</f>
        <v/>
      </c>
      <c r="BM239" s="197">
        <f>+BM240</f>
        <v/>
      </c>
      <c r="BN239" s="197">
        <f>+BN240</f>
        <v/>
      </c>
      <c r="BP239" s="198">
        <f>$G239</f>
        <v/>
      </c>
      <c r="BQ239" s="197">
        <f>$J239</f>
        <v/>
      </c>
      <c r="BR239" s="197">
        <f>+BR240</f>
        <v/>
      </c>
      <c r="BS239" s="197">
        <f>+BS240</f>
        <v/>
      </c>
      <c r="BT239" s="197">
        <f>+BT240</f>
        <v/>
      </c>
      <c r="BU239" s="197">
        <f>+BU240</f>
        <v/>
      </c>
      <c r="BV239" s="197">
        <f>+BV240</f>
        <v/>
      </c>
      <c r="BX239" s="198">
        <f>$G239</f>
        <v/>
      </c>
      <c r="BY239" s="197">
        <f>$K239</f>
        <v/>
      </c>
      <c r="BZ239" s="197">
        <f>+BZ240</f>
        <v/>
      </c>
      <c r="CA239" s="197">
        <f>+CA240</f>
        <v/>
      </c>
      <c r="CB239" s="197">
        <f>+CB240</f>
        <v/>
      </c>
      <c r="CC239" s="197">
        <f>+CC240</f>
        <v/>
      </c>
      <c r="CD239" s="197">
        <f>+CD240</f>
        <v/>
      </c>
      <c r="CF239" s="198">
        <f>$G239</f>
        <v/>
      </c>
      <c r="CG239" s="197">
        <f>$L239</f>
        <v/>
      </c>
      <c r="CH239" s="197">
        <f>+CH240</f>
        <v/>
      </c>
      <c r="CI239" s="197">
        <f>+CI240</f>
        <v/>
      </c>
      <c r="CJ239" s="197">
        <f>+CJ240</f>
        <v/>
      </c>
      <c r="CK239" s="197">
        <f>+CK240</f>
        <v/>
      </c>
      <c r="CL239" s="197">
        <f>+CL240</f>
        <v/>
      </c>
      <c r="CO239" s="199" t="n"/>
      <c r="CP239" s="199" t="n">
        <v>2.47</v>
      </c>
      <c r="CR239" s="199" t="inlineStr">
        <is>
          <t>#N/A N/A</t>
        </is>
      </c>
      <c r="CS239" s="970" t="n">
        <v>0.88185</v>
      </c>
    </row>
    <row r="240">
      <c r="B240" s="204">
        <f>+C240-1</f>
        <v/>
      </c>
      <c r="C240" s="204">
        <f>IF('bands_A-H_Avg'!$D$9+1&gt;MONTH(G240),YEAR(G240),YEAR(G240)+1)</f>
        <v/>
      </c>
      <c r="D240" s="204">
        <f>+C240+1</f>
        <v/>
      </c>
      <c r="E240" s="203">
        <f>IF(C240&gt;C239,1,E239+1)</f>
        <v/>
      </c>
      <c r="F240" s="203">
        <f>COUNTIF(C:C,C240)</f>
        <v/>
      </c>
      <c r="G240" s="198">
        <f>+G239+7</f>
        <v/>
      </c>
      <c r="H240" s="361">
        <f>IF(ISBLANK(CO240),CP240,SUMPRODUCT(CO$32:CP$32,CO240:CP240))</f>
        <v/>
      </c>
      <c r="I240" s="968">
        <f>H240/M240</f>
        <v/>
      </c>
      <c r="J240" s="968">
        <f>H240/N240</f>
        <v/>
      </c>
      <c r="K240" s="968">
        <f>(H240+Q240)/O240</f>
        <v/>
      </c>
      <c r="L240" s="968">
        <f>(H240+Q240)/P240</f>
        <v/>
      </c>
      <c r="M240" s="199">
        <f>HLOOKUP(C:C,$4:$10,3,FALSE)+((HLOOKUP(D:D,$4:$10,3,FALSE)-HLOOKUP(C:C,$4:$10,3,FALSE))*E240/F240)</f>
        <v/>
      </c>
      <c r="N240" s="199">
        <f>HLOOKUP(C:C,$4:$10,2,FALSE)+((HLOOKUP(D:D,$4:$10,2,FALSE)-HLOOKUP(C:C,$4:$10,2,FALSE))*E240/F240)</f>
        <v/>
      </c>
      <c r="O240" s="199">
        <f>HLOOKUP(C:C,$4:$10,5,FALSE)+((HLOOKUP(D:D,$4:$10,5,FALSE)-HLOOKUP(C:C,$4:$10,5,FALSE))*E240/F240)</f>
        <v/>
      </c>
      <c r="P240" s="199">
        <f>HLOOKUP(C:C,$4:$10,4,FALSE)+((HLOOKUP(D:D,$4:$10,4,FALSE)-HLOOKUP(C:C,$4:$10,4,FALSE))*E240/F240)</f>
        <v/>
      </c>
      <c r="Q240" s="199">
        <f>HLOOKUP(B:B,$4:$10,6,FALSE)+((HLOOKUP(C:C,$4:$10,6,FALSE)-HLOOKUP(B:B,$4:$10,6,FALSE))*E240/F240)</f>
        <v/>
      </c>
      <c r="T240" s="198">
        <f>$G240</f>
        <v/>
      </c>
      <c r="U240" s="199">
        <f>H240/(HLOOKUP(B:B,$4:$10,3,FALSE)+((HLOOKUP(C:C,$4:$10,3,FALSE)-HLOOKUP(B:B,$4:$10,3,FALSE))*E240/F240))</f>
        <v/>
      </c>
      <c r="V240" s="969">
        <f>HLOOKUP(B:B,$4:$10,7,FALSE)+((HLOOKUP(C:C,$4:$10,7,FALSE)-HLOOKUP(B:B,$4:$10,7,FALSE))*E240/F240)</f>
        <v/>
      </c>
      <c r="AB240" s="198">
        <f>$G240</f>
        <v/>
      </c>
      <c r="AC240" s="199">
        <f>$H240</f>
        <v/>
      </c>
      <c r="AD240" s="199">
        <f>$M240*AD$34</f>
        <v/>
      </c>
      <c r="AE240" s="199">
        <f>$M240*AE$34</f>
        <v/>
      </c>
      <c r="AF240" s="199">
        <f>$M240*AF$34</f>
        <v/>
      </c>
      <c r="AG240" s="199">
        <f>$M240*AG$34</f>
        <v/>
      </c>
      <c r="AH240" s="199">
        <f>$M240*AH$34</f>
        <v/>
      </c>
      <c r="AJ240" s="198">
        <f>$G240</f>
        <v/>
      </c>
      <c r="AK240" s="199">
        <f>$H240</f>
        <v/>
      </c>
      <c r="AL240" s="199">
        <f>$N240*AL$34</f>
        <v/>
      </c>
      <c r="AM240" s="199">
        <f>$N240*AM$34</f>
        <v/>
      </c>
      <c r="AN240" s="199">
        <f>$N240*AN$34</f>
        <v/>
      </c>
      <c r="AO240" s="199">
        <f>$N240*AO$34</f>
        <v/>
      </c>
      <c r="AP240" s="199">
        <f>$N240*AP$34</f>
        <v/>
      </c>
      <c r="AR240" s="198">
        <f>$G240</f>
        <v/>
      </c>
      <c r="AS240" s="199">
        <f>$H240</f>
        <v/>
      </c>
      <c r="AT240" s="199">
        <f>$O240*AT$34-$Q240</f>
        <v/>
      </c>
      <c r="AU240" s="199">
        <f>$O240*AU$34-$Q240</f>
        <v/>
      </c>
      <c r="AV240" s="199">
        <f>$O240*AV$34-$Q240</f>
        <v/>
      </c>
      <c r="AW240" s="199">
        <f>$O240*AW$34-$Q240</f>
        <v/>
      </c>
      <c r="AX240" s="199">
        <f>$O240*AX$34-$Q240</f>
        <v/>
      </c>
      <c r="AZ240" s="198">
        <f>$G240</f>
        <v/>
      </c>
      <c r="BA240" s="199">
        <f>$H240</f>
        <v/>
      </c>
      <c r="BB240" s="199">
        <f>$P240*BB$34-$Q240</f>
        <v/>
      </c>
      <c r="BC240" s="199">
        <f>$P240*BC$34-$Q240</f>
        <v/>
      </c>
      <c r="BD240" s="199">
        <f>$P240*BD$34-$Q240</f>
        <v/>
      </c>
      <c r="BE240" s="199">
        <f>$P240*BE$34-$Q240</f>
        <v/>
      </c>
      <c r="BF240" s="199">
        <f>$P240*BF$34-$Q240</f>
        <v/>
      </c>
      <c r="BH240" s="198">
        <f>$G240</f>
        <v/>
      </c>
      <c r="BI240" s="197">
        <f>$I240</f>
        <v/>
      </c>
      <c r="BJ240" s="197">
        <f>+BJ241</f>
        <v/>
      </c>
      <c r="BK240" s="197">
        <f>+BK241</f>
        <v/>
      </c>
      <c r="BL240" s="197">
        <f>+BL241</f>
        <v/>
      </c>
      <c r="BM240" s="197">
        <f>+BM241</f>
        <v/>
      </c>
      <c r="BN240" s="197">
        <f>+BN241</f>
        <v/>
      </c>
      <c r="BP240" s="198">
        <f>$G240</f>
        <v/>
      </c>
      <c r="BQ240" s="197">
        <f>$J240</f>
        <v/>
      </c>
      <c r="BR240" s="197">
        <f>+BR241</f>
        <v/>
      </c>
      <c r="BS240" s="197">
        <f>+BS241</f>
        <v/>
      </c>
      <c r="BT240" s="197">
        <f>+BT241</f>
        <v/>
      </c>
      <c r="BU240" s="197">
        <f>+BU241</f>
        <v/>
      </c>
      <c r="BV240" s="197">
        <f>+BV241</f>
        <v/>
      </c>
      <c r="BX240" s="198">
        <f>$G240</f>
        <v/>
      </c>
      <c r="BY240" s="197">
        <f>$K240</f>
        <v/>
      </c>
      <c r="BZ240" s="197">
        <f>+BZ241</f>
        <v/>
      </c>
      <c r="CA240" s="197">
        <f>+CA241</f>
        <v/>
      </c>
      <c r="CB240" s="197">
        <f>+CB241</f>
        <v/>
      </c>
      <c r="CC240" s="197">
        <f>+CC241</f>
        <v/>
      </c>
      <c r="CD240" s="197">
        <f>+CD241</f>
        <v/>
      </c>
      <c r="CF240" s="198">
        <f>$G240</f>
        <v/>
      </c>
      <c r="CG240" s="197">
        <f>$L240</f>
        <v/>
      </c>
      <c r="CH240" s="197">
        <f>+CH241</f>
        <v/>
      </c>
      <c r="CI240" s="197">
        <f>+CI241</f>
        <v/>
      </c>
      <c r="CJ240" s="197">
        <f>+CJ241</f>
        <v/>
      </c>
      <c r="CK240" s="197">
        <f>+CK241</f>
        <v/>
      </c>
      <c r="CL240" s="197">
        <f>+CL241</f>
        <v/>
      </c>
      <c r="CO240" s="199" t="n"/>
      <c r="CP240" s="199" t="n">
        <v>2.77</v>
      </c>
      <c r="CR240" s="199" t="inlineStr">
        <is>
          <t>#N/A N/A</t>
        </is>
      </c>
      <c r="CS240" s="970" t="n">
        <v>0.88187</v>
      </c>
    </row>
    <row r="241">
      <c r="B241" s="204">
        <f>+C241-1</f>
        <v/>
      </c>
      <c r="C241" s="204">
        <f>IF('bands_A-H_Avg'!$D$9+1&gt;MONTH(G241),YEAR(G241),YEAR(G241)+1)</f>
        <v/>
      </c>
      <c r="D241" s="204">
        <f>+C241+1</f>
        <v/>
      </c>
      <c r="E241" s="203">
        <f>IF(C241&gt;C240,1,E240+1)</f>
        <v/>
      </c>
      <c r="F241" s="203">
        <f>COUNTIF(C:C,C241)</f>
        <v/>
      </c>
      <c r="G241" s="198">
        <f>+G240+7</f>
        <v/>
      </c>
      <c r="H241" s="361">
        <f>IF(ISBLANK(CO241),CP241,SUMPRODUCT(CO$32:CP$32,CO241:CP241))</f>
        <v/>
      </c>
      <c r="I241" s="968">
        <f>H241/M241</f>
        <v/>
      </c>
      <c r="J241" s="968">
        <f>H241/N241</f>
        <v/>
      </c>
      <c r="K241" s="968">
        <f>(H241+Q241)/O241</f>
        <v/>
      </c>
      <c r="L241" s="968">
        <f>(H241+Q241)/P241</f>
        <v/>
      </c>
      <c r="M241" s="199">
        <f>HLOOKUP(C:C,$4:$10,3,FALSE)+((HLOOKUP(D:D,$4:$10,3,FALSE)-HLOOKUP(C:C,$4:$10,3,FALSE))*E241/F241)</f>
        <v/>
      </c>
      <c r="N241" s="199">
        <f>HLOOKUP(C:C,$4:$10,2,FALSE)+((HLOOKUP(D:D,$4:$10,2,FALSE)-HLOOKUP(C:C,$4:$10,2,FALSE))*E241/F241)</f>
        <v/>
      </c>
      <c r="O241" s="199">
        <f>HLOOKUP(C:C,$4:$10,5,FALSE)+((HLOOKUP(D:D,$4:$10,5,FALSE)-HLOOKUP(C:C,$4:$10,5,FALSE))*E241/F241)</f>
        <v/>
      </c>
      <c r="P241" s="199">
        <f>HLOOKUP(C:C,$4:$10,4,FALSE)+((HLOOKUP(D:D,$4:$10,4,FALSE)-HLOOKUP(C:C,$4:$10,4,FALSE))*E241/F241)</f>
        <v/>
      </c>
      <c r="Q241" s="199">
        <f>HLOOKUP(B:B,$4:$10,6,FALSE)+((HLOOKUP(C:C,$4:$10,6,FALSE)-HLOOKUP(B:B,$4:$10,6,FALSE))*E241/F241)</f>
        <v/>
      </c>
      <c r="T241" s="198">
        <f>$G241</f>
        <v/>
      </c>
      <c r="U241" s="199">
        <f>H241/(HLOOKUP(B:B,$4:$10,3,FALSE)+((HLOOKUP(C:C,$4:$10,3,FALSE)-HLOOKUP(B:B,$4:$10,3,FALSE))*E241/F241))</f>
        <v/>
      </c>
      <c r="V241" s="969">
        <f>HLOOKUP(B:B,$4:$10,7,FALSE)+((HLOOKUP(C:C,$4:$10,7,FALSE)-HLOOKUP(B:B,$4:$10,7,FALSE))*E241/F241)</f>
        <v/>
      </c>
      <c r="AB241" s="198">
        <f>$G241</f>
        <v/>
      </c>
      <c r="AC241" s="199">
        <f>$H241</f>
        <v/>
      </c>
      <c r="AD241" s="199">
        <f>$M241*AD$34</f>
        <v/>
      </c>
      <c r="AE241" s="199">
        <f>$M241*AE$34</f>
        <v/>
      </c>
      <c r="AF241" s="199">
        <f>$M241*AF$34</f>
        <v/>
      </c>
      <c r="AG241" s="199">
        <f>$M241*AG$34</f>
        <v/>
      </c>
      <c r="AH241" s="199">
        <f>$M241*AH$34</f>
        <v/>
      </c>
      <c r="AJ241" s="198">
        <f>$G241</f>
        <v/>
      </c>
      <c r="AK241" s="199">
        <f>$H241</f>
        <v/>
      </c>
      <c r="AL241" s="199">
        <f>$N241*AL$34</f>
        <v/>
      </c>
      <c r="AM241" s="199">
        <f>$N241*AM$34</f>
        <v/>
      </c>
      <c r="AN241" s="199">
        <f>$N241*AN$34</f>
        <v/>
      </c>
      <c r="AO241" s="199">
        <f>$N241*AO$34</f>
        <v/>
      </c>
      <c r="AP241" s="199">
        <f>$N241*AP$34</f>
        <v/>
      </c>
      <c r="AR241" s="198">
        <f>$G241</f>
        <v/>
      </c>
      <c r="AS241" s="199">
        <f>$H241</f>
        <v/>
      </c>
      <c r="AT241" s="199">
        <f>$O241*AT$34-$Q241</f>
        <v/>
      </c>
      <c r="AU241" s="199">
        <f>$O241*AU$34-$Q241</f>
        <v/>
      </c>
      <c r="AV241" s="199">
        <f>$O241*AV$34-$Q241</f>
        <v/>
      </c>
      <c r="AW241" s="199">
        <f>$O241*AW$34-$Q241</f>
        <v/>
      </c>
      <c r="AX241" s="199">
        <f>$O241*AX$34-$Q241</f>
        <v/>
      </c>
      <c r="AZ241" s="198">
        <f>$G241</f>
        <v/>
      </c>
      <c r="BA241" s="199">
        <f>$H241</f>
        <v/>
      </c>
      <c r="BB241" s="199">
        <f>$P241*BB$34-$Q241</f>
        <v/>
      </c>
      <c r="BC241" s="199">
        <f>$P241*BC$34-$Q241</f>
        <v/>
      </c>
      <c r="BD241" s="199">
        <f>$P241*BD$34-$Q241</f>
        <v/>
      </c>
      <c r="BE241" s="199">
        <f>$P241*BE$34-$Q241</f>
        <v/>
      </c>
      <c r="BF241" s="199">
        <f>$P241*BF$34-$Q241</f>
        <v/>
      </c>
      <c r="BH241" s="198">
        <f>$G241</f>
        <v/>
      </c>
      <c r="BI241" s="197">
        <f>$I241</f>
        <v/>
      </c>
      <c r="BJ241" s="197">
        <f>+BJ242</f>
        <v/>
      </c>
      <c r="BK241" s="197">
        <f>+BK242</f>
        <v/>
      </c>
      <c r="BL241" s="197">
        <f>+BL242</f>
        <v/>
      </c>
      <c r="BM241" s="197">
        <f>+BM242</f>
        <v/>
      </c>
      <c r="BN241" s="197">
        <f>+BN242</f>
        <v/>
      </c>
      <c r="BP241" s="198">
        <f>$G241</f>
        <v/>
      </c>
      <c r="BQ241" s="197">
        <f>$J241</f>
        <v/>
      </c>
      <c r="BR241" s="197">
        <f>+BR242</f>
        <v/>
      </c>
      <c r="BS241" s="197">
        <f>+BS242</f>
        <v/>
      </c>
      <c r="BT241" s="197">
        <f>+BT242</f>
        <v/>
      </c>
      <c r="BU241" s="197">
        <f>+BU242</f>
        <v/>
      </c>
      <c r="BV241" s="197">
        <f>+BV242</f>
        <v/>
      </c>
      <c r="BX241" s="198">
        <f>$G241</f>
        <v/>
      </c>
      <c r="BY241" s="197">
        <f>$K241</f>
        <v/>
      </c>
      <c r="BZ241" s="197">
        <f>+BZ242</f>
        <v/>
      </c>
      <c r="CA241" s="197">
        <f>+CA242</f>
        <v/>
      </c>
      <c r="CB241" s="197">
        <f>+CB242</f>
        <v/>
      </c>
      <c r="CC241" s="197">
        <f>+CC242</f>
        <v/>
      </c>
      <c r="CD241" s="197">
        <f>+CD242</f>
        <v/>
      </c>
      <c r="CF241" s="198">
        <f>$G241</f>
        <v/>
      </c>
      <c r="CG241" s="197">
        <f>$L241</f>
        <v/>
      </c>
      <c r="CH241" s="197">
        <f>+CH242</f>
        <v/>
      </c>
      <c r="CI241" s="197">
        <f>+CI242</f>
        <v/>
      </c>
      <c r="CJ241" s="197">
        <f>+CJ242</f>
        <v/>
      </c>
      <c r="CK241" s="197">
        <f>+CK242</f>
        <v/>
      </c>
      <c r="CL241" s="197">
        <f>+CL242</f>
        <v/>
      </c>
      <c r="CO241" s="199" t="n">
        <v>7.696225454133892</v>
      </c>
      <c r="CP241" s="199" t="n">
        <v>2.92</v>
      </c>
      <c r="CR241" s="199" t="n">
        <v>6.8</v>
      </c>
      <c r="CS241" s="970" t="n">
        <v>0.8835499999999999</v>
      </c>
    </row>
    <row r="242">
      <c r="B242" s="204">
        <f>+C242-1</f>
        <v/>
      </c>
      <c r="C242" s="204">
        <f>IF('bands_A-H_Avg'!$D$9+1&gt;MONTH(G242),YEAR(G242),YEAR(G242)+1)</f>
        <v/>
      </c>
      <c r="D242" s="204">
        <f>+C242+1</f>
        <v/>
      </c>
      <c r="E242" s="203">
        <f>IF(C242&gt;C241,1,E241+1)</f>
        <v/>
      </c>
      <c r="F242" s="203">
        <f>COUNTIF(C:C,C242)</f>
        <v/>
      </c>
      <c r="G242" s="198">
        <f>+G241+7</f>
        <v/>
      </c>
      <c r="H242" s="361">
        <f>IF(ISBLANK(CO242),CP242,SUMPRODUCT(CO$32:CP$32,CO242:CP242))</f>
        <v/>
      </c>
      <c r="I242" s="968">
        <f>H242/M242</f>
        <v/>
      </c>
      <c r="J242" s="968">
        <f>H242/N242</f>
        <v/>
      </c>
      <c r="K242" s="968">
        <f>(H242+Q242)/O242</f>
        <v/>
      </c>
      <c r="L242" s="968">
        <f>(H242+Q242)/P242</f>
        <v/>
      </c>
      <c r="M242" s="199">
        <f>HLOOKUP(C:C,$4:$10,3,FALSE)+((HLOOKUP(D:D,$4:$10,3,FALSE)-HLOOKUP(C:C,$4:$10,3,FALSE))*E242/F242)</f>
        <v/>
      </c>
      <c r="N242" s="199">
        <f>HLOOKUP(C:C,$4:$10,2,FALSE)+((HLOOKUP(D:D,$4:$10,2,FALSE)-HLOOKUP(C:C,$4:$10,2,FALSE))*E242/F242)</f>
        <v/>
      </c>
      <c r="O242" s="199">
        <f>HLOOKUP(C:C,$4:$10,5,FALSE)+((HLOOKUP(D:D,$4:$10,5,FALSE)-HLOOKUP(C:C,$4:$10,5,FALSE))*E242/F242)</f>
        <v/>
      </c>
      <c r="P242" s="199">
        <f>HLOOKUP(C:C,$4:$10,4,FALSE)+((HLOOKUP(D:D,$4:$10,4,FALSE)-HLOOKUP(C:C,$4:$10,4,FALSE))*E242/F242)</f>
        <v/>
      </c>
      <c r="Q242" s="199">
        <f>HLOOKUP(B:B,$4:$10,6,FALSE)+((HLOOKUP(C:C,$4:$10,6,FALSE)-HLOOKUP(B:B,$4:$10,6,FALSE))*E242/F242)</f>
        <v/>
      </c>
      <c r="T242" s="198">
        <f>$G242</f>
        <v/>
      </c>
      <c r="U242" s="199">
        <f>H242/(HLOOKUP(B:B,$4:$10,3,FALSE)+((HLOOKUP(C:C,$4:$10,3,FALSE)-HLOOKUP(B:B,$4:$10,3,FALSE))*E242/F242))</f>
        <v/>
      </c>
      <c r="V242" s="969">
        <f>HLOOKUP(B:B,$4:$10,7,FALSE)+((HLOOKUP(C:C,$4:$10,7,FALSE)-HLOOKUP(B:B,$4:$10,7,FALSE))*E242/F242)</f>
        <v/>
      </c>
      <c r="AB242" s="198">
        <f>$G242</f>
        <v/>
      </c>
      <c r="AC242" s="199">
        <f>$H242</f>
        <v/>
      </c>
      <c r="AD242" s="199">
        <f>$M242*AD$34</f>
        <v/>
      </c>
      <c r="AE242" s="199">
        <f>$M242*AE$34</f>
        <v/>
      </c>
      <c r="AF242" s="199">
        <f>$M242*AF$34</f>
        <v/>
      </c>
      <c r="AG242" s="199">
        <f>$M242*AG$34</f>
        <v/>
      </c>
      <c r="AH242" s="199">
        <f>$M242*AH$34</f>
        <v/>
      </c>
      <c r="AJ242" s="198">
        <f>$G242</f>
        <v/>
      </c>
      <c r="AK242" s="199">
        <f>$H242</f>
        <v/>
      </c>
      <c r="AL242" s="199">
        <f>$N242*AL$34</f>
        <v/>
      </c>
      <c r="AM242" s="199">
        <f>$N242*AM$34</f>
        <v/>
      </c>
      <c r="AN242" s="199">
        <f>$N242*AN$34</f>
        <v/>
      </c>
      <c r="AO242" s="199">
        <f>$N242*AO$34</f>
        <v/>
      </c>
      <c r="AP242" s="199">
        <f>$N242*AP$34</f>
        <v/>
      </c>
      <c r="AR242" s="198">
        <f>$G242</f>
        <v/>
      </c>
      <c r="AS242" s="199">
        <f>$H242</f>
        <v/>
      </c>
      <c r="AT242" s="199">
        <f>$O242*AT$34-$Q242</f>
        <v/>
      </c>
      <c r="AU242" s="199">
        <f>$O242*AU$34-$Q242</f>
        <v/>
      </c>
      <c r="AV242" s="199">
        <f>$O242*AV$34-$Q242</f>
        <v/>
      </c>
      <c r="AW242" s="199">
        <f>$O242*AW$34-$Q242</f>
        <v/>
      </c>
      <c r="AX242" s="199">
        <f>$O242*AX$34-$Q242</f>
        <v/>
      </c>
      <c r="AZ242" s="198">
        <f>$G242</f>
        <v/>
      </c>
      <c r="BA242" s="199">
        <f>$H242</f>
        <v/>
      </c>
      <c r="BB242" s="199">
        <f>$P242*BB$34-$Q242</f>
        <v/>
      </c>
      <c r="BC242" s="199">
        <f>$P242*BC$34-$Q242</f>
        <v/>
      </c>
      <c r="BD242" s="199">
        <f>$P242*BD$34-$Q242</f>
        <v/>
      </c>
      <c r="BE242" s="199">
        <f>$P242*BE$34-$Q242</f>
        <v/>
      </c>
      <c r="BF242" s="199">
        <f>$P242*BF$34-$Q242</f>
        <v/>
      </c>
      <c r="BH242" s="198">
        <f>$G242</f>
        <v/>
      </c>
      <c r="BI242" s="197">
        <f>$I242</f>
        <v/>
      </c>
      <c r="BJ242" s="197">
        <f>+BJ243</f>
        <v/>
      </c>
      <c r="BK242" s="197">
        <f>+BK243</f>
        <v/>
      </c>
      <c r="BL242" s="197">
        <f>+BL243</f>
        <v/>
      </c>
      <c r="BM242" s="197">
        <f>+BM243</f>
        <v/>
      </c>
      <c r="BN242" s="197">
        <f>+BN243</f>
        <v/>
      </c>
      <c r="BP242" s="198">
        <f>$G242</f>
        <v/>
      </c>
      <c r="BQ242" s="197">
        <f>$J242</f>
        <v/>
      </c>
      <c r="BR242" s="197">
        <f>+BR243</f>
        <v/>
      </c>
      <c r="BS242" s="197">
        <f>+BS243</f>
        <v/>
      </c>
      <c r="BT242" s="197">
        <f>+BT243</f>
        <v/>
      </c>
      <c r="BU242" s="197">
        <f>+BU243</f>
        <v/>
      </c>
      <c r="BV242" s="197">
        <f>+BV243</f>
        <v/>
      </c>
      <c r="BX242" s="198">
        <f>$G242</f>
        <v/>
      </c>
      <c r="BY242" s="197">
        <f>$K242</f>
        <v/>
      </c>
      <c r="BZ242" s="197">
        <f>+BZ243</f>
        <v/>
      </c>
      <c r="CA242" s="197">
        <f>+CA243</f>
        <v/>
      </c>
      <c r="CB242" s="197">
        <f>+CB243</f>
        <v/>
      </c>
      <c r="CC242" s="197">
        <f>+CC243</f>
        <v/>
      </c>
      <c r="CD242" s="197">
        <f>+CD243</f>
        <v/>
      </c>
      <c r="CF242" s="198">
        <f>$G242</f>
        <v/>
      </c>
      <c r="CG242" s="197">
        <f>$L242</f>
        <v/>
      </c>
      <c r="CH242" s="197">
        <f>+CH243</f>
        <v/>
      </c>
      <c r="CI242" s="197">
        <f>+CI243</f>
        <v/>
      </c>
      <c r="CJ242" s="197">
        <f>+CJ243</f>
        <v/>
      </c>
      <c r="CK242" s="197">
        <f>+CK243</f>
        <v/>
      </c>
      <c r="CL242" s="197">
        <f>+CL243</f>
        <v/>
      </c>
      <c r="CO242" s="199" t="n">
        <v>7.936957235538546</v>
      </c>
      <c r="CP242" s="199" t="n">
        <v>2.64</v>
      </c>
      <c r="CR242" s="199" t="n">
        <v>7.01</v>
      </c>
      <c r="CS242" s="970" t="n">
        <v>0.8832100000000001</v>
      </c>
    </row>
    <row r="243">
      <c r="B243" s="204">
        <f>+C243-1</f>
        <v/>
      </c>
      <c r="C243" s="204">
        <f>IF('bands_A-H_Avg'!$D$9+1&gt;MONTH(G243),YEAR(G243),YEAR(G243)+1)</f>
        <v/>
      </c>
      <c r="D243" s="204">
        <f>+C243+1</f>
        <v/>
      </c>
      <c r="E243" s="203">
        <f>IF(C243&gt;C242,1,E242+1)</f>
        <v/>
      </c>
      <c r="F243" s="203">
        <f>COUNTIF(C:C,C243)</f>
        <v/>
      </c>
      <c r="G243" s="198">
        <f>+G242+7</f>
        <v/>
      </c>
      <c r="H243" s="361">
        <f>IF(ISBLANK(CO243),CP243,SUMPRODUCT(CO$32:CP$32,CO243:CP243))</f>
        <v/>
      </c>
      <c r="I243" s="968">
        <f>H243/M243</f>
        <v/>
      </c>
      <c r="J243" s="968">
        <f>H243/N243</f>
        <v/>
      </c>
      <c r="K243" s="968">
        <f>(H243+Q243)/O243</f>
        <v/>
      </c>
      <c r="L243" s="968">
        <f>(H243+Q243)/P243</f>
        <v/>
      </c>
      <c r="M243" s="199">
        <f>HLOOKUP(C:C,$4:$10,3,FALSE)+((HLOOKUP(D:D,$4:$10,3,FALSE)-HLOOKUP(C:C,$4:$10,3,FALSE))*E243/F243)</f>
        <v/>
      </c>
      <c r="N243" s="199">
        <f>HLOOKUP(C:C,$4:$10,2,FALSE)+((HLOOKUP(D:D,$4:$10,2,FALSE)-HLOOKUP(C:C,$4:$10,2,FALSE))*E243/F243)</f>
        <v/>
      </c>
      <c r="O243" s="199">
        <f>HLOOKUP(C:C,$4:$10,5,FALSE)+((HLOOKUP(D:D,$4:$10,5,FALSE)-HLOOKUP(C:C,$4:$10,5,FALSE))*E243/F243)</f>
        <v/>
      </c>
      <c r="P243" s="199">
        <f>HLOOKUP(C:C,$4:$10,4,FALSE)+((HLOOKUP(D:D,$4:$10,4,FALSE)-HLOOKUP(C:C,$4:$10,4,FALSE))*E243/F243)</f>
        <v/>
      </c>
      <c r="Q243" s="199">
        <f>HLOOKUP(B:B,$4:$10,6,FALSE)+((HLOOKUP(C:C,$4:$10,6,FALSE)-HLOOKUP(B:B,$4:$10,6,FALSE))*E243/F243)</f>
        <v/>
      </c>
      <c r="T243" s="198">
        <f>$G243</f>
        <v/>
      </c>
      <c r="U243" s="199">
        <f>H243/(HLOOKUP(B:B,$4:$10,3,FALSE)+((HLOOKUP(C:C,$4:$10,3,FALSE)-HLOOKUP(B:B,$4:$10,3,FALSE))*E243/F243))</f>
        <v/>
      </c>
      <c r="V243" s="969">
        <f>HLOOKUP(B:B,$4:$10,7,FALSE)+((HLOOKUP(C:C,$4:$10,7,FALSE)-HLOOKUP(B:B,$4:$10,7,FALSE))*E243/F243)</f>
        <v/>
      </c>
      <c r="AB243" s="198">
        <f>$G243</f>
        <v/>
      </c>
      <c r="AC243" s="199">
        <f>$H243</f>
        <v/>
      </c>
      <c r="AD243" s="199">
        <f>$M243*AD$34</f>
        <v/>
      </c>
      <c r="AE243" s="199">
        <f>$M243*AE$34</f>
        <v/>
      </c>
      <c r="AF243" s="199">
        <f>$M243*AF$34</f>
        <v/>
      </c>
      <c r="AG243" s="199">
        <f>$M243*AG$34</f>
        <v/>
      </c>
      <c r="AH243" s="199">
        <f>$M243*AH$34</f>
        <v/>
      </c>
      <c r="AJ243" s="198">
        <f>$G243</f>
        <v/>
      </c>
      <c r="AK243" s="199">
        <f>$H243</f>
        <v/>
      </c>
      <c r="AL243" s="199">
        <f>$N243*AL$34</f>
        <v/>
      </c>
      <c r="AM243" s="199">
        <f>$N243*AM$34</f>
        <v/>
      </c>
      <c r="AN243" s="199">
        <f>$N243*AN$34</f>
        <v/>
      </c>
      <c r="AO243" s="199">
        <f>$N243*AO$34</f>
        <v/>
      </c>
      <c r="AP243" s="199">
        <f>$N243*AP$34</f>
        <v/>
      </c>
      <c r="AR243" s="198">
        <f>$G243</f>
        <v/>
      </c>
      <c r="AS243" s="199">
        <f>$H243</f>
        <v/>
      </c>
      <c r="AT243" s="199">
        <f>$O243*AT$34-$Q243</f>
        <v/>
      </c>
      <c r="AU243" s="199">
        <f>$O243*AU$34-$Q243</f>
        <v/>
      </c>
      <c r="AV243" s="199">
        <f>$O243*AV$34-$Q243</f>
        <v/>
      </c>
      <c r="AW243" s="199">
        <f>$O243*AW$34-$Q243</f>
        <v/>
      </c>
      <c r="AX243" s="199">
        <f>$O243*AX$34-$Q243</f>
        <v/>
      </c>
      <c r="AZ243" s="198">
        <f>$G243</f>
        <v/>
      </c>
      <c r="BA243" s="199">
        <f>$H243</f>
        <v/>
      </c>
      <c r="BB243" s="199">
        <f>$P243*BB$34-$Q243</f>
        <v/>
      </c>
      <c r="BC243" s="199">
        <f>$P243*BC$34-$Q243</f>
        <v/>
      </c>
      <c r="BD243" s="199">
        <f>$P243*BD$34-$Q243</f>
        <v/>
      </c>
      <c r="BE243" s="199">
        <f>$P243*BE$34-$Q243</f>
        <v/>
      </c>
      <c r="BF243" s="199">
        <f>$P243*BF$34-$Q243</f>
        <v/>
      </c>
      <c r="BH243" s="198">
        <f>$G243</f>
        <v/>
      </c>
      <c r="BI243" s="197">
        <f>$I243</f>
        <v/>
      </c>
      <c r="BJ243" s="197">
        <f>+BJ244</f>
        <v/>
      </c>
      <c r="BK243" s="197">
        <f>+BK244</f>
        <v/>
      </c>
      <c r="BL243" s="197">
        <f>+BL244</f>
        <v/>
      </c>
      <c r="BM243" s="197">
        <f>+BM244</f>
        <v/>
      </c>
      <c r="BN243" s="197">
        <f>+BN244</f>
        <v/>
      </c>
      <c r="BP243" s="198">
        <f>$G243</f>
        <v/>
      </c>
      <c r="BQ243" s="197">
        <f>$J243</f>
        <v/>
      </c>
      <c r="BR243" s="197">
        <f>+BR244</f>
        <v/>
      </c>
      <c r="BS243" s="197">
        <f>+BS244</f>
        <v/>
      </c>
      <c r="BT243" s="197">
        <f>+BT244</f>
        <v/>
      </c>
      <c r="BU243" s="197">
        <f>+BU244</f>
        <v/>
      </c>
      <c r="BV243" s="197">
        <f>+BV244</f>
        <v/>
      </c>
      <c r="BX243" s="198">
        <f>$G243</f>
        <v/>
      </c>
      <c r="BY243" s="197">
        <f>$K243</f>
        <v/>
      </c>
      <c r="BZ243" s="197">
        <f>+BZ244</f>
        <v/>
      </c>
      <c r="CA243" s="197">
        <f>+CA244</f>
        <v/>
      </c>
      <c r="CB243" s="197">
        <f>+CB244</f>
        <v/>
      </c>
      <c r="CC243" s="197">
        <f>+CC244</f>
        <v/>
      </c>
      <c r="CD243" s="197">
        <f>+CD244</f>
        <v/>
      </c>
      <c r="CF243" s="198">
        <f>$G243</f>
        <v/>
      </c>
      <c r="CG243" s="197">
        <f>$L243</f>
        <v/>
      </c>
      <c r="CH243" s="197">
        <f>+CH244</f>
        <v/>
      </c>
      <c r="CI243" s="197">
        <f>+CI244</f>
        <v/>
      </c>
      <c r="CJ243" s="197">
        <f>+CJ244</f>
        <v/>
      </c>
      <c r="CK243" s="197">
        <f>+CK244</f>
        <v/>
      </c>
      <c r="CL243" s="197">
        <f>+CL244</f>
        <v/>
      </c>
      <c r="CO243" s="199" t="n">
        <v>7.653408317837544</v>
      </c>
      <c r="CP243" s="199" t="n">
        <v>3.15</v>
      </c>
      <c r="CR243" s="199" t="n">
        <v>6.75</v>
      </c>
      <c r="CS243" s="970" t="n">
        <v>0.88196</v>
      </c>
    </row>
    <row r="244">
      <c r="B244" s="204">
        <f>+C244-1</f>
        <v/>
      </c>
      <c r="C244" s="204">
        <f>IF('bands_A-H_Avg'!$D$9+1&gt;MONTH(G244),YEAR(G244),YEAR(G244)+1)</f>
        <v/>
      </c>
      <c r="D244" s="204">
        <f>+C244+1</f>
        <v/>
      </c>
      <c r="E244" s="203">
        <f>IF(C244&gt;C243,1,E243+1)</f>
        <v/>
      </c>
      <c r="F244" s="203">
        <f>COUNTIF(C:C,C244)</f>
        <v/>
      </c>
      <c r="G244" s="198">
        <f>+G243+7</f>
        <v/>
      </c>
      <c r="H244" s="361">
        <f>IF(ISBLANK(CO244),CP244,SUMPRODUCT(CO$32:CP$32,CO244:CP244))</f>
        <v/>
      </c>
      <c r="I244" s="968">
        <f>H244/M244</f>
        <v/>
      </c>
      <c r="J244" s="968">
        <f>H244/N244</f>
        <v/>
      </c>
      <c r="K244" s="968">
        <f>(H244+Q244)/O244</f>
        <v/>
      </c>
      <c r="L244" s="968">
        <f>(H244+Q244)/P244</f>
        <v/>
      </c>
      <c r="M244" s="199">
        <f>HLOOKUP(C:C,$4:$10,3,FALSE)+((HLOOKUP(D:D,$4:$10,3,FALSE)-HLOOKUP(C:C,$4:$10,3,FALSE))*E244/F244)</f>
        <v/>
      </c>
      <c r="N244" s="199">
        <f>HLOOKUP(C:C,$4:$10,2,FALSE)+((HLOOKUP(D:D,$4:$10,2,FALSE)-HLOOKUP(C:C,$4:$10,2,FALSE))*E244/F244)</f>
        <v/>
      </c>
      <c r="O244" s="199">
        <f>HLOOKUP(C:C,$4:$10,5,FALSE)+((HLOOKUP(D:D,$4:$10,5,FALSE)-HLOOKUP(C:C,$4:$10,5,FALSE))*E244/F244)</f>
        <v/>
      </c>
      <c r="P244" s="199">
        <f>HLOOKUP(C:C,$4:$10,4,FALSE)+((HLOOKUP(D:D,$4:$10,4,FALSE)-HLOOKUP(C:C,$4:$10,4,FALSE))*E244/F244)</f>
        <v/>
      </c>
      <c r="Q244" s="199">
        <f>HLOOKUP(B:B,$4:$10,6,FALSE)+((HLOOKUP(C:C,$4:$10,6,FALSE)-HLOOKUP(B:B,$4:$10,6,FALSE))*E244/F244)</f>
        <v/>
      </c>
      <c r="T244" s="198">
        <f>$G244</f>
        <v/>
      </c>
      <c r="U244" s="199">
        <f>H244/(HLOOKUP(B:B,$4:$10,3,FALSE)+((HLOOKUP(C:C,$4:$10,3,FALSE)-HLOOKUP(B:B,$4:$10,3,FALSE))*E244/F244))</f>
        <v/>
      </c>
      <c r="V244" s="969">
        <f>HLOOKUP(B:B,$4:$10,7,FALSE)+((HLOOKUP(C:C,$4:$10,7,FALSE)-HLOOKUP(B:B,$4:$10,7,FALSE))*E244/F244)</f>
        <v/>
      </c>
      <c r="AB244" s="198">
        <f>$G244</f>
        <v/>
      </c>
      <c r="AC244" s="199">
        <f>$H244</f>
        <v/>
      </c>
      <c r="AD244" s="199">
        <f>$M244*AD$34</f>
        <v/>
      </c>
      <c r="AE244" s="199">
        <f>$M244*AE$34</f>
        <v/>
      </c>
      <c r="AF244" s="199">
        <f>$M244*AF$34</f>
        <v/>
      </c>
      <c r="AG244" s="199">
        <f>$M244*AG$34</f>
        <v/>
      </c>
      <c r="AH244" s="199">
        <f>$M244*AH$34</f>
        <v/>
      </c>
      <c r="AJ244" s="198">
        <f>$G244</f>
        <v/>
      </c>
      <c r="AK244" s="199">
        <f>$H244</f>
        <v/>
      </c>
      <c r="AL244" s="199">
        <f>$N244*AL$34</f>
        <v/>
      </c>
      <c r="AM244" s="199">
        <f>$N244*AM$34</f>
        <v/>
      </c>
      <c r="AN244" s="199">
        <f>$N244*AN$34</f>
        <v/>
      </c>
      <c r="AO244" s="199">
        <f>$N244*AO$34</f>
        <v/>
      </c>
      <c r="AP244" s="199">
        <f>$N244*AP$34</f>
        <v/>
      </c>
      <c r="AR244" s="198">
        <f>$G244</f>
        <v/>
      </c>
      <c r="AS244" s="199">
        <f>$H244</f>
        <v/>
      </c>
      <c r="AT244" s="199">
        <f>$O244*AT$34-$Q244</f>
        <v/>
      </c>
      <c r="AU244" s="199">
        <f>$O244*AU$34-$Q244</f>
        <v/>
      </c>
      <c r="AV244" s="199">
        <f>$O244*AV$34-$Q244</f>
        <v/>
      </c>
      <c r="AW244" s="199">
        <f>$O244*AW$34-$Q244</f>
        <v/>
      </c>
      <c r="AX244" s="199">
        <f>$O244*AX$34-$Q244</f>
        <v/>
      </c>
      <c r="AZ244" s="198">
        <f>$G244</f>
        <v/>
      </c>
      <c r="BA244" s="199">
        <f>$H244</f>
        <v/>
      </c>
      <c r="BB244" s="199">
        <f>$P244*BB$34-$Q244</f>
        <v/>
      </c>
      <c r="BC244" s="199">
        <f>$P244*BC$34-$Q244</f>
        <v/>
      </c>
      <c r="BD244" s="199">
        <f>$P244*BD$34-$Q244</f>
        <v/>
      </c>
      <c r="BE244" s="199">
        <f>$P244*BE$34-$Q244</f>
        <v/>
      </c>
      <c r="BF244" s="199">
        <f>$P244*BF$34-$Q244</f>
        <v/>
      </c>
      <c r="BH244" s="198">
        <f>$G244</f>
        <v/>
      </c>
      <c r="BI244" s="197">
        <f>$I244</f>
        <v/>
      </c>
      <c r="BJ244" s="197">
        <f>+BJ245</f>
        <v/>
      </c>
      <c r="BK244" s="197">
        <f>+BK245</f>
        <v/>
      </c>
      <c r="BL244" s="197">
        <f>+BL245</f>
        <v/>
      </c>
      <c r="BM244" s="197">
        <f>+BM245</f>
        <v/>
      </c>
      <c r="BN244" s="197">
        <f>+BN245</f>
        <v/>
      </c>
      <c r="BP244" s="198">
        <f>$G244</f>
        <v/>
      </c>
      <c r="BQ244" s="197">
        <f>$J244</f>
        <v/>
      </c>
      <c r="BR244" s="197">
        <f>+BR245</f>
        <v/>
      </c>
      <c r="BS244" s="197">
        <f>+BS245</f>
        <v/>
      </c>
      <c r="BT244" s="197">
        <f>+BT245</f>
        <v/>
      </c>
      <c r="BU244" s="197">
        <f>+BU245</f>
        <v/>
      </c>
      <c r="BV244" s="197">
        <f>+BV245</f>
        <v/>
      </c>
      <c r="BX244" s="198">
        <f>$G244</f>
        <v/>
      </c>
      <c r="BY244" s="197">
        <f>$K244</f>
        <v/>
      </c>
      <c r="BZ244" s="197">
        <f>+BZ245</f>
        <v/>
      </c>
      <c r="CA244" s="197">
        <f>+CA245</f>
        <v/>
      </c>
      <c r="CB244" s="197">
        <f>+CB245</f>
        <v/>
      </c>
      <c r="CC244" s="197">
        <f>+CC245</f>
        <v/>
      </c>
      <c r="CD244" s="197">
        <f>+CD245</f>
        <v/>
      </c>
      <c r="CF244" s="198">
        <f>$G244</f>
        <v/>
      </c>
      <c r="CG244" s="197">
        <f>$L244</f>
        <v/>
      </c>
      <c r="CH244" s="197">
        <f>+CH245</f>
        <v/>
      </c>
      <c r="CI244" s="197">
        <f>+CI245</f>
        <v/>
      </c>
      <c r="CJ244" s="197">
        <f>+CJ245</f>
        <v/>
      </c>
      <c r="CK244" s="197">
        <f>+CK245</f>
        <v/>
      </c>
      <c r="CL244" s="197">
        <f>+CL245</f>
        <v/>
      </c>
      <c r="CO244" s="199" t="n">
        <v>6.808578128717246</v>
      </c>
      <c r="CP244" s="199" t="n">
        <v>2.94</v>
      </c>
      <c r="CR244" s="199" t="n">
        <v>6.01</v>
      </c>
      <c r="CS244" s="970" t="n">
        <v>0.88271</v>
      </c>
    </row>
    <row r="245">
      <c r="B245" s="204">
        <f>+C245-1</f>
        <v/>
      </c>
      <c r="C245" s="204">
        <f>IF('bands_A-H_Avg'!$D$9+1&gt;MONTH(G245),YEAR(G245),YEAR(G245)+1)</f>
        <v/>
      </c>
      <c r="D245" s="204">
        <f>+C245+1</f>
        <v/>
      </c>
      <c r="E245" s="203">
        <f>IF(C245&gt;C244,1,E244+1)</f>
        <v/>
      </c>
      <c r="F245" s="203">
        <f>COUNTIF(C:C,C245)</f>
        <v/>
      </c>
      <c r="G245" s="198">
        <f>+G244+7</f>
        <v/>
      </c>
      <c r="H245" s="361">
        <f>IF(ISBLANK(CO245),CP245,SUMPRODUCT(CO$32:CP$32,CO245:CP245))</f>
        <v/>
      </c>
      <c r="I245" s="968">
        <f>H245/M245</f>
        <v/>
      </c>
      <c r="J245" s="968">
        <f>H245/N245</f>
        <v/>
      </c>
      <c r="K245" s="968">
        <f>(H245+Q245)/O245</f>
        <v/>
      </c>
      <c r="L245" s="968">
        <f>(H245+Q245)/P245</f>
        <v/>
      </c>
      <c r="M245" s="199">
        <f>HLOOKUP(C:C,$4:$10,3,FALSE)+((HLOOKUP(D:D,$4:$10,3,FALSE)-HLOOKUP(C:C,$4:$10,3,FALSE))*E245/F245)</f>
        <v/>
      </c>
      <c r="N245" s="199">
        <f>HLOOKUP(C:C,$4:$10,2,FALSE)+((HLOOKUP(D:D,$4:$10,2,FALSE)-HLOOKUP(C:C,$4:$10,2,FALSE))*E245/F245)</f>
        <v/>
      </c>
      <c r="O245" s="199">
        <f>HLOOKUP(C:C,$4:$10,5,FALSE)+((HLOOKUP(D:D,$4:$10,5,FALSE)-HLOOKUP(C:C,$4:$10,5,FALSE))*E245/F245)</f>
        <v/>
      </c>
      <c r="P245" s="199">
        <f>HLOOKUP(C:C,$4:$10,4,FALSE)+((HLOOKUP(D:D,$4:$10,4,FALSE)-HLOOKUP(C:C,$4:$10,4,FALSE))*E245/F245)</f>
        <v/>
      </c>
      <c r="Q245" s="199">
        <f>HLOOKUP(B:B,$4:$10,6,FALSE)+((HLOOKUP(C:C,$4:$10,6,FALSE)-HLOOKUP(B:B,$4:$10,6,FALSE))*E245/F245)</f>
        <v/>
      </c>
      <c r="T245" s="198">
        <f>$G245</f>
        <v/>
      </c>
      <c r="U245" s="199">
        <f>H245/(HLOOKUP(B:B,$4:$10,3,FALSE)+((HLOOKUP(C:C,$4:$10,3,FALSE)-HLOOKUP(B:B,$4:$10,3,FALSE))*E245/F245))</f>
        <v/>
      </c>
      <c r="V245" s="969">
        <f>HLOOKUP(B:B,$4:$10,7,FALSE)+((HLOOKUP(C:C,$4:$10,7,FALSE)-HLOOKUP(B:B,$4:$10,7,FALSE))*E245/F245)</f>
        <v/>
      </c>
      <c r="AB245" s="198">
        <f>$G245</f>
        <v/>
      </c>
      <c r="AC245" s="199">
        <f>$H245</f>
        <v/>
      </c>
      <c r="AD245" s="199">
        <f>$M245*AD$34</f>
        <v/>
      </c>
      <c r="AE245" s="199">
        <f>$M245*AE$34</f>
        <v/>
      </c>
      <c r="AF245" s="199">
        <f>$M245*AF$34</f>
        <v/>
      </c>
      <c r="AG245" s="199">
        <f>$M245*AG$34</f>
        <v/>
      </c>
      <c r="AH245" s="199">
        <f>$M245*AH$34</f>
        <v/>
      </c>
      <c r="AJ245" s="198">
        <f>$G245</f>
        <v/>
      </c>
      <c r="AK245" s="199">
        <f>$H245</f>
        <v/>
      </c>
      <c r="AL245" s="199">
        <f>$N245*AL$34</f>
        <v/>
      </c>
      <c r="AM245" s="199">
        <f>$N245*AM$34</f>
        <v/>
      </c>
      <c r="AN245" s="199">
        <f>$N245*AN$34</f>
        <v/>
      </c>
      <c r="AO245" s="199">
        <f>$N245*AO$34</f>
        <v/>
      </c>
      <c r="AP245" s="199">
        <f>$N245*AP$34</f>
        <v/>
      </c>
      <c r="AR245" s="198">
        <f>$G245</f>
        <v/>
      </c>
      <c r="AS245" s="199">
        <f>$H245</f>
        <v/>
      </c>
      <c r="AT245" s="199">
        <f>$O245*AT$34-$Q245</f>
        <v/>
      </c>
      <c r="AU245" s="199">
        <f>$O245*AU$34-$Q245</f>
        <v/>
      </c>
      <c r="AV245" s="199">
        <f>$O245*AV$34-$Q245</f>
        <v/>
      </c>
      <c r="AW245" s="199">
        <f>$O245*AW$34-$Q245</f>
        <v/>
      </c>
      <c r="AX245" s="199">
        <f>$O245*AX$34-$Q245</f>
        <v/>
      </c>
      <c r="AZ245" s="198">
        <f>$G245</f>
        <v/>
      </c>
      <c r="BA245" s="199">
        <f>$H245</f>
        <v/>
      </c>
      <c r="BB245" s="199">
        <f>$P245*BB$34-$Q245</f>
        <v/>
      </c>
      <c r="BC245" s="199">
        <f>$P245*BC$34-$Q245</f>
        <v/>
      </c>
      <c r="BD245" s="199">
        <f>$P245*BD$34-$Q245</f>
        <v/>
      </c>
      <c r="BE245" s="199">
        <f>$P245*BE$34-$Q245</f>
        <v/>
      </c>
      <c r="BF245" s="199">
        <f>$P245*BF$34-$Q245</f>
        <v/>
      </c>
      <c r="BH245" s="198">
        <f>$G245</f>
        <v/>
      </c>
      <c r="BI245" s="197">
        <f>$I245</f>
        <v/>
      </c>
      <c r="BJ245" s="197">
        <f>+BJ246</f>
        <v/>
      </c>
      <c r="BK245" s="197">
        <f>+BK246</f>
        <v/>
      </c>
      <c r="BL245" s="197">
        <f>+BL246</f>
        <v/>
      </c>
      <c r="BM245" s="197">
        <f>+BM246</f>
        <v/>
      </c>
      <c r="BN245" s="197">
        <f>+BN246</f>
        <v/>
      </c>
      <c r="BP245" s="198">
        <f>$G245</f>
        <v/>
      </c>
      <c r="BQ245" s="197">
        <f>$J245</f>
        <v/>
      </c>
      <c r="BR245" s="197">
        <f>+BR246</f>
        <v/>
      </c>
      <c r="BS245" s="197">
        <f>+BS246</f>
        <v/>
      </c>
      <c r="BT245" s="197">
        <f>+BT246</f>
        <v/>
      </c>
      <c r="BU245" s="197">
        <f>+BU246</f>
        <v/>
      </c>
      <c r="BV245" s="197">
        <f>+BV246</f>
        <v/>
      </c>
      <c r="BX245" s="198">
        <f>$G245</f>
        <v/>
      </c>
      <c r="BY245" s="197">
        <f>$K245</f>
        <v/>
      </c>
      <c r="BZ245" s="197">
        <f>+BZ246</f>
        <v/>
      </c>
      <c r="CA245" s="197">
        <f>+CA246</f>
        <v/>
      </c>
      <c r="CB245" s="197">
        <f>+CB246</f>
        <v/>
      </c>
      <c r="CC245" s="197">
        <f>+CC246</f>
        <v/>
      </c>
      <c r="CD245" s="197">
        <f>+CD246</f>
        <v/>
      </c>
      <c r="CF245" s="198">
        <f>$G245</f>
        <v/>
      </c>
      <c r="CG245" s="197">
        <f>$L245</f>
        <v/>
      </c>
      <c r="CH245" s="197">
        <f>+CH246</f>
        <v/>
      </c>
      <c r="CI245" s="197">
        <f>+CI246</f>
        <v/>
      </c>
      <c r="CJ245" s="197">
        <f>+CJ246</f>
        <v/>
      </c>
      <c r="CK245" s="197">
        <f>+CK246</f>
        <v/>
      </c>
      <c r="CL245" s="197">
        <f>+CL246</f>
        <v/>
      </c>
      <c r="CO245" s="199" t="n">
        <v>6.554848660111818</v>
      </c>
      <c r="CP245" s="199" t="n">
        <v>3.26</v>
      </c>
      <c r="CR245" s="199" t="n">
        <v>5.78</v>
      </c>
      <c r="CS245" s="970" t="n">
        <v>0.88179</v>
      </c>
    </row>
    <row r="246">
      <c r="B246" s="204">
        <f>+C246-1</f>
        <v/>
      </c>
      <c r="C246" s="204">
        <f>IF('bands_A-H_Avg'!$D$9+1&gt;MONTH(G246),YEAR(G246),YEAR(G246)+1)</f>
        <v/>
      </c>
      <c r="D246" s="204">
        <f>+C246+1</f>
        <v/>
      </c>
      <c r="E246" s="203">
        <f>IF(C246&gt;C245,1,E245+1)</f>
        <v/>
      </c>
      <c r="F246" s="203">
        <f>COUNTIF(C:C,C246)</f>
        <v/>
      </c>
      <c r="G246" s="198">
        <f>+G245+7</f>
        <v/>
      </c>
      <c r="H246" s="361">
        <f>IF(ISBLANK(CO246),CP246,SUMPRODUCT(CO$32:CP$32,CO246:CP246))</f>
        <v/>
      </c>
      <c r="I246" s="968">
        <f>H246/M246</f>
        <v/>
      </c>
      <c r="J246" s="968">
        <f>H246/N246</f>
        <v/>
      </c>
      <c r="K246" s="968">
        <f>(H246+Q246)/O246</f>
        <v/>
      </c>
      <c r="L246" s="968">
        <f>(H246+Q246)/P246</f>
        <v/>
      </c>
      <c r="M246" s="199">
        <f>HLOOKUP(C:C,$4:$10,3,FALSE)+((HLOOKUP(D:D,$4:$10,3,FALSE)-HLOOKUP(C:C,$4:$10,3,FALSE))*E246/F246)</f>
        <v/>
      </c>
      <c r="N246" s="199">
        <f>HLOOKUP(C:C,$4:$10,2,FALSE)+((HLOOKUP(D:D,$4:$10,2,FALSE)-HLOOKUP(C:C,$4:$10,2,FALSE))*E246/F246)</f>
        <v/>
      </c>
      <c r="O246" s="199">
        <f>HLOOKUP(C:C,$4:$10,5,FALSE)+((HLOOKUP(D:D,$4:$10,5,FALSE)-HLOOKUP(C:C,$4:$10,5,FALSE))*E246/F246)</f>
        <v/>
      </c>
      <c r="P246" s="199">
        <f>HLOOKUP(C:C,$4:$10,4,FALSE)+((HLOOKUP(D:D,$4:$10,4,FALSE)-HLOOKUP(C:C,$4:$10,4,FALSE))*E246/F246)</f>
        <v/>
      </c>
      <c r="Q246" s="199">
        <f>HLOOKUP(B:B,$4:$10,6,FALSE)+((HLOOKUP(C:C,$4:$10,6,FALSE)-HLOOKUP(B:B,$4:$10,6,FALSE))*E246/F246)</f>
        <v/>
      </c>
      <c r="T246" s="198">
        <f>$G246</f>
        <v/>
      </c>
      <c r="U246" s="199">
        <f>H246/(HLOOKUP(B:B,$4:$10,3,FALSE)+((HLOOKUP(C:C,$4:$10,3,FALSE)-HLOOKUP(B:B,$4:$10,3,FALSE))*E246/F246))</f>
        <v/>
      </c>
      <c r="V246" s="969">
        <f>HLOOKUP(B:B,$4:$10,7,FALSE)+((HLOOKUP(C:C,$4:$10,7,FALSE)-HLOOKUP(B:B,$4:$10,7,FALSE))*E246/F246)</f>
        <v/>
      </c>
      <c r="AB246" s="198">
        <f>$G246</f>
        <v/>
      </c>
      <c r="AC246" s="199">
        <f>$H246</f>
        <v/>
      </c>
      <c r="AD246" s="199">
        <f>$M246*AD$34</f>
        <v/>
      </c>
      <c r="AE246" s="199">
        <f>$M246*AE$34</f>
        <v/>
      </c>
      <c r="AF246" s="199">
        <f>$M246*AF$34</f>
        <v/>
      </c>
      <c r="AG246" s="199">
        <f>$M246*AG$34</f>
        <v/>
      </c>
      <c r="AH246" s="199">
        <f>$M246*AH$34</f>
        <v/>
      </c>
      <c r="AJ246" s="198">
        <f>$G246</f>
        <v/>
      </c>
      <c r="AK246" s="199">
        <f>$H246</f>
        <v/>
      </c>
      <c r="AL246" s="199">
        <f>$N246*AL$34</f>
        <v/>
      </c>
      <c r="AM246" s="199">
        <f>$N246*AM$34</f>
        <v/>
      </c>
      <c r="AN246" s="199">
        <f>$N246*AN$34</f>
        <v/>
      </c>
      <c r="AO246" s="199">
        <f>$N246*AO$34</f>
        <v/>
      </c>
      <c r="AP246" s="199">
        <f>$N246*AP$34</f>
        <v/>
      </c>
      <c r="AR246" s="198">
        <f>$G246</f>
        <v/>
      </c>
      <c r="AS246" s="199">
        <f>$H246</f>
        <v/>
      </c>
      <c r="AT246" s="199">
        <f>$O246*AT$34-$Q246</f>
        <v/>
      </c>
      <c r="AU246" s="199">
        <f>$O246*AU$34-$Q246</f>
        <v/>
      </c>
      <c r="AV246" s="199">
        <f>$O246*AV$34-$Q246</f>
        <v/>
      </c>
      <c r="AW246" s="199">
        <f>$O246*AW$34-$Q246</f>
        <v/>
      </c>
      <c r="AX246" s="199">
        <f>$O246*AX$34-$Q246</f>
        <v/>
      </c>
      <c r="AZ246" s="198">
        <f>$G246</f>
        <v/>
      </c>
      <c r="BA246" s="199">
        <f>$H246</f>
        <v/>
      </c>
      <c r="BB246" s="199">
        <f>$P246*BB$34-$Q246</f>
        <v/>
      </c>
      <c r="BC246" s="199">
        <f>$P246*BC$34-$Q246</f>
        <v/>
      </c>
      <c r="BD246" s="199">
        <f>$P246*BD$34-$Q246</f>
        <v/>
      </c>
      <c r="BE246" s="199">
        <f>$P246*BE$34-$Q246</f>
        <v/>
      </c>
      <c r="BF246" s="199">
        <f>$P246*BF$34-$Q246</f>
        <v/>
      </c>
      <c r="BH246" s="198">
        <f>$G246</f>
        <v/>
      </c>
      <c r="BI246" s="197">
        <f>$I246</f>
        <v/>
      </c>
      <c r="BJ246" s="197">
        <f>+BJ247</f>
        <v/>
      </c>
      <c r="BK246" s="197">
        <f>+BK247</f>
        <v/>
      </c>
      <c r="BL246" s="197">
        <f>+BL247</f>
        <v/>
      </c>
      <c r="BM246" s="197">
        <f>+BM247</f>
        <v/>
      </c>
      <c r="BN246" s="197">
        <f>+BN247</f>
        <v/>
      </c>
      <c r="BP246" s="198">
        <f>$G246</f>
        <v/>
      </c>
      <c r="BQ246" s="197">
        <f>$J246</f>
        <v/>
      </c>
      <c r="BR246" s="197">
        <f>+BR247</f>
        <v/>
      </c>
      <c r="BS246" s="197">
        <f>+BS247</f>
        <v/>
      </c>
      <c r="BT246" s="197">
        <f>+BT247</f>
        <v/>
      </c>
      <c r="BU246" s="197">
        <f>+BU247</f>
        <v/>
      </c>
      <c r="BV246" s="197">
        <f>+BV247</f>
        <v/>
      </c>
      <c r="BX246" s="198">
        <f>$G246</f>
        <v/>
      </c>
      <c r="BY246" s="197">
        <f>$K246</f>
        <v/>
      </c>
      <c r="BZ246" s="197">
        <f>+BZ247</f>
        <v/>
      </c>
      <c r="CA246" s="197">
        <f>+CA247</f>
        <v/>
      </c>
      <c r="CB246" s="197">
        <f>+CB247</f>
        <v/>
      </c>
      <c r="CC246" s="197">
        <f>+CC247</f>
        <v/>
      </c>
      <c r="CD246" s="197">
        <f>+CD247</f>
        <v/>
      </c>
      <c r="CF246" s="198">
        <f>$G246</f>
        <v/>
      </c>
      <c r="CG246" s="197">
        <f>$L246</f>
        <v/>
      </c>
      <c r="CH246" s="197">
        <f>+CH247</f>
        <v/>
      </c>
      <c r="CI246" s="197">
        <f>+CI247</f>
        <v/>
      </c>
      <c r="CJ246" s="197">
        <f>+CJ247</f>
        <v/>
      </c>
      <c r="CK246" s="197">
        <f>+CK247</f>
        <v/>
      </c>
      <c r="CL246" s="197">
        <f>+CL247</f>
        <v/>
      </c>
      <c r="CO246" s="199" t="n">
        <v>7.178417119334097</v>
      </c>
      <c r="CP246" s="199" t="n">
        <v>2.66</v>
      </c>
      <c r="CR246" s="199" t="n">
        <v>6.33</v>
      </c>
      <c r="CS246" s="970" t="n">
        <v>0.88181</v>
      </c>
    </row>
    <row r="247">
      <c r="B247" s="204">
        <f>+C247-1</f>
        <v/>
      </c>
      <c r="C247" s="204">
        <f>IF('bands_A-H_Avg'!$D$9+1&gt;MONTH(G247),YEAR(G247),YEAR(G247)+1)</f>
        <v/>
      </c>
      <c r="D247" s="204">
        <f>+C247+1</f>
        <v/>
      </c>
      <c r="E247" s="203">
        <f>IF(C247&gt;C246,1,E246+1)</f>
        <v/>
      </c>
      <c r="F247" s="203">
        <f>COUNTIF(C:C,C247)</f>
        <v/>
      </c>
      <c r="G247" s="198">
        <f>+G246+7</f>
        <v/>
      </c>
      <c r="H247" s="361">
        <f>IF(ISBLANK(CO247),CP247,SUMPRODUCT(CO$32:CP$32,CO247:CP247))</f>
        <v/>
      </c>
      <c r="I247" s="968">
        <f>H247/M247</f>
        <v/>
      </c>
      <c r="J247" s="968">
        <f>H247/N247</f>
        <v/>
      </c>
      <c r="K247" s="968">
        <f>(H247+Q247)/O247</f>
        <v/>
      </c>
      <c r="L247" s="968">
        <f>(H247+Q247)/P247</f>
        <v/>
      </c>
      <c r="M247" s="199">
        <f>HLOOKUP(C:C,$4:$10,3,FALSE)+((HLOOKUP(D:D,$4:$10,3,FALSE)-HLOOKUP(C:C,$4:$10,3,FALSE))*E247/F247)</f>
        <v/>
      </c>
      <c r="N247" s="199">
        <f>HLOOKUP(C:C,$4:$10,2,FALSE)+((HLOOKUP(D:D,$4:$10,2,FALSE)-HLOOKUP(C:C,$4:$10,2,FALSE))*E247/F247)</f>
        <v/>
      </c>
      <c r="O247" s="199">
        <f>HLOOKUP(C:C,$4:$10,5,FALSE)+((HLOOKUP(D:D,$4:$10,5,FALSE)-HLOOKUP(C:C,$4:$10,5,FALSE))*E247/F247)</f>
        <v/>
      </c>
      <c r="P247" s="199">
        <f>HLOOKUP(C:C,$4:$10,4,FALSE)+((HLOOKUP(D:D,$4:$10,4,FALSE)-HLOOKUP(C:C,$4:$10,4,FALSE))*E247/F247)</f>
        <v/>
      </c>
      <c r="Q247" s="199">
        <f>HLOOKUP(B:B,$4:$10,6,FALSE)+((HLOOKUP(C:C,$4:$10,6,FALSE)-HLOOKUP(B:B,$4:$10,6,FALSE))*E247/F247)</f>
        <v/>
      </c>
      <c r="T247" s="198">
        <f>$G247</f>
        <v/>
      </c>
      <c r="U247" s="199">
        <f>H247/(HLOOKUP(B:B,$4:$10,3,FALSE)+((HLOOKUP(C:C,$4:$10,3,FALSE)-HLOOKUP(B:B,$4:$10,3,FALSE))*E247/F247))</f>
        <v/>
      </c>
      <c r="V247" s="969">
        <f>HLOOKUP(B:B,$4:$10,7,FALSE)+((HLOOKUP(C:C,$4:$10,7,FALSE)-HLOOKUP(B:B,$4:$10,7,FALSE))*E247/F247)</f>
        <v/>
      </c>
      <c r="AB247" s="198">
        <f>$G247</f>
        <v/>
      </c>
      <c r="AC247" s="199">
        <f>$H247</f>
        <v/>
      </c>
      <c r="AD247" s="199">
        <f>$M247*AD$34</f>
        <v/>
      </c>
      <c r="AE247" s="199">
        <f>$M247*AE$34</f>
        <v/>
      </c>
      <c r="AF247" s="199">
        <f>$M247*AF$34</f>
        <v/>
      </c>
      <c r="AG247" s="199">
        <f>$M247*AG$34</f>
        <v/>
      </c>
      <c r="AH247" s="199">
        <f>$M247*AH$34</f>
        <v/>
      </c>
      <c r="AJ247" s="198">
        <f>$G247</f>
        <v/>
      </c>
      <c r="AK247" s="199">
        <f>$H247</f>
        <v/>
      </c>
      <c r="AL247" s="199">
        <f>$N247*AL$34</f>
        <v/>
      </c>
      <c r="AM247" s="199">
        <f>$N247*AM$34</f>
        <v/>
      </c>
      <c r="AN247" s="199">
        <f>$N247*AN$34</f>
        <v/>
      </c>
      <c r="AO247" s="199">
        <f>$N247*AO$34</f>
        <v/>
      </c>
      <c r="AP247" s="199">
        <f>$N247*AP$34</f>
        <v/>
      </c>
      <c r="AR247" s="198">
        <f>$G247</f>
        <v/>
      </c>
      <c r="AS247" s="199">
        <f>$H247</f>
        <v/>
      </c>
      <c r="AT247" s="199">
        <f>$O247*AT$34-$Q247</f>
        <v/>
      </c>
      <c r="AU247" s="199">
        <f>$O247*AU$34-$Q247</f>
        <v/>
      </c>
      <c r="AV247" s="199">
        <f>$O247*AV$34-$Q247</f>
        <v/>
      </c>
      <c r="AW247" s="199">
        <f>$O247*AW$34-$Q247</f>
        <v/>
      </c>
      <c r="AX247" s="199">
        <f>$O247*AX$34-$Q247</f>
        <v/>
      </c>
      <c r="AZ247" s="198">
        <f>$G247</f>
        <v/>
      </c>
      <c r="BA247" s="199">
        <f>$H247</f>
        <v/>
      </c>
      <c r="BB247" s="199">
        <f>$P247*BB$34-$Q247</f>
        <v/>
      </c>
      <c r="BC247" s="199">
        <f>$P247*BC$34-$Q247</f>
        <v/>
      </c>
      <c r="BD247" s="199">
        <f>$P247*BD$34-$Q247</f>
        <v/>
      </c>
      <c r="BE247" s="199">
        <f>$P247*BE$34-$Q247</f>
        <v/>
      </c>
      <c r="BF247" s="199">
        <f>$P247*BF$34-$Q247</f>
        <v/>
      </c>
      <c r="BH247" s="198">
        <f>$G247</f>
        <v/>
      </c>
      <c r="BI247" s="197">
        <f>$I247</f>
        <v/>
      </c>
      <c r="BJ247" s="197">
        <f>+BJ248</f>
        <v/>
      </c>
      <c r="BK247" s="197">
        <f>+BK248</f>
        <v/>
      </c>
      <c r="BL247" s="197">
        <f>+BL248</f>
        <v/>
      </c>
      <c r="BM247" s="197">
        <f>+BM248</f>
        <v/>
      </c>
      <c r="BN247" s="197">
        <f>+BN248</f>
        <v/>
      </c>
      <c r="BP247" s="198">
        <f>$G247</f>
        <v/>
      </c>
      <c r="BQ247" s="197">
        <f>$J247</f>
        <v/>
      </c>
      <c r="BR247" s="197">
        <f>+BR248</f>
        <v/>
      </c>
      <c r="BS247" s="197">
        <f>+BS248</f>
        <v/>
      </c>
      <c r="BT247" s="197">
        <f>+BT248</f>
        <v/>
      </c>
      <c r="BU247" s="197">
        <f>+BU248</f>
        <v/>
      </c>
      <c r="BV247" s="197">
        <f>+BV248</f>
        <v/>
      </c>
      <c r="BX247" s="198">
        <f>$G247</f>
        <v/>
      </c>
      <c r="BY247" s="197">
        <f>$K247</f>
        <v/>
      </c>
      <c r="BZ247" s="197">
        <f>+BZ248</f>
        <v/>
      </c>
      <c r="CA247" s="197">
        <f>+CA248</f>
        <v/>
      </c>
      <c r="CB247" s="197">
        <f>+CB248</f>
        <v/>
      </c>
      <c r="CC247" s="197">
        <f>+CC248</f>
        <v/>
      </c>
      <c r="CD247" s="197">
        <f>+CD248</f>
        <v/>
      </c>
      <c r="CF247" s="198">
        <f>$G247</f>
        <v/>
      </c>
      <c r="CG247" s="197">
        <f>$L247</f>
        <v/>
      </c>
      <c r="CH247" s="197">
        <f>+CH248</f>
        <v/>
      </c>
      <c r="CI247" s="197">
        <f>+CI248</f>
        <v/>
      </c>
      <c r="CJ247" s="197">
        <f>+CJ248</f>
        <v/>
      </c>
      <c r="CK247" s="197">
        <f>+CK248</f>
        <v/>
      </c>
      <c r="CL247" s="197">
        <f>+CL248</f>
        <v/>
      </c>
      <c r="CO247" s="199" t="n">
        <v>7.058075936726959</v>
      </c>
      <c r="CP247" s="199" t="n">
        <v>2.37</v>
      </c>
      <c r="CR247" s="199" t="n">
        <v>6.22</v>
      </c>
      <c r="CS247" s="970" t="n">
        <v>0.88126</v>
      </c>
    </row>
    <row r="248">
      <c r="B248" s="204">
        <f>+C248-1</f>
        <v/>
      </c>
      <c r="C248" s="204">
        <f>IF('bands_A-H_Avg'!$D$9+1&gt;MONTH(G248),YEAR(G248),YEAR(G248)+1)</f>
        <v/>
      </c>
      <c r="D248" s="204">
        <f>+C248+1</f>
        <v/>
      </c>
      <c r="E248" s="203">
        <f>IF(C248&gt;C247,1,E247+1)</f>
        <v/>
      </c>
      <c r="F248" s="203">
        <f>COUNTIF(C:C,C248)</f>
        <v/>
      </c>
      <c r="G248" s="198">
        <f>+G247+7</f>
        <v/>
      </c>
      <c r="H248" s="361">
        <f>IF(ISBLANK(CO248),CP248,SUMPRODUCT(CO$32:CP$32,CO248:CP248))</f>
        <v/>
      </c>
      <c r="I248" s="968">
        <f>H248/M248</f>
        <v/>
      </c>
      <c r="J248" s="968">
        <f>H248/N248</f>
        <v/>
      </c>
      <c r="K248" s="968">
        <f>(H248+Q248)/O248</f>
        <v/>
      </c>
      <c r="L248" s="968">
        <f>(H248+Q248)/P248</f>
        <v/>
      </c>
      <c r="M248" s="199">
        <f>HLOOKUP(C:C,$4:$10,3,FALSE)+((HLOOKUP(D:D,$4:$10,3,FALSE)-HLOOKUP(C:C,$4:$10,3,FALSE))*E248/F248)</f>
        <v/>
      </c>
      <c r="N248" s="199">
        <f>HLOOKUP(C:C,$4:$10,2,FALSE)+((HLOOKUP(D:D,$4:$10,2,FALSE)-HLOOKUP(C:C,$4:$10,2,FALSE))*E248/F248)</f>
        <v/>
      </c>
      <c r="O248" s="199">
        <f>HLOOKUP(C:C,$4:$10,5,FALSE)+((HLOOKUP(D:D,$4:$10,5,FALSE)-HLOOKUP(C:C,$4:$10,5,FALSE))*E248/F248)</f>
        <v/>
      </c>
      <c r="P248" s="199">
        <f>HLOOKUP(C:C,$4:$10,4,FALSE)+((HLOOKUP(D:D,$4:$10,4,FALSE)-HLOOKUP(C:C,$4:$10,4,FALSE))*E248/F248)</f>
        <v/>
      </c>
      <c r="Q248" s="199">
        <f>HLOOKUP(B:B,$4:$10,6,FALSE)+((HLOOKUP(C:C,$4:$10,6,FALSE)-HLOOKUP(B:B,$4:$10,6,FALSE))*E248/F248)</f>
        <v/>
      </c>
      <c r="T248" s="198">
        <f>$G248</f>
        <v/>
      </c>
      <c r="U248" s="199">
        <f>H248/(HLOOKUP(B:B,$4:$10,3,FALSE)+((HLOOKUP(C:C,$4:$10,3,FALSE)-HLOOKUP(B:B,$4:$10,3,FALSE))*E248/F248))</f>
        <v/>
      </c>
      <c r="V248" s="969">
        <f>HLOOKUP(B:B,$4:$10,7,FALSE)+((HLOOKUP(C:C,$4:$10,7,FALSE)-HLOOKUP(B:B,$4:$10,7,FALSE))*E248/F248)</f>
        <v/>
      </c>
      <c r="AB248" s="198">
        <f>$G248</f>
        <v/>
      </c>
      <c r="AC248" s="199">
        <f>$H248</f>
        <v/>
      </c>
      <c r="AD248" s="199">
        <f>$M248*AD$34</f>
        <v/>
      </c>
      <c r="AE248" s="199">
        <f>$M248*AE$34</f>
        <v/>
      </c>
      <c r="AF248" s="199">
        <f>$M248*AF$34</f>
        <v/>
      </c>
      <c r="AG248" s="199">
        <f>$M248*AG$34</f>
        <v/>
      </c>
      <c r="AH248" s="199">
        <f>$M248*AH$34</f>
        <v/>
      </c>
      <c r="AJ248" s="198">
        <f>$G248</f>
        <v/>
      </c>
      <c r="AK248" s="199">
        <f>$H248</f>
        <v/>
      </c>
      <c r="AL248" s="199">
        <f>$N248*AL$34</f>
        <v/>
      </c>
      <c r="AM248" s="199">
        <f>$N248*AM$34</f>
        <v/>
      </c>
      <c r="AN248" s="199">
        <f>$N248*AN$34</f>
        <v/>
      </c>
      <c r="AO248" s="199">
        <f>$N248*AO$34</f>
        <v/>
      </c>
      <c r="AP248" s="199">
        <f>$N248*AP$34</f>
        <v/>
      </c>
      <c r="AR248" s="198">
        <f>$G248</f>
        <v/>
      </c>
      <c r="AS248" s="199">
        <f>$H248</f>
        <v/>
      </c>
      <c r="AT248" s="199">
        <f>$O248*AT$34-$Q248</f>
        <v/>
      </c>
      <c r="AU248" s="199">
        <f>$O248*AU$34-$Q248</f>
        <v/>
      </c>
      <c r="AV248" s="199">
        <f>$O248*AV$34-$Q248</f>
        <v/>
      </c>
      <c r="AW248" s="199">
        <f>$O248*AW$34-$Q248</f>
        <v/>
      </c>
      <c r="AX248" s="199">
        <f>$O248*AX$34-$Q248</f>
        <v/>
      </c>
      <c r="AZ248" s="198">
        <f>$G248</f>
        <v/>
      </c>
      <c r="BA248" s="199">
        <f>$H248</f>
        <v/>
      </c>
      <c r="BB248" s="199">
        <f>$P248*BB$34-$Q248</f>
        <v/>
      </c>
      <c r="BC248" s="199">
        <f>$P248*BC$34-$Q248</f>
        <v/>
      </c>
      <c r="BD248" s="199">
        <f>$P248*BD$34-$Q248</f>
        <v/>
      </c>
      <c r="BE248" s="199">
        <f>$P248*BE$34-$Q248</f>
        <v/>
      </c>
      <c r="BF248" s="199">
        <f>$P248*BF$34-$Q248</f>
        <v/>
      </c>
      <c r="BH248" s="198">
        <f>$G248</f>
        <v/>
      </c>
      <c r="BI248" s="197">
        <f>$I248</f>
        <v/>
      </c>
      <c r="BJ248" s="197">
        <f>+BJ249</f>
        <v/>
      </c>
      <c r="BK248" s="197">
        <f>+BK249</f>
        <v/>
      </c>
      <c r="BL248" s="197">
        <f>+BL249</f>
        <v/>
      </c>
      <c r="BM248" s="197">
        <f>+BM249</f>
        <v/>
      </c>
      <c r="BN248" s="197">
        <f>+BN249</f>
        <v/>
      </c>
      <c r="BP248" s="198">
        <f>$G248</f>
        <v/>
      </c>
      <c r="BQ248" s="197">
        <f>$J248</f>
        <v/>
      </c>
      <c r="BR248" s="197">
        <f>+BR249</f>
        <v/>
      </c>
      <c r="BS248" s="197">
        <f>+BS249</f>
        <v/>
      </c>
      <c r="BT248" s="197">
        <f>+BT249</f>
        <v/>
      </c>
      <c r="BU248" s="197">
        <f>+BU249</f>
        <v/>
      </c>
      <c r="BV248" s="197">
        <f>+BV249</f>
        <v/>
      </c>
      <c r="BX248" s="198">
        <f>$G248</f>
        <v/>
      </c>
      <c r="BY248" s="197">
        <f>$K248</f>
        <v/>
      </c>
      <c r="BZ248" s="197">
        <f>+BZ249</f>
        <v/>
      </c>
      <c r="CA248" s="197">
        <f>+CA249</f>
        <v/>
      </c>
      <c r="CB248" s="197">
        <f>+CB249</f>
        <v/>
      </c>
      <c r="CC248" s="197">
        <f>+CC249</f>
        <v/>
      </c>
      <c r="CD248" s="197">
        <f>+CD249</f>
        <v/>
      </c>
      <c r="CF248" s="198">
        <f>$G248</f>
        <v/>
      </c>
      <c r="CG248" s="197">
        <f>$L248</f>
        <v/>
      </c>
      <c r="CH248" s="197">
        <f>+CH249</f>
        <v/>
      </c>
      <c r="CI248" s="197">
        <f>+CI249</f>
        <v/>
      </c>
      <c r="CJ248" s="197">
        <f>+CJ249</f>
        <v/>
      </c>
      <c r="CK248" s="197">
        <f>+CK249</f>
        <v/>
      </c>
      <c r="CL248" s="197">
        <f>+CL249</f>
        <v/>
      </c>
      <c r="CO248" s="199" t="n">
        <v>7.044090790503522</v>
      </c>
      <c r="CP248" s="199" t="n">
        <v>2.35</v>
      </c>
      <c r="CR248" s="199" t="n">
        <v>6.21</v>
      </c>
      <c r="CS248" s="970" t="n">
        <v>0.88159</v>
      </c>
    </row>
    <row r="249">
      <c r="B249" s="204">
        <f>+C249-1</f>
        <v/>
      </c>
      <c r="C249" s="204">
        <f>IF('bands_A-H_Avg'!$D$9+1&gt;MONTH(G249),YEAR(G249),YEAR(G249)+1)</f>
        <v/>
      </c>
      <c r="D249" s="204">
        <f>+C249+1</f>
        <v/>
      </c>
      <c r="E249" s="203">
        <f>IF(C249&gt;C248,1,E248+1)</f>
        <v/>
      </c>
      <c r="F249" s="203">
        <f>COUNTIF(C:C,C249)</f>
        <v/>
      </c>
      <c r="G249" s="198">
        <f>+G248+7</f>
        <v/>
      </c>
      <c r="H249" s="361">
        <f>IF(ISBLANK(CO249),CP249,SUMPRODUCT(CO$32:CP$32,CO249:CP249))</f>
        <v/>
      </c>
      <c r="I249" s="968">
        <f>H249/M249</f>
        <v/>
      </c>
      <c r="J249" s="968">
        <f>H249/N249</f>
        <v/>
      </c>
      <c r="K249" s="968">
        <f>(H249+Q249)/O249</f>
        <v/>
      </c>
      <c r="L249" s="968">
        <f>(H249+Q249)/P249</f>
        <v/>
      </c>
      <c r="M249" s="199">
        <f>HLOOKUP(C:C,$4:$10,3,FALSE)+((HLOOKUP(D:D,$4:$10,3,FALSE)-HLOOKUP(C:C,$4:$10,3,FALSE))*E249/F249)</f>
        <v/>
      </c>
      <c r="N249" s="199">
        <f>HLOOKUP(C:C,$4:$10,2,FALSE)+((HLOOKUP(D:D,$4:$10,2,FALSE)-HLOOKUP(C:C,$4:$10,2,FALSE))*E249/F249)</f>
        <v/>
      </c>
      <c r="O249" s="199">
        <f>HLOOKUP(C:C,$4:$10,5,FALSE)+((HLOOKUP(D:D,$4:$10,5,FALSE)-HLOOKUP(C:C,$4:$10,5,FALSE))*E249/F249)</f>
        <v/>
      </c>
      <c r="P249" s="199">
        <f>HLOOKUP(C:C,$4:$10,4,FALSE)+((HLOOKUP(D:D,$4:$10,4,FALSE)-HLOOKUP(C:C,$4:$10,4,FALSE))*E249/F249)</f>
        <v/>
      </c>
      <c r="Q249" s="199">
        <f>HLOOKUP(B:B,$4:$10,6,FALSE)+((HLOOKUP(C:C,$4:$10,6,FALSE)-HLOOKUP(B:B,$4:$10,6,FALSE))*E249/F249)</f>
        <v/>
      </c>
      <c r="T249" s="198">
        <f>$G249</f>
        <v/>
      </c>
      <c r="U249" s="199">
        <f>H249/(HLOOKUP(B:B,$4:$10,3,FALSE)+((HLOOKUP(C:C,$4:$10,3,FALSE)-HLOOKUP(B:B,$4:$10,3,FALSE))*E249/F249))</f>
        <v/>
      </c>
      <c r="V249" s="969">
        <f>HLOOKUP(B:B,$4:$10,7,FALSE)+((HLOOKUP(C:C,$4:$10,7,FALSE)-HLOOKUP(B:B,$4:$10,7,FALSE))*E249/F249)</f>
        <v/>
      </c>
      <c r="AB249" s="198">
        <f>$G249</f>
        <v/>
      </c>
      <c r="AC249" s="199">
        <f>$H249</f>
        <v/>
      </c>
      <c r="AD249" s="199">
        <f>$M249*AD$34</f>
        <v/>
      </c>
      <c r="AE249" s="199">
        <f>$M249*AE$34</f>
        <v/>
      </c>
      <c r="AF249" s="199">
        <f>$M249*AF$34</f>
        <v/>
      </c>
      <c r="AG249" s="199">
        <f>$M249*AG$34</f>
        <v/>
      </c>
      <c r="AH249" s="199">
        <f>$M249*AH$34</f>
        <v/>
      </c>
      <c r="AJ249" s="198">
        <f>$G249</f>
        <v/>
      </c>
      <c r="AK249" s="199">
        <f>$H249</f>
        <v/>
      </c>
      <c r="AL249" s="199">
        <f>$N249*AL$34</f>
        <v/>
      </c>
      <c r="AM249" s="199">
        <f>$N249*AM$34</f>
        <v/>
      </c>
      <c r="AN249" s="199">
        <f>$N249*AN$34</f>
        <v/>
      </c>
      <c r="AO249" s="199">
        <f>$N249*AO$34</f>
        <v/>
      </c>
      <c r="AP249" s="199">
        <f>$N249*AP$34</f>
        <v/>
      </c>
      <c r="AR249" s="198">
        <f>$G249</f>
        <v/>
      </c>
      <c r="AS249" s="199">
        <f>$H249</f>
        <v/>
      </c>
      <c r="AT249" s="199">
        <f>$O249*AT$34-$Q249</f>
        <v/>
      </c>
      <c r="AU249" s="199">
        <f>$O249*AU$34-$Q249</f>
        <v/>
      </c>
      <c r="AV249" s="199">
        <f>$O249*AV$34-$Q249</f>
        <v/>
      </c>
      <c r="AW249" s="199">
        <f>$O249*AW$34-$Q249</f>
        <v/>
      </c>
      <c r="AX249" s="199">
        <f>$O249*AX$34-$Q249</f>
        <v/>
      </c>
      <c r="AZ249" s="198">
        <f>$G249</f>
        <v/>
      </c>
      <c r="BA249" s="199">
        <f>$H249</f>
        <v/>
      </c>
      <c r="BB249" s="199">
        <f>$P249*BB$34-$Q249</f>
        <v/>
      </c>
      <c r="BC249" s="199">
        <f>$P249*BC$34-$Q249</f>
        <v/>
      </c>
      <c r="BD249" s="199">
        <f>$P249*BD$34-$Q249</f>
        <v/>
      </c>
      <c r="BE249" s="199">
        <f>$P249*BE$34-$Q249</f>
        <v/>
      </c>
      <c r="BF249" s="199">
        <f>$P249*BF$34-$Q249</f>
        <v/>
      </c>
      <c r="BH249" s="198">
        <f>$G249</f>
        <v/>
      </c>
      <c r="BI249" s="197">
        <f>$I249</f>
        <v/>
      </c>
      <c r="BJ249" s="197">
        <f>+BJ250</f>
        <v/>
      </c>
      <c r="BK249" s="197">
        <f>+BK250</f>
        <v/>
      </c>
      <c r="BL249" s="197">
        <f>+BL250</f>
        <v/>
      </c>
      <c r="BM249" s="197">
        <f>+BM250</f>
        <v/>
      </c>
      <c r="BN249" s="197">
        <f>+BN250</f>
        <v/>
      </c>
      <c r="BP249" s="198">
        <f>$G249</f>
        <v/>
      </c>
      <c r="BQ249" s="197">
        <f>$J249</f>
        <v/>
      </c>
      <c r="BR249" s="197">
        <f>+BR250</f>
        <v/>
      </c>
      <c r="BS249" s="197">
        <f>+BS250</f>
        <v/>
      </c>
      <c r="BT249" s="197">
        <f>+BT250</f>
        <v/>
      </c>
      <c r="BU249" s="197">
        <f>+BU250</f>
        <v/>
      </c>
      <c r="BV249" s="197">
        <f>+BV250</f>
        <v/>
      </c>
      <c r="BX249" s="198">
        <f>$G249</f>
        <v/>
      </c>
      <c r="BY249" s="197">
        <f>$K249</f>
        <v/>
      </c>
      <c r="BZ249" s="197">
        <f>+BZ250</f>
        <v/>
      </c>
      <c r="CA249" s="197">
        <f>+CA250</f>
        <v/>
      </c>
      <c r="CB249" s="197">
        <f>+CB250</f>
        <v/>
      </c>
      <c r="CC249" s="197">
        <f>+CC250</f>
        <v/>
      </c>
      <c r="CD249" s="197">
        <f>+CD250</f>
        <v/>
      </c>
      <c r="CF249" s="198">
        <f>$G249</f>
        <v/>
      </c>
      <c r="CG249" s="197">
        <f>$L249</f>
        <v/>
      </c>
      <c r="CH249" s="197">
        <f>+CH250</f>
        <v/>
      </c>
      <c r="CI249" s="197">
        <f>+CI250</f>
        <v/>
      </c>
      <c r="CJ249" s="197">
        <f>+CJ250</f>
        <v/>
      </c>
      <c r="CK249" s="197">
        <f>+CK250</f>
        <v/>
      </c>
      <c r="CL249" s="197">
        <f>+CL250</f>
        <v/>
      </c>
      <c r="CO249" s="199" t="n">
        <v>7.04544938848676</v>
      </c>
      <c r="CP249" s="199" t="n">
        <v>2.5</v>
      </c>
      <c r="CR249" s="199" t="n">
        <v>6.21</v>
      </c>
      <c r="CS249" s="970" t="n">
        <v>0.88142</v>
      </c>
    </row>
    <row r="250">
      <c r="B250" s="204">
        <f>+C250-1</f>
        <v/>
      </c>
      <c r="C250" s="204">
        <f>IF('bands_A-H_Avg'!$D$9+1&gt;MONTH(G250),YEAR(G250),YEAR(G250)+1)</f>
        <v/>
      </c>
      <c r="D250" s="204">
        <f>+C250+1</f>
        <v/>
      </c>
      <c r="E250" s="203">
        <f>IF(C250&gt;C249,1,E249+1)</f>
        <v/>
      </c>
      <c r="F250" s="203">
        <f>COUNTIF(C:C,C250)</f>
        <v/>
      </c>
      <c r="G250" s="198">
        <f>+G249+7</f>
        <v/>
      </c>
      <c r="H250" s="361">
        <f>IF(ISBLANK(CO250),CP250,SUMPRODUCT(CO$32:CP$32,CO250:CP250))</f>
        <v/>
      </c>
      <c r="I250" s="968">
        <f>H250/M250</f>
        <v/>
      </c>
      <c r="J250" s="968">
        <f>H250/N250</f>
        <v/>
      </c>
      <c r="K250" s="968">
        <f>(H250+Q250)/O250</f>
        <v/>
      </c>
      <c r="L250" s="968">
        <f>(H250+Q250)/P250</f>
        <v/>
      </c>
      <c r="M250" s="199">
        <f>HLOOKUP(C:C,$4:$10,3,FALSE)+((HLOOKUP(D:D,$4:$10,3,FALSE)-HLOOKUP(C:C,$4:$10,3,FALSE))*E250/F250)</f>
        <v/>
      </c>
      <c r="N250" s="199">
        <f>HLOOKUP(C:C,$4:$10,2,FALSE)+((HLOOKUP(D:D,$4:$10,2,FALSE)-HLOOKUP(C:C,$4:$10,2,FALSE))*E250/F250)</f>
        <v/>
      </c>
      <c r="O250" s="199">
        <f>HLOOKUP(C:C,$4:$10,5,FALSE)+((HLOOKUP(D:D,$4:$10,5,FALSE)-HLOOKUP(C:C,$4:$10,5,FALSE))*E250/F250)</f>
        <v/>
      </c>
      <c r="P250" s="199">
        <f>HLOOKUP(C:C,$4:$10,4,FALSE)+((HLOOKUP(D:D,$4:$10,4,FALSE)-HLOOKUP(C:C,$4:$10,4,FALSE))*E250/F250)</f>
        <v/>
      </c>
      <c r="Q250" s="199">
        <f>HLOOKUP(B:B,$4:$10,6,FALSE)+((HLOOKUP(C:C,$4:$10,6,FALSE)-HLOOKUP(B:B,$4:$10,6,FALSE))*E250/F250)</f>
        <v/>
      </c>
      <c r="T250" s="198">
        <f>$G250</f>
        <v/>
      </c>
      <c r="U250" s="199">
        <f>H250/(HLOOKUP(B:B,$4:$10,3,FALSE)+((HLOOKUP(C:C,$4:$10,3,FALSE)-HLOOKUP(B:B,$4:$10,3,FALSE))*E250/F250))</f>
        <v/>
      </c>
      <c r="V250" s="969">
        <f>HLOOKUP(B:B,$4:$10,7,FALSE)+((HLOOKUP(C:C,$4:$10,7,FALSE)-HLOOKUP(B:B,$4:$10,7,FALSE))*E250/F250)</f>
        <v/>
      </c>
      <c r="AB250" s="198">
        <f>$G250</f>
        <v/>
      </c>
      <c r="AC250" s="199">
        <f>$H250</f>
        <v/>
      </c>
      <c r="AD250" s="199">
        <f>$M250*AD$34</f>
        <v/>
      </c>
      <c r="AE250" s="199">
        <f>$M250*AE$34</f>
        <v/>
      </c>
      <c r="AF250" s="199">
        <f>$M250*AF$34</f>
        <v/>
      </c>
      <c r="AG250" s="199">
        <f>$M250*AG$34</f>
        <v/>
      </c>
      <c r="AH250" s="199">
        <f>$M250*AH$34</f>
        <v/>
      </c>
      <c r="AJ250" s="198">
        <f>$G250</f>
        <v/>
      </c>
      <c r="AK250" s="199">
        <f>$H250</f>
        <v/>
      </c>
      <c r="AL250" s="199">
        <f>$N250*AL$34</f>
        <v/>
      </c>
      <c r="AM250" s="199">
        <f>$N250*AM$34</f>
        <v/>
      </c>
      <c r="AN250" s="199">
        <f>$N250*AN$34</f>
        <v/>
      </c>
      <c r="AO250" s="199">
        <f>$N250*AO$34</f>
        <v/>
      </c>
      <c r="AP250" s="199">
        <f>$N250*AP$34</f>
        <v/>
      </c>
      <c r="AR250" s="198">
        <f>$G250</f>
        <v/>
      </c>
      <c r="AS250" s="199">
        <f>$H250</f>
        <v/>
      </c>
      <c r="AT250" s="199">
        <f>$O250*AT$34-$Q250</f>
        <v/>
      </c>
      <c r="AU250" s="199">
        <f>$O250*AU$34-$Q250</f>
        <v/>
      </c>
      <c r="AV250" s="199">
        <f>$O250*AV$34-$Q250</f>
        <v/>
      </c>
      <c r="AW250" s="199">
        <f>$O250*AW$34-$Q250</f>
        <v/>
      </c>
      <c r="AX250" s="199">
        <f>$O250*AX$34-$Q250</f>
        <v/>
      </c>
      <c r="AZ250" s="198">
        <f>$G250</f>
        <v/>
      </c>
      <c r="BA250" s="199">
        <f>$H250</f>
        <v/>
      </c>
      <c r="BB250" s="199">
        <f>$P250*BB$34-$Q250</f>
        <v/>
      </c>
      <c r="BC250" s="199">
        <f>$P250*BC$34-$Q250</f>
        <v/>
      </c>
      <c r="BD250" s="199">
        <f>$P250*BD$34-$Q250</f>
        <v/>
      </c>
      <c r="BE250" s="199">
        <f>$P250*BE$34-$Q250</f>
        <v/>
      </c>
      <c r="BF250" s="199">
        <f>$P250*BF$34-$Q250</f>
        <v/>
      </c>
      <c r="BH250" s="198">
        <f>$G250</f>
        <v/>
      </c>
      <c r="BI250" s="197">
        <f>$I250</f>
        <v/>
      </c>
      <c r="BJ250" s="197">
        <f>+BJ251</f>
        <v/>
      </c>
      <c r="BK250" s="197">
        <f>+BK251</f>
        <v/>
      </c>
      <c r="BL250" s="197">
        <f>+BL251</f>
        <v/>
      </c>
      <c r="BM250" s="197">
        <f>+BM251</f>
        <v/>
      </c>
      <c r="BN250" s="197">
        <f>+BN251</f>
        <v/>
      </c>
      <c r="BP250" s="198">
        <f>$G250</f>
        <v/>
      </c>
      <c r="BQ250" s="197">
        <f>$J250</f>
        <v/>
      </c>
      <c r="BR250" s="197">
        <f>+BR251</f>
        <v/>
      </c>
      <c r="BS250" s="197">
        <f>+BS251</f>
        <v/>
      </c>
      <c r="BT250" s="197">
        <f>+BT251</f>
        <v/>
      </c>
      <c r="BU250" s="197">
        <f>+BU251</f>
        <v/>
      </c>
      <c r="BV250" s="197">
        <f>+BV251</f>
        <v/>
      </c>
      <c r="BX250" s="198">
        <f>$G250</f>
        <v/>
      </c>
      <c r="BY250" s="197">
        <f>$K250</f>
        <v/>
      </c>
      <c r="BZ250" s="197">
        <f>+BZ251</f>
        <v/>
      </c>
      <c r="CA250" s="197">
        <f>+CA251</f>
        <v/>
      </c>
      <c r="CB250" s="197">
        <f>+CB251</f>
        <v/>
      </c>
      <c r="CC250" s="197">
        <f>+CC251</f>
        <v/>
      </c>
      <c r="CD250" s="197">
        <f>+CD251</f>
        <v/>
      </c>
      <c r="CF250" s="198">
        <f>$G250</f>
        <v/>
      </c>
      <c r="CG250" s="197">
        <f>$L250</f>
        <v/>
      </c>
      <c r="CH250" s="197">
        <f>+CH251</f>
        <v/>
      </c>
      <c r="CI250" s="197">
        <f>+CI251</f>
        <v/>
      </c>
      <c r="CJ250" s="197">
        <f>+CJ251</f>
        <v/>
      </c>
      <c r="CK250" s="197">
        <f>+CK251</f>
        <v/>
      </c>
      <c r="CL250" s="197">
        <f>+CL251</f>
        <v/>
      </c>
      <c r="CO250" s="199" t="n">
        <v>7.769963702359346</v>
      </c>
      <c r="CP250" s="199" t="n">
        <v>2.69</v>
      </c>
      <c r="CR250" s="199" t="n">
        <v>6.85</v>
      </c>
      <c r="CS250" s="970" t="n">
        <v>0.8816000000000001</v>
      </c>
    </row>
    <row r="251">
      <c r="B251" s="204">
        <f>+C251-1</f>
        <v/>
      </c>
      <c r="C251" s="204">
        <f>IF('bands_A-H_Avg'!$D$9+1&gt;MONTH(G251),YEAR(G251),YEAR(G251)+1)</f>
        <v/>
      </c>
      <c r="D251" s="204">
        <f>+C251+1</f>
        <v/>
      </c>
      <c r="E251" s="203">
        <f>IF(C251&gt;C250,1,E250+1)</f>
        <v/>
      </c>
      <c r="F251" s="203">
        <f>COUNTIF(C:C,C251)</f>
        <v/>
      </c>
      <c r="G251" s="198">
        <f>+G250+7</f>
        <v/>
      </c>
      <c r="H251" s="361">
        <f>IF(ISBLANK(CO251),CP251,SUMPRODUCT(CO$32:CP$32,CO251:CP251))</f>
        <v/>
      </c>
      <c r="I251" s="968">
        <f>H251/M251</f>
        <v/>
      </c>
      <c r="J251" s="968">
        <f>H251/N251</f>
        <v/>
      </c>
      <c r="K251" s="968">
        <f>(H251+Q251)/O251</f>
        <v/>
      </c>
      <c r="L251" s="968">
        <f>(H251+Q251)/P251</f>
        <v/>
      </c>
      <c r="M251" s="199">
        <f>HLOOKUP(C:C,$4:$10,3,FALSE)+((HLOOKUP(D:D,$4:$10,3,FALSE)-HLOOKUP(C:C,$4:$10,3,FALSE))*E251/F251)</f>
        <v/>
      </c>
      <c r="N251" s="199">
        <f>HLOOKUP(C:C,$4:$10,2,FALSE)+((HLOOKUP(D:D,$4:$10,2,FALSE)-HLOOKUP(C:C,$4:$10,2,FALSE))*E251/F251)</f>
        <v/>
      </c>
      <c r="O251" s="199">
        <f>HLOOKUP(C:C,$4:$10,5,FALSE)+((HLOOKUP(D:D,$4:$10,5,FALSE)-HLOOKUP(C:C,$4:$10,5,FALSE))*E251/F251)</f>
        <v/>
      </c>
      <c r="P251" s="199">
        <f>HLOOKUP(C:C,$4:$10,4,FALSE)+((HLOOKUP(D:D,$4:$10,4,FALSE)-HLOOKUP(C:C,$4:$10,4,FALSE))*E251/F251)</f>
        <v/>
      </c>
      <c r="Q251" s="199">
        <f>HLOOKUP(B:B,$4:$10,6,FALSE)+((HLOOKUP(C:C,$4:$10,6,FALSE)-HLOOKUP(B:B,$4:$10,6,FALSE))*E251/F251)</f>
        <v/>
      </c>
      <c r="T251" s="198">
        <f>$G251</f>
        <v/>
      </c>
      <c r="U251" s="199">
        <f>H251/(HLOOKUP(B:B,$4:$10,3,FALSE)+((HLOOKUP(C:C,$4:$10,3,FALSE)-HLOOKUP(B:B,$4:$10,3,FALSE))*E251/F251))</f>
        <v/>
      </c>
      <c r="V251" s="969">
        <f>HLOOKUP(B:B,$4:$10,7,FALSE)+((HLOOKUP(C:C,$4:$10,7,FALSE)-HLOOKUP(B:B,$4:$10,7,FALSE))*E251/F251)</f>
        <v/>
      </c>
      <c r="AB251" s="198">
        <f>$G251</f>
        <v/>
      </c>
      <c r="AC251" s="199">
        <f>$H251</f>
        <v/>
      </c>
      <c r="AD251" s="199">
        <f>$M251*AD$34</f>
        <v/>
      </c>
      <c r="AE251" s="199">
        <f>$M251*AE$34</f>
        <v/>
      </c>
      <c r="AF251" s="199">
        <f>$M251*AF$34</f>
        <v/>
      </c>
      <c r="AG251" s="199">
        <f>$M251*AG$34</f>
        <v/>
      </c>
      <c r="AH251" s="199">
        <f>$M251*AH$34</f>
        <v/>
      </c>
      <c r="AJ251" s="198">
        <f>$G251</f>
        <v/>
      </c>
      <c r="AK251" s="199">
        <f>$H251</f>
        <v/>
      </c>
      <c r="AL251" s="199">
        <f>$N251*AL$34</f>
        <v/>
      </c>
      <c r="AM251" s="199">
        <f>$N251*AM$34</f>
        <v/>
      </c>
      <c r="AN251" s="199">
        <f>$N251*AN$34</f>
        <v/>
      </c>
      <c r="AO251" s="199">
        <f>$N251*AO$34</f>
        <v/>
      </c>
      <c r="AP251" s="199">
        <f>$N251*AP$34</f>
        <v/>
      </c>
      <c r="AR251" s="198">
        <f>$G251</f>
        <v/>
      </c>
      <c r="AS251" s="199">
        <f>$H251</f>
        <v/>
      </c>
      <c r="AT251" s="199">
        <f>$O251*AT$34-$Q251</f>
        <v/>
      </c>
      <c r="AU251" s="199">
        <f>$O251*AU$34-$Q251</f>
        <v/>
      </c>
      <c r="AV251" s="199">
        <f>$O251*AV$34-$Q251</f>
        <v/>
      </c>
      <c r="AW251" s="199">
        <f>$O251*AW$34-$Q251</f>
        <v/>
      </c>
      <c r="AX251" s="199">
        <f>$O251*AX$34-$Q251</f>
        <v/>
      </c>
      <c r="AZ251" s="198">
        <f>$G251</f>
        <v/>
      </c>
      <c r="BA251" s="199">
        <f>$H251</f>
        <v/>
      </c>
      <c r="BB251" s="199">
        <f>$P251*BB$34-$Q251</f>
        <v/>
      </c>
      <c r="BC251" s="199">
        <f>$P251*BC$34-$Q251</f>
        <v/>
      </c>
      <c r="BD251" s="199">
        <f>$P251*BD$34-$Q251</f>
        <v/>
      </c>
      <c r="BE251" s="199">
        <f>$P251*BE$34-$Q251</f>
        <v/>
      </c>
      <c r="BF251" s="199">
        <f>$P251*BF$34-$Q251</f>
        <v/>
      </c>
      <c r="BH251" s="198">
        <f>$G251</f>
        <v/>
      </c>
      <c r="BI251" s="197">
        <f>$I251</f>
        <v/>
      </c>
      <c r="BJ251" s="197">
        <f>+BJ252</f>
        <v/>
      </c>
      <c r="BK251" s="197">
        <f>+BK252</f>
        <v/>
      </c>
      <c r="BL251" s="197">
        <f>+BL252</f>
        <v/>
      </c>
      <c r="BM251" s="197">
        <f>+BM252</f>
        <v/>
      </c>
      <c r="BN251" s="197">
        <f>+BN252</f>
        <v/>
      </c>
      <c r="BP251" s="198">
        <f>$G251</f>
        <v/>
      </c>
      <c r="BQ251" s="197">
        <f>$J251</f>
        <v/>
      </c>
      <c r="BR251" s="197">
        <f>+BR252</f>
        <v/>
      </c>
      <c r="BS251" s="197">
        <f>+BS252</f>
        <v/>
      </c>
      <c r="BT251" s="197">
        <f>+BT252</f>
        <v/>
      </c>
      <c r="BU251" s="197">
        <f>+BU252</f>
        <v/>
      </c>
      <c r="BV251" s="197">
        <f>+BV252</f>
        <v/>
      </c>
      <c r="BX251" s="198">
        <f>$G251</f>
        <v/>
      </c>
      <c r="BY251" s="197">
        <f>$K251</f>
        <v/>
      </c>
      <c r="BZ251" s="197">
        <f>+BZ252</f>
        <v/>
      </c>
      <c r="CA251" s="197">
        <f>+CA252</f>
        <v/>
      </c>
      <c r="CB251" s="197">
        <f>+CB252</f>
        <v/>
      </c>
      <c r="CC251" s="197">
        <f>+CC252</f>
        <v/>
      </c>
      <c r="CD251" s="197">
        <f>+CD252</f>
        <v/>
      </c>
      <c r="CF251" s="198">
        <f>$G251</f>
        <v/>
      </c>
      <c r="CG251" s="197">
        <f>$L251</f>
        <v/>
      </c>
      <c r="CH251" s="197">
        <f>+CH252</f>
        <v/>
      </c>
      <c r="CI251" s="197">
        <f>+CI252</f>
        <v/>
      </c>
      <c r="CJ251" s="197">
        <f>+CJ252</f>
        <v/>
      </c>
      <c r="CK251" s="197">
        <f>+CK252</f>
        <v/>
      </c>
      <c r="CL251" s="197">
        <f>+CL252</f>
        <v/>
      </c>
      <c r="CO251" s="199" t="n">
        <v>9.258418807297812</v>
      </c>
      <c r="CP251" s="199" t="n">
        <v>2.5</v>
      </c>
      <c r="CR251" s="199" t="n">
        <v>8.16</v>
      </c>
      <c r="CS251" s="970" t="n">
        <v>0.88136</v>
      </c>
    </row>
    <row r="252">
      <c r="B252" s="204">
        <f>+C252-1</f>
        <v/>
      </c>
      <c r="C252" s="204">
        <f>IF('bands_A-H_Avg'!$D$9+1&gt;MONTH(G252),YEAR(G252),YEAR(G252)+1)</f>
        <v/>
      </c>
      <c r="D252" s="204">
        <f>+C252+1</f>
        <v/>
      </c>
      <c r="E252" s="203">
        <f>IF(C252&gt;C251,1,E251+1)</f>
        <v/>
      </c>
      <c r="F252" s="203">
        <f>COUNTIF(C:C,C252)</f>
        <v/>
      </c>
      <c r="G252" s="198">
        <f>+G251+7</f>
        <v/>
      </c>
      <c r="H252" s="361">
        <f>IF(ISBLANK(CO252),CP252,SUMPRODUCT(CO$32:CP$32,CO252:CP252))</f>
        <v/>
      </c>
      <c r="I252" s="968">
        <f>H252/M252</f>
        <v/>
      </c>
      <c r="J252" s="968">
        <f>H252/N252</f>
        <v/>
      </c>
      <c r="K252" s="968">
        <f>(H252+Q252)/O252</f>
        <v/>
      </c>
      <c r="L252" s="968">
        <f>(H252+Q252)/P252</f>
        <v/>
      </c>
      <c r="M252" s="199">
        <f>HLOOKUP(C:C,$4:$10,3,FALSE)+((HLOOKUP(D:D,$4:$10,3,FALSE)-HLOOKUP(C:C,$4:$10,3,FALSE))*E252/F252)</f>
        <v/>
      </c>
      <c r="N252" s="199">
        <f>HLOOKUP(C:C,$4:$10,2,FALSE)+((HLOOKUP(D:D,$4:$10,2,FALSE)-HLOOKUP(C:C,$4:$10,2,FALSE))*E252/F252)</f>
        <v/>
      </c>
      <c r="O252" s="199">
        <f>HLOOKUP(C:C,$4:$10,5,FALSE)+((HLOOKUP(D:D,$4:$10,5,FALSE)-HLOOKUP(C:C,$4:$10,5,FALSE))*E252/F252)</f>
        <v/>
      </c>
      <c r="P252" s="199">
        <f>HLOOKUP(C:C,$4:$10,4,FALSE)+((HLOOKUP(D:D,$4:$10,4,FALSE)-HLOOKUP(C:C,$4:$10,4,FALSE))*E252/F252)</f>
        <v/>
      </c>
      <c r="Q252" s="199">
        <f>HLOOKUP(B:B,$4:$10,6,FALSE)+((HLOOKUP(C:C,$4:$10,6,FALSE)-HLOOKUP(B:B,$4:$10,6,FALSE))*E252/F252)</f>
        <v/>
      </c>
      <c r="T252" s="198">
        <f>$G252</f>
        <v/>
      </c>
      <c r="U252" s="199">
        <f>H252/(HLOOKUP(B:B,$4:$10,3,FALSE)+((HLOOKUP(C:C,$4:$10,3,FALSE)-HLOOKUP(B:B,$4:$10,3,FALSE))*E252/F252))</f>
        <v/>
      </c>
      <c r="V252" s="969">
        <f>HLOOKUP(B:B,$4:$10,7,FALSE)+((HLOOKUP(C:C,$4:$10,7,FALSE)-HLOOKUP(B:B,$4:$10,7,FALSE))*E252/F252)</f>
        <v/>
      </c>
      <c r="AB252" s="198">
        <f>$G252</f>
        <v/>
      </c>
      <c r="AC252" s="199">
        <f>$H252</f>
        <v/>
      </c>
      <c r="AD252" s="199">
        <f>$M252*AD$34</f>
        <v/>
      </c>
      <c r="AE252" s="199">
        <f>$M252*AE$34</f>
        <v/>
      </c>
      <c r="AF252" s="199">
        <f>$M252*AF$34</f>
        <v/>
      </c>
      <c r="AG252" s="199">
        <f>$M252*AG$34</f>
        <v/>
      </c>
      <c r="AH252" s="199">
        <f>$M252*AH$34</f>
        <v/>
      </c>
      <c r="AJ252" s="198">
        <f>$G252</f>
        <v/>
      </c>
      <c r="AK252" s="199">
        <f>$H252</f>
        <v/>
      </c>
      <c r="AL252" s="199">
        <f>$N252*AL$34</f>
        <v/>
      </c>
      <c r="AM252" s="199">
        <f>$N252*AM$34</f>
        <v/>
      </c>
      <c r="AN252" s="199">
        <f>$N252*AN$34</f>
        <v/>
      </c>
      <c r="AO252" s="199">
        <f>$N252*AO$34</f>
        <v/>
      </c>
      <c r="AP252" s="199">
        <f>$N252*AP$34</f>
        <v/>
      </c>
      <c r="AR252" s="198">
        <f>$G252</f>
        <v/>
      </c>
      <c r="AS252" s="199">
        <f>$H252</f>
        <v/>
      </c>
      <c r="AT252" s="199">
        <f>$O252*AT$34-$Q252</f>
        <v/>
      </c>
      <c r="AU252" s="199">
        <f>$O252*AU$34-$Q252</f>
        <v/>
      </c>
      <c r="AV252" s="199">
        <f>$O252*AV$34-$Q252</f>
        <v/>
      </c>
      <c r="AW252" s="199">
        <f>$O252*AW$34-$Q252</f>
        <v/>
      </c>
      <c r="AX252" s="199">
        <f>$O252*AX$34-$Q252</f>
        <v/>
      </c>
      <c r="AZ252" s="198">
        <f>$G252</f>
        <v/>
      </c>
      <c r="BA252" s="199">
        <f>$H252</f>
        <v/>
      </c>
      <c r="BB252" s="199">
        <f>$P252*BB$34-$Q252</f>
        <v/>
      </c>
      <c r="BC252" s="199">
        <f>$P252*BC$34-$Q252</f>
        <v/>
      </c>
      <c r="BD252" s="199">
        <f>$P252*BD$34-$Q252</f>
        <v/>
      </c>
      <c r="BE252" s="199">
        <f>$P252*BE$34-$Q252</f>
        <v/>
      </c>
      <c r="BF252" s="199">
        <f>$P252*BF$34-$Q252</f>
        <v/>
      </c>
      <c r="BH252" s="198">
        <f>$G252</f>
        <v/>
      </c>
      <c r="BI252" s="197">
        <f>$I252</f>
        <v/>
      </c>
      <c r="BJ252" s="197">
        <f>+BJ253</f>
        <v/>
      </c>
      <c r="BK252" s="197">
        <f>+BK253</f>
        <v/>
      </c>
      <c r="BL252" s="197">
        <f>+BL253</f>
        <v/>
      </c>
      <c r="BM252" s="197">
        <f>+BM253</f>
        <v/>
      </c>
      <c r="BN252" s="197">
        <f>+BN253</f>
        <v/>
      </c>
      <c r="BP252" s="198">
        <f>$G252</f>
        <v/>
      </c>
      <c r="BQ252" s="197">
        <f>$J252</f>
        <v/>
      </c>
      <c r="BR252" s="197">
        <f>+BR253</f>
        <v/>
      </c>
      <c r="BS252" s="197">
        <f>+BS253</f>
        <v/>
      </c>
      <c r="BT252" s="197">
        <f>+BT253</f>
        <v/>
      </c>
      <c r="BU252" s="197">
        <f>+BU253</f>
        <v/>
      </c>
      <c r="BV252" s="197">
        <f>+BV253</f>
        <v/>
      </c>
      <c r="BX252" s="198">
        <f>$G252</f>
        <v/>
      </c>
      <c r="BY252" s="197">
        <f>$K252</f>
        <v/>
      </c>
      <c r="BZ252" s="197">
        <f>+BZ253</f>
        <v/>
      </c>
      <c r="CA252" s="197">
        <f>+CA253</f>
        <v/>
      </c>
      <c r="CB252" s="197">
        <f>+CB253</f>
        <v/>
      </c>
      <c r="CC252" s="197">
        <f>+CC253</f>
        <v/>
      </c>
      <c r="CD252" s="197">
        <f>+CD253</f>
        <v/>
      </c>
      <c r="CF252" s="198">
        <f>$G252</f>
        <v/>
      </c>
      <c r="CG252" s="197">
        <f>$L252</f>
        <v/>
      </c>
      <c r="CH252" s="197">
        <f>+CH253</f>
        <v/>
      </c>
      <c r="CI252" s="197">
        <f>+CI253</f>
        <v/>
      </c>
      <c r="CJ252" s="197">
        <f>+CJ253</f>
        <v/>
      </c>
      <c r="CK252" s="197">
        <f>+CK253</f>
        <v/>
      </c>
      <c r="CL252" s="197">
        <f>+CL253</f>
        <v/>
      </c>
      <c r="CO252" s="199" t="n">
        <v>9.414273399573522</v>
      </c>
      <c r="CP252" s="199" t="n">
        <v>2.22</v>
      </c>
      <c r="CR252" s="199" t="n">
        <v>8.300000000000001</v>
      </c>
      <c r="CS252" s="970" t="n">
        <v>0.88164</v>
      </c>
    </row>
    <row r="253">
      <c r="B253" s="204">
        <f>+C253-1</f>
        <v/>
      </c>
      <c r="C253" s="204">
        <f>IF('bands_A-H_Avg'!$D$9+1&gt;MONTH(G253),YEAR(G253),YEAR(G253)+1)</f>
        <v/>
      </c>
      <c r="D253" s="204">
        <f>+C253+1</f>
        <v/>
      </c>
      <c r="E253" s="203">
        <f>IF(C253&gt;C252,1,E252+1)</f>
        <v/>
      </c>
      <c r="F253" s="203">
        <f>COUNTIF(C:C,C253)</f>
        <v/>
      </c>
      <c r="G253" s="198">
        <f>+G252+7</f>
        <v/>
      </c>
      <c r="H253" s="361">
        <f>IF(ISBLANK(CO253),CP253,SUMPRODUCT(CO$32:CP$32,CO253:CP253))</f>
        <v/>
      </c>
      <c r="I253" s="968">
        <f>H253/M253</f>
        <v/>
      </c>
      <c r="J253" s="968">
        <f>H253/N253</f>
        <v/>
      </c>
      <c r="K253" s="968">
        <f>(H253+Q253)/O253</f>
        <v/>
      </c>
      <c r="L253" s="968">
        <f>(H253+Q253)/P253</f>
        <v/>
      </c>
      <c r="M253" s="199">
        <f>HLOOKUP(C:C,$4:$10,3,FALSE)+((HLOOKUP(D:D,$4:$10,3,FALSE)-HLOOKUP(C:C,$4:$10,3,FALSE))*E253/F253)</f>
        <v/>
      </c>
      <c r="N253" s="199">
        <f>HLOOKUP(C:C,$4:$10,2,FALSE)+((HLOOKUP(D:D,$4:$10,2,FALSE)-HLOOKUP(C:C,$4:$10,2,FALSE))*E253/F253)</f>
        <v/>
      </c>
      <c r="O253" s="199">
        <f>HLOOKUP(C:C,$4:$10,5,FALSE)+((HLOOKUP(D:D,$4:$10,5,FALSE)-HLOOKUP(C:C,$4:$10,5,FALSE))*E253/F253)</f>
        <v/>
      </c>
      <c r="P253" s="199">
        <f>HLOOKUP(C:C,$4:$10,4,FALSE)+((HLOOKUP(D:D,$4:$10,4,FALSE)-HLOOKUP(C:C,$4:$10,4,FALSE))*E253/F253)</f>
        <v/>
      </c>
      <c r="Q253" s="199">
        <f>HLOOKUP(B:B,$4:$10,6,FALSE)+((HLOOKUP(C:C,$4:$10,6,FALSE)-HLOOKUP(B:B,$4:$10,6,FALSE))*E253/F253)</f>
        <v/>
      </c>
      <c r="T253" s="198">
        <f>$G253</f>
        <v/>
      </c>
      <c r="U253" s="199">
        <f>H253/(HLOOKUP(B:B,$4:$10,3,FALSE)+((HLOOKUP(C:C,$4:$10,3,FALSE)-HLOOKUP(B:B,$4:$10,3,FALSE))*E253/F253))</f>
        <v/>
      </c>
      <c r="V253" s="969">
        <f>HLOOKUP(B:B,$4:$10,7,FALSE)+((HLOOKUP(C:C,$4:$10,7,FALSE)-HLOOKUP(B:B,$4:$10,7,FALSE))*E253/F253)</f>
        <v/>
      </c>
      <c r="AB253" s="198">
        <f>$G253</f>
        <v/>
      </c>
      <c r="AC253" s="199">
        <f>$H253</f>
        <v/>
      </c>
      <c r="AD253" s="199">
        <f>$M253*AD$34</f>
        <v/>
      </c>
      <c r="AE253" s="199">
        <f>$M253*AE$34</f>
        <v/>
      </c>
      <c r="AF253" s="199">
        <f>$M253*AF$34</f>
        <v/>
      </c>
      <c r="AG253" s="199">
        <f>$M253*AG$34</f>
        <v/>
      </c>
      <c r="AH253" s="199">
        <f>$M253*AH$34</f>
        <v/>
      </c>
      <c r="AJ253" s="198">
        <f>$G253</f>
        <v/>
      </c>
      <c r="AK253" s="199">
        <f>$H253</f>
        <v/>
      </c>
      <c r="AL253" s="199">
        <f>$N253*AL$34</f>
        <v/>
      </c>
      <c r="AM253" s="199">
        <f>$N253*AM$34</f>
        <v/>
      </c>
      <c r="AN253" s="199">
        <f>$N253*AN$34</f>
        <v/>
      </c>
      <c r="AO253" s="199">
        <f>$N253*AO$34</f>
        <v/>
      </c>
      <c r="AP253" s="199">
        <f>$N253*AP$34</f>
        <v/>
      </c>
      <c r="AR253" s="198">
        <f>$G253</f>
        <v/>
      </c>
      <c r="AS253" s="199">
        <f>$H253</f>
        <v/>
      </c>
      <c r="AT253" s="199">
        <f>$O253*AT$34-$Q253</f>
        <v/>
      </c>
      <c r="AU253" s="199">
        <f>$O253*AU$34-$Q253</f>
        <v/>
      </c>
      <c r="AV253" s="199">
        <f>$O253*AV$34-$Q253</f>
        <v/>
      </c>
      <c r="AW253" s="199">
        <f>$O253*AW$34-$Q253</f>
        <v/>
      </c>
      <c r="AX253" s="199">
        <f>$O253*AX$34-$Q253</f>
        <v/>
      </c>
      <c r="AZ253" s="198">
        <f>$G253</f>
        <v/>
      </c>
      <c r="BA253" s="199">
        <f>$H253</f>
        <v/>
      </c>
      <c r="BB253" s="199">
        <f>$P253*BB$34-$Q253</f>
        <v/>
      </c>
      <c r="BC253" s="199">
        <f>$P253*BC$34-$Q253</f>
        <v/>
      </c>
      <c r="BD253" s="199">
        <f>$P253*BD$34-$Q253</f>
        <v/>
      </c>
      <c r="BE253" s="199">
        <f>$P253*BE$34-$Q253</f>
        <v/>
      </c>
      <c r="BF253" s="199">
        <f>$P253*BF$34-$Q253</f>
        <v/>
      </c>
      <c r="BH253" s="198">
        <f>$G253</f>
        <v/>
      </c>
      <c r="BI253" s="197">
        <f>$I253</f>
        <v/>
      </c>
      <c r="BJ253" s="197">
        <f>+BJ254</f>
        <v/>
      </c>
      <c r="BK253" s="197">
        <f>+BK254</f>
        <v/>
      </c>
      <c r="BL253" s="197">
        <f>+BL254</f>
        <v/>
      </c>
      <c r="BM253" s="197">
        <f>+BM254</f>
        <v/>
      </c>
      <c r="BN253" s="197">
        <f>+BN254</f>
        <v/>
      </c>
      <c r="BP253" s="198">
        <f>$G253</f>
        <v/>
      </c>
      <c r="BQ253" s="197">
        <f>$J253</f>
        <v/>
      </c>
      <c r="BR253" s="197">
        <f>+BR254</f>
        <v/>
      </c>
      <c r="BS253" s="197">
        <f>+BS254</f>
        <v/>
      </c>
      <c r="BT253" s="197">
        <f>+BT254</f>
        <v/>
      </c>
      <c r="BU253" s="197">
        <f>+BU254</f>
        <v/>
      </c>
      <c r="BV253" s="197">
        <f>+BV254</f>
        <v/>
      </c>
      <c r="BX253" s="198">
        <f>$G253</f>
        <v/>
      </c>
      <c r="BY253" s="197">
        <f>$K253</f>
        <v/>
      </c>
      <c r="BZ253" s="197">
        <f>+BZ254</f>
        <v/>
      </c>
      <c r="CA253" s="197">
        <f>+CA254</f>
        <v/>
      </c>
      <c r="CB253" s="197">
        <f>+CB254</f>
        <v/>
      </c>
      <c r="CC253" s="197">
        <f>+CC254</f>
        <v/>
      </c>
      <c r="CD253" s="197">
        <f>+CD254</f>
        <v/>
      </c>
      <c r="CF253" s="198">
        <f>$G253</f>
        <v/>
      </c>
      <c r="CG253" s="197">
        <f>$L253</f>
        <v/>
      </c>
      <c r="CH253" s="197">
        <f>+CH254</f>
        <v/>
      </c>
      <c r="CI253" s="197">
        <f>+CI254</f>
        <v/>
      </c>
      <c r="CJ253" s="197">
        <f>+CJ254</f>
        <v/>
      </c>
      <c r="CK253" s="197">
        <f>+CK254</f>
        <v/>
      </c>
      <c r="CL253" s="197">
        <f>+CL254</f>
        <v/>
      </c>
      <c r="CO253" s="199" t="n">
        <v>7.653408317837544</v>
      </c>
      <c r="CP253" s="199" t="n">
        <v>1.96</v>
      </c>
      <c r="CR253" s="199" t="n">
        <v>6.75</v>
      </c>
      <c r="CS253" s="970" t="n">
        <v>0.88196</v>
      </c>
    </row>
    <row r="254">
      <c r="B254" s="204">
        <f>+C254-1</f>
        <v/>
      </c>
      <c r="C254" s="204">
        <f>IF('bands_A-H_Avg'!$D$9+1&gt;MONTH(G254),YEAR(G254),YEAR(G254)+1)</f>
        <v/>
      </c>
      <c r="D254" s="204">
        <f>+C254+1</f>
        <v/>
      </c>
      <c r="E254" s="203">
        <f>IF(C254&gt;C253,1,E253+1)</f>
        <v/>
      </c>
      <c r="F254" s="203">
        <f>COUNTIF(C:C,C254)</f>
        <v/>
      </c>
      <c r="G254" s="198">
        <f>+G253+7</f>
        <v/>
      </c>
      <c r="H254" s="361">
        <f>IF(ISBLANK(CO254),CP254,SUMPRODUCT(CO$32:CP$32,CO254:CP254))</f>
        <v/>
      </c>
      <c r="I254" s="968">
        <f>H254/M254</f>
        <v/>
      </c>
      <c r="J254" s="968">
        <f>H254/N254</f>
        <v/>
      </c>
      <c r="K254" s="968">
        <f>(H254+Q254)/O254</f>
        <v/>
      </c>
      <c r="L254" s="968">
        <f>(H254+Q254)/P254</f>
        <v/>
      </c>
      <c r="M254" s="199">
        <f>HLOOKUP(C:C,$4:$10,3,FALSE)+((HLOOKUP(D:D,$4:$10,3,FALSE)-HLOOKUP(C:C,$4:$10,3,FALSE))*E254/F254)</f>
        <v/>
      </c>
      <c r="N254" s="199">
        <f>HLOOKUP(C:C,$4:$10,2,FALSE)+((HLOOKUP(D:D,$4:$10,2,FALSE)-HLOOKUP(C:C,$4:$10,2,FALSE))*E254/F254)</f>
        <v/>
      </c>
      <c r="O254" s="199">
        <f>HLOOKUP(C:C,$4:$10,5,FALSE)+((HLOOKUP(D:D,$4:$10,5,FALSE)-HLOOKUP(C:C,$4:$10,5,FALSE))*E254/F254)</f>
        <v/>
      </c>
      <c r="P254" s="199">
        <f>HLOOKUP(C:C,$4:$10,4,FALSE)+((HLOOKUP(D:D,$4:$10,4,FALSE)-HLOOKUP(C:C,$4:$10,4,FALSE))*E254/F254)</f>
        <v/>
      </c>
      <c r="Q254" s="199">
        <f>HLOOKUP(B:B,$4:$10,6,FALSE)+((HLOOKUP(C:C,$4:$10,6,FALSE)-HLOOKUP(B:B,$4:$10,6,FALSE))*E254/F254)</f>
        <v/>
      </c>
      <c r="T254" s="198">
        <f>$G254</f>
        <v/>
      </c>
      <c r="U254" s="199">
        <f>H254/(HLOOKUP(B:B,$4:$10,3,FALSE)+((HLOOKUP(C:C,$4:$10,3,FALSE)-HLOOKUP(B:B,$4:$10,3,FALSE))*E254/F254))</f>
        <v/>
      </c>
      <c r="V254" s="969">
        <f>HLOOKUP(B:B,$4:$10,7,FALSE)+((HLOOKUP(C:C,$4:$10,7,FALSE)-HLOOKUP(B:B,$4:$10,7,FALSE))*E254/F254)</f>
        <v/>
      </c>
      <c r="AB254" s="198">
        <f>$G254</f>
        <v/>
      </c>
      <c r="AC254" s="199">
        <f>$H254</f>
        <v/>
      </c>
      <c r="AD254" s="199">
        <f>$M254*AD$34</f>
        <v/>
      </c>
      <c r="AE254" s="199">
        <f>$M254*AE$34</f>
        <v/>
      </c>
      <c r="AF254" s="199">
        <f>$M254*AF$34</f>
        <v/>
      </c>
      <c r="AG254" s="199">
        <f>$M254*AG$34</f>
        <v/>
      </c>
      <c r="AH254" s="199">
        <f>$M254*AH$34</f>
        <v/>
      </c>
      <c r="AJ254" s="198">
        <f>$G254</f>
        <v/>
      </c>
      <c r="AK254" s="199">
        <f>$H254</f>
        <v/>
      </c>
      <c r="AL254" s="199">
        <f>$N254*AL$34</f>
        <v/>
      </c>
      <c r="AM254" s="199">
        <f>$N254*AM$34</f>
        <v/>
      </c>
      <c r="AN254" s="199">
        <f>$N254*AN$34</f>
        <v/>
      </c>
      <c r="AO254" s="199">
        <f>$N254*AO$34</f>
        <v/>
      </c>
      <c r="AP254" s="199">
        <f>$N254*AP$34</f>
        <v/>
      </c>
      <c r="AR254" s="198">
        <f>$G254</f>
        <v/>
      </c>
      <c r="AS254" s="199">
        <f>$H254</f>
        <v/>
      </c>
      <c r="AT254" s="199">
        <f>$O254*AT$34-$Q254</f>
        <v/>
      </c>
      <c r="AU254" s="199">
        <f>$O254*AU$34-$Q254</f>
        <v/>
      </c>
      <c r="AV254" s="199">
        <f>$O254*AV$34-$Q254</f>
        <v/>
      </c>
      <c r="AW254" s="199">
        <f>$O254*AW$34-$Q254</f>
        <v/>
      </c>
      <c r="AX254" s="199">
        <f>$O254*AX$34-$Q254</f>
        <v/>
      </c>
      <c r="AZ254" s="198">
        <f>$G254</f>
        <v/>
      </c>
      <c r="BA254" s="199">
        <f>$H254</f>
        <v/>
      </c>
      <c r="BB254" s="199">
        <f>$P254*BB$34-$Q254</f>
        <v/>
      </c>
      <c r="BC254" s="199">
        <f>$P254*BC$34-$Q254</f>
        <v/>
      </c>
      <c r="BD254" s="199">
        <f>$P254*BD$34-$Q254</f>
        <v/>
      </c>
      <c r="BE254" s="199">
        <f>$P254*BE$34-$Q254</f>
        <v/>
      </c>
      <c r="BF254" s="199">
        <f>$P254*BF$34-$Q254</f>
        <v/>
      </c>
      <c r="BH254" s="198">
        <f>$G254</f>
        <v/>
      </c>
      <c r="BI254" s="197">
        <f>$I254</f>
        <v/>
      </c>
      <c r="BJ254" s="197">
        <f>+BJ255</f>
        <v/>
      </c>
      <c r="BK254" s="197">
        <f>+BK255</f>
        <v/>
      </c>
      <c r="BL254" s="197">
        <f>+BL255</f>
        <v/>
      </c>
      <c r="BM254" s="197">
        <f>+BM255</f>
        <v/>
      </c>
      <c r="BN254" s="197">
        <f>+BN255</f>
        <v/>
      </c>
      <c r="BP254" s="198">
        <f>$G254</f>
        <v/>
      </c>
      <c r="BQ254" s="197">
        <f>$J254</f>
        <v/>
      </c>
      <c r="BR254" s="197">
        <f>+BR255</f>
        <v/>
      </c>
      <c r="BS254" s="197">
        <f>+BS255</f>
        <v/>
      </c>
      <c r="BT254" s="197">
        <f>+BT255</f>
        <v/>
      </c>
      <c r="BU254" s="197">
        <f>+BU255</f>
        <v/>
      </c>
      <c r="BV254" s="197">
        <f>+BV255</f>
        <v/>
      </c>
      <c r="BX254" s="198">
        <f>$G254</f>
        <v/>
      </c>
      <c r="BY254" s="197">
        <f>$K254</f>
        <v/>
      </c>
      <c r="BZ254" s="197">
        <f>+BZ255</f>
        <v/>
      </c>
      <c r="CA254" s="197">
        <f>+CA255</f>
        <v/>
      </c>
      <c r="CB254" s="197">
        <f>+CB255</f>
        <v/>
      </c>
      <c r="CC254" s="197">
        <f>+CC255</f>
        <v/>
      </c>
      <c r="CD254" s="197">
        <f>+CD255</f>
        <v/>
      </c>
      <c r="CF254" s="198">
        <f>$G254</f>
        <v/>
      </c>
      <c r="CG254" s="197">
        <f>$L254</f>
        <v/>
      </c>
      <c r="CH254" s="197">
        <f>+CH255</f>
        <v/>
      </c>
      <c r="CI254" s="197">
        <f>+CI255</f>
        <v/>
      </c>
      <c r="CJ254" s="197">
        <f>+CJ255</f>
        <v/>
      </c>
      <c r="CK254" s="197">
        <f>+CK255</f>
        <v/>
      </c>
      <c r="CL254" s="197">
        <f>+CL255</f>
        <v/>
      </c>
      <c r="CO254" s="199" t="n">
        <v>8.356482793809173</v>
      </c>
      <c r="CP254" s="199" t="n">
        <v>2</v>
      </c>
      <c r="CR254" s="199" t="n">
        <v>7.37</v>
      </c>
      <c r="CS254" s="970" t="n">
        <v>0.88195</v>
      </c>
    </row>
    <row r="255">
      <c r="B255" s="204">
        <f>+C255-1</f>
        <v/>
      </c>
      <c r="C255" s="204">
        <f>IF('bands_A-H_Avg'!$D$9+1&gt;MONTH(G255),YEAR(G255),YEAR(G255)+1)</f>
        <v/>
      </c>
      <c r="D255" s="204">
        <f>+C255+1</f>
        <v/>
      </c>
      <c r="E255" s="203">
        <f>IF(C255&gt;C254,1,E254+1)</f>
        <v/>
      </c>
      <c r="F255" s="203">
        <f>COUNTIF(C:C,C255)</f>
        <v/>
      </c>
      <c r="G255" s="198">
        <f>+G254+7</f>
        <v/>
      </c>
      <c r="H255" s="361">
        <f>IF(ISBLANK(CO255),CP255,SUMPRODUCT(CO$32:CP$32,CO255:CP255))</f>
        <v/>
      </c>
      <c r="I255" s="968">
        <f>H255/M255</f>
        <v/>
      </c>
      <c r="J255" s="968">
        <f>H255/N255</f>
        <v/>
      </c>
      <c r="K255" s="968">
        <f>(H255+Q255)/O255</f>
        <v/>
      </c>
      <c r="L255" s="968">
        <f>(H255+Q255)/P255</f>
        <v/>
      </c>
      <c r="M255" s="199">
        <f>HLOOKUP(C:C,$4:$10,3,FALSE)+((HLOOKUP(D:D,$4:$10,3,FALSE)-HLOOKUP(C:C,$4:$10,3,FALSE))*E255/F255)</f>
        <v/>
      </c>
      <c r="N255" s="199">
        <f>HLOOKUP(C:C,$4:$10,2,FALSE)+((HLOOKUP(D:D,$4:$10,2,FALSE)-HLOOKUP(C:C,$4:$10,2,FALSE))*E255/F255)</f>
        <v/>
      </c>
      <c r="O255" s="199">
        <f>HLOOKUP(C:C,$4:$10,5,FALSE)+((HLOOKUP(D:D,$4:$10,5,FALSE)-HLOOKUP(C:C,$4:$10,5,FALSE))*E255/F255)</f>
        <v/>
      </c>
      <c r="P255" s="199">
        <f>HLOOKUP(C:C,$4:$10,4,FALSE)+((HLOOKUP(D:D,$4:$10,4,FALSE)-HLOOKUP(C:C,$4:$10,4,FALSE))*E255/F255)</f>
        <v/>
      </c>
      <c r="Q255" s="199">
        <f>HLOOKUP(B:B,$4:$10,6,FALSE)+((HLOOKUP(C:C,$4:$10,6,FALSE)-HLOOKUP(B:B,$4:$10,6,FALSE))*E255/F255)</f>
        <v/>
      </c>
      <c r="T255" s="198">
        <f>$G255</f>
        <v/>
      </c>
      <c r="U255" s="199">
        <f>H255/(HLOOKUP(B:B,$4:$10,3,FALSE)+((HLOOKUP(C:C,$4:$10,3,FALSE)-HLOOKUP(B:B,$4:$10,3,FALSE))*E255/F255))</f>
        <v/>
      </c>
      <c r="V255" s="969">
        <f>HLOOKUP(B:B,$4:$10,7,FALSE)+((HLOOKUP(C:C,$4:$10,7,FALSE)-HLOOKUP(B:B,$4:$10,7,FALSE))*E255/F255)</f>
        <v/>
      </c>
      <c r="AB255" s="198">
        <f>$G255</f>
        <v/>
      </c>
      <c r="AC255" s="199">
        <f>$H255</f>
        <v/>
      </c>
      <c r="AD255" s="199">
        <f>$M255*AD$34</f>
        <v/>
      </c>
      <c r="AE255" s="199">
        <f>$M255*AE$34</f>
        <v/>
      </c>
      <c r="AF255" s="199">
        <f>$M255*AF$34</f>
        <v/>
      </c>
      <c r="AG255" s="199">
        <f>$M255*AG$34</f>
        <v/>
      </c>
      <c r="AH255" s="199">
        <f>$M255*AH$34</f>
        <v/>
      </c>
      <c r="AJ255" s="198">
        <f>$G255</f>
        <v/>
      </c>
      <c r="AK255" s="199">
        <f>$H255</f>
        <v/>
      </c>
      <c r="AL255" s="199">
        <f>$N255*AL$34</f>
        <v/>
      </c>
      <c r="AM255" s="199">
        <f>$N255*AM$34</f>
        <v/>
      </c>
      <c r="AN255" s="199">
        <f>$N255*AN$34</f>
        <v/>
      </c>
      <c r="AO255" s="199">
        <f>$N255*AO$34</f>
        <v/>
      </c>
      <c r="AP255" s="199">
        <f>$N255*AP$34</f>
        <v/>
      </c>
      <c r="AR255" s="198">
        <f>$G255</f>
        <v/>
      </c>
      <c r="AS255" s="199">
        <f>$H255</f>
        <v/>
      </c>
      <c r="AT255" s="199">
        <f>$O255*AT$34-$Q255</f>
        <v/>
      </c>
      <c r="AU255" s="199">
        <f>$O255*AU$34-$Q255</f>
        <v/>
      </c>
      <c r="AV255" s="199">
        <f>$O255*AV$34-$Q255</f>
        <v/>
      </c>
      <c r="AW255" s="199">
        <f>$O255*AW$34-$Q255</f>
        <v/>
      </c>
      <c r="AX255" s="199">
        <f>$O255*AX$34-$Q255</f>
        <v/>
      </c>
      <c r="AZ255" s="198">
        <f>$G255</f>
        <v/>
      </c>
      <c r="BA255" s="199">
        <f>$H255</f>
        <v/>
      </c>
      <c r="BB255" s="199">
        <f>$P255*BB$34-$Q255</f>
        <v/>
      </c>
      <c r="BC255" s="199">
        <f>$P255*BC$34-$Q255</f>
        <v/>
      </c>
      <c r="BD255" s="199">
        <f>$P255*BD$34-$Q255</f>
        <v/>
      </c>
      <c r="BE255" s="199">
        <f>$P255*BE$34-$Q255</f>
        <v/>
      </c>
      <c r="BF255" s="199">
        <f>$P255*BF$34-$Q255</f>
        <v/>
      </c>
      <c r="BH255" s="198">
        <f>$G255</f>
        <v/>
      </c>
      <c r="BI255" s="197">
        <f>$I255</f>
        <v/>
      </c>
      <c r="BJ255" s="197">
        <f>+BJ256</f>
        <v/>
      </c>
      <c r="BK255" s="197">
        <f>+BK256</f>
        <v/>
      </c>
      <c r="BL255" s="197">
        <f>+BL256</f>
        <v/>
      </c>
      <c r="BM255" s="197">
        <f>+BM256</f>
        <v/>
      </c>
      <c r="BN255" s="197">
        <f>+BN256</f>
        <v/>
      </c>
      <c r="BP255" s="198">
        <f>$G255</f>
        <v/>
      </c>
      <c r="BQ255" s="197">
        <f>$J255</f>
        <v/>
      </c>
      <c r="BR255" s="197">
        <f>+BR256</f>
        <v/>
      </c>
      <c r="BS255" s="197">
        <f>+BS256</f>
        <v/>
      </c>
      <c r="BT255" s="197">
        <f>+BT256</f>
        <v/>
      </c>
      <c r="BU255" s="197">
        <f>+BU256</f>
        <v/>
      </c>
      <c r="BV255" s="197">
        <f>+BV256</f>
        <v/>
      </c>
      <c r="BX255" s="198">
        <f>$G255</f>
        <v/>
      </c>
      <c r="BY255" s="197">
        <f>$K255</f>
        <v/>
      </c>
      <c r="BZ255" s="197">
        <f>+BZ256</f>
        <v/>
      </c>
      <c r="CA255" s="197">
        <f>+CA256</f>
        <v/>
      </c>
      <c r="CB255" s="197">
        <f>+CB256</f>
        <v/>
      </c>
      <c r="CC255" s="197">
        <f>+CC256</f>
        <v/>
      </c>
      <c r="CD255" s="197">
        <f>+CD256</f>
        <v/>
      </c>
      <c r="CF255" s="198">
        <f>$G255</f>
        <v/>
      </c>
      <c r="CG255" s="197">
        <f>$L255</f>
        <v/>
      </c>
      <c r="CH255" s="197">
        <f>+CH256</f>
        <v/>
      </c>
      <c r="CI255" s="197">
        <f>+CI256</f>
        <v/>
      </c>
      <c r="CJ255" s="197">
        <f>+CJ256</f>
        <v/>
      </c>
      <c r="CK255" s="197">
        <f>+CK256</f>
        <v/>
      </c>
      <c r="CL255" s="197">
        <f>+CL256</f>
        <v/>
      </c>
      <c r="CO255" s="199" t="n">
        <v>7.890798603237948</v>
      </c>
      <c r="CP255" s="199" t="n">
        <v>1.91</v>
      </c>
      <c r="CR255" s="199" t="n">
        <v>6.96</v>
      </c>
      <c r="CS255" s="970" t="n">
        <v>0.88204</v>
      </c>
    </row>
    <row r="256">
      <c r="B256" s="204">
        <f>+C256-1</f>
        <v/>
      </c>
      <c r="C256" s="204">
        <f>IF('bands_A-H_Avg'!$D$9+1&gt;MONTH(G256),YEAR(G256),YEAR(G256)+1)</f>
        <v/>
      </c>
      <c r="D256" s="204">
        <f>+C256+1</f>
        <v/>
      </c>
      <c r="E256" s="203">
        <f>IF(C256&gt;C255,1,E255+1)</f>
        <v/>
      </c>
      <c r="F256" s="203">
        <f>COUNTIF(C:C,C256)</f>
        <v/>
      </c>
      <c r="G256" s="198">
        <f>+G255+7</f>
        <v/>
      </c>
      <c r="H256" s="361">
        <f>IF(ISBLANK(CO256),CP256,SUMPRODUCT(CO$32:CP$32,CO256:CP256))</f>
        <v/>
      </c>
      <c r="I256" s="968">
        <f>H256/M256</f>
        <v/>
      </c>
      <c r="J256" s="968">
        <f>H256/N256</f>
        <v/>
      </c>
      <c r="K256" s="968">
        <f>(H256+Q256)/O256</f>
        <v/>
      </c>
      <c r="L256" s="968">
        <f>(H256+Q256)/P256</f>
        <v/>
      </c>
      <c r="M256" s="199">
        <f>HLOOKUP(C:C,$4:$10,3,FALSE)+((HLOOKUP(D:D,$4:$10,3,FALSE)-HLOOKUP(C:C,$4:$10,3,FALSE))*E256/F256)</f>
        <v/>
      </c>
      <c r="N256" s="199">
        <f>HLOOKUP(C:C,$4:$10,2,FALSE)+((HLOOKUP(D:D,$4:$10,2,FALSE)-HLOOKUP(C:C,$4:$10,2,FALSE))*E256/F256)</f>
        <v/>
      </c>
      <c r="O256" s="199">
        <f>HLOOKUP(C:C,$4:$10,5,FALSE)+((HLOOKUP(D:D,$4:$10,5,FALSE)-HLOOKUP(C:C,$4:$10,5,FALSE))*E256/F256)</f>
        <v/>
      </c>
      <c r="P256" s="199">
        <f>HLOOKUP(C:C,$4:$10,4,FALSE)+((HLOOKUP(D:D,$4:$10,4,FALSE)-HLOOKUP(C:C,$4:$10,4,FALSE))*E256/F256)</f>
        <v/>
      </c>
      <c r="Q256" s="199">
        <f>HLOOKUP(B:B,$4:$10,6,FALSE)+((HLOOKUP(C:C,$4:$10,6,FALSE)-HLOOKUP(B:B,$4:$10,6,FALSE))*E256/F256)</f>
        <v/>
      </c>
      <c r="T256" s="198">
        <f>$G256</f>
        <v/>
      </c>
      <c r="U256" s="199">
        <f>H256/(HLOOKUP(B:B,$4:$10,3,FALSE)+((HLOOKUP(C:C,$4:$10,3,FALSE)-HLOOKUP(B:B,$4:$10,3,FALSE))*E256/F256))</f>
        <v/>
      </c>
      <c r="V256" s="969">
        <f>HLOOKUP(B:B,$4:$10,7,FALSE)+((HLOOKUP(C:C,$4:$10,7,FALSE)-HLOOKUP(B:B,$4:$10,7,FALSE))*E256/F256)</f>
        <v/>
      </c>
      <c r="AB256" s="198">
        <f>$G256</f>
        <v/>
      </c>
      <c r="AC256" s="199">
        <f>$H256</f>
        <v/>
      </c>
      <c r="AD256" s="199">
        <f>$M256*AD$34</f>
        <v/>
      </c>
      <c r="AE256" s="199">
        <f>$M256*AE$34</f>
        <v/>
      </c>
      <c r="AF256" s="199">
        <f>$M256*AF$34</f>
        <v/>
      </c>
      <c r="AG256" s="199">
        <f>$M256*AG$34</f>
        <v/>
      </c>
      <c r="AH256" s="199">
        <f>$M256*AH$34</f>
        <v/>
      </c>
      <c r="AJ256" s="198">
        <f>$G256</f>
        <v/>
      </c>
      <c r="AK256" s="199">
        <f>$H256</f>
        <v/>
      </c>
      <c r="AL256" s="199">
        <f>$N256*AL$34</f>
        <v/>
      </c>
      <c r="AM256" s="199">
        <f>$N256*AM$34</f>
        <v/>
      </c>
      <c r="AN256" s="199">
        <f>$N256*AN$34</f>
        <v/>
      </c>
      <c r="AO256" s="199">
        <f>$N256*AO$34</f>
        <v/>
      </c>
      <c r="AP256" s="199">
        <f>$N256*AP$34</f>
        <v/>
      </c>
      <c r="AR256" s="198">
        <f>$G256</f>
        <v/>
      </c>
      <c r="AS256" s="199">
        <f>$H256</f>
        <v/>
      </c>
      <c r="AT256" s="199">
        <f>$O256*AT$34-$Q256</f>
        <v/>
      </c>
      <c r="AU256" s="199">
        <f>$O256*AU$34-$Q256</f>
        <v/>
      </c>
      <c r="AV256" s="199">
        <f>$O256*AV$34-$Q256</f>
        <v/>
      </c>
      <c r="AW256" s="199">
        <f>$O256*AW$34-$Q256</f>
        <v/>
      </c>
      <c r="AX256" s="199">
        <f>$O256*AX$34-$Q256</f>
        <v/>
      </c>
      <c r="AZ256" s="198">
        <f>$G256</f>
        <v/>
      </c>
      <c r="BA256" s="199">
        <f>$H256</f>
        <v/>
      </c>
      <c r="BB256" s="199">
        <f>$P256*BB$34-$Q256</f>
        <v/>
      </c>
      <c r="BC256" s="199">
        <f>$P256*BC$34-$Q256</f>
        <v/>
      </c>
      <c r="BD256" s="199">
        <f>$P256*BD$34-$Q256</f>
        <v/>
      </c>
      <c r="BE256" s="199">
        <f>$P256*BE$34-$Q256</f>
        <v/>
      </c>
      <c r="BF256" s="199">
        <f>$P256*BF$34-$Q256</f>
        <v/>
      </c>
      <c r="BH256" s="198">
        <f>$G256</f>
        <v/>
      </c>
      <c r="BI256" s="197">
        <f>$I256</f>
        <v/>
      </c>
      <c r="BJ256" s="197">
        <f>+BJ257</f>
        <v/>
      </c>
      <c r="BK256" s="197">
        <f>+BK257</f>
        <v/>
      </c>
      <c r="BL256" s="197">
        <f>+BL257</f>
        <v/>
      </c>
      <c r="BM256" s="197">
        <f>+BM257</f>
        <v/>
      </c>
      <c r="BN256" s="197">
        <f>+BN257</f>
        <v/>
      </c>
      <c r="BP256" s="198">
        <f>$G256</f>
        <v/>
      </c>
      <c r="BQ256" s="197">
        <f>$J256</f>
        <v/>
      </c>
      <c r="BR256" s="197">
        <f>+BR257</f>
        <v/>
      </c>
      <c r="BS256" s="197">
        <f>+BS257</f>
        <v/>
      </c>
      <c r="BT256" s="197">
        <f>+BT257</f>
        <v/>
      </c>
      <c r="BU256" s="197">
        <f>+BU257</f>
        <v/>
      </c>
      <c r="BV256" s="197">
        <f>+BV257</f>
        <v/>
      </c>
      <c r="BX256" s="198">
        <f>$G256</f>
        <v/>
      </c>
      <c r="BY256" s="197">
        <f>$K256</f>
        <v/>
      </c>
      <c r="BZ256" s="197">
        <f>+BZ257</f>
        <v/>
      </c>
      <c r="CA256" s="197">
        <f>+CA257</f>
        <v/>
      </c>
      <c r="CB256" s="197">
        <f>+CB257</f>
        <v/>
      </c>
      <c r="CC256" s="197">
        <f>+CC257</f>
        <v/>
      </c>
      <c r="CD256" s="197">
        <f>+CD257</f>
        <v/>
      </c>
      <c r="CF256" s="198">
        <f>$G256</f>
        <v/>
      </c>
      <c r="CG256" s="197">
        <f>$L256</f>
        <v/>
      </c>
      <c r="CH256" s="197">
        <f>+CH257</f>
        <v/>
      </c>
      <c r="CI256" s="197">
        <f>+CI257</f>
        <v/>
      </c>
      <c r="CJ256" s="197">
        <f>+CJ257</f>
        <v/>
      </c>
      <c r="CK256" s="197">
        <f>+CK257</f>
        <v/>
      </c>
      <c r="CL256" s="197">
        <f>+CL257</f>
        <v/>
      </c>
      <c r="CO256" s="199" t="n">
        <v>8.264087544839485</v>
      </c>
      <c r="CP256" s="199" t="n">
        <v>2.04</v>
      </c>
      <c r="CR256" s="199" t="n">
        <v>7.28</v>
      </c>
      <c r="CS256" s="970" t="n">
        <v>0.88092</v>
      </c>
    </row>
    <row r="257">
      <c r="B257" s="204">
        <f>+C257-1</f>
        <v/>
      </c>
      <c r="C257" s="204">
        <f>IF('bands_A-H_Avg'!$D$9+1&gt;MONTH(G257),YEAR(G257),YEAR(G257)+1)</f>
        <v/>
      </c>
      <c r="D257" s="204">
        <f>+C257+1</f>
        <v/>
      </c>
      <c r="E257" s="203">
        <f>IF(C257&gt;C256,1,E256+1)</f>
        <v/>
      </c>
      <c r="F257" s="203">
        <f>COUNTIF(C:C,C257)</f>
        <v/>
      </c>
      <c r="G257" s="198">
        <f>+G256+7</f>
        <v/>
      </c>
      <c r="H257" s="361">
        <f>IF(ISBLANK(CO257),CP257,SUMPRODUCT(CO$32:CP$32,CO257:CP257))</f>
        <v/>
      </c>
      <c r="I257" s="968">
        <f>H257/M257</f>
        <v/>
      </c>
      <c r="J257" s="968">
        <f>H257/N257</f>
        <v/>
      </c>
      <c r="K257" s="968">
        <f>(H257+Q257)/O257</f>
        <v/>
      </c>
      <c r="L257" s="968">
        <f>(H257+Q257)/P257</f>
        <v/>
      </c>
      <c r="M257" s="199">
        <f>HLOOKUP(C:C,$4:$10,3,FALSE)+((HLOOKUP(D:D,$4:$10,3,FALSE)-HLOOKUP(C:C,$4:$10,3,FALSE))*E257/F257)</f>
        <v/>
      </c>
      <c r="N257" s="199">
        <f>HLOOKUP(C:C,$4:$10,2,FALSE)+((HLOOKUP(D:D,$4:$10,2,FALSE)-HLOOKUP(C:C,$4:$10,2,FALSE))*E257/F257)</f>
        <v/>
      </c>
      <c r="O257" s="199">
        <f>HLOOKUP(C:C,$4:$10,5,FALSE)+((HLOOKUP(D:D,$4:$10,5,FALSE)-HLOOKUP(C:C,$4:$10,5,FALSE))*E257/F257)</f>
        <v/>
      </c>
      <c r="P257" s="199">
        <f>HLOOKUP(C:C,$4:$10,4,FALSE)+((HLOOKUP(D:D,$4:$10,4,FALSE)-HLOOKUP(C:C,$4:$10,4,FALSE))*E257/F257)</f>
        <v/>
      </c>
      <c r="Q257" s="199">
        <f>HLOOKUP(B:B,$4:$10,6,FALSE)+((HLOOKUP(C:C,$4:$10,6,FALSE)-HLOOKUP(B:B,$4:$10,6,FALSE))*E257/F257)</f>
        <v/>
      </c>
      <c r="T257" s="198">
        <f>$G257</f>
        <v/>
      </c>
      <c r="U257" s="199">
        <f>H257/(HLOOKUP(B:B,$4:$10,3,FALSE)+((HLOOKUP(C:C,$4:$10,3,FALSE)-HLOOKUP(B:B,$4:$10,3,FALSE))*E257/F257))</f>
        <v/>
      </c>
      <c r="V257" s="969">
        <f>HLOOKUP(B:B,$4:$10,7,FALSE)+((HLOOKUP(C:C,$4:$10,7,FALSE)-HLOOKUP(B:B,$4:$10,7,FALSE))*E257/F257)</f>
        <v/>
      </c>
      <c r="AB257" s="198">
        <f>$G257</f>
        <v/>
      </c>
      <c r="AC257" s="199">
        <f>$H257</f>
        <v/>
      </c>
      <c r="AD257" s="199">
        <f>$M257*AD$34</f>
        <v/>
      </c>
      <c r="AE257" s="199">
        <f>$M257*AE$34</f>
        <v/>
      </c>
      <c r="AF257" s="199">
        <f>$M257*AF$34</f>
        <v/>
      </c>
      <c r="AG257" s="199">
        <f>$M257*AG$34</f>
        <v/>
      </c>
      <c r="AH257" s="199">
        <f>$M257*AH$34</f>
        <v/>
      </c>
      <c r="AJ257" s="198">
        <f>$G257</f>
        <v/>
      </c>
      <c r="AK257" s="199">
        <f>$H257</f>
        <v/>
      </c>
      <c r="AL257" s="199">
        <f>$N257*AL$34</f>
        <v/>
      </c>
      <c r="AM257" s="199">
        <f>$N257*AM$34</f>
        <v/>
      </c>
      <c r="AN257" s="199">
        <f>$N257*AN$34</f>
        <v/>
      </c>
      <c r="AO257" s="199">
        <f>$N257*AO$34</f>
        <v/>
      </c>
      <c r="AP257" s="199">
        <f>$N257*AP$34</f>
        <v/>
      </c>
      <c r="AR257" s="198">
        <f>$G257</f>
        <v/>
      </c>
      <c r="AS257" s="199">
        <f>$H257</f>
        <v/>
      </c>
      <c r="AT257" s="199">
        <f>$O257*AT$34-$Q257</f>
        <v/>
      </c>
      <c r="AU257" s="199">
        <f>$O257*AU$34-$Q257</f>
        <v/>
      </c>
      <c r="AV257" s="199">
        <f>$O257*AV$34-$Q257</f>
        <v/>
      </c>
      <c r="AW257" s="199">
        <f>$O257*AW$34-$Q257</f>
        <v/>
      </c>
      <c r="AX257" s="199">
        <f>$O257*AX$34-$Q257</f>
        <v/>
      </c>
      <c r="AZ257" s="198">
        <f>$G257</f>
        <v/>
      </c>
      <c r="BA257" s="199">
        <f>$H257</f>
        <v/>
      </c>
      <c r="BB257" s="199">
        <f>$P257*BB$34-$Q257</f>
        <v/>
      </c>
      <c r="BC257" s="199">
        <f>$P257*BC$34-$Q257</f>
        <v/>
      </c>
      <c r="BD257" s="199">
        <f>$P257*BD$34-$Q257</f>
        <v/>
      </c>
      <c r="BE257" s="199">
        <f>$P257*BE$34-$Q257</f>
        <v/>
      </c>
      <c r="BF257" s="199">
        <f>$P257*BF$34-$Q257</f>
        <v/>
      </c>
      <c r="BH257" s="198">
        <f>$G257</f>
        <v/>
      </c>
      <c r="BI257" s="197">
        <f>$I257</f>
        <v/>
      </c>
      <c r="BJ257" s="197">
        <f>+BJ258</f>
        <v/>
      </c>
      <c r="BK257" s="197">
        <f>+BK258</f>
        <v/>
      </c>
      <c r="BL257" s="197">
        <f>+BL258</f>
        <v/>
      </c>
      <c r="BM257" s="197">
        <f>+BM258</f>
        <v/>
      </c>
      <c r="BN257" s="197">
        <f>+BN258</f>
        <v/>
      </c>
      <c r="BP257" s="198">
        <f>$G257</f>
        <v/>
      </c>
      <c r="BQ257" s="197">
        <f>$J257</f>
        <v/>
      </c>
      <c r="BR257" s="197">
        <f>+BR258</f>
        <v/>
      </c>
      <c r="BS257" s="197">
        <f>+BS258</f>
        <v/>
      </c>
      <c r="BT257" s="197">
        <f>+BT258</f>
        <v/>
      </c>
      <c r="BU257" s="197">
        <f>+BU258</f>
        <v/>
      </c>
      <c r="BV257" s="197">
        <f>+BV258</f>
        <v/>
      </c>
      <c r="BX257" s="198">
        <f>$G257</f>
        <v/>
      </c>
      <c r="BY257" s="197">
        <f>$K257</f>
        <v/>
      </c>
      <c r="BZ257" s="197">
        <f>+BZ258</f>
        <v/>
      </c>
      <c r="CA257" s="197">
        <f>+CA258</f>
        <v/>
      </c>
      <c r="CB257" s="197">
        <f>+CB258</f>
        <v/>
      </c>
      <c r="CC257" s="197">
        <f>+CC258</f>
        <v/>
      </c>
      <c r="CD257" s="197">
        <f>+CD258</f>
        <v/>
      </c>
      <c r="CF257" s="198">
        <f>$G257</f>
        <v/>
      </c>
      <c r="CG257" s="197">
        <f>$L257</f>
        <v/>
      </c>
      <c r="CH257" s="197">
        <f>+CH258</f>
        <v/>
      </c>
      <c r="CI257" s="197">
        <f>+CI258</f>
        <v/>
      </c>
      <c r="CJ257" s="197">
        <f>+CJ258</f>
        <v/>
      </c>
      <c r="CK257" s="197">
        <f>+CK258</f>
        <v/>
      </c>
      <c r="CL257" s="197">
        <f>+CL258</f>
        <v/>
      </c>
      <c r="CO257" s="199" t="n">
        <v>8.586660617059891</v>
      </c>
      <c r="CP257" s="199" t="n">
        <v>2.4</v>
      </c>
      <c r="CR257" s="199" t="n">
        <v>7.57</v>
      </c>
      <c r="CS257" s="970" t="n">
        <v>0.8816000000000001</v>
      </c>
    </row>
    <row r="258">
      <c r="B258" s="204">
        <f>+C258-1</f>
        <v/>
      </c>
      <c r="C258" s="204">
        <f>IF('bands_A-H_Avg'!$D$9+1&gt;MONTH(G258),YEAR(G258),YEAR(G258)+1)</f>
        <v/>
      </c>
      <c r="D258" s="204">
        <f>+C258+1</f>
        <v/>
      </c>
      <c r="E258" s="203">
        <f>IF(C258&gt;C257,1,E257+1)</f>
        <v/>
      </c>
      <c r="F258" s="203">
        <f>COUNTIF(C:C,C258)</f>
        <v/>
      </c>
      <c r="G258" s="198">
        <f>+G257+7</f>
        <v/>
      </c>
      <c r="H258" s="361">
        <f>IF(ISBLANK(CO258),CP258,SUMPRODUCT(CO$32:CP$32,CO258:CP258))</f>
        <v/>
      </c>
      <c r="I258" s="968">
        <f>H258/M258</f>
        <v/>
      </c>
      <c r="J258" s="968">
        <f>H258/N258</f>
        <v/>
      </c>
      <c r="K258" s="968">
        <f>(H258+Q258)/O258</f>
        <v/>
      </c>
      <c r="L258" s="968">
        <f>(H258+Q258)/P258</f>
        <v/>
      </c>
      <c r="M258" s="199">
        <f>HLOOKUP(C:C,$4:$10,3,FALSE)+((HLOOKUP(D:D,$4:$10,3,FALSE)-HLOOKUP(C:C,$4:$10,3,FALSE))*E258/F258)</f>
        <v/>
      </c>
      <c r="N258" s="199">
        <f>HLOOKUP(C:C,$4:$10,2,FALSE)+((HLOOKUP(D:D,$4:$10,2,FALSE)-HLOOKUP(C:C,$4:$10,2,FALSE))*E258/F258)</f>
        <v/>
      </c>
      <c r="O258" s="199">
        <f>HLOOKUP(C:C,$4:$10,5,FALSE)+((HLOOKUP(D:D,$4:$10,5,FALSE)-HLOOKUP(C:C,$4:$10,5,FALSE))*E258/F258)</f>
        <v/>
      </c>
      <c r="P258" s="199">
        <f>HLOOKUP(C:C,$4:$10,4,FALSE)+((HLOOKUP(D:D,$4:$10,4,FALSE)-HLOOKUP(C:C,$4:$10,4,FALSE))*E258/F258)</f>
        <v/>
      </c>
      <c r="Q258" s="199">
        <f>HLOOKUP(B:B,$4:$10,6,FALSE)+((HLOOKUP(C:C,$4:$10,6,FALSE)-HLOOKUP(B:B,$4:$10,6,FALSE))*E258/F258)</f>
        <v/>
      </c>
      <c r="T258" s="198">
        <f>$G258</f>
        <v/>
      </c>
      <c r="U258" s="199">
        <f>H258/(HLOOKUP(B:B,$4:$10,3,FALSE)+((HLOOKUP(C:C,$4:$10,3,FALSE)-HLOOKUP(B:B,$4:$10,3,FALSE))*E258/F258))</f>
        <v/>
      </c>
      <c r="V258" s="969">
        <f>HLOOKUP(B:B,$4:$10,7,FALSE)+((HLOOKUP(C:C,$4:$10,7,FALSE)-HLOOKUP(B:B,$4:$10,7,FALSE))*E258/F258)</f>
        <v/>
      </c>
      <c r="AB258" s="198">
        <f>$G258</f>
        <v/>
      </c>
      <c r="AC258" s="199">
        <f>$H258</f>
        <v/>
      </c>
      <c r="AD258" s="199">
        <f>$M258*AD$34</f>
        <v/>
      </c>
      <c r="AE258" s="199">
        <f>$M258*AE$34</f>
        <v/>
      </c>
      <c r="AF258" s="199">
        <f>$M258*AF$34</f>
        <v/>
      </c>
      <c r="AG258" s="199">
        <f>$M258*AG$34</f>
        <v/>
      </c>
      <c r="AH258" s="199">
        <f>$M258*AH$34</f>
        <v/>
      </c>
      <c r="AJ258" s="198">
        <f>$G258</f>
        <v/>
      </c>
      <c r="AK258" s="199">
        <f>$H258</f>
        <v/>
      </c>
      <c r="AL258" s="199">
        <f>$N258*AL$34</f>
        <v/>
      </c>
      <c r="AM258" s="199">
        <f>$N258*AM$34</f>
        <v/>
      </c>
      <c r="AN258" s="199">
        <f>$N258*AN$34</f>
        <v/>
      </c>
      <c r="AO258" s="199">
        <f>$N258*AO$34</f>
        <v/>
      </c>
      <c r="AP258" s="199">
        <f>$N258*AP$34</f>
        <v/>
      </c>
      <c r="AR258" s="198">
        <f>$G258</f>
        <v/>
      </c>
      <c r="AS258" s="199">
        <f>$H258</f>
        <v/>
      </c>
      <c r="AT258" s="199">
        <f>$O258*AT$34-$Q258</f>
        <v/>
      </c>
      <c r="AU258" s="199">
        <f>$O258*AU$34-$Q258</f>
        <v/>
      </c>
      <c r="AV258" s="199">
        <f>$O258*AV$34-$Q258</f>
        <v/>
      </c>
      <c r="AW258" s="199">
        <f>$O258*AW$34-$Q258</f>
        <v/>
      </c>
      <c r="AX258" s="199">
        <f>$O258*AX$34-$Q258</f>
        <v/>
      </c>
      <c r="AZ258" s="198">
        <f>$G258</f>
        <v/>
      </c>
      <c r="BA258" s="199">
        <f>$H258</f>
        <v/>
      </c>
      <c r="BB258" s="199">
        <f>$P258*BB$34-$Q258</f>
        <v/>
      </c>
      <c r="BC258" s="199">
        <f>$P258*BC$34-$Q258</f>
        <v/>
      </c>
      <c r="BD258" s="199">
        <f>$P258*BD$34-$Q258</f>
        <v/>
      </c>
      <c r="BE258" s="199">
        <f>$P258*BE$34-$Q258</f>
        <v/>
      </c>
      <c r="BF258" s="199">
        <f>$P258*BF$34-$Q258</f>
        <v/>
      </c>
      <c r="BH258" s="198">
        <f>$G258</f>
        <v/>
      </c>
      <c r="BI258" s="197">
        <f>$I258</f>
        <v/>
      </c>
      <c r="BJ258" s="197">
        <f>+BJ259</f>
        <v/>
      </c>
      <c r="BK258" s="197">
        <f>+BK259</f>
        <v/>
      </c>
      <c r="BL258" s="197">
        <f>+BL259</f>
        <v/>
      </c>
      <c r="BM258" s="197">
        <f>+BM259</f>
        <v/>
      </c>
      <c r="BN258" s="197">
        <f>+BN259</f>
        <v/>
      </c>
      <c r="BP258" s="198">
        <f>$G258</f>
        <v/>
      </c>
      <c r="BQ258" s="197">
        <f>$J258</f>
        <v/>
      </c>
      <c r="BR258" s="197">
        <f>+BR259</f>
        <v/>
      </c>
      <c r="BS258" s="197">
        <f>+BS259</f>
        <v/>
      </c>
      <c r="BT258" s="197">
        <f>+BT259</f>
        <v/>
      </c>
      <c r="BU258" s="197">
        <f>+BU259</f>
        <v/>
      </c>
      <c r="BV258" s="197">
        <f>+BV259</f>
        <v/>
      </c>
      <c r="BX258" s="198">
        <f>$G258</f>
        <v/>
      </c>
      <c r="BY258" s="197">
        <f>$K258</f>
        <v/>
      </c>
      <c r="BZ258" s="197">
        <f>+BZ259</f>
        <v/>
      </c>
      <c r="CA258" s="197">
        <f>+CA259</f>
        <v/>
      </c>
      <c r="CB258" s="197">
        <f>+CB259</f>
        <v/>
      </c>
      <c r="CC258" s="197">
        <f>+CC259</f>
        <v/>
      </c>
      <c r="CD258" s="197">
        <f>+CD259</f>
        <v/>
      </c>
      <c r="CF258" s="198">
        <f>$G258</f>
        <v/>
      </c>
      <c r="CG258" s="197">
        <f>$L258</f>
        <v/>
      </c>
      <c r="CH258" s="197">
        <f>+CH259</f>
        <v/>
      </c>
      <c r="CI258" s="197">
        <f>+CI259</f>
        <v/>
      </c>
      <c r="CJ258" s="197">
        <f>+CJ259</f>
        <v/>
      </c>
      <c r="CK258" s="197">
        <f>+CK259</f>
        <v/>
      </c>
      <c r="CL258" s="197">
        <f>+CL259</f>
        <v/>
      </c>
      <c r="CO258" s="199" t="n">
        <v>8.685693551496184</v>
      </c>
      <c r="CP258" s="199" t="n">
        <v>2.43</v>
      </c>
      <c r="CR258" s="199" t="n">
        <v>7.66</v>
      </c>
      <c r="CS258" s="970" t="n">
        <v>0.88191</v>
      </c>
    </row>
    <row r="259">
      <c r="B259" s="204">
        <f>+C259-1</f>
        <v/>
      </c>
      <c r="C259" s="204">
        <f>IF('bands_A-H_Avg'!$D$9+1&gt;MONTH(G259),YEAR(G259),YEAR(G259)+1)</f>
        <v/>
      </c>
      <c r="D259" s="204">
        <f>+C259+1</f>
        <v/>
      </c>
      <c r="E259" s="203">
        <f>IF(C259&gt;C258,1,E258+1)</f>
        <v/>
      </c>
      <c r="F259" s="203">
        <f>COUNTIF(C:C,C259)</f>
        <v/>
      </c>
      <c r="G259" s="198">
        <f>+G258+7</f>
        <v/>
      </c>
      <c r="H259" s="361">
        <f>IF(ISBLANK(CO259),CP259,SUMPRODUCT(CO$32:CP$32,CO259:CP259))</f>
        <v/>
      </c>
      <c r="I259" s="968">
        <f>H259/M259</f>
        <v/>
      </c>
      <c r="J259" s="968">
        <f>H259/N259</f>
        <v/>
      </c>
      <c r="K259" s="968">
        <f>(H259+Q259)/O259</f>
        <v/>
      </c>
      <c r="L259" s="968">
        <f>(H259+Q259)/P259</f>
        <v/>
      </c>
      <c r="M259" s="199">
        <f>HLOOKUP(C:C,$4:$10,3,FALSE)+((HLOOKUP(D:D,$4:$10,3,FALSE)-HLOOKUP(C:C,$4:$10,3,FALSE))*E259/F259)</f>
        <v/>
      </c>
      <c r="N259" s="199">
        <f>HLOOKUP(C:C,$4:$10,2,FALSE)+((HLOOKUP(D:D,$4:$10,2,FALSE)-HLOOKUP(C:C,$4:$10,2,FALSE))*E259/F259)</f>
        <v/>
      </c>
      <c r="O259" s="199">
        <f>HLOOKUP(C:C,$4:$10,5,FALSE)+((HLOOKUP(D:D,$4:$10,5,FALSE)-HLOOKUP(C:C,$4:$10,5,FALSE))*E259/F259)</f>
        <v/>
      </c>
      <c r="P259" s="199">
        <f>HLOOKUP(C:C,$4:$10,4,FALSE)+((HLOOKUP(D:D,$4:$10,4,FALSE)-HLOOKUP(C:C,$4:$10,4,FALSE))*E259/F259)</f>
        <v/>
      </c>
      <c r="Q259" s="199">
        <f>HLOOKUP(B:B,$4:$10,6,FALSE)+((HLOOKUP(C:C,$4:$10,6,FALSE)-HLOOKUP(B:B,$4:$10,6,FALSE))*E259/F259)</f>
        <v/>
      </c>
      <c r="T259" s="198">
        <f>$G259</f>
        <v/>
      </c>
      <c r="U259" s="199">
        <f>H259/(HLOOKUP(B:B,$4:$10,3,FALSE)+((HLOOKUP(C:C,$4:$10,3,FALSE)-HLOOKUP(B:B,$4:$10,3,FALSE))*E259/F259))</f>
        <v/>
      </c>
      <c r="V259" s="969">
        <f>HLOOKUP(B:B,$4:$10,7,FALSE)+((HLOOKUP(C:C,$4:$10,7,FALSE)-HLOOKUP(B:B,$4:$10,7,FALSE))*E259/F259)</f>
        <v/>
      </c>
      <c r="AB259" s="198">
        <f>$G259</f>
        <v/>
      </c>
      <c r="AC259" s="199">
        <f>$H259</f>
        <v/>
      </c>
      <c r="AD259" s="199">
        <f>$M259*AD$34</f>
        <v/>
      </c>
      <c r="AE259" s="199">
        <f>$M259*AE$34</f>
        <v/>
      </c>
      <c r="AF259" s="199">
        <f>$M259*AF$34</f>
        <v/>
      </c>
      <c r="AG259" s="199">
        <f>$M259*AG$34</f>
        <v/>
      </c>
      <c r="AH259" s="199">
        <f>$M259*AH$34</f>
        <v/>
      </c>
      <c r="AJ259" s="198">
        <f>$G259</f>
        <v/>
      </c>
      <c r="AK259" s="199">
        <f>$H259</f>
        <v/>
      </c>
      <c r="AL259" s="199">
        <f>$N259*AL$34</f>
        <v/>
      </c>
      <c r="AM259" s="199">
        <f>$N259*AM$34</f>
        <v/>
      </c>
      <c r="AN259" s="199">
        <f>$N259*AN$34</f>
        <v/>
      </c>
      <c r="AO259" s="199">
        <f>$N259*AO$34</f>
        <v/>
      </c>
      <c r="AP259" s="199">
        <f>$N259*AP$34</f>
        <v/>
      </c>
      <c r="AR259" s="198">
        <f>$G259</f>
        <v/>
      </c>
      <c r="AS259" s="199">
        <f>$H259</f>
        <v/>
      </c>
      <c r="AT259" s="199">
        <f>$O259*AT$34-$Q259</f>
        <v/>
      </c>
      <c r="AU259" s="199">
        <f>$O259*AU$34-$Q259</f>
        <v/>
      </c>
      <c r="AV259" s="199">
        <f>$O259*AV$34-$Q259</f>
        <v/>
      </c>
      <c r="AW259" s="199">
        <f>$O259*AW$34-$Q259</f>
        <v/>
      </c>
      <c r="AX259" s="199">
        <f>$O259*AX$34-$Q259</f>
        <v/>
      </c>
      <c r="AZ259" s="198">
        <f>$G259</f>
        <v/>
      </c>
      <c r="BA259" s="199">
        <f>$H259</f>
        <v/>
      </c>
      <c r="BB259" s="199">
        <f>$P259*BB$34-$Q259</f>
        <v/>
      </c>
      <c r="BC259" s="199">
        <f>$P259*BC$34-$Q259</f>
        <v/>
      </c>
      <c r="BD259" s="199">
        <f>$P259*BD$34-$Q259</f>
        <v/>
      </c>
      <c r="BE259" s="199">
        <f>$P259*BE$34-$Q259</f>
        <v/>
      </c>
      <c r="BF259" s="199">
        <f>$P259*BF$34-$Q259</f>
        <v/>
      </c>
      <c r="BH259" s="198">
        <f>$G259</f>
        <v/>
      </c>
      <c r="BI259" s="197">
        <f>$I259</f>
        <v/>
      </c>
      <c r="BJ259" s="197">
        <f>+BJ260</f>
        <v/>
      </c>
      <c r="BK259" s="197">
        <f>+BK260</f>
        <v/>
      </c>
      <c r="BL259" s="197">
        <f>+BL260</f>
        <v/>
      </c>
      <c r="BM259" s="197">
        <f>+BM260</f>
        <v/>
      </c>
      <c r="BN259" s="197">
        <f>+BN260</f>
        <v/>
      </c>
      <c r="BP259" s="198">
        <f>$G259</f>
        <v/>
      </c>
      <c r="BQ259" s="197">
        <f>$J259</f>
        <v/>
      </c>
      <c r="BR259" s="197">
        <f>+BR260</f>
        <v/>
      </c>
      <c r="BS259" s="197">
        <f>+BS260</f>
        <v/>
      </c>
      <c r="BT259" s="197">
        <f>+BT260</f>
        <v/>
      </c>
      <c r="BU259" s="197">
        <f>+BU260</f>
        <v/>
      </c>
      <c r="BV259" s="197">
        <f>+BV260</f>
        <v/>
      </c>
      <c r="BX259" s="198">
        <f>$G259</f>
        <v/>
      </c>
      <c r="BY259" s="197">
        <f>$K259</f>
        <v/>
      </c>
      <c r="BZ259" s="197">
        <f>+BZ260</f>
        <v/>
      </c>
      <c r="CA259" s="197">
        <f>+CA260</f>
        <v/>
      </c>
      <c r="CB259" s="197">
        <f>+CB260</f>
        <v/>
      </c>
      <c r="CC259" s="197">
        <f>+CC260</f>
        <v/>
      </c>
      <c r="CD259" s="197">
        <f>+CD260</f>
        <v/>
      </c>
      <c r="CF259" s="198">
        <f>$G259</f>
        <v/>
      </c>
      <c r="CG259" s="197">
        <f>$L259</f>
        <v/>
      </c>
      <c r="CH259" s="197">
        <f>+CH260</f>
        <v/>
      </c>
      <c r="CI259" s="197">
        <f>+CI260</f>
        <v/>
      </c>
      <c r="CJ259" s="197">
        <f>+CJ260</f>
        <v/>
      </c>
      <c r="CK259" s="197">
        <f>+CK260</f>
        <v/>
      </c>
      <c r="CL259" s="197">
        <f>+CL260</f>
        <v/>
      </c>
      <c r="CO259" s="199" t="n">
        <v>8.755812634682998</v>
      </c>
      <c r="CP259" s="199" t="n">
        <v>2.54</v>
      </c>
      <c r="CR259" s="199" t="n">
        <v>7.72</v>
      </c>
      <c r="CS259" s="970" t="n">
        <v>0.8817</v>
      </c>
    </row>
    <row r="260">
      <c r="B260" s="204">
        <f>+C260-1</f>
        <v/>
      </c>
      <c r="C260" s="204">
        <f>IF('bands_A-H_Avg'!$D$9+1&gt;MONTH(G260),YEAR(G260),YEAR(G260)+1)</f>
        <v/>
      </c>
      <c r="D260" s="204">
        <f>+C260+1</f>
        <v/>
      </c>
      <c r="E260" s="203">
        <f>IF(C260&gt;C259,1,E259+1)</f>
        <v/>
      </c>
      <c r="F260" s="203">
        <f>COUNTIF(C:C,C260)</f>
        <v/>
      </c>
      <c r="G260" s="198">
        <f>+G259+7</f>
        <v/>
      </c>
      <c r="H260" s="361">
        <f>IF(ISBLANK(CO260),CP260,SUMPRODUCT(CO$32:CP$32,CO260:CP260))</f>
        <v/>
      </c>
      <c r="I260" s="968">
        <f>H260/M260</f>
        <v/>
      </c>
      <c r="J260" s="968">
        <f>H260/N260</f>
        <v/>
      </c>
      <c r="K260" s="968">
        <f>(H260+Q260)/O260</f>
        <v/>
      </c>
      <c r="L260" s="968">
        <f>(H260+Q260)/P260</f>
        <v/>
      </c>
      <c r="M260" s="199">
        <f>HLOOKUP(C:C,$4:$10,3,FALSE)+((HLOOKUP(D:D,$4:$10,3,FALSE)-HLOOKUP(C:C,$4:$10,3,FALSE))*E260/F260)</f>
        <v/>
      </c>
      <c r="N260" s="199">
        <f>HLOOKUP(C:C,$4:$10,2,FALSE)+((HLOOKUP(D:D,$4:$10,2,FALSE)-HLOOKUP(C:C,$4:$10,2,FALSE))*E260/F260)</f>
        <v/>
      </c>
      <c r="O260" s="199">
        <f>HLOOKUP(C:C,$4:$10,5,FALSE)+((HLOOKUP(D:D,$4:$10,5,FALSE)-HLOOKUP(C:C,$4:$10,5,FALSE))*E260/F260)</f>
        <v/>
      </c>
      <c r="P260" s="199">
        <f>HLOOKUP(C:C,$4:$10,4,FALSE)+((HLOOKUP(D:D,$4:$10,4,FALSE)-HLOOKUP(C:C,$4:$10,4,FALSE))*E260/F260)</f>
        <v/>
      </c>
      <c r="Q260" s="199">
        <f>HLOOKUP(B:B,$4:$10,6,FALSE)+((HLOOKUP(C:C,$4:$10,6,FALSE)-HLOOKUP(B:B,$4:$10,6,FALSE))*E260/F260)</f>
        <v/>
      </c>
      <c r="T260" s="198">
        <f>$G260</f>
        <v/>
      </c>
      <c r="U260" s="199">
        <f>H260/(HLOOKUP(B:B,$4:$10,3,FALSE)+((HLOOKUP(C:C,$4:$10,3,FALSE)-HLOOKUP(B:B,$4:$10,3,FALSE))*E260/F260))</f>
        <v/>
      </c>
      <c r="V260" s="969">
        <f>HLOOKUP(B:B,$4:$10,7,FALSE)+((HLOOKUP(C:C,$4:$10,7,FALSE)-HLOOKUP(B:B,$4:$10,7,FALSE))*E260/F260)</f>
        <v/>
      </c>
      <c r="AB260" s="198">
        <f>$G260</f>
        <v/>
      </c>
      <c r="AC260" s="199">
        <f>$H260</f>
        <v/>
      </c>
      <c r="AD260" s="199">
        <f>$M260*AD$34</f>
        <v/>
      </c>
      <c r="AE260" s="199">
        <f>$M260*AE$34</f>
        <v/>
      </c>
      <c r="AF260" s="199">
        <f>$M260*AF$34</f>
        <v/>
      </c>
      <c r="AG260" s="199">
        <f>$M260*AG$34</f>
        <v/>
      </c>
      <c r="AH260" s="199">
        <f>$M260*AH$34</f>
        <v/>
      </c>
      <c r="AJ260" s="198">
        <f>$G260</f>
        <v/>
      </c>
      <c r="AK260" s="199">
        <f>$H260</f>
        <v/>
      </c>
      <c r="AL260" s="199">
        <f>$N260*AL$34</f>
        <v/>
      </c>
      <c r="AM260" s="199">
        <f>$N260*AM$34</f>
        <v/>
      </c>
      <c r="AN260" s="199">
        <f>$N260*AN$34</f>
        <v/>
      </c>
      <c r="AO260" s="199">
        <f>$N260*AO$34</f>
        <v/>
      </c>
      <c r="AP260" s="199">
        <f>$N260*AP$34</f>
        <v/>
      </c>
      <c r="AR260" s="198">
        <f>$G260</f>
        <v/>
      </c>
      <c r="AS260" s="199">
        <f>$H260</f>
        <v/>
      </c>
      <c r="AT260" s="199">
        <f>$O260*AT$34-$Q260</f>
        <v/>
      </c>
      <c r="AU260" s="199">
        <f>$O260*AU$34-$Q260</f>
        <v/>
      </c>
      <c r="AV260" s="199">
        <f>$O260*AV$34-$Q260</f>
        <v/>
      </c>
      <c r="AW260" s="199">
        <f>$O260*AW$34-$Q260</f>
        <v/>
      </c>
      <c r="AX260" s="199">
        <f>$O260*AX$34-$Q260</f>
        <v/>
      </c>
      <c r="AZ260" s="198">
        <f>$G260</f>
        <v/>
      </c>
      <c r="BA260" s="199">
        <f>$H260</f>
        <v/>
      </c>
      <c r="BB260" s="199">
        <f>$P260*BB$34-$Q260</f>
        <v/>
      </c>
      <c r="BC260" s="199">
        <f>$P260*BC$34-$Q260</f>
        <v/>
      </c>
      <c r="BD260" s="199">
        <f>$P260*BD$34-$Q260</f>
        <v/>
      </c>
      <c r="BE260" s="199">
        <f>$P260*BE$34-$Q260</f>
        <v/>
      </c>
      <c r="BF260" s="199">
        <f>$P260*BF$34-$Q260</f>
        <v/>
      </c>
      <c r="BH260" s="198">
        <f>$G260</f>
        <v/>
      </c>
      <c r="BI260" s="197">
        <f>$I260</f>
        <v/>
      </c>
      <c r="BJ260" s="197">
        <f>+BJ261</f>
        <v/>
      </c>
      <c r="BK260" s="197">
        <f>+BK261</f>
        <v/>
      </c>
      <c r="BL260" s="197">
        <f>+BL261</f>
        <v/>
      </c>
      <c r="BM260" s="197">
        <f>+BM261</f>
        <v/>
      </c>
      <c r="BN260" s="197">
        <f>+BN261</f>
        <v/>
      </c>
      <c r="BP260" s="198">
        <f>$G260</f>
        <v/>
      </c>
      <c r="BQ260" s="197">
        <f>$J260</f>
        <v/>
      </c>
      <c r="BR260" s="197">
        <f>+BR261</f>
        <v/>
      </c>
      <c r="BS260" s="197">
        <f>+BS261</f>
        <v/>
      </c>
      <c r="BT260" s="197">
        <f>+BT261</f>
        <v/>
      </c>
      <c r="BU260" s="197">
        <f>+BU261</f>
        <v/>
      </c>
      <c r="BV260" s="197">
        <f>+BV261</f>
        <v/>
      </c>
      <c r="BX260" s="198">
        <f>$G260</f>
        <v/>
      </c>
      <c r="BY260" s="197">
        <f>$K260</f>
        <v/>
      </c>
      <c r="BZ260" s="197">
        <f>+BZ261</f>
        <v/>
      </c>
      <c r="CA260" s="197">
        <f>+CA261</f>
        <v/>
      </c>
      <c r="CB260" s="197">
        <f>+CB261</f>
        <v/>
      </c>
      <c r="CC260" s="197">
        <f>+CC261</f>
        <v/>
      </c>
      <c r="CD260" s="197">
        <f>+CD261</f>
        <v/>
      </c>
      <c r="CF260" s="198">
        <f>$G260</f>
        <v/>
      </c>
      <c r="CG260" s="197">
        <f>$L260</f>
        <v/>
      </c>
      <c r="CH260" s="197">
        <f>+CH261</f>
        <v/>
      </c>
      <c r="CI260" s="197">
        <f>+CI261</f>
        <v/>
      </c>
      <c r="CJ260" s="197">
        <f>+CJ261</f>
        <v/>
      </c>
      <c r="CK260" s="197">
        <f>+CK261</f>
        <v/>
      </c>
      <c r="CL260" s="197">
        <f>+CL261</f>
        <v/>
      </c>
      <c r="CO260" s="199" t="n">
        <v>10.5148535066526</v>
      </c>
      <c r="CP260" s="199" t="n">
        <v>3.06</v>
      </c>
      <c r="CR260" s="199" t="n">
        <v>9.27</v>
      </c>
      <c r="CS260" s="970" t="n">
        <v>0.88161</v>
      </c>
    </row>
    <row r="261">
      <c r="B261" s="204">
        <f>+C261-1</f>
        <v/>
      </c>
      <c r="C261" s="204">
        <f>IF('bands_A-H_Avg'!$D$9+1&gt;MONTH(G261),YEAR(G261),YEAR(G261)+1)</f>
        <v/>
      </c>
      <c r="D261" s="204">
        <f>+C261+1</f>
        <v/>
      </c>
      <c r="E261" s="203">
        <f>IF(C261&gt;C260,1,E260+1)</f>
        <v/>
      </c>
      <c r="F261" s="203">
        <f>COUNTIF(C:C,C261)</f>
        <v/>
      </c>
      <c r="G261" s="198">
        <f>+G260+7</f>
        <v/>
      </c>
      <c r="H261" s="361">
        <f>IF(ISBLANK(CO261),CP261,SUMPRODUCT(CO$32:CP$32,CO261:CP261))</f>
        <v/>
      </c>
      <c r="I261" s="968">
        <f>H261/M261</f>
        <v/>
      </c>
      <c r="J261" s="968">
        <f>H261/N261</f>
        <v/>
      </c>
      <c r="K261" s="968">
        <f>(H261+Q261)/O261</f>
        <v/>
      </c>
      <c r="L261" s="968">
        <f>(H261+Q261)/P261</f>
        <v/>
      </c>
      <c r="M261" s="199">
        <f>HLOOKUP(C:C,$4:$10,3,FALSE)+((HLOOKUP(D:D,$4:$10,3,FALSE)-HLOOKUP(C:C,$4:$10,3,FALSE))*E261/F261)</f>
        <v/>
      </c>
      <c r="N261" s="199">
        <f>HLOOKUP(C:C,$4:$10,2,FALSE)+((HLOOKUP(D:D,$4:$10,2,FALSE)-HLOOKUP(C:C,$4:$10,2,FALSE))*E261/F261)</f>
        <v/>
      </c>
      <c r="O261" s="199">
        <f>HLOOKUP(C:C,$4:$10,5,FALSE)+((HLOOKUP(D:D,$4:$10,5,FALSE)-HLOOKUP(C:C,$4:$10,5,FALSE))*E261/F261)</f>
        <v/>
      </c>
      <c r="P261" s="199">
        <f>HLOOKUP(C:C,$4:$10,4,FALSE)+((HLOOKUP(D:D,$4:$10,4,FALSE)-HLOOKUP(C:C,$4:$10,4,FALSE))*E261/F261)</f>
        <v/>
      </c>
      <c r="Q261" s="199">
        <f>HLOOKUP(B:B,$4:$10,6,FALSE)+((HLOOKUP(C:C,$4:$10,6,FALSE)-HLOOKUP(B:B,$4:$10,6,FALSE))*E261/F261)</f>
        <v/>
      </c>
      <c r="T261" s="198">
        <f>$G261</f>
        <v/>
      </c>
      <c r="U261" s="199">
        <f>H261/(HLOOKUP(B:B,$4:$10,3,FALSE)+((HLOOKUP(C:C,$4:$10,3,FALSE)-HLOOKUP(B:B,$4:$10,3,FALSE))*E261/F261))</f>
        <v/>
      </c>
      <c r="V261" s="969">
        <f>HLOOKUP(B:B,$4:$10,7,FALSE)+((HLOOKUP(C:C,$4:$10,7,FALSE)-HLOOKUP(B:B,$4:$10,7,FALSE))*E261/F261)</f>
        <v/>
      </c>
      <c r="AB261" s="198">
        <f>$G261</f>
        <v/>
      </c>
      <c r="AC261" s="199">
        <f>$H261</f>
        <v/>
      </c>
      <c r="AD261" s="199">
        <f>$M261*AD$34</f>
        <v/>
      </c>
      <c r="AE261" s="199">
        <f>$M261*AE$34</f>
        <v/>
      </c>
      <c r="AF261" s="199">
        <f>$M261*AF$34</f>
        <v/>
      </c>
      <c r="AG261" s="199">
        <f>$M261*AG$34</f>
        <v/>
      </c>
      <c r="AH261" s="199">
        <f>$M261*AH$34</f>
        <v/>
      </c>
      <c r="AJ261" s="198">
        <f>$G261</f>
        <v/>
      </c>
      <c r="AK261" s="199">
        <f>$H261</f>
        <v/>
      </c>
      <c r="AL261" s="199">
        <f>$N261*AL$34</f>
        <v/>
      </c>
      <c r="AM261" s="199">
        <f>$N261*AM$34</f>
        <v/>
      </c>
      <c r="AN261" s="199">
        <f>$N261*AN$34</f>
        <v/>
      </c>
      <c r="AO261" s="199">
        <f>$N261*AO$34</f>
        <v/>
      </c>
      <c r="AP261" s="199">
        <f>$N261*AP$34</f>
        <v/>
      </c>
      <c r="AR261" s="198">
        <f>$G261</f>
        <v/>
      </c>
      <c r="AS261" s="199">
        <f>$H261</f>
        <v/>
      </c>
      <c r="AT261" s="199">
        <f>$O261*AT$34-$Q261</f>
        <v/>
      </c>
      <c r="AU261" s="199">
        <f>$O261*AU$34-$Q261</f>
        <v/>
      </c>
      <c r="AV261" s="199">
        <f>$O261*AV$34-$Q261</f>
        <v/>
      </c>
      <c r="AW261" s="199">
        <f>$O261*AW$34-$Q261</f>
        <v/>
      </c>
      <c r="AX261" s="199">
        <f>$O261*AX$34-$Q261</f>
        <v/>
      </c>
      <c r="AZ261" s="198">
        <f>$G261</f>
        <v/>
      </c>
      <c r="BA261" s="199">
        <f>$H261</f>
        <v/>
      </c>
      <c r="BB261" s="199">
        <f>$P261*BB$34-$Q261</f>
        <v/>
      </c>
      <c r="BC261" s="199">
        <f>$P261*BC$34-$Q261</f>
        <v/>
      </c>
      <c r="BD261" s="199">
        <f>$P261*BD$34-$Q261</f>
        <v/>
      </c>
      <c r="BE261" s="199">
        <f>$P261*BE$34-$Q261</f>
        <v/>
      </c>
      <c r="BF261" s="199">
        <f>$P261*BF$34-$Q261</f>
        <v/>
      </c>
      <c r="BH261" s="198">
        <f>$G261</f>
        <v/>
      </c>
      <c r="BI261" s="197">
        <f>$I261</f>
        <v/>
      </c>
      <c r="BJ261" s="197">
        <f>+BJ262</f>
        <v/>
      </c>
      <c r="BK261" s="197">
        <f>+BK262</f>
        <v/>
      </c>
      <c r="BL261" s="197">
        <f>+BL262</f>
        <v/>
      </c>
      <c r="BM261" s="197">
        <f>+BM262</f>
        <v/>
      </c>
      <c r="BN261" s="197">
        <f>+BN262</f>
        <v/>
      </c>
      <c r="BP261" s="198">
        <f>$G261</f>
        <v/>
      </c>
      <c r="BQ261" s="197">
        <f>$J261</f>
        <v/>
      </c>
      <c r="BR261" s="197">
        <f>+BR262</f>
        <v/>
      </c>
      <c r="BS261" s="197">
        <f>+BS262</f>
        <v/>
      </c>
      <c r="BT261" s="197">
        <f>+BT262</f>
        <v/>
      </c>
      <c r="BU261" s="197">
        <f>+BU262</f>
        <v/>
      </c>
      <c r="BV261" s="197">
        <f>+BV262</f>
        <v/>
      </c>
      <c r="BX261" s="198">
        <f>$G261</f>
        <v/>
      </c>
      <c r="BY261" s="197">
        <f>$K261</f>
        <v/>
      </c>
      <c r="BZ261" s="197">
        <f>+BZ262</f>
        <v/>
      </c>
      <c r="CA261" s="197">
        <f>+CA262</f>
        <v/>
      </c>
      <c r="CB261" s="197">
        <f>+CB262</f>
        <v/>
      </c>
      <c r="CC261" s="197">
        <f>+CC262</f>
        <v/>
      </c>
      <c r="CD261" s="197">
        <f>+CD262</f>
        <v/>
      </c>
      <c r="CF261" s="198">
        <f>$G261</f>
        <v/>
      </c>
      <c r="CG261" s="197">
        <f>$L261</f>
        <v/>
      </c>
      <c r="CH261" s="197">
        <f>+CH262</f>
        <v/>
      </c>
      <c r="CI261" s="197">
        <f>+CI262</f>
        <v/>
      </c>
      <c r="CJ261" s="197">
        <f>+CJ262</f>
        <v/>
      </c>
      <c r="CK261" s="197">
        <f>+CK262</f>
        <v/>
      </c>
      <c r="CL261" s="197">
        <f>+CL262</f>
        <v/>
      </c>
      <c r="CO261" s="199" t="n">
        <v>10.52308949734369</v>
      </c>
      <c r="CP261" s="199" t="n">
        <v>3.06</v>
      </c>
      <c r="CR261" s="199" t="n">
        <v>9.27</v>
      </c>
      <c r="CS261" s="970" t="n">
        <v>0.88092</v>
      </c>
    </row>
    <row r="262">
      <c r="B262" s="204">
        <f>+C262-1</f>
        <v/>
      </c>
      <c r="C262" s="204">
        <f>IF('bands_A-H_Avg'!$D$9+1&gt;MONTH(G262),YEAR(G262),YEAR(G262)+1)</f>
        <v/>
      </c>
      <c r="D262" s="204">
        <f>+C262+1</f>
        <v/>
      </c>
      <c r="E262" s="203">
        <f>IF(C262&gt;C261,1,E261+1)</f>
        <v/>
      </c>
      <c r="F262" s="203">
        <f>COUNTIF(C:C,C262)</f>
        <v/>
      </c>
      <c r="G262" s="198">
        <f>+G261+7</f>
        <v/>
      </c>
      <c r="H262" s="361">
        <f>IF(ISBLANK(CO262),CP262,SUMPRODUCT(CO$32:CP$32,CO262:CP262))</f>
        <v/>
      </c>
      <c r="I262" s="968">
        <f>H262/M262</f>
        <v/>
      </c>
      <c r="J262" s="968">
        <f>H262/N262</f>
        <v/>
      </c>
      <c r="K262" s="968">
        <f>(H262+Q262)/O262</f>
        <v/>
      </c>
      <c r="L262" s="968">
        <f>(H262+Q262)/P262</f>
        <v/>
      </c>
      <c r="M262" s="199">
        <f>HLOOKUP(C:C,$4:$10,3,FALSE)+((HLOOKUP(D:D,$4:$10,3,FALSE)-HLOOKUP(C:C,$4:$10,3,FALSE))*E262/F262)</f>
        <v/>
      </c>
      <c r="N262" s="199">
        <f>HLOOKUP(C:C,$4:$10,2,FALSE)+((HLOOKUP(D:D,$4:$10,2,FALSE)-HLOOKUP(C:C,$4:$10,2,FALSE))*E262/F262)</f>
        <v/>
      </c>
      <c r="O262" s="199">
        <f>HLOOKUP(C:C,$4:$10,5,FALSE)+((HLOOKUP(D:D,$4:$10,5,FALSE)-HLOOKUP(C:C,$4:$10,5,FALSE))*E262/F262)</f>
        <v/>
      </c>
      <c r="P262" s="199">
        <f>HLOOKUP(C:C,$4:$10,4,FALSE)+((HLOOKUP(D:D,$4:$10,4,FALSE)-HLOOKUP(C:C,$4:$10,4,FALSE))*E262/F262)</f>
        <v/>
      </c>
      <c r="Q262" s="199">
        <f>HLOOKUP(B:B,$4:$10,6,FALSE)+((HLOOKUP(C:C,$4:$10,6,FALSE)-HLOOKUP(B:B,$4:$10,6,FALSE))*E262/F262)</f>
        <v/>
      </c>
      <c r="T262" s="198">
        <f>$G262</f>
        <v/>
      </c>
      <c r="U262" s="199">
        <f>H262/(HLOOKUP(B:B,$4:$10,3,FALSE)+((HLOOKUP(C:C,$4:$10,3,FALSE)-HLOOKUP(B:B,$4:$10,3,FALSE))*E262/F262))</f>
        <v/>
      </c>
      <c r="V262" s="969">
        <f>HLOOKUP(B:B,$4:$10,7,FALSE)+((HLOOKUP(C:C,$4:$10,7,FALSE)-HLOOKUP(B:B,$4:$10,7,FALSE))*E262/F262)</f>
        <v/>
      </c>
      <c r="AB262" s="198">
        <f>$G262</f>
        <v/>
      </c>
      <c r="AC262" s="199">
        <f>$H262</f>
        <v/>
      </c>
      <c r="AD262" s="199">
        <f>$M262*AD$34</f>
        <v/>
      </c>
      <c r="AE262" s="199">
        <f>$M262*AE$34</f>
        <v/>
      </c>
      <c r="AF262" s="199">
        <f>$M262*AF$34</f>
        <v/>
      </c>
      <c r="AG262" s="199">
        <f>$M262*AG$34</f>
        <v/>
      </c>
      <c r="AH262" s="199">
        <f>$M262*AH$34</f>
        <v/>
      </c>
      <c r="AJ262" s="198">
        <f>$G262</f>
        <v/>
      </c>
      <c r="AK262" s="199">
        <f>$H262</f>
        <v/>
      </c>
      <c r="AL262" s="199">
        <f>$N262*AL$34</f>
        <v/>
      </c>
      <c r="AM262" s="199">
        <f>$N262*AM$34</f>
        <v/>
      </c>
      <c r="AN262" s="199">
        <f>$N262*AN$34</f>
        <v/>
      </c>
      <c r="AO262" s="199">
        <f>$N262*AO$34</f>
        <v/>
      </c>
      <c r="AP262" s="199">
        <f>$N262*AP$34</f>
        <v/>
      </c>
      <c r="AR262" s="198">
        <f>$G262</f>
        <v/>
      </c>
      <c r="AS262" s="199">
        <f>$H262</f>
        <v/>
      </c>
      <c r="AT262" s="199">
        <f>$O262*AT$34-$Q262</f>
        <v/>
      </c>
      <c r="AU262" s="199">
        <f>$O262*AU$34-$Q262</f>
        <v/>
      </c>
      <c r="AV262" s="199">
        <f>$O262*AV$34-$Q262</f>
        <v/>
      </c>
      <c r="AW262" s="199">
        <f>$O262*AW$34-$Q262</f>
        <v/>
      </c>
      <c r="AX262" s="199">
        <f>$O262*AX$34-$Q262</f>
        <v/>
      </c>
      <c r="AZ262" s="198">
        <f>$G262</f>
        <v/>
      </c>
      <c r="BA262" s="199">
        <f>$H262</f>
        <v/>
      </c>
      <c r="BB262" s="199">
        <f>$P262*BB$34-$Q262</f>
        <v/>
      </c>
      <c r="BC262" s="199">
        <f>$P262*BC$34-$Q262</f>
        <v/>
      </c>
      <c r="BD262" s="199">
        <f>$P262*BD$34-$Q262</f>
        <v/>
      </c>
      <c r="BE262" s="199">
        <f>$P262*BE$34-$Q262</f>
        <v/>
      </c>
      <c r="BF262" s="199">
        <f>$P262*BF$34-$Q262</f>
        <v/>
      </c>
      <c r="BH262" s="198">
        <f>$G262</f>
        <v/>
      </c>
      <c r="BI262" s="197">
        <f>$I262</f>
        <v/>
      </c>
      <c r="BJ262" s="197">
        <f>+BJ263</f>
        <v/>
      </c>
      <c r="BK262" s="197">
        <f>+BK263</f>
        <v/>
      </c>
      <c r="BL262" s="197">
        <f>+BL263</f>
        <v/>
      </c>
      <c r="BM262" s="197">
        <f>+BM263</f>
        <v/>
      </c>
      <c r="BN262" s="197">
        <f>+BN263</f>
        <v/>
      </c>
      <c r="BP262" s="198">
        <f>$G262</f>
        <v/>
      </c>
      <c r="BQ262" s="197">
        <f>$J262</f>
        <v/>
      </c>
      <c r="BR262" s="197">
        <f>+BR263</f>
        <v/>
      </c>
      <c r="BS262" s="197">
        <f>+BS263</f>
        <v/>
      </c>
      <c r="BT262" s="197">
        <f>+BT263</f>
        <v/>
      </c>
      <c r="BU262" s="197">
        <f>+BU263</f>
        <v/>
      </c>
      <c r="BV262" s="197">
        <f>+BV263</f>
        <v/>
      </c>
      <c r="BX262" s="198">
        <f>$G262</f>
        <v/>
      </c>
      <c r="BY262" s="197">
        <f>$K262</f>
        <v/>
      </c>
      <c r="BZ262" s="197">
        <f>+BZ263</f>
        <v/>
      </c>
      <c r="CA262" s="197">
        <f>+CA263</f>
        <v/>
      </c>
      <c r="CB262" s="197">
        <f>+CB263</f>
        <v/>
      </c>
      <c r="CC262" s="197">
        <f>+CC263</f>
        <v/>
      </c>
      <c r="CD262" s="197">
        <f>+CD263</f>
        <v/>
      </c>
      <c r="CF262" s="198">
        <f>$G262</f>
        <v/>
      </c>
      <c r="CG262" s="197">
        <f>$L262</f>
        <v/>
      </c>
      <c r="CH262" s="197">
        <f>+CH263</f>
        <v/>
      </c>
      <c r="CI262" s="197">
        <f>+CI263</f>
        <v/>
      </c>
      <c r="CJ262" s="197">
        <f>+CJ263</f>
        <v/>
      </c>
      <c r="CK262" s="197">
        <f>+CK263</f>
        <v/>
      </c>
      <c r="CL262" s="197">
        <f>+CL263</f>
        <v/>
      </c>
      <c r="CO262" s="199" t="n">
        <v>9.87387796841268</v>
      </c>
      <c r="CP262" s="199" t="n">
        <v>2.8</v>
      </c>
      <c r="CR262" s="199" t="n">
        <v>8.69</v>
      </c>
      <c r="CS262" s="970" t="n">
        <v>0.8801</v>
      </c>
    </row>
    <row r="263">
      <c r="B263" s="204">
        <f>+C263-1</f>
        <v/>
      </c>
      <c r="C263" s="204">
        <f>IF('bands_A-H_Avg'!$D$9+1&gt;MONTH(G263),YEAR(G263),YEAR(G263)+1)</f>
        <v/>
      </c>
      <c r="D263" s="204">
        <f>+C263+1</f>
        <v/>
      </c>
      <c r="E263" s="203">
        <f>IF(C263&gt;C262,1,E262+1)</f>
        <v/>
      </c>
      <c r="F263" s="203">
        <f>COUNTIF(C:C,C263)</f>
        <v/>
      </c>
      <c r="G263" s="198">
        <f>+G262+7</f>
        <v/>
      </c>
      <c r="H263" s="361">
        <f>IF(ISBLANK(CO263),CP263,SUMPRODUCT(CO$32:CP$32,CO263:CP263))</f>
        <v/>
      </c>
      <c r="I263" s="968">
        <f>H263/M263</f>
        <v/>
      </c>
      <c r="J263" s="968">
        <f>H263/N263</f>
        <v/>
      </c>
      <c r="K263" s="968">
        <f>(H263+Q263)/O263</f>
        <v/>
      </c>
      <c r="L263" s="968">
        <f>(H263+Q263)/P263</f>
        <v/>
      </c>
      <c r="M263" s="199">
        <f>HLOOKUP(C:C,$4:$10,3,FALSE)+((HLOOKUP(D:D,$4:$10,3,FALSE)-HLOOKUP(C:C,$4:$10,3,FALSE))*E263/F263)</f>
        <v/>
      </c>
      <c r="N263" s="199">
        <f>HLOOKUP(C:C,$4:$10,2,FALSE)+((HLOOKUP(D:D,$4:$10,2,FALSE)-HLOOKUP(C:C,$4:$10,2,FALSE))*E263/F263)</f>
        <v/>
      </c>
      <c r="O263" s="199">
        <f>HLOOKUP(C:C,$4:$10,5,FALSE)+((HLOOKUP(D:D,$4:$10,5,FALSE)-HLOOKUP(C:C,$4:$10,5,FALSE))*E263/F263)</f>
        <v/>
      </c>
      <c r="P263" s="199">
        <f>HLOOKUP(C:C,$4:$10,4,FALSE)+((HLOOKUP(D:D,$4:$10,4,FALSE)-HLOOKUP(C:C,$4:$10,4,FALSE))*E263/F263)</f>
        <v/>
      </c>
      <c r="Q263" s="199">
        <f>HLOOKUP(B:B,$4:$10,6,FALSE)+((HLOOKUP(C:C,$4:$10,6,FALSE)-HLOOKUP(B:B,$4:$10,6,FALSE))*E263/F263)</f>
        <v/>
      </c>
      <c r="T263" s="198">
        <f>$G263</f>
        <v/>
      </c>
      <c r="U263" s="199">
        <f>H263/(HLOOKUP(B:B,$4:$10,3,FALSE)+((HLOOKUP(C:C,$4:$10,3,FALSE)-HLOOKUP(B:B,$4:$10,3,FALSE))*E263/F263))</f>
        <v/>
      </c>
      <c r="V263" s="969">
        <f>HLOOKUP(B:B,$4:$10,7,FALSE)+((HLOOKUP(C:C,$4:$10,7,FALSE)-HLOOKUP(B:B,$4:$10,7,FALSE))*E263/F263)</f>
        <v/>
      </c>
      <c r="AB263" s="198">
        <f>$G263</f>
        <v/>
      </c>
      <c r="AC263" s="199">
        <f>$H263</f>
        <v/>
      </c>
      <c r="AD263" s="199">
        <f>$M263*AD$34</f>
        <v/>
      </c>
      <c r="AE263" s="199">
        <f>$M263*AE$34</f>
        <v/>
      </c>
      <c r="AF263" s="199">
        <f>$M263*AF$34</f>
        <v/>
      </c>
      <c r="AG263" s="199">
        <f>$M263*AG$34</f>
        <v/>
      </c>
      <c r="AH263" s="199">
        <f>$M263*AH$34</f>
        <v/>
      </c>
      <c r="AJ263" s="198">
        <f>$G263</f>
        <v/>
      </c>
      <c r="AK263" s="199">
        <f>$H263</f>
        <v/>
      </c>
      <c r="AL263" s="199">
        <f>$N263*AL$34</f>
        <v/>
      </c>
      <c r="AM263" s="199">
        <f>$N263*AM$34</f>
        <v/>
      </c>
      <c r="AN263" s="199">
        <f>$N263*AN$34</f>
        <v/>
      </c>
      <c r="AO263" s="199">
        <f>$N263*AO$34</f>
        <v/>
      </c>
      <c r="AP263" s="199">
        <f>$N263*AP$34</f>
        <v/>
      </c>
      <c r="AR263" s="198">
        <f>$G263</f>
        <v/>
      </c>
      <c r="AS263" s="199">
        <f>$H263</f>
        <v/>
      </c>
      <c r="AT263" s="199">
        <f>$O263*AT$34-$Q263</f>
        <v/>
      </c>
      <c r="AU263" s="199">
        <f>$O263*AU$34-$Q263</f>
        <v/>
      </c>
      <c r="AV263" s="199">
        <f>$O263*AV$34-$Q263</f>
        <v/>
      </c>
      <c r="AW263" s="199">
        <f>$O263*AW$34-$Q263</f>
        <v/>
      </c>
      <c r="AX263" s="199">
        <f>$O263*AX$34-$Q263</f>
        <v/>
      </c>
      <c r="AZ263" s="198">
        <f>$G263</f>
        <v/>
      </c>
      <c r="BA263" s="199">
        <f>$H263</f>
        <v/>
      </c>
      <c r="BB263" s="199">
        <f>$P263*BB$34-$Q263</f>
        <v/>
      </c>
      <c r="BC263" s="199">
        <f>$P263*BC$34-$Q263</f>
        <v/>
      </c>
      <c r="BD263" s="199">
        <f>$P263*BD$34-$Q263</f>
        <v/>
      </c>
      <c r="BE263" s="199">
        <f>$P263*BE$34-$Q263</f>
        <v/>
      </c>
      <c r="BF263" s="199">
        <f>$P263*BF$34-$Q263</f>
        <v/>
      </c>
      <c r="BH263" s="198">
        <f>$G263</f>
        <v/>
      </c>
      <c r="BI263" s="197">
        <f>$I263</f>
        <v/>
      </c>
      <c r="BJ263" s="197">
        <f>+BJ264</f>
        <v/>
      </c>
      <c r="BK263" s="197">
        <f>+BK264</f>
        <v/>
      </c>
      <c r="BL263" s="197">
        <f>+BL264</f>
        <v/>
      </c>
      <c r="BM263" s="197">
        <f>+BM264</f>
        <v/>
      </c>
      <c r="BN263" s="197">
        <f>+BN264</f>
        <v/>
      </c>
      <c r="BP263" s="198">
        <f>$G263</f>
        <v/>
      </c>
      <c r="BQ263" s="197">
        <f>$J263</f>
        <v/>
      </c>
      <c r="BR263" s="197">
        <f>+BR264</f>
        <v/>
      </c>
      <c r="BS263" s="197">
        <f>+BS264</f>
        <v/>
      </c>
      <c r="BT263" s="197">
        <f>+BT264</f>
        <v/>
      </c>
      <c r="BU263" s="197">
        <f>+BU264</f>
        <v/>
      </c>
      <c r="BV263" s="197">
        <f>+BV264</f>
        <v/>
      </c>
      <c r="BX263" s="198">
        <f>$G263</f>
        <v/>
      </c>
      <c r="BY263" s="197">
        <f>$K263</f>
        <v/>
      </c>
      <c r="BZ263" s="197">
        <f>+BZ264</f>
        <v/>
      </c>
      <c r="CA263" s="197">
        <f>+CA264</f>
        <v/>
      </c>
      <c r="CB263" s="197">
        <f>+CB264</f>
        <v/>
      </c>
      <c r="CC263" s="197">
        <f>+CC264</f>
        <v/>
      </c>
      <c r="CD263" s="197">
        <f>+CD264</f>
        <v/>
      </c>
      <c r="CF263" s="198">
        <f>$G263</f>
        <v/>
      </c>
      <c r="CG263" s="197">
        <f>$L263</f>
        <v/>
      </c>
      <c r="CH263" s="197">
        <f>+CH264</f>
        <v/>
      </c>
      <c r="CI263" s="197">
        <f>+CI264</f>
        <v/>
      </c>
      <c r="CJ263" s="197">
        <f>+CJ264</f>
        <v/>
      </c>
      <c r="CK263" s="197">
        <f>+CK264</f>
        <v/>
      </c>
      <c r="CL263" s="197">
        <f>+CL264</f>
        <v/>
      </c>
      <c r="CO263" s="199" t="n">
        <v>12.07666352347735</v>
      </c>
      <c r="CP263" s="199" t="n">
        <v>3.31</v>
      </c>
      <c r="CR263" s="199" t="n">
        <v>10.63</v>
      </c>
      <c r="CS263" s="970" t="n">
        <v>0.88021</v>
      </c>
    </row>
    <row r="264">
      <c r="B264" s="204">
        <f>+C264-1</f>
        <v/>
      </c>
      <c r="C264" s="204">
        <f>IF('bands_A-H_Avg'!$D$9+1&gt;MONTH(G264),YEAR(G264),YEAR(G264)+1)</f>
        <v/>
      </c>
      <c r="D264" s="204">
        <f>+C264+1</f>
        <v/>
      </c>
      <c r="E264" s="203">
        <f>IF(C264&gt;C263,1,E263+1)</f>
        <v/>
      </c>
      <c r="F264" s="203">
        <f>COUNTIF(C:C,C264)</f>
        <v/>
      </c>
      <c r="G264" s="198">
        <f>+G263+7</f>
        <v/>
      </c>
      <c r="H264" s="361">
        <f>IF(ISBLANK(CO264),CP264,SUMPRODUCT(CO$32:CP$32,CO264:CP264))</f>
        <v/>
      </c>
      <c r="I264" s="968">
        <f>H264/M264</f>
        <v/>
      </c>
      <c r="J264" s="968">
        <f>H264/N264</f>
        <v/>
      </c>
      <c r="K264" s="968">
        <f>(H264+Q264)/O264</f>
        <v/>
      </c>
      <c r="L264" s="968">
        <f>(H264+Q264)/P264</f>
        <v/>
      </c>
      <c r="M264" s="199">
        <f>HLOOKUP(C:C,$4:$10,3,FALSE)+((HLOOKUP(D:D,$4:$10,3,FALSE)-HLOOKUP(C:C,$4:$10,3,FALSE))*E264/F264)</f>
        <v/>
      </c>
      <c r="N264" s="199">
        <f>HLOOKUP(C:C,$4:$10,2,FALSE)+((HLOOKUP(D:D,$4:$10,2,FALSE)-HLOOKUP(C:C,$4:$10,2,FALSE))*E264/F264)</f>
        <v/>
      </c>
      <c r="O264" s="199">
        <f>HLOOKUP(C:C,$4:$10,5,FALSE)+((HLOOKUP(D:D,$4:$10,5,FALSE)-HLOOKUP(C:C,$4:$10,5,FALSE))*E264/F264)</f>
        <v/>
      </c>
      <c r="P264" s="199">
        <f>HLOOKUP(C:C,$4:$10,4,FALSE)+((HLOOKUP(D:D,$4:$10,4,FALSE)-HLOOKUP(C:C,$4:$10,4,FALSE))*E264/F264)</f>
        <v/>
      </c>
      <c r="Q264" s="199">
        <f>HLOOKUP(B:B,$4:$10,6,FALSE)+((HLOOKUP(C:C,$4:$10,6,FALSE)-HLOOKUP(B:B,$4:$10,6,FALSE))*E264/F264)</f>
        <v/>
      </c>
      <c r="T264" s="198">
        <f>$G264</f>
        <v/>
      </c>
      <c r="U264" s="199">
        <f>H264/(HLOOKUP(B:B,$4:$10,3,FALSE)+((HLOOKUP(C:C,$4:$10,3,FALSE)-HLOOKUP(B:B,$4:$10,3,FALSE))*E264/F264))</f>
        <v/>
      </c>
      <c r="V264" s="969">
        <f>HLOOKUP(B:B,$4:$10,7,FALSE)+((HLOOKUP(C:C,$4:$10,7,FALSE)-HLOOKUP(B:B,$4:$10,7,FALSE))*E264/F264)</f>
        <v/>
      </c>
      <c r="AB264" s="198">
        <f>$G264</f>
        <v/>
      </c>
      <c r="AC264" s="199">
        <f>$H264</f>
        <v/>
      </c>
      <c r="AD264" s="199">
        <f>$M264*AD$34</f>
        <v/>
      </c>
      <c r="AE264" s="199">
        <f>$M264*AE$34</f>
        <v/>
      </c>
      <c r="AF264" s="199">
        <f>$M264*AF$34</f>
        <v/>
      </c>
      <c r="AG264" s="199">
        <f>$M264*AG$34</f>
        <v/>
      </c>
      <c r="AH264" s="199">
        <f>$M264*AH$34</f>
        <v/>
      </c>
      <c r="AJ264" s="198">
        <f>$G264</f>
        <v/>
      </c>
      <c r="AK264" s="199">
        <f>$H264</f>
        <v/>
      </c>
      <c r="AL264" s="199">
        <f>$N264*AL$34</f>
        <v/>
      </c>
      <c r="AM264" s="199">
        <f>$N264*AM$34</f>
        <v/>
      </c>
      <c r="AN264" s="199">
        <f>$N264*AN$34</f>
        <v/>
      </c>
      <c r="AO264" s="199">
        <f>$N264*AO$34</f>
        <v/>
      </c>
      <c r="AP264" s="199">
        <f>$N264*AP$34</f>
        <v/>
      </c>
      <c r="AR264" s="198">
        <f>$G264</f>
        <v/>
      </c>
      <c r="AS264" s="199">
        <f>$H264</f>
        <v/>
      </c>
      <c r="AT264" s="199">
        <f>$O264*AT$34-$Q264</f>
        <v/>
      </c>
      <c r="AU264" s="199">
        <f>$O264*AU$34-$Q264</f>
        <v/>
      </c>
      <c r="AV264" s="199">
        <f>$O264*AV$34-$Q264</f>
        <v/>
      </c>
      <c r="AW264" s="199">
        <f>$O264*AW$34-$Q264</f>
        <v/>
      </c>
      <c r="AX264" s="199">
        <f>$O264*AX$34-$Q264</f>
        <v/>
      </c>
      <c r="AZ264" s="198">
        <f>$G264</f>
        <v/>
      </c>
      <c r="BA264" s="199">
        <f>$H264</f>
        <v/>
      </c>
      <c r="BB264" s="199">
        <f>$P264*BB$34-$Q264</f>
        <v/>
      </c>
      <c r="BC264" s="199">
        <f>$P264*BC$34-$Q264</f>
        <v/>
      </c>
      <c r="BD264" s="199">
        <f>$P264*BD$34-$Q264</f>
        <v/>
      </c>
      <c r="BE264" s="199">
        <f>$P264*BE$34-$Q264</f>
        <v/>
      </c>
      <c r="BF264" s="199">
        <f>$P264*BF$34-$Q264</f>
        <v/>
      </c>
      <c r="BH264" s="198">
        <f>$G264</f>
        <v/>
      </c>
      <c r="BI264" s="197">
        <f>$I264</f>
        <v/>
      </c>
      <c r="BJ264" s="197">
        <f>+BJ265</f>
        <v/>
      </c>
      <c r="BK264" s="197">
        <f>+BK265</f>
        <v/>
      </c>
      <c r="BL264" s="197">
        <f>+BL265</f>
        <v/>
      </c>
      <c r="BM264" s="197">
        <f>+BM265</f>
        <v/>
      </c>
      <c r="BN264" s="197">
        <f>+BN265</f>
        <v/>
      </c>
      <c r="BP264" s="198">
        <f>$G264</f>
        <v/>
      </c>
      <c r="BQ264" s="197">
        <f>$J264</f>
        <v/>
      </c>
      <c r="BR264" s="197">
        <f>+BR265</f>
        <v/>
      </c>
      <c r="BS264" s="197">
        <f>+BS265</f>
        <v/>
      </c>
      <c r="BT264" s="197">
        <f>+BT265</f>
        <v/>
      </c>
      <c r="BU264" s="197">
        <f>+BU265</f>
        <v/>
      </c>
      <c r="BV264" s="197">
        <f>+BV265</f>
        <v/>
      </c>
      <c r="BX264" s="198">
        <f>$G264</f>
        <v/>
      </c>
      <c r="BY264" s="197">
        <f>$K264</f>
        <v/>
      </c>
      <c r="BZ264" s="197">
        <f>+BZ265</f>
        <v/>
      </c>
      <c r="CA264" s="197">
        <f>+CA265</f>
        <v/>
      </c>
      <c r="CB264" s="197">
        <f>+CB265</f>
        <v/>
      </c>
      <c r="CC264" s="197">
        <f>+CC265</f>
        <v/>
      </c>
      <c r="CD264" s="197">
        <f>+CD265</f>
        <v/>
      </c>
      <c r="CF264" s="198">
        <f>$G264</f>
        <v/>
      </c>
      <c r="CG264" s="197">
        <f>$L264</f>
        <v/>
      </c>
      <c r="CH264" s="197">
        <f>+CH265</f>
        <v/>
      </c>
      <c r="CI264" s="197">
        <f>+CI265</f>
        <v/>
      </c>
      <c r="CJ264" s="197">
        <f>+CJ265</f>
        <v/>
      </c>
      <c r="CK264" s="197">
        <f>+CK265</f>
        <v/>
      </c>
      <c r="CL264" s="197">
        <f>+CL265</f>
        <v/>
      </c>
      <c r="CO264" s="199" t="n">
        <v>11.45796663676315</v>
      </c>
      <c r="CP264" s="199" t="n">
        <v>3.16</v>
      </c>
      <c r="CR264" s="199" t="n">
        <v>10.09</v>
      </c>
      <c r="CS264" s="970" t="n">
        <v>0.88061</v>
      </c>
    </row>
    <row r="265">
      <c r="B265" s="204">
        <f>+C265-1</f>
        <v/>
      </c>
      <c r="C265" s="204">
        <f>IF('bands_A-H_Avg'!$D$9+1&gt;MONTH(G265),YEAR(G265),YEAR(G265)+1)</f>
        <v/>
      </c>
      <c r="D265" s="204">
        <f>+C265+1</f>
        <v/>
      </c>
      <c r="E265" s="203">
        <f>IF(C265&gt;C264,1,E264+1)</f>
        <v/>
      </c>
      <c r="F265" s="203">
        <f>COUNTIF(C:C,C265)</f>
        <v/>
      </c>
      <c r="G265" s="198">
        <f>+G264+7</f>
        <v/>
      </c>
      <c r="H265" s="361">
        <f>IF(ISBLANK(CO265),CP265,SUMPRODUCT(CO$32:CP$32,CO265:CP265))</f>
        <v/>
      </c>
      <c r="I265" s="968">
        <f>H265/M265</f>
        <v/>
      </c>
      <c r="J265" s="968">
        <f>H265/N265</f>
        <v/>
      </c>
      <c r="K265" s="968">
        <f>(H265+Q265)/O265</f>
        <v/>
      </c>
      <c r="L265" s="968">
        <f>(H265+Q265)/P265</f>
        <v/>
      </c>
      <c r="M265" s="199">
        <f>HLOOKUP(C:C,$4:$10,3,FALSE)+((HLOOKUP(D:D,$4:$10,3,FALSE)-HLOOKUP(C:C,$4:$10,3,FALSE))*E265/F265)</f>
        <v/>
      </c>
      <c r="N265" s="199">
        <f>HLOOKUP(C:C,$4:$10,2,FALSE)+((HLOOKUP(D:D,$4:$10,2,FALSE)-HLOOKUP(C:C,$4:$10,2,FALSE))*E265/F265)</f>
        <v/>
      </c>
      <c r="O265" s="199">
        <f>HLOOKUP(C:C,$4:$10,5,FALSE)+((HLOOKUP(D:D,$4:$10,5,FALSE)-HLOOKUP(C:C,$4:$10,5,FALSE))*E265/F265)</f>
        <v/>
      </c>
      <c r="P265" s="199">
        <f>HLOOKUP(C:C,$4:$10,4,FALSE)+((HLOOKUP(D:D,$4:$10,4,FALSE)-HLOOKUP(C:C,$4:$10,4,FALSE))*E265/F265)</f>
        <v/>
      </c>
      <c r="Q265" s="199">
        <f>HLOOKUP(B:B,$4:$10,6,FALSE)+((HLOOKUP(C:C,$4:$10,6,FALSE)-HLOOKUP(B:B,$4:$10,6,FALSE))*E265/F265)</f>
        <v/>
      </c>
      <c r="T265" s="198">
        <f>$G265</f>
        <v/>
      </c>
      <c r="U265" s="199">
        <f>H265/(HLOOKUP(B:B,$4:$10,3,FALSE)+((HLOOKUP(C:C,$4:$10,3,FALSE)-HLOOKUP(B:B,$4:$10,3,FALSE))*E265/F265))</f>
        <v/>
      </c>
      <c r="V265" s="969">
        <f>HLOOKUP(B:B,$4:$10,7,FALSE)+((HLOOKUP(C:C,$4:$10,7,FALSE)-HLOOKUP(B:B,$4:$10,7,FALSE))*E265/F265)</f>
        <v/>
      </c>
      <c r="AB265" s="198">
        <f>$G265</f>
        <v/>
      </c>
      <c r="AC265" s="199">
        <f>$H265</f>
        <v/>
      </c>
      <c r="AD265" s="199">
        <f>$M265*AD$34</f>
        <v/>
      </c>
      <c r="AE265" s="199">
        <f>$M265*AE$34</f>
        <v/>
      </c>
      <c r="AF265" s="199">
        <f>$M265*AF$34</f>
        <v/>
      </c>
      <c r="AG265" s="199">
        <f>$M265*AG$34</f>
        <v/>
      </c>
      <c r="AH265" s="199">
        <f>$M265*AH$34</f>
        <v/>
      </c>
      <c r="AJ265" s="198">
        <f>$G265</f>
        <v/>
      </c>
      <c r="AK265" s="199">
        <f>$H265</f>
        <v/>
      </c>
      <c r="AL265" s="199">
        <f>$N265*AL$34</f>
        <v/>
      </c>
      <c r="AM265" s="199">
        <f>$N265*AM$34</f>
        <v/>
      </c>
      <c r="AN265" s="199">
        <f>$N265*AN$34</f>
        <v/>
      </c>
      <c r="AO265" s="199">
        <f>$N265*AO$34</f>
        <v/>
      </c>
      <c r="AP265" s="199">
        <f>$N265*AP$34</f>
        <v/>
      </c>
      <c r="AR265" s="198">
        <f>$G265</f>
        <v/>
      </c>
      <c r="AS265" s="199">
        <f>$H265</f>
        <v/>
      </c>
      <c r="AT265" s="199">
        <f>$O265*AT$34-$Q265</f>
        <v/>
      </c>
      <c r="AU265" s="199">
        <f>$O265*AU$34-$Q265</f>
        <v/>
      </c>
      <c r="AV265" s="199">
        <f>$O265*AV$34-$Q265</f>
        <v/>
      </c>
      <c r="AW265" s="199">
        <f>$O265*AW$34-$Q265</f>
        <v/>
      </c>
      <c r="AX265" s="199">
        <f>$O265*AX$34-$Q265</f>
        <v/>
      </c>
      <c r="AZ265" s="198">
        <f>$G265</f>
        <v/>
      </c>
      <c r="BA265" s="199">
        <f>$H265</f>
        <v/>
      </c>
      <c r="BB265" s="199">
        <f>$P265*BB$34-$Q265</f>
        <v/>
      </c>
      <c r="BC265" s="199">
        <f>$P265*BC$34-$Q265</f>
        <v/>
      </c>
      <c r="BD265" s="199">
        <f>$P265*BD$34-$Q265</f>
        <v/>
      </c>
      <c r="BE265" s="199">
        <f>$P265*BE$34-$Q265</f>
        <v/>
      </c>
      <c r="BF265" s="199">
        <f>$P265*BF$34-$Q265</f>
        <v/>
      </c>
      <c r="BH265" s="198">
        <f>$G265</f>
        <v/>
      </c>
      <c r="BI265" s="197">
        <f>$I265</f>
        <v/>
      </c>
      <c r="BJ265" s="197">
        <f>+BJ266</f>
        <v/>
      </c>
      <c r="BK265" s="197">
        <f>+BK266</f>
        <v/>
      </c>
      <c r="BL265" s="197">
        <f>+BL266</f>
        <v/>
      </c>
      <c r="BM265" s="197">
        <f>+BM266</f>
        <v/>
      </c>
      <c r="BN265" s="197">
        <f>+BN266</f>
        <v/>
      </c>
      <c r="BP265" s="198">
        <f>$G265</f>
        <v/>
      </c>
      <c r="BQ265" s="197">
        <f>$J265</f>
        <v/>
      </c>
      <c r="BR265" s="197">
        <f>+BR266</f>
        <v/>
      </c>
      <c r="BS265" s="197">
        <f>+BS266</f>
        <v/>
      </c>
      <c r="BT265" s="197">
        <f>+BT266</f>
        <v/>
      </c>
      <c r="BU265" s="197">
        <f>+BU266</f>
        <v/>
      </c>
      <c r="BV265" s="197">
        <f>+BV266</f>
        <v/>
      </c>
      <c r="BX265" s="198">
        <f>$G265</f>
        <v/>
      </c>
      <c r="BY265" s="197">
        <f>$K265</f>
        <v/>
      </c>
      <c r="BZ265" s="197">
        <f>+BZ266</f>
        <v/>
      </c>
      <c r="CA265" s="197">
        <f>+CA266</f>
        <v/>
      </c>
      <c r="CB265" s="197">
        <f>+CB266</f>
        <v/>
      </c>
      <c r="CC265" s="197">
        <f>+CC266</f>
        <v/>
      </c>
      <c r="CD265" s="197">
        <f>+CD266</f>
        <v/>
      </c>
      <c r="CF265" s="198">
        <f>$G265</f>
        <v/>
      </c>
      <c r="CG265" s="197">
        <f>$L265</f>
        <v/>
      </c>
      <c r="CH265" s="197">
        <f>+CH266</f>
        <v/>
      </c>
      <c r="CI265" s="197">
        <f>+CI266</f>
        <v/>
      </c>
      <c r="CJ265" s="197">
        <f>+CJ266</f>
        <v/>
      </c>
      <c r="CK265" s="197">
        <f>+CK266</f>
        <v/>
      </c>
      <c r="CL265" s="197">
        <f>+CL266</f>
        <v/>
      </c>
      <c r="CO265" s="199" t="n">
        <v>12.03190329031085</v>
      </c>
      <c r="CP265" s="199" t="n">
        <v>3.34</v>
      </c>
      <c r="CR265" s="199" t="n">
        <v>10.59</v>
      </c>
      <c r="CS265" s="970" t="n">
        <v>0.8801600000000001</v>
      </c>
    </row>
    <row r="266">
      <c r="B266" s="204">
        <f>+C266-1</f>
        <v/>
      </c>
      <c r="C266" s="204">
        <f>IF('bands_A-H_Avg'!$D$9+1&gt;MONTH(G266),YEAR(G266),YEAR(G266)+1)</f>
        <v/>
      </c>
      <c r="D266" s="204">
        <f>+C266+1</f>
        <v/>
      </c>
      <c r="E266" s="203">
        <f>IF(C266&gt;C265,1,E265+1)</f>
        <v/>
      </c>
      <c r="F266" s="203">
        <f>COUNTIF(C:C,C266)</f>
        <v/>
      </c>
      <c r="G266" s="198">
        <f>+G265+7</f>
        <v/>
      </c>
      <c r="H266" s="361">
        <f>IF(ISBLANK(CO266),CP266,SUMPRODUCT(CO$32:CP$32,CO266:CP266))</f>
        <v/>
      </c>
      <c r="I266" s="968">
        <f>H266/M266</f>
        <v/>
      </c>
      <c r="J266" s="968">
        <f>H266/N266</f>
        <v/>
      </c>
      <c r="K266" s="968">
        <f>(H266+Q266)/O266</f>
        <v/>
      </c>
      <c r="L266" s="968">
        <f>(H266+Q266)/P266</f>
        <v/>
      </c>
      <c r="M266" s="199">
        <f>HLOOKUP(C:C,$4:$10,3,FALSE)+((HLOOKUP(D:D,$4:$10,3,FALSE)-HLOOKUP(C:C,$4:$10,3,FALSE))*E266/F266)</f>
        <v/>
      </c>
      <c r="N266" s="199">
        <f>HLOOKUP(C:C,$4:$10,2,FALSE)+((HLOOKUP(D:D,$4:$10,2,FALSE)-HLOOKUP(C:C,$4:$10,2,FALSE))*E266/F266)</f>
        <v/>
      </c>
      <c r="O266" s="199">
        <f>HLOOKUP(C:C,$4:$10,5,FALSE)+((HLOOKUP(D:D,$4:$10,5,FALSE)-HLOOKUP(C:C,$4:$10,5,FALSE))*E266/F266)</f>
        <v/>
      </c>
      <c r="P266" s="199">
        <f>HLOOKUP(C:C,$4:$10,4,FALSE)+((HLOOKUP(D:D,$4:$10,4,FALSE)-HLOOKUP(C:C,$4:$10,4,FALSE))*E266/F266)</f>
        <v/>
      </c>
      <c r="Q266" s="199">
        <f>HLOOKUP(B:B,$4:$10,6,FALSE)+((HLOOKUP(C:C,$4:$10,6,FALSE)-HLOOKUP(B:B,$4:$10,6,FALSE))*E266/F266)</f>
        <v/>
      </c>
      <c r="T266" s="198">
        <f>$G266</f>
        <v/>
      </c>
      <c r="U266" s="199">
        <f>H266/(HLOOKUP(B:B,$4:$10,3,FALSE)+((HLOOKUP(C:C,$4:$10,3,FALSE)-HLOOKUP(B:B,$4:$10,3,FALSE))*E266/F266))</f>
        <v/>
      </c>
      <c r="V266" s="969">
        <f>HLOOKUP(B:B,$4:$10,7,FALSE)+((HLOOKUP(C:C,$4:$10,7,FALSE)-HLOOKUP(B:B,$4:$10,7,FALSE))*E266/F266)</f>
        <v/>
      </c>
      <c r="AB266" s="198">
        <f>$G266</f>
        <v/>
      </c>
      <c r="AC266" s="199">
        <f>$H266</f>
        <v/>
      </c>
      <c r="AD266" s="199">
        <f>$M266*AD$34</f>
        <v/>
      </c>
      <c r="AE266" s="199">
        <f>$M266*AE$34</f>
        <v/>
      </c>
      <c r="AF266" s="199">
        <f>$M266*AF$34</f>
        <v/>
      </c>
      <c r="AG266" s="199">
        <f>$M266*AG$34</f>
        <v/>
      </c>
      <c r="AH266" s="199">
        <f>$M266*AH$34</f>
        <v/>
      </c>
      <c r="AJ266" s="198">
        <f>$G266</f>
        <v/>
      </c>
      <c r="AK266" s="199">
        <f>$H266</f>
        <v/>
      </c>
      <c r="AL266" s="199">
        <f>$N266*AL$34</f>
        <v/>
      </c>
      <c r="AM266" s="199">
        <f>$N266*AM$34</f>
        <v/>
      </c>
      <c r="AN266" s="199">
        <f>$N266*AN$34</f>
        <v/>
      </c>
      <c r="AO266" s="199">
        <f>$N266*AO$34</f>
        <v/>
      </c>
      <c r="AP266" s="199">
        <f>$N266*AP$34</f>
        <v/>
      </c>
      <c r="AR266" s="198">
        <f>$G266</f>
        <v/>
      </c>
      <c r="AS266" s="199">
        <f>$H266</f>
        <v/>
      </c>
      <c r="AT266" s="199">
        <f>$O266*AT$34-$Q266</f>
        <v/>
      </c>
      <c r="AU266" s="199">
        <f>$O266*AU$34-$Q266</f>
        <v/>
      </c>
      <c r="AV266" s="199">
        <f>$O266*AV$34-$Q266</f>
        <v/>
      </c>
      <c r="AW266" s="199">
        <f>$O266*AW$34-$Q266</f>
        <v/>
      </c>
      <c r="AX266" s="199">
        <f>$O266*AX$34-$Q266</f>
        <v/>
      </c>
      <c r="AZ266" s="198">
        <f>$G266</f>
        <v/>
      </c>
      <c r="BA266" s="199">
        <f>$H266</f>
        <v/>
      </c>
      <c r="BB266" s="199">
        <f>$P266*BB$34-$Q266</f>
        <v/>
      </c>
      <c r="BC266" s="199">
        <f>$P266*BC$34-$Q266</f>
        <v/>
      </c>
      <c r="BD266" s="199">
        <f>$P266*BD$34-$Q266</f>
        <v/>
      </c>
      <c r="BE266" s="199">
        <f>$P266*BE$34-$Q266</f>
        <v/>
      </c>
      <c r="BF266" s="199">
        <f>$P266*BF$34-$Q266</f>
        <v/>
      </c>
      <c r="BH266" s="198">
        <f>$G266</f>
        <v/>
      </c>
      <c r="BI266" s="197">
        <f>$I266</f>
        <v/>
      </c>
      <c r="BJ266" s="197">
        <f>+BJ267</f>
        <v/>
      </c>
      <c r="BK266" s="197">
        <f>+BK267</f>
        <v/>
      </c>
      <c r="BL266" s="197">
        <f>+BL267</f>
        <v/>
      </c>
      <c r="BM266" s="197">
        <f>+BM267</f>
        <v/>
      </c>
      <c r="BN266" s="197">
        <f>+BN267</f>
        <v/>
      </c>
      <c r="BP266" s="198">
        <f>$G266</f>
        <v/>
      </c>
      <c r="BQ266" s="197">
        <f>$J266</f>
        <v/>
      </c>
      <c r="BR266" s="197">
        <f>+BR267</f>
        <v/>
      </c>
      <c r="BS266" s="197">
        <f>+BS267</f>
        <v/>
      </c>
      <c r="BT266" s="197">
        <f>+BT267</f>
        <v/>
      </c>
      <c r="BU266" s="197">
        <f>+BU267</f>
        <v/>
      </c>
      <c r="BV266" s="197">
        <f>+BV267</f>
        <v/>
      </c>
      <c r="BX266" s="198">
        <f>$G266</f>
        <v/>
      </c>
      <c r="BY266" s="197">
        <f>$K266</f>
        <v/>
      </c>
      <c r="BZ266" s="197">
        <f>+BZ267</f>
        <v/>
      </c>
      <c r="CA266" s="197">
        <f>+CA267</f>
        <v/>
      </c>
      <c r="CB266" s="197">
        <f>+CB267</f>
        <v/>
      </c>
      <c r="CC266" s="197">
        <f>+CC267</f>
        <v/>
      </c>
      <c r="CD266" s="197">
        <f>+CD267</f>
        <v/>
      </c>
      <c r="CF266" s="198">
        <f>$G266</f>
        <v/>
      </c>
      <c r="CG266" s="197">
        <f>$L266</f>
        <v/>
      </c>
      <c r="CH266" s="197">
        <f>+CH267</f>
        <v/>
      </c>
      <c r="CI266" s="197">
        <f>+CI267</f>
        <v/>
      </c>
      <c r="CJ266" s="197">
        <f>+CJ267</f>
        <v/>
      </c>
      <c r="CK266" s="197">
        <f>+CK267</f>
        <v/>
      </c>
      <c r="CL266" s="197">
        <f>+CL267</f>
        <v/>
      </c>
      <c r="CO266" s="199" t="n">
        <v>12.19193788241705</v>
      </c>
      <c r="CP266" s="199" t="n">
        <v>3.66</v>
      </c>
      <c r="CR266" s="199" t="n">
        <v>10.74</v>
      </c>
      <c r="CS266" s="970" t="n">
        <v>0.88091</v>
      </c>
    </row>
    <row r="267">
      <c r="B267" s="204">
        <f>+C267-1</f>
        <v/>
      </c>
      <c r="C267" s="204">
        <f>IF('bands_A-H_Avg'!$D$9+1&gt;MONTH(G267),YEAR(G267),YEAR(G267)+1)</f>
        <v/>
      </c>
      <c r="D267" s="204">
        <f>+C267+1</f>
        <v/>
      </c>
      <c r="E267" s="203">
        <f>IF(C267&gt;C266,1,E266+1)</f>
        <v/>
      </c>
      <c r="F267" s="203">
        <f>COUNTIF(C:C,C267)</f>
        <v/>
      </c>
      <c r="G267" s="198">
        <f>+G266+7</f>
        <v/>
      </c>
      <c r="H267" s="361">
        <f>IF(ISBLANK(CO267),CP267,SUMPRODUCT(CO$32:CP$32,CO267:CP267))</f>
        <v/>
      </c>
      <c r="I267" s="968">
        <f>H267/M267</f>
        <v/>
      </c>
      <c r="J267" s="968">
        <f>H267/N267</f>
        <v/>
      </c>
      <c r="K267" s="968">
        <f>(H267+Q267)/O267</f>
        <v/>
      </c>
      <c r="L267" s="968">
        <f>(H267+Q267)/P267</f>
        <v/>
      </c>
      <c r="M267" s="199">
        <f>HLOOKUP(C:C,$4:$10,3,FALSE)+((HLOOKUP(D:D,$4:$10,3,FALSE)-HLOOKUP(C:C,$4:$10,3,FALSE))*E267/F267)</f>
        <v/>
      </c>
      <c r="N267" s="199">
        <f>HLOOKUP(C:C,$4:$10,2,FALSE)+((HLOOKUP(D:D,$4:$10,2,FALSE)-HLOOKUP(C:C,$4:$10,2,FALSE))*E267/F267)</f>
        <v/>
      </c>
      <c r="O267" s="199">
        <f>HLOOKUP(C:C,$4:$10,5,FALSE)+((HLOOKUP(D:D,$4:$10,5,FALSE)-HLOOKUP(C:C,$4:$10,5,FALSE))*E267/F267)</f>
        <v/>
      </c>
      <c r="P267" s="199">
        <f>HLOOKUP(C:C,$4:$10,4,FALSE)+((HLOOKUP(D:D,$4:$10,4,FALSE)-HLOOKUP(C:C,$4:$10,4,FALSE))*E267/F267)</f>
        <v/>
      </c>
      <c r="Q267" s="199">
        <f>HLOOKUP(B:B,$4:$10,6,FALSE)+((HLOOKUP(C:C,$4:$10,6,FALSE)-HLOOKUP(B:B,$4:$10,6,FALSE))*E267/F267)</f>
        <v/>
      </c>
      <c r="T267" s="198">
        <f>$G267</f>
        <v/>
      </c>
      <c r="U267" s="199">
        <f>H267/(HLOOKUP(B:B,$4:$10,3,FALSE)+((HLOOKUP(C:C,$4:$10,3,FALSE)-HLOOKUP(B:B,$4:$10,3,FALSE))*E267/F267))</f>
        <v/>
      </c>
      <c r="V267" s="969">
        <f>HLOOKUP(B:B,$4:$10,7,FALSE)+((HLOOKUP(C:C,$4:$10,7,FALSE)-HLOOKUP(B:B,$4:$10,7,FALSE))*E267/F267)</f>
        <v/>
      </c>
      <c r="AB267" s="198">
        <f>$G267</f>
        <v/>
      </c>
      <c r="AC267" s="199">
        <f>$H267</f>
        <v/>
      </c>
      <c r="AD267" s="199">
        <f>$M267*AD$34</f>
        <v/>
      </c>
      <c r="AE267" s="199">
        <f>$M267*AE$34</f>
        <v/>
      </c>
      <c r="AF267" s="199">
        <f>$M267*AF$34</f>
        <v/>
      </c>
      <c r="AG267" s="199">
        <f>$M267*AG$34</f>
        <v/>
      </c>
      <c r="AH267" s="199">
        <f>$M267*AH$34</f>
        <v/>
      </c>
      <c r="AJ267" s="198">
        <f>$G267</f>
        <v/>
      </c>
      <c r="AK267" s="199">
        <f>$H267</f>
        <v/>
      </c>
      <c r="AL267" s="199">
        <f>$N267*AL$34</f>
        <v/>
      </c>
      <c r="AM267" s="199">
        <f>$N267*AM$34</f>
        <v/>
      </c>
      <c r="AN267" s="199">
        <f>$N267*AN$34</f>
        <v/>
      </c>
      <c r="AO267" s="199">
        <f>$N267*AO$34</f>
        <v/>
      </c>
      <c r="AP267" s="199">
        <f>$N267*AP$34</f>
        <v/>
      </c>
      <c r="AR267" s="198">
        <f>$G267</f>
        <v/>
      </c>
      <c r="AS267" s="199">
        <f>$H267</f>
        <v/>
      </c>
      <c r="AT267" s="199">
        <f>$O267*AT$34-$Q267</f>
        <v/>
      </c>
      <c r="AU267" s="199">
        <f>$O267*AU$34-$Q267</f>
        <v/>
      </c>
      <c r="AV267" s="199">
        <f>$O267*AV$34-$Q267</f>
        <v/>
      </c>
      <c r="AW267" s="199">
        <f>$O267*AW$34-$Q267</f>
        <v/>
      </c>
      <c r="AX267" s="199">
        <f>$O267*AX$34-$Q267</f>
        <v/>
      </c>
      <c r="AZ267" s="198">
        <f>$G267</f>
        <v/>
      </c>
      <c r="BA267" s="199">
        <f>$H267</f>
        <v/>
      </c>
      <c r="BB267" s="199">
        <f>$P267*BB$34-$Q267</f>
        <v/>
      </c>
      <c r="BC267" s="199">
        <f>$P267*BC$34-$Q267</f>
        <v/>
      </c>
      <c r="BD267" s="199">
        <f>$P267*BD$34-$Q267</f>
        <v/>
      </c>
      <c r="BE267" s="199">
        <f>$P267*BE$34-$Q267</f>
        <v/>
      </c>
      <c r="BF267" s="199">
        <f>$P267*BF$34-$Q267</f>
        <v/>
      </c>
      <c r="BH267" s="198">
        <f>$G267</f>
        <v/>
      </c>
      <c r="BI267" s="197">
        <f>$I267</f>
        <v/>
      </c>
      <c r="BJ267" s="197">
        <f>+BJ268</f>
        <v/>
      </c>
      <c r="BK267" s="197">
        <f>+BK268</f>
        <v/>
      </c>
      <c r="BL267" s="197">
        <f>+BL268</f>
        <v/>
      </c>
      <c r="BM267" s="197">
        <f>+BM268</f>
        <v/>
      </c>
      <c r="BN267" s="197">
        <f>+BN268</f>
        <v/>
      </c>
      <c r="BP267" s="198">
        <f>$G267</f>
        <v/>
      </c>
      <c r="BQ267" s="197">
        <f>$J267</f>
        <v/>
      </c>
      <c r="BR267" s="197">
        <f>+BR268</f>
        <v/>
      </c>
      <c r="BS267" s="197">
        <f>+BS268</f>
        <v/>
      </c>
      <c r="BT267" s="197">
        <f>+BT268</f>
        <v/>
      </c>
      <c r="BU267" s="197">
        <f>+BU268</f>
        <v/>
      </c>
      <c r="BV267" s="197">
        <f>+BV268</f>
        <v/>
      </c>
      <c r="BX267" s="198">
        <f>$G267</f>
        <v/>
      </c>
      <c r="BY267" s="197">
        <f>$K267</f>
        <v/>
      </c>
      <c r="BZ267" s="197">
        <f>+BZ268</f>
        <v/>
      </c>
      <c r="CA267" s="197">
        <f>+CA268</f>
        <v/>
      </c>
      <c r="CB267" s="197">
        <f>+CB268</f>
        <v/>
      </c>
      <c r="CC267" s="197">
        <f>+CC268</f>
        <v/>
      </c>
      <c r="CD267" s="197">
        <f>+CD268</f>
        <v/>
      </c>
      <c r="CF267" s="198">
        <f>$G267</f>
        <v/>
      </c>
      <c r="CG267" s="197">
        <f>$L267</f>
        <v/>
      </c>
      <c r="CH267" s="197">
        <f>+CH268</f>
        <v/>
      </c>
      <c r="CI267" s="197">
        <f>+CI268</f>
        <v/>
      </c>
      <c r="CJ267" s="197">
        <f>+CJ268</f>
        <v/>
      </c>
      <c r="CK267" s="197">
        <f>+CK268</f>
        <v/>
      </c>
      <c r="CL267" s="197">
        <f>+CL268</f>
        <v/>
      </c>
      <c r="CO267" s="199" t="n">
        <v>12.42186702362991</v>
      </c>
      <c r="CP267" s="199" t="n">
        <v>3.87</v>
      </c>
      <c r="CR267" s="199" t="n">
        <v>10.95</v>
      </c>
      <c r="CS267" s="970" t="n">
        <v>0.88151</v>
      </c>
    </row>
    <row r="268">
      <c r="B268" s="204">
        <f>+C268-1</f>
        <v/>
      </c>
      <c r="C268" s="204">
        <f>IF('bands_A-H_Avg'!$D$9+1&gt;MONTH(G268),YEAR(G268),YEAR(G268)+1)</f>
        <v/>
      </c>
      <c r="D268" s="204">
        <f>+C268+1</f>
        <v/>
      </c>
      <c r="E268" s="203">
        <f>IF(C268&gt;C267,1,E267+1)</f>
        <v/>
      </c>
      <c r="F268" s="203">
        <f>COUNTIF(C:C,C268)</f>
        <v/>
      </c>
      <c r="G268" s="198">
        <f>+G267+7</f>
        <v/>
      </c>
      <c r="H268" s="361">
        <f>IF(ISBLANK(CO268),CP268,SUMPRODUCT(CO$32:CP$32,CO268:CP268))</f>
        <v/>
      </c>
      <c r="I268" s="968">
        <f>H268/M268</f>
        <v/>
      </c>
      <c r="J268" s="968">
        <f>H268/N268</f>
        <v/>
      </c>
      <c r="K268" s="968">
        <f>(H268+Q268)/O268</f>
        <v/>
      </c>
      <c r="L268" s="968">
        <f>(H268+Q268)/P268</f>
        <v/>
      </c>
      <c r="M268" s="199">
        <f>HLOOKUP(C:C,$4:$10,3,FALSE)+((HLOOKUP(D:D,$4:$10,3,FALSE)-HLOOKUP(C:C,$4:$10,3,FALSE))*E268/F268)</f>
        <v/>
      </c>
      <c r="N268" s="199">
        <f>HLOOKUP(C:C,$4:$10,2,FALSE)+((HLOOKUP(D:D,$4:$10,2,FALSE)-HLOOKUP(C:C,$4:$10,2,FALSE))*E268/F268)</f>
        <v/>
      </c>
      <c r="O268" s="199">
        <f>HLOOKUP(C:C,$4:$10,5,FALSE)+((HLOOKUP(D:D,$4:$10,5,FALSE)-HLOOKUP(C:C,$4:$10,5,FALSE))*E268/F268)</f>
        <v/>
      </c>
      <c r="P268" s="199">
        <f>HLOOKUP(C:C,$4:$10,4,FALSE)+((HLOOKUP(D:D,$4:$10,4,FALSE)-HLOOKUP(C:C,$4:$10,4,FALSE))*E268/F268)</f>
        <v/>
      </c>
      <c r="Q268" s="199">
        <f>HLOOKUP(B:B,$4:$10,6,FALSE)+((HLOOKUP(C:C,$4:$10,6,FALSE)-HLOOKUP(B:B,$4:$10,6,FALSE))*E268/F268)</f>
        <v/>
      </c>
      <c r="T268" s="198">
        <f>$G268</f>
        <v/>
      </c>
      <c r="U268" s="199">
        <f>H268/(HLOOKUP(B:B,$4:$10,3,FALSE)+((HLOOKUP(C:C,$4:$10,3,FALSE)-HLOOKUP(B:B,$4:$10,3,FALSE))*E268/F268))</f>
        <v/>
      </c>
      <c r="V268" s="969">
        <f>HLOOKUP(B:B,$4:$10,7,FALSE)+((HLOOKUP(C:C,$4:$10,7,FALSE)-HLOOKUP(B:B,$4:$10,7,FALSE))*E268/F268)</f>
        <v/>
      </c>
      <c r="AB268" s="198">
        <f>$G268</f>
        <v/>
      </c>
      <c r="AC268" s="199">
        <f>$H268</f>
        <v/>
      </c>
      <c r="AD268" s="199">
        <f>$M268*AD$34</f>
        <v/>
      </c>
      <c r="AE268" s="199">
        <f>$M268*AE$34</f>
        <v/>
      </c>
      <c r="AF268" s="199">
        <f>$M268*AF$34</f>
        <v/>
      </c>
      <c r="AG268" s="199">
        <f>$M268*AG$34</f>
        <v/>
      </c>
      <c r="AH268" s="199">
        <f>$M268*AH$34</f>
        <v/>
      </c>
      <c r="AJ268" s="198">
        <f>$G268</f>
        <v/>
      </c>
      <c r="AK268" s="199">
        <f>$H268</f>
        <v/>
      </c>
      <c r="AL268" s="199">
        <f>$N268*AL$34</f>
        <v/>
      </c>
      <c r="AM268" s="199">
        <f>$N268*AM$34</f>
        <v/>
      </c>
      <c r="AN268" s="199">
        <f>$N268*AN$34</f>
        <v/>
      </c>
      <c r="AO268" s="199">
        <f>$N268*AO$34</f>
        <v/>
      </c>
      <c r="AP268" s="199">
        <f>$N268*AP$34</f>
        <v/>
      </c>
      <c r="AR268" s="198">
        <f>$G268</f>
        <v/>
      </c>
      <c r="AS268" s="199">
        <f>$H268</f>
        <v/>
      </c>
      <c r="AT268" s="199">
        <f>$O268*AT$34-$Q268</f>
        <v/>
      </c>
      <c r="AU268" s="199">
        <f>$O268*AU$34-$Q268</f>
        <v/>
      </c>
      <c r="AV268" s="199">
        <f>$O268*AV$34-$Q268</f>
        <v/>
      </c>
      <c r="AW268" s="199">
        <f>$O268*AW$34-$Q268</f>
        <v/>
      </c>
      <c r="AX268" s="199">
        <f>$O268*AX$34-$Q268</f>
        <v/>
      </c>
      <c r="AZ268" s="198">
        <f>$G268</f>
        <v/>
      </c>
      <c r="BA268" s="199">
        <f>$H268</f>
        <v/>
      </c>
      <c r="BB268" s="199">
        <f>$P268*BB$34-$Q268</f>
        <v/>
      </c>
      <c r="BC268" s="199">
        <f>$P268*BC$34-$Q268</f>
        <v/>
      </c>
      <c r="BD268" s="199">
        <f>$P268*BD$34-$Q268</f>
        <v/>
      </c>
      <c r="BE268" s="199">
        <f>$P268*BE$34-$Q268</f>
        <v/>
      </c>
      <c r="BF268" s="199">
        <f>$P268*BF$34-$Q268</f>
        <v/>
      </c>
      <c r="BH268" s="198">
        <f>$G268</f>
        <v/>
      </c>
      <c r="BI268" s="197">
        <f>$I268</f>
        <v/>
      </c>
      <c r="BJ268" s="197">
        <f>+BJ269</f>
        <v/>
      </c>
      <c r="BK268" s="197">
        <f>+BK269</f>
        <v/>
      </c>
      <c r="BL268" s="197">
        <f>+BL269</f>
        <v/>
      </c>
      <c r="BM268" s="197">
        <f>+BM269</f>
        <v/>
      </c>
      <c r="BN268" s="197">
        <f>+BN269</f>
        <v/>
      </c>
      <c r="BP268" s="198">
        <f>$G268</f>
        <v/>
      </c>
      <c r="BQ268" s="197">
        <f>$J268</f>
        <v/>
      </c>
      <c r="BR268" s="197">
        <f>+BR269</f>
        <v/>
      </c>
      <c r="BS268" s="197">
        <f>+BS269</f>
        <v/>
      </c>
      <c r="BT268" s="197">
        <f>+BT269</f>
        <v/>
      </c>
      <c r="BU268" s="197">
        <f>+BU269</f>
        <v/>
      </c>
      <c r="BV268" s="197">
        <f>+BV269</f>
        <v/>
      </c>
      <c r="BX268" s="198">
        <f>$G268</f>
        <v/>
      </c>
      <c r="BY268" s="197">
        <f>$K268</f>
        <v/>
      </c>
      <c r="BZ268" s="197">
        <f>+BZ269</f>
        <v/>
      </c>
      <c r="CA268" s="197">
        <f>+CA269</f>
        <v/>
      </c>
      <c r="CB268" s="197">
        <f>+CB269</f>
        <v/>
      </c>
      <c r="CC268" s="197">
        <f>+CC269</f>
        <v/>
      </c>
      <c r="CD268" s="197">
        <f>+CD269</f>
        <v/>
      </c>
      <c r="CF268" s="198">
        <f>$G268</f>
        <v/>
      </c>
      <c r="CG268" s="197">
        <f>$L268</f>
        <v/>
      </c>
      <c r="CH268" s="197">
        <f>+CH269</f>
        <v/>
      </c>
      <c r="CI268" s="197">
        <f>+CI269</f>
        <v/>
      </c>
      <c r="CJ268" s="197">
        <f>+CJ269</f>
        <v/>
      </c>
      <c r="CK268" s="197">
        <f>+CK269</f>
        <v/>
      </c>
      <c r="CL268" s="197">
        <f>+CL269</f>
        <v/>
      </c>
      <c r="CO268" s="199" t="n">
        <v>11.69027020285057</v>
      </c>
      <c r="CP268" s="199" t="n">
        <v>3.57</v>
      </c>
      <c r="CR268" s="199" t="n">
        <v>10.31</v>
      </c>
      <c r="CS268" s="970" t="n">
        <v>0.88193</v>
      </c>
    </row>
    <row r="269">
      <c r="B269" s="204">
        <f>+C269-1</f>
        <v/>
      </c>
      <c r="C269" s="204">
        <f>IF('bands_A-H_Avg'!$D$9+1&gt;MONTH(G269),YEAR(G269),YEAR(G269)+1)</f>
        <v/>
      </c>
      <c r="D269" s="204">
        <f>+C269+1</f>
        <v/>
      </c>
      <c r="E269" s="203">
        <f>IF(C269&gt;C268,1,E268+1)</f>
        <v/>
      </c>
      <c r="F269" s="203">
        <f>COUNTIF(C:C,C269)</f>
        <v/>
      </c>
      <c r="G269" s="198">
        <f>+G268+7</f>
        <v/>
      </c>
      <c r="H269" s="361">
        <f>IF(ISBLANK(CO269),CP269,SUMPRODUCT(CO$32:CP$32,CO269:CP269))</f>
        <v/>
      </c>
      <c r="I269" s="968">
        <f>H269/M269</f>
        <v/>
      </c>
      <c r="J269" s="968">
        <f>H269/N269</f>
        <v/>
      </c>
      <c r="K269" s="968">
        <f>(H269+Q269)/O269</f>
        <v/>
      </c>
      <c r="L269" s="968">
        <f>(H269+Q269)/P269</f>
        <v/>
      </c>
      <c r="M269" s="199">
        <f>HLOOKUP(C:C,$4:$10,3,FALSE)+((HLOOKUP(D:D,$4:$10,3,FALSE)-HLOOKUP(C:C,$4:$10,3,FALSE))*E269/F269)</f>
        <v/>
      </c>
      <c r="N269" s="199">
        <f>HLOOKUP(C:C,$4:$10,2,FALSE)+((HLOOKUP(D:D,$4:$10,2,FALSE)-HLOOKUP(C:C,$4:$10,2,FALSE))*E269/F269)</f>
        <v/>
      </c>
      <c r="O269" s="199">
        <f>HLOOKUP(C:C,$4:$10,5,FALSE)+((HLOOKUP(D:D,$4:$10,5,FALSE)-HLOOKUP(C:C,$4:$10,5,FALSE))*E269/F269)</f>
        <v/>
      </c>
      <c r="P269" s="199">
        <f>HLOOKUP(C:C,$4:$10,4,FALSE)+((HLOOKUP(D:D,$4:$10,4,FALSE)-HLOOKUP(C:C,$4:$10,4,FALSE))*E269/F269)</f>
        <v/>
      </c>
      <c r="Q269" s="199">
        <f>HLOOKUP(B:B,$4:$10,6,FALSE)+((HLOOKUP(C:C,$4:$10,6,FALSE)-HLOOKUP(B:B,$4:$10,6,FALSE))*E269/F269)</f>
        <v/>
      </c>
      <c r="T269" s="198">
        <f>$G269</f>
        <v/>
      </c>
      <c r="U269" s="199">
        <f>H269/(HLOOKUP(B:B,$4:$10,3,FALSE)+((HLOOKUP(C:C,$4:$10,3,FALSE)-HLOOKUP(B:B,$4:$10,3,FALSE))*E269/F269))</f>
        <v/>
      </c>
      <c r="V269" s="969">
        <f>HLOOKUP(B:B,$4:$10,7,FALSE)+((HLOOKUP(C:C,$4:$10,7,FALSE)-HLOOKUP(B:B,$4:$10,7,FALSE))*E269/F269)</f>
        <v/>
      </c>
      <c r="AB269" s="198">
        <f>$G269</f>
        <v/>
      </c>
      <c r="AC269" s="199">
        <f>$H269</f>
        <v/>
      </c>
      <c r="AD269" s="199">
        <f>$M269*AD$34</f>
        <v/>
      </c>
      <c r="AE269" s="199">
        <f>$M269*AE$34</f>
        <v/>
      </c>
      <c r="AF269" s="199">
        <f>$M269*AF$34</f>
        <v/>
      </c>
      <c r="AG269" s="199">
        <f>$M269*AG$34</f>
        <v/>
      </c>
      <c r="AH269" s="199">
        <f>$M269*AH$34</f>
        <v/>
      </c>
      <c r="AJ269" s="198">
        <f>$G269</f>
        <v/>
      </c>
      <c r="AK269" s="199">
        <f>$H269</f>
        <v/>
      </c>
      <c r="AL269" s="199">
        <f>$N269*AL$34</f>
        <v/>
      </c>
      <c r="AM269" s="199">
        <f>$N269*AM$34</f>
        <v/>
      </c>
      <c r="AN269" s="199">
        <f>$N269*AN$34</f>
        <v/>
      </c>
      <c r="AO269" s="199">
        <f>$N269*AO$34</f>
        <v/>
      </c>
      <c r="AP269" s="199">
        <f>$N269*AP$34</f>
        <v/>
      </c>
      <c r="AR269" s="198">
        <f>$G269</f>
        <v/>
      </c>
      <c r="AS269" s="199">
        <f>$H269</f>
        <v/>
      </c>
      <c r="AT269" s="199">
        <f>$O269*AT$34-$Q269</f>
        <v/>
      </c>
      <c r="AU269" s="199">
        <f>$O269*AU$34-$Q269</f>
        <v/>
      </c>
      <c r="AV269" s="199">
        <f>$O269*AV$34-$Q269</f>
        <v/>
      </c>
      <c r="AW269" s="199">
        <f>$O269*AW$34-$Q269</f>
        <v/>
      </c>
      <c r="AX269" s="199">
        <f>$O269*AX$34-$Q269</f>
        <v/>
      </c>
      <c r="AZ269" s="198">
        <f>$G269</f>
        <v/>
      </c>
      <c r="BA269" s="199">
        <f>$H269</f>
        <v/>
      </c>
      <c r="BB269" s="199">
        <f>$P269*BB$34-$Q269</f>
        <v/>
      </c>
      <c r="BC269" s="199">
        <f>$P269*BC$34-$Q269</f>
        <v/>
      </c>
      <c r="BD269" s="199">
        <f>$P269*BD$34-$Q269</f>
        <v/>
      </c>
      <c r="BE269" s="199">
        <f>$P269*BE$34-$Q269</f>
        <v/>
      </c>
      <c r="BF269" s="199">
        <f>$P269*BF$34-$Q269</f>
        <v/>
      </c>
      <c r="BH269" s="198">
        <f>$G269</f>
        <v/>
      </c>
      <c r="BI269" s="197">
        <f>$I269</f>
        <v/>
      </c>
      <c r="BJ269" s="197">
        <f>+BJ270</f>
        <v/>
      </c>
      <c r="BK269" s="197">
        <f>+BK270</f>
        <v/>
      </c>
      <c r="BL269" s="197">
        <f>+BL270</f>
        <v/>
      </c>
      <c r="BM269" s="197">
        <f>+BM270</f>
        <v/>
      </c>
      <c r="BN269" s="197">
        <f>+BN270</f>
        <v/>
      </c>
      <c r="BP269" s="198">
        <f>$G269</f>
        <v/>
      </c>
      <c r="BQ269" s="197">
        <f>$J269</f>
        <v/>
      </c>
      <c r="BR269" s="197">
        <f>+BR270</f>
        <v/>
      </c>
      <c r="BS269" s="197">
        <f>+BS270</f>
        <v/>
      </c>
      <c r="BT269" s="197">
        <f>+BT270</f>
        <v/>
      </c>
      <c r="BU269" s="197">
        <f>+BU270</f>
        <v/>
      </c>
      <c r="BV269" s="197">
        <f>+BV270</f>
        <v/>
      </c>
      <c r="BX269" s="198">
        <f>$G269</f>
        <v/>
      </c>
      <c r="BY269" s="197">
        <f>$K269</f>
        <v/>
      </c>
      <c r="BZ269" s="197">
        <f>+BZ270</f>
        <v/>
      </c>
      <c r="CA269" s="197">
        <f>+CA270</f>
        <v/>
      </c>
      <c r="CB269" s="197">
        <f>+CB270</f>
        <v/>
      </c>
      <c r="CC269" s="197">
        <f>+CC270</f>
        <v/>
      </c>
      <c r="CD269" s="197">
        <f>+CD270</f>
        <v/>
      </c>
      <c r="CF269" s="198">
        <f>$G269</f>
        <v/>
      </c>
      <c r="CG269" s="197">
        <f>$L269</f>
        <v/>
      </c>
      <c r="CH269" s="197">
        <f>+CH270</f>
        <v/>
      </c>
      <c r="CI269" s="197">
        <f>+CI270</f>
        <v/>
      </c>
      <c r="CJ269" s="197">
        <f>+CJ270</f>
        <v/>
      </c>
      <c r="CK269" s="197">
        <f>+CK270</f>
        <v/>
      </c>
      <c r="CL269" s="197">
        <f>+CL270</f>
        <v/>
      </c>
      <c r="CO269" s="199" t="n">
        <v>11.82405622945244</v>
      </c>
      <c r="CP269" s="199" t="n">
        <v>3.34</v>
      </c>
      <c r="CR269" s="199" t="n">
        <v>10.43</v>
      </c>
      <c r="CS269" s="970" t="n">
        <v>0.8821</v>
      </c>
    </row>
    <row r="270">
      <c r="B270" s="204">
        <f>+C270-1</f>
        <v/>
      </c>
      <c r="C270" s="204">
        <f>IF('bands_A-H_Avg'!$D$9+1&gt;MONTH(G270),YEAR(G270),YEAR(G270)+1)</f>
        <v/>
      </c>
      <c r="D270" s="204">
        <f>+C270+1</f>
        <v/>
      </c>
      <c r="E270" s="203">
        <f>IF(C270&gt;C269,1,E269+1)</f>
        <v/>
      </c>
      <c r="F270" s="203">
        <f>COUNTIF(C:C,C270)</f>
        <v/>
      </c>
      <c r="G270" s="198">
        <f>+G269+7</f>
        <v/>
      </c>
      <c r="H270" s="361">
        <f>IF(ISBLANK(CO270),CP270,SUMPRODUCT(CO$32:CP$32,CO270:CP270))</f>
        <v/>
      </c>
      <c r="I270" s="968">
        <f>H270/M270</f>
        <v/>
      </c>
      <c r="J270" s="968">
        <f>H270/N270</f>
        <v/>
      </c>
      <c r="K270" s="968">
        <f>(H270+Q270)/O270</f>
        <v/>
      </c>
      <c r="L270" s="968">
        <f>(H270+Q270)/P270</f>
        <v/>
      </c>
      <c r="M270" s="199">
        <f>HLOOKUP(C:C,$4:$10,3,FALSE)+((HLOOKUP(D:D,$4:$10,3,FALSE)-HLOOKUP(C:C,$4:$10,3,FALSE))*E270/F270)</f>
        <v/>
      </c>
      <c r="N270" s="199">
        <f>HLOOKUP(C:C,$4:$10,2,FALSE)+((HLOOKUP(D:D,$4:$10,2,FALSE)-HLOOKUP(C:C,$4:$10,2,FALSE))*E270/F270)</f>
        <v/>
      </c>
      <c r="O270" s="199">
        <f>HLOOKUP(C:C,$4:$10,5,FALSE)+((HLOOKUP(D:D,$4:$10,5,FALSE)-HLOOKUP(C:C,$4:$10,5,FALSE))*E270/F270)</f>
        <v/>
      </c>
      <c r="P270" s="199">
        <f>HLOOKUP(C:C,$4:$10,4,FALSE)+((HLOOKUP(D:D,$4:$10,4,FALSE)-HLOOKUP(C:C,$4:$10,4,FALSE))*E270/F270)</f>
        <v/>
      </c>
      <c r="Q270" s="199">
        <f>HLOOKUP(B:B,$4:$10,6,FALSE)+((HLOOKUP(C:C,$4:$10,6,FALSE)-HLOOKUP(B:B,$4:$10,6,FALSE))*E270/F270)</f>
        <v/>
      </c>
      <c r="T270" s="198">
        <f>$G270</f>
        <v/>
      </c>
      <c r="U270" s="199">
        <f>H270/(HLOOKUP(B:B,$4:$10,3,FALSE)+((HLOOKUP(C:C,$4:$10,3,FALSE)-HLOOKUP(B:B,$4:$10,3,FALSE))*E270/F270))</f>
        <v/>
      </c>
      <c r="V270" s="969">
        <f>HLOOKUP(B:B,$4:$10,7,FALSE)+((HLOOKUP(C:C,$4:$10,7,FALSE)-HLOOKUP(B:B,$4:$10,7,FALSE))*E270/F270)</f>
        <v/>
      </c>
      <c r="AB270" s="198">
        <f>$G270</f>
        <v/>
      </c>
      <c r="AC270" s="199">
        <f>$H270</f>
        <v/>
      </c>
      <c r="AD270" s="199">
        <f>$M270*AD$34</f>
        <v/>
      </c>
      <c r="AE270" s="199">
        <f>$M270*AE$34</f>
        <v/>
      </c>
      <c r="AF270" s="199">
        <f>$M270*AF$34</f>
        <v/>
      </c>
      <c r="AG270" s="199">
        <f>$M270*AG$34</f>
        <v/>
      </c>
      <c r="AH270" s="199">
        <f>$M270*AH$34</f>
        <v/>
      </c>
      <c r="AJ270" s="198">
        <f>$G270</f>
        <v/>
      </c>
      <c r="AK270" s="199">
        <f>$H270</f>
        <v/>
      </c>
      <c r="AL270" s="199">
        <f>$N270*AL$34</f>
        <v/>
      </c>
      <c r="AM270" s="199">
        <f>$N270*AM$34</f>
        <v/>
      </c>
      <c r="AN270" s="199">
        <f>$N270*AN$34</f>
        <v/>
      </c>
      <c r="AO270" s="199">
        <f>$N270*AO$34</f>
        <v/>
      </c>
      <c r="AP270" s="199">
        <f>$N270*AP$34</f>
        <v/>
      </c>
      <c r="AR270" s="198">
        <f>$G270</f>
        <v/>
      </c>
      <c r="AS270" s="199">
        <f>$H270</f>
        <v/>
      </c>
      <c r="AT270" s="199">
        <f>$O270*AT$34-$Q270</f>
        <v/>
      </c>
      <c r="AU270" s="199">
        <f>$O270*AU$34-$Q270</f>
        <v/>
      </c>
      <c r="AV270" s="199">
        <f>$O270*AV$34-$Q270</f>
        <v/>
      </c>
      <c r="AW270" s="199">
        <f>$O270*AW$34-$Q270</f>
        <v/>
      </c>
      <c r="AX270" s="199">
        <f>$O270*AX$34-$Q270</f>
        <v/>
      </c>
      <c r="AZ270" s="198">
        <f>$G270</f>
        <v/>
      </c>
      <c r="BA270" s="199">
        <f>$H270</f>
        <v/>
      </c>
      <c r="BB270" s="199">
        <f>$P270*BB$34-$Q270</f>
        <v/>
      </c>
      <c r="BC270" s="199">
        <f>$P270*BC$34-$Q270</f>
        <v/>
      </c>
      <c r="BD270" s="199">
        <f>$P270*BD$34-$Q270</f>
        <v/>
      </c>
      <c r="BE270" s="199">
        <f>$P270*BE$34-$Q270</f>
        <v/>
      </c>
      <c r="BF270" s="199">
        <f>$P270*BF$34-$Q270</f>
        <v/>
      </c>
      <c r="BH270" s="198">
        <f>$G270</f>
        <v/>
      </c>
      <c r="BI270" s="197">
        <f>$I270</f>
        <v/>
      </c>
      <c r="BJ270" s="197">
        <f>+BJ271</f>
        <v/>
      </c>
      <c r="BK270" s="197">
        <f>+BK271</f>
        <v/>
      </c>
      <c r="BL270" s="197">
        <f>+BL271</f>
        <v/>
      </c>
      <c r="BM270" s="197">
        <f>+BM271</f>
        <v/>
      </c>
      <c r="BN270" s="197">
        <f>+BN271</f>
        <v/>
      </c>
      <c r="BP270" s="198">
        <f>$G270</f>
        <v/>
      </c>
      <c r="BQ270" s="197">
        <f>$J270</f>
        <v/>
      </c>
      <c r="BR270" s="197">
        <f>+BR271</f>
        <v/>
      </c>
      <c r="BS270" s="197">
        <f>+BS271</f>
        <v/>
      </c>
      <c r="BT270" s="197">
        <f>+BT271</f>
        <v/>
      </c>
      <c r="BU270" s="197">
        <f>+BU271</f>
        <v/>
      </c>
      <c r="BV270" s="197">
        <f>+BV271</f>
        <v/>
      </c>
      <c r="BX270" s="198">
        <f>$G270</f>
        <v/>
      </c>
      <c r="BY270" s="197">
        <f>$K270</f>
        <v/>
      </c>
      <c r="BZ270" s="197">
        <f>+BZ271</f>
        <v/>
      </c>
      <c r="CA270" s="197">
        <f>+CA271</f>
        <v/>
      </c>
      <c r="CB270" s="197">
        <f>+CB271</f>
        <v/>
      </c>
      <c r="CC270" s="197">
        <f>+CC271</f>
        <v/>
      </c>
      <c r="CD270" s="197">
        <f>+CD271</f>
        <v/>
      </c>
      <c r="CF270" s="198">
        <f>$G270</f>
        <v/>
      </c>
      <c r="CG270" s="197">
        <f>$L270</f>
        <v/>
      </c>
      <c r="CH270" s="197">
        <f>+CH271</f>
        <v/>
      </c>
      <c r="CI270" s="197">
        <f>+CI271</f>
        <v/>
      </c>
      <c r="CJ270" s="197">
        <f>+CJ271</f>
        <v/>
      </c>
      <c r="CK270" s="197">
        <f>+CK271</f>
        <v/>
      </c>
      <c r="CL270" s="197">
        <f>+CL271</f>
        <v/>
      </c>
      <c r="CO270" s="199" t="n">
        <v>12.04395704095172</v>
      </c>
      <c r="CP270" s="199" t="n">
        <v>3.49</v>
      </c>
      <c r="CR270" s="199" t="n">
        <v>10.62</v>
      </c>
      <c r="CS270" s="970" t="n">
        <v>0.8817700000000001</v>
      </c>
    </row>
    <row r="271">
      <c r="B271" s="204">
        <f>+C271-1</f>
        <v/>
      </c>
      <c r="C271" s="204">
        <f>IF('bands_A-H_Avg'!$D$9+1&gt;MONTH(G271),YEAR(G271),YEAR(G271)+1)</f>
        <v/>
      </c>
      <c r="D271" s="204">
        <f>+C271+1</f>
        <v/>
      </c>
      <c r="E271" s="203">
        <f>IF(C271&gt;C270,1,E270+1)</f>
        <v/>
      </c>
      <c r="F271" s="203">
        <f>COUNTIF(C:C,C271)</f>
        <v/>
      </c>
      <c r="G271" s="198">
        <f>+G270+7</f>
        <v/>
      </c>
      <c r="H271" s="361">
        <f>IF(ISBLANK(CO271),CP271,SUMPRODUCT(CO$32:CP$32,CO271:CP271))</f>
        <v/>
      </c>
      <c r="I271" s="968">
        <f>H271/M271</f>
        <v/>
      </c>
      <c r="J271" s="968">
        <f>H271/N271</f>
        <v/>
      </c>
      <c r="K271" s="968">
        <f>(H271+Q271)/O271</f>
        <v/>
      </c>
      <c r="L271" s="968">
        <f>(H271+Q271)/P271</f>
        <v/>
      </c>
      <c r="M271" s="199">
        <f>HLOOKUP(C:C,$4:$10,3,FALSE)+((HLOOKUP(D:D,$4:$10,3,FALSE)-HLOOKUP(C:C,$4:$10,3,FALSE))*E271/F271)</f>
        <v/>
      </c>
      <c r="N271" s="199">
        <f>HLOOKUP(C:C,$4:$10,2,FALSE)+((HLOOKUP(D:D,$4:$10,2,FALSE)-HLOOKUP(C:C,$4:$10,2,FALSE))*E271/F271)</f>
        <v/>
      </c>
      <c r="O271" s="199">
        <f>HLOOKUP(C:C,$4:$10,5,FALSE)+((HLOOKUP(D:D,$4:$10,5,FALSE)-HLOOKUP(C:C,$4:$10,5,FALSE))*E271/F271)</f>
        <v/>
      </c>
      <c r="P271" s="199">
        <f>HLOOKUP(C:C,$4:$10,4,FALSE)+((HLOOKUP(D:D,$4:$10,4,FALSE)-HLOOKUP(C:C,$4:$10,4,FALSE))*E271/F271)</f>
        <v/>
      </c>
      <c r="Q271" s="199">
        <f>HLOOKUP(B:B,$4:$10,6,FALSE)+((HLOOKUP(C:C,$4:$10,6,FALSE)-HLOOKUP(B:B,$4:$10,6,FALSE))*E271/F271)</f>
        <v/>
      </c>
      <c r="T271" s="198">
        <f>$G271</f>
        <v/>
      </c>
      <c r="U271" s="199">
        <f>H271/(HLOOKUP(B:B,$4:$10,3,FALSE)+((HLOOKUP(C:C,$4:$10,3,FALSE)-HLOOKUP(B:B,$4:$10,3,FALSE))*E271/F271))</f>
        <v/>
      </c>
      <c r="V271" s="969">
        <f>HLOOKUP(B:B,$4:$10,7,FALSE)+((HLOOKUP(C:C,$4:$10,7,FALSE)-HLOOKUP(B:B,$4:$10,7,FALSE))*E271/F271)</f>
        <v/>
      </c>
      <c r="AB271" s="198">
        <f>$G271</f>
        <v/>
      </c>
      <c r="AC271" s="199">
        <f>$H271</f>
        <v/>
      </c>
      <c r="AD271" s="199">
        <f>$M271*AD$34</f>
        <v/>
      </c>
      <c r="AE271" s="199">
        <f>$M271*AE$34</f>
        <v/>
      </c>
      <c r="AF271" s="199">
        <f>$M271*AF$34</f>
        <v/>
      </c>
      <c r="AG271" s="199">
        <f>$M271*AG$34</f>
        <v/>
      </c>
      <c r="AH271" s="199">
        <f>$M271*AH$34</f>
        <v/>
      </c>
      <c r="AJ271" s="198">
        <f>$G271</f>
        <v/>
      </c>
      <c r="AK271" s="199">
        <f>$H271</f>
        <v/>
      </c>
      <c r="AL271" s="199">
        <f>$N271*AL$34</f>
        <v/>
      </c>
      <c r="AM271" s="199">
        <f>$N271*AM$34</f>
        <v/>
      </c>
      <c r="AN271" s="199">
        <f>$N271*AN$34</f>
        <v/>
      </c>
      <c r="AO271" s="199">
        <f>$N271*AO$34</f>
        <v/>
      </c>
      <c r="AP271" s="199">
        <f>$N271*AP$34</f>
        <v/>
      </c>
      <c r="AR271" s="198">
        <f>$G271</f>
        <v/>
      </c>
      <c r="AS271" s="199">
        <f>$H271</f>
        <v/>
      </c>
      <c r="AT271" s="199">
        <f>$O271*AT$34-$Q271</f>
        <v/>
      </c>
      <c r="AU271" s="199">
        <f>$O271*AU$34-$Q271</f>
        <v/>
      </c>
      <c r="AV271" s="199">
        <f>$O271*AV$34-$Q271</f>
        <v/>
      </c>
      <c r="AW271" s="199">
        <f>$O271*AW$34-$Q271</f>
        <v/>
      </c>
      <c r="AX271" s="199">
        <f>$O271*AX$34-$Q271</f>
        <v/>
      </c>
      <c r="AZ271" s="198">
        <f>$G271</f>
        <v/>
      </c>
      <c r="BA271" s="199">
        <f>$H271</f>
        <v/>
      </c>
      <c r="BB271" s="199">
        <f>$P271*BB$34-$Q271</f>
        <v/>
      </c>
      <c r="BC271" s="199">
        <f>$P271*BC$34-$Q271</f>
        <v/>
      </c>
      <c r="BD271" s="199">
        <f>$P271*BD$34-$Q271</f>
        <v/>
      </c>
      <c r="BE271" s="199">
        <f>$P271*BE$34-$Q271</f>
        <v/>
      </c>
      <c r="BF271" s="199">
        <f>$P271*BF$34-$Q271</f>
        <v/>
      </c>
      <c r="BH271" s="198">
        <f>$G271</f>
        <v/>
      </c>
      <c r="BI271" s="197">
        <f>$I271</f>
        <v/>
      </c>
      <c r="BJ271" s="197">
        <f>+BJ272</f>
        <v/>
      </c>
      <c r="BK271" s="197">
        <f>+BK272</f>
        <v/>
      </c>
      <c r="BL271" s="197">
        <f>+BL272</f>
        <v/>
      </c>
      <c r="BM271" s="197">
        <f>+BM272</f>
        <v/>
      </c>
      <c r="BN271" s="197">
        <f>+BN272</f>
        <v/>
      </c>
      <c r="BP271" s="198">
        <f>$G271</f>
        <v/>
      </c>
      <c r="BQ271" s="197">
        <f>$J271</f>
        <v/>
      </c>
      <c r="BR271" s="197">
        <f>+BR272</f>
        <v/>
      </c>
      <c r="BS271" s="197">
        <f>+BS272</f>
        <v/>
      </c>
      <c r="BT271" s="197">
        <f>+BT272</f>
        <v/>
      </c>
      <c r="BU271" s="197">
        <f>+BU272</f>
        <v/>
      </c>
      <c r="BV271" s="197">
        <f>+BV272</f>
        <v/>
      </c>
      <c r="BX271" s="198">
        <f>$G271</f>
        <v/>
      </c>
      <c r="BY271" s="197">
        <f>$K271</f>
        <v/>
      </c>
      <c r="BZ271" s="197">
        <f>+BZ272</f>
        <v/>
      </c>
      <c r="CA271" s="197">
        <f>+CA272</f>
        <v/>
      </c>
      <c r="CB271" s="197">
        <f>+CB272</f>
        <v/>
      </c>
      <c r="CC271" s="197">
        <f>+CC272</f>
        <v/>
      </c>
      <c r="CD271" s="197">
        <f>+CD272</f>
        <v/>
      </c>
      <c r="CF271" s="198">
        <f>$G271</f>
        <v/>
      </c>
      <c r="CG271" s="197">
        <f>$L271</f>
        <v/>
      </c>
      <c r="CH271" s="197">
        <f>+CH272</f>
        <v/>
      </c>
      <c r="CI271" s="197">
        <f>+CI272</f>
        <v/>
      </c>
      <c r="CJ271" s="197">
        <f>+CJ272</f>
        <v/>
      </c>
      <c r="CK271" s="197">
        <f>+CK272</f>
        <v/>
      </c>
      <c r="CL271" s="197">
        <f>+CL272</f>
        <v/>
      </c>
      <c r="CO271" s="199" t="n">
        <v>11.85398611552248</v>
      </c>
      <c r="CP271" s="199" t="n">
        <v>3.35</v>
      </c>
      <c r="CR271" s="199" t="n">
        <v>10.45</v>
      </c>
      <c r="CS271" s="970" t="n">
        <v>0.88156</v>
      </c>
    </row>
    <row r="272">
      <c r="B272" s="204">
        <f>+C272-1</f>
        <v/>
      </c>
      <c r="C272" s="204">
        <f>IF('bands_A-H_Avg'!$D$9+1&gt;MONTH(G272),YEAR(G272),YEAR(G272)+1)</f>
        <v/>
      </c>
      <c r="D272" s="204">
        <f>+C272+1</f>
        <v/>
      </c>
      <c r="E272" s="203">
        <f>IF(C272&gt;C271,1,E271+1)</f>
        <v/>
      </c>
      <c r="F272" s="203">
        <f>COUNTIF(C:C,C272)</f>
        <v/>
      </c>
      <c r="G272" s="198">
        <f>+G271+7</f>
        <v/>
      </c>
      <c r="H272" s="361">
        <f>IF(ISBLANK(CO272),CP272,SUMPRODUCT(CO$32:CP$32,CO272:CP272))</f>
        <v/>
      </c>
      <c r="I272" s="968">
        <f>H272/M272</f>
        <v/>
      </c>
      <c r="J272" s="968">
        <f>H272/N272</f>
        <v/>
      </c>
      <c r="K272" s="968">
        <f>(H272+Q272)/O272</f>
        <v/>
      </c>
      <c r="L272" s="968">
        <f>(H272+Q272)/P272</f>
        <v/>
      </c>
      <c r="M272" s="199">
        <f>HLOOKUP(C:C,$4:$10,3,FALSE)+((HLOOKUP(D:D,$4:$10,3,FALSE)-HLOOKUP(C:C,$4:$10,3,FALSE))*E272/F272)</f>
        <v/>
      </c>
      <c r="N272" s="199">
        <f>HLOOKUP(C:C,$4:$10,2,FALSE)+((HLOOKUP(D:D,$4:$10,2,FALSE)-HLOOKUP(C:C,$4:$10,2,FALSE))*E272/F272)</f>
        <v/>
      </c>
      <c r="O272" s="199">
        <f>HLOOKUP(C:C,$4:$10,5,FALSE)+((HLOOKUP(D:D,$4:$10,5,FALSE)-HLOOKUP(C:C,$4:$10,5,FALSE))*E272/F272)</f>
        <v/>
      </c>
      <c r="P272" s="199">
        <f>HLOOKUP(C:C,$4:$10,4,FALSE)+((HLOOKUP(D:D,$4:$10,4,FALSE)-HLOOKUP(C:C,$4:$10,4,FALSE))*E272/F272)</f>
        <v/>
      </c>
      <c r="Q272" s="199">
        <f>HLOOKUP(B:B,$4:$10,6,FALSE)+((HLOOKUP(C:C,$4:$10,6,FALSE)-HLOOKUP(B:B,$4:$10,6,FALSE))*E272/F272)</f>
        <v/>
      </c>
      <c r="T272" s="198">
        <f>$G272</f>
        <v/>
      </c>
      <c r="U272" s="199">
        <f>H272/(HLOOKUP(B:B,$4:$10,3,FALSE)+((HLOOKUP(C:C,$4:$10,3,FALSE)-HLOOKUP(B:B,$4:$10,3,FALSE))*E272/F272))</f>
        <v/>
      </c>
      <c r="V272" s="969">
        <f>HLOOKUP(B:B,$4:$10,7,FALSE)+((HLOOKUP(C:C,$4:$10,7,FALSE)-HLOOKUP(B:B,$4:$10,7,FALSE))*E272/F272)</f>
        <v/>
      </c>
      <c r="AB272" s="198">
        <f>$G272</f>
        <v/>
      </c>
      <c r="AC272" s="199">
        <f>$H272</f>
        <v/>
      </c>
      <c r="AD272" s="199">
        <f>$M272*AD$34</f>
        <v/>
      </c>
      <c r="AE272" s="199">
        <f>$M272*AE$34</f>
        <v/>
      </c>
      <c r="AF272" s="199">
        <f>$M272*AF$34</f>
        <v/>
      </c>
      <c r="AG272" s="199">
        <f>$M272*AG$34</f>
        <v/>
      </c>
      <c r="AH272" s="199">
        <f>$M272*AH$34</f>
        <v/>
      </c>
      <c r="AJ272" s="198">
        <f>$G272</f>
        <v/>
      </c>
      <c r="AK272" s="199">
        <f>$H272</f>
        <v/>
      </c>
      <c r="AL272" s="199">
        <f>$N272*AL$34</f>
        <v/>
      </c>
      <c r="AM272" s="199">
        <f>$N272*AM$34</f>
        <v/>
      </c>
      <c r="AN272" s="199">
        <f>$N272*AN$34</f>
        <v/>
      </c>
      <c r="AO272" s="199">
        <f>$N272*AO$34</f>
        <v/>
      </c>
      <c r="AP272" s="199">
        <f>$N272*AP$34</f>
        <v/>
      </c>
      <c r="AR272" s="198">
        <f>$G272</f>
        <v/>
      </c>
      <c r="AS272" s="199">
        <f>$H272</f>
        <v/>
      </c>
      <c r="AT272" s="199">
        <f>$O272*AT$34-$Q272</f>
        <v/>
      </c>
      <c r="AU272" s="199">
        <f>$O272*AU$34-$Q272</f>
        <v/>
      </c>
      <c r="AV272" s="199">
        <f>$O272*AV$34-$Q272</f>
        <v/>
      </c>
      <c r="AW272" s="199">
        <f>$O272*AW$34-$Q272</f>
        <v/>
      </c>
      <c r="AX272" s="199">
        <f>$O272*AX$34-$Q272</f>
        <v/>
      </c>
      <c r="AZ272" s="198">
        <f>$G272</f>
        <v/>
      </c>
      <c r="BA272" s="199">
        <f>$H272</f>
        <v/>
      </c>
      <c r="BB272" s="199">
        <f>$P272*BB$34-$Q272</f>
        <v/>
      </c>
      <c r="BC272" s="199">
        <f>$P272*BC$34-$Q272</f>
        <v/>
      </c>
      <c r="BD272" s="199">
        <f>$P272*BD$34-$Q272</f>
        <v/>
      </c>
      <c r="BE272" s="199">
        <f>$P272*BE$34-$Q272</f>
        <v/>
      </c>
      <c r="BF272" s="199">
        <f>$P272*BF$34-$Q272</f>
        <v/>
      </c>
      <c r="BH272" s="198">
        <f>$G272</f>
        <v/>
      </c>
      <c r="BI272" s="197">
        <f>$I272</f>
        <v/>
      </c>
      <c r="BJ272" s="197">
        <f>+BJ273</f>
        <v/>
      </c>
      <c r="BK272" s="197">
        <f>+BK273</f>
        <v/>
      </c>
      <c r="BL272" s="197">
        <f>+BL273</f>
        <v/>
      </c>
      <c r="BM272" s="197">
        <f>+BM273</f>
        <v/>
      </c>
      <c r="BN272" s="197">
        <f>+BN273</f>
        <v/>
      </c>
      <c r="BP272" s="198">
        <f>$G272</f>
        <v/>
      </c>
      <c r="BQ272" s="197">
        <f>$J272</f>
        <v/>
      </c>
      <c r="BR272" s="197">
        <f>+BR273</f>
        <v/>
      </c>
      <c r="BS272" s="197">
        <f>+BS273</f>
        <v/>
      </c>
      <c r="BT272" s="197">
        <f>+BT273</f>
        <v/>
      </c>
      <c r="BU272" s="197">
        <f>+BU273</f>
        <v/>
      </c>
      <c r="BV272" s="197">
        <f>+BV273</f>
        <v/>
      </c>
      <c r="BX272" s="198">
        <f>$G272</f>
        <v/>
      </c>
      <c r="BY272" s="197">
        <f>$K272</f>
        <v/>
      </c>
      <c r="BZ272" s="197">
        <f>+BZ273</f>
        <v/>
      </c>
      <c r="CA272" s="197">
        <f>+CA273</f>
        <v/>
      </c>
      <c r="CB272" s="197">
        <f>+CB273</f>
        <v/>
      </c>
      <c r="CC272" s="197">
        <f>+CC273</f>
        <v/>
      </c>
      <c r="CD272" s="197">
        <f>+CD273</f>
        <v/>
      </c>
      <c r="CF272" s="198">
        <f>$G272</f>
        <v/>
      </c>
      <c r="CG272" s="197">
        <f>$L272</f>
        <v/>
      </c>
      <c r="CH272" s="197">
        <f>+CH273</f>
        <v/>
      </c>
      <c r="CI272" s="197">
        <f>+CI273</f>
        <v/>
      </c>
      <c r="CJ272" s="197">
        <f>+CJ273</f>
        <v/>
      </c>
      <c r="CK272" s="197">
        <f>+CK273</f>
        <v/>
      </c>
      <c r="CL272" s="197">
        <f>+CL273</f>
        <v/>
      </c>
      <c r="CO272" s="199" t="n">
        <v>12.65865859053323</v>
      </c>
      <c r="CP272" s="199" t="n">
        <v>3.63</v>
      </c>
      <c r="CR272" s="199" t="n">
        <v>11.16</v>
      </c>
      <c r="CS272" s="970" t="n">
        <v>0.88161</v>
      </c>
    </row>
    <row r="273">
      <c r="B273" s="204">
        <f>+C273-1</f>
        <v/>
      </c>
      <c r="C273" s="204">
        <f>IF('bands_A-H_Avg'!$D$9+1&gt;MONTH(G273),YEAR(G273),YEAR(G273)+1)</f>
        <v/>
      </c>
      <c r="D273" s="204">
        <f>+C273+1</f>
        <v/>
      </c>
      <c r="E273" s="203">
        <f>IF(C273&gt;C272,1,E272+1)</f>
        <v/>
      </c>
      <c r="F273" s="203">
        <f>COUNTIF(C:C,C273)</f>
        <v/>
      </c>
      <c r="G273" s="198">
        <f>+G272+7</f>
        <v/>
      </c>
      <c r="H273" s="361">
        <f>IF(ISBLANK(CO273),CP273,SUMPRODUCT(CO$32:CP$32,CO273:CP273))</f>
        <v/>
      </c>
      <c r="I273" s="968">
        <f>H273/M273</f>
        <v/>
      </c>
      <c r="J273" s="968">
        <f>H273/N273</f>
        <v/>
      </c>
      <c r="K273" s="968">
        <f>(H273+Q273)/O273</f>
        <v/>
      </c>
      <c r="L273" s="968">
        <f>(H273+Q273)/P273</f>
        <v/>
      </c>
      <c r="M273" s="199">
        <f>HLOOKUP(C:C,$4:$10,3,FALSE)+((HLOOKUP(D:D,$4:$10,3,FALSE)-HLOOKUP(C:C,$4:$10,3,FALSE))*E273/F273)</f>
        <v/>
      </c>
      <c r="N273" s="199">
        <f>HLOOKUP(C:C,$4:$10,2,FALSE)+((HLOOKUP(D:D,$4:$10,2,FALSE)-HLOOKUP(C:C,$4:$10,2,FALSE))*E273/F273)</f>
        <v/>
      </c>
      <c r="O273" s="199">
        <f>HLOOKUP(C:C,$4:$10,5,FALSE)+((HLOOKUP(D:D,$4:$10,5,FALSE)-HLOOKUP(C:C,$4:$10,5,FALSE))*E273/F273)</f>
        <v/>
      </c>
      <c r="P273" s="199">
        <f>HLOOKUP(C:C,$4:$10,4,FALSE)+((HLOOKUP(D:D,$4:$10,4,FALSE)-HLOOKUP(C:C,$4:$10,4,FALSE))*E273/F273)</f>
        <v/>
      </c>
      <c r="Q273" s="199">
        <f>HLOOKUP(B:B,$4:$10,6,FALSE)+((HLOOKUP(C:C,$4:$10,6,FALSE)-HLOOKUP(B:B,$4:$10,6,FALSE))*E273/F273)</f>
        <v/>
      </c>
      <c r="T273" s="198">
        <f>$G273</f>
        <v/>
      </c>
      <c r="U273" s="199">
        <f>H273/(HLOOKUP(B:B,$4:$10,3,FALSE)+((HLOOKUP(C:C,$4:$10,3,FALSE)-HLOOKUP(B:B,$4:$10,3,FALSE))*E273/F273))</f>
        <v/>
      </c>
      <c r="V273" s="969">
        <f>HLOOKUP(B:B,$4:$10,7,FALSE)+((HLOOKUP(C:C,$4:$10,7,FALSE)-HLOOKUP(B:B,$4:$10,7,FALSE))*E273/F273)</f>
        <v/>
      </c>
      <c r="AB273" s="198">
        <f>$G273</f>
        <v/>
      </c>
      <c r="AC273" s="199">
        <f>$H273</f>
        <v/>
      </c>
      <c r="AD273" s="199">
        <f>$M273*AD$34</f>
        <v/>
      </c>
      <c r="AE273" s="199">
        <f>$M273*AE$34</f>
        <v/>
      </c>
      <c r="AF273" s="199">
        <f>$M273*AF$34</f>
        <v/>
      </c>
      <c r="AG273" s="199">
        <f>$M273*AG$34</f>
        <v/>
      </c>
      <c r="AH273" s="199">
        <f>$M273*AH$34</f>
        <v/>
      </c>
      <c r="AJ273" s="198">
        <f>$G273</f>
        <v/>
      </c>
      <c r="AK273" s="199">
        <f>$H273</f>
        <v/>
      </c>
      <c r="AL273" s="199">
        <f>$N273*AL$34</f>
        <v/>
      </c>
      <c r="AM273" s="199">
        <f>$N273*AM$34</f>
        <v/>
      </c>
      <c r="AN273" s="199">
        <f>$N273*AN$34</f>
        <v/>
      </c>
      <c r="AO273" s="199">
        <f>$N273*AO$34</f>
        <v/>
      </c>
      <c r="AP273" s="199">
        <f>$N273*AP$34</f>
        <v/>
      </c>
      <c r="AR273" s="198">
        <f>$G273</f>
        <v/>
      </c>
      <c r="AS273" s="199">
        <f>$H273</f>
        <v/>
      </c>
      <c r="AT273" s="199">
        <f>$O273*AT$34-$Q273</f>
        <v/>
      </c>
      <c r="AU273" s="199">
        <f>$O273*AU$34-$Q273</f>
        <v/>
      </c>
      <c r="AV273" s="199">
        <f>$O273*AV$34-$Q273</f>
        <v/>
      </c>
      <c r="AW273" s="199">
        <f>$O273*AW$34-$Q273</f>
        <v/>
      </c>
      <c r="AX273" s="199">
        <f>$O273*AX$34-$Q273</f>
        <v/>
      </c>
      <c r="AZ273" s="198">
        <f>$G273</f>
        <v/>
      </c>
      <c r="BA273" s="199">
        <f>$H273</f>
        <v/>
      </c>
      <c r="BB273" s="199">
        <f>$P273*BB$34-$Q273</f>
        <v/>
      </c>
      <c r="BC273" s="199">
        <f>$P273*BC$34-$Q273</f>
        <v/>
      </c>
      <c r="BD273" s="199">
        <f>$P273*BD$34-$Q273</f>
        <v/>
      </c>
      <c r="BE273" s="199">
        <f>$P273*BE$34-$Q273</f>
        <v/>
      </c>
      <c r="BF273" s="199">
        <f>$P273*BF$34-$Q273</f>
        <v/>
      </c>
      <c r="BH273" s="198">
        <f>$G273</f>
        <v/>
      </c>
      <c r="BI273" s="197">
        <f>$I273</f>
        <v/>
      </c>
      <c r="BJ273" s="197">
        <f>+BJ274</f>
        <v/>
      </c>
      <c r="BK273" s="197">
        <f>+BK274</f>
        <v/>
      </c>
      <c r="BL273" s="197">
        <f>+BL274</f>
        <v/>
      </c>
      <c r="BM273" s="197">
        <f>+BM274</f>
        <v/>
      </c>
      <c r="BN273" s="197">
        <f>+BN274</f>
        <v/>
      </c>
      <c r="BP273" s="198">
        <f>$G273</f>
        <v/>
      </c>
      <c r="BQ273" s="197">
        <f>$J273</f>
        <v/>
      </c>
      <c r="BR273" s="197">
        <f>+BR274</f>
        <v/>
      </c>
      <c r="BS273" s="197">
        <f>+BS274</f>
        <v/>
      </c>
      <c r="BT273" s="197">
        <f>+BT274</f>
        <v/>
      </c>
      <c r="BU273" s="197">
        <f>+BU274</f>
        <v/>
      </c>
      <c r="BV273" s="197">
        <f>+BV274</f>
        <v/>
      </c>
      <c r="BX273" s="198">
        <f>$G273</f>
        <v/>
      </c>
      <c r="BY273" s="197">
        <f>$K273</f>
        <v/>
      </c>
      <c r="BZ273" s="197">
        <f>+BZ274</f>
        <v/>
      </c>
      <c r="CA273" s="197">
        <f>+CA274</f>
        <v/>
      </c>
      <c r="CB273" s="197">
        <f>+CB274</f>
        <v/>
      </c>
      <c r="CC273" s="197">
        <f>+CC274</f>
        <v/>
      </c>
      <c r="CD273" s="197">
        <f>+CD274</f>
        <v/>
      </c>
      <c r="CF273" s="198">
        <f>$G273</f>
        <v/>
      </c>
      <c r="CG273" s="197">
        <f>$L273</f>
        <v/>
      </c>
      <c r="CH273" s="197">
        <f>+CH274</f>
        <v/>
      </c>
      <c r="CI273" s="197">
        <f>+CI274</f>
        <v/>
      </c>
      <c r="CJ273" s="197">
        <f>+CJ274</f>
        <v/>
      </c>
      <c r="CK273" s="197">
        <f>+CK274</f>
        <v/>
      </c>
      <c r="CL273" s="197">
        <f>+CL274</f>
        <v/>
      </c>
      <c r="CO273" s="199" t="n">
        <v>12.56948383437323</v>
      </c>
      <c r="CP273" s="199" t="n">
        <v>3.6</v>
      </c>
      <c r="CR273" s="199" t="n">
        <v>11.08</v>
      </c>
      <c r="CS273" s="970" t="n">
        <v>0.8815</v>
      </c>
    </row>
    <row r="274">
      <c r="B274" s="204">
        <f>+C274-1</f>
        <v/>
      </c>
      <c r="C274" s="204">
        <f>IF('bands_A-H_Avg'!$D$9+1&gt;MONTH(G274),YEAR(G274),YEAR(G274)+1)</f>
        <v/>
      </c>
      <c r="D274" s="204">
        <f>+C274+1</f>
        <v/>
      </c>
      <c r="E274" s="203">
        <f>IF(C274&gt;C273,1,E273+1)</f>
        <v/>
      </c>
      <c r="F274" s="203">
        <f>COUNTIF(C:C,C274)</f>
        <v/>
      </c>
      <c r="G274" s="198">
        <f>+G273+7</f>
        <v/>
      </c>
      <c r="H274" s="361">
        <f>IF(ISBLANK(CO274),CP274,SUMPRODUCT(CO$32:CP$32,CO274:CP274))</f>
        <v/>
      </c>
      <c r="I274" s="968">
        <f>H274/M274</f>
        <v/>
      </c>
      <c r="J274" s="968">
        <f>H274/N274</f>
        <v/>
      </c>
      <c r="K274" s="968">
        <f>(H274+Q274)/O274</f>
        <v/>
      </c>
      <c r="L274" s="968">
        <f>(H274+Q274)/P274</f>
        <v/>
      </c>
      <c r="M274" s="199">
        <f>HLOOKUP(C:C,$4:$10,3,FALSE)+((HLOOKUP(D:D,$4:$10,3,FALSE)-HLOOKUP(C:C,$4:$10,3,FALSE))*E274/F274)</f>
        <v/>
      </c>
      <c r="N274" s="199">
        <f>HLOOKUP(C:C,$4:$10,2,FALSE)+((HLOOKUP(D:D,$4:$10,2,FALSE)-HLOOKUP(C:C,$4:$10,2,FALSE))*E274/F274)</f>
        <v/>
      </c>
      <c r="O274" s="199">
        <f>HLOOKUP(C:C,$4:$10,5,FALSE)+((HLOOKUP(D:D,$4:$10,5,FALSE)-HLOOKUP(C:C,$4:$10,5,FALSE))*E274/F274)</f>
        <v/>
      </c>
      <c r="P274" s="199">
        <f>HLOOKUP(C:C,$4:$10,4,FALSE)+((HLOOKUP(D:D,$4:$10,4,FALSE)-HLOOKUP(C:C,$4:$10,4,FALSE))*E274/F274)</f>
        <v/>
      </c>
      <c r="Q274" s="199">
        <f>HLOOKUP(B:B,$4:$10,6,FALSE)+((HLOOKUP(C:C,$4:$10,6,FALSE)-HLOOKUP(B:B,$4:$10,6,FALSE))*E274/F274)</f>
        <v/>
      </c>
      <c r="T274" s="198">
        <f>$G274</f>
        <v/>
      </c>
      <c r="U274" s="199">
        <f>H274/(HLOOKUP(B:B,$4:$10,3,FALSE)+((HLOOKUP(C:C,$4:$10,3,FALSE)-HLOOKUP(B:B,$4:$10,3,FALSE))*E274/F274))</f>
        <v/>
      </c>
      <c r="V274" s="969">
        <f>HLOOKUP(B:B,$4:$10,7,FALSE)+((HLOOKUP(C:C,$4:$10,7,FALSE)-HLOOKUP(B:B,$4:$10,7,FALSE))*E274/F274)</f>
        <v/>
      </c>
      <c r="AB274" s="198">
        <f>$G274</f>
        <v/>
      </c>
      <c r="AC274" s="199">
        <f>$H274</f>
        <v/>
      </c>
      <c r="AD274" s="199">
        <f>$M274*AD$34</f>
        <v/>
      </c>
      <c r="AE274" s="199">
        <f>$M274*AE$34</f>
        <v/>
      </c>
      <c r="AF274" s="199">
        <f>$M274*AF$34</f>
        <v/>
      </c>
      <c r="AG274" s="199">
        <f>$M274*AG$34</f>
        <v/>
      </c>
      <c r="AH274" s="199">
        <f>$M274*AH$34</f>
        <v/>
      </c>
      <c r="AJ274" s="198">
        <f>$G274</f>
        <v/>
      </c>
      <c r="AK274" s="199">
        <f>$H274</f>
        <v/>
      </c>
      <c r="AL274" s="199">
        <f>$N274*AL$34</f>
        <v/>
      </c>
      <c r="AM274" s="199">
        <f>$N274*AM$34</f>
        <v/>
      </c>
      <c r="AN274" s="199">
        <f>$N274*AN$34</f>
        <v/>
      </c>
      <c r="AO274" s="199">
        <f>$N274*AO$34</f>
        <v/>
      </c>
      <c r="AP274" s="199">
        <f>$N274*AP$34</f>
        <v/>
      </c>
      <c r="AR274" s="198">
        <f>$G274</f>
        <v/>
      </c>
      <c r="AS274" s="199">
        <f>$H274</f>
        <v/>
      </c>
      <c r="AT274" s="199">
        <f>$O274*AT$34-$Q274</f>
        <v/>
      </c>
      <c r="AU274" s="199">
        <f>$O274*AU$34-$Q274</f>
        <v/>
      </c>
      <c r="AV274" s="199">
        <f>$O274*AV$34-$Q274</f>
        <v/>
      </c>
      <c r="AW274" s="199">
        <f>$O274*AW$34-$Q274</f>
        <v/>
      </c>
      <c r="AX274" s="199">
        <f>$O274*AX$34-$Q274</f>
        <v/>
      </c>
      <c r="AZ274" s="198">
        <f>$G274</f>
        <v/>
      </c>
      <c r="BA274" s="199">
        <f>$H274</f>
        <v/>
      </c>
      <c r="BB274" s="199">
        <f>$P274*BB$34-$Q274</f>
        <v/>
      </c>
      <c r="BC274" s="199">
        <f>$P274*BC$34-$Q274</f>
        <v/>
      </c>
      <c r="BD274" s="199">
        <f>$P274*BD$34-$Q274</f>
        <v/>
      </c>
      <c r="BE274" s="199">
        <f>$P274*BE$34-$Q274</f>
        <v/>
      </c>
      <c r="BF274" s="199">
        <f>$P274*BF$34-$Q274</f>
        <v/>
      </c>
      <c r="BH274" s="198">
        <f>$G274</f>
        <v/>
      </c>
      <c r="BI274" s="197">
        <f>$I274</f>
        <v/>
      </c>
      <c r="BJ274" s="197">
        <f>+BJ275</f>
        <v/>
      </c>
      <c r="BK274" s="197">
        <f>+BK275</f>
        <v/>
      </c>
      <c r="BL274" s="197">
        <f>+BL275</f>
        <v/>
      </c>
      <c r="BM274" s="197">
        <f>+BM275</f>
        <v/>
      </c>
      <c r="BN274" s="197">
        <f>+BN275</f>
        <v/>
      </c>
      <c r="BP274" s="198">
        <f>$G274</f>
        <v/>
      </c>
      <c r="BQ274" s="197">
        <f>$J274</f>
        <v/>
      </c>
      <c r="BR274" s="197">
        <f>+BR275</f>
        <v/>
      </c>
      <c r="BS274" s="197">
        <f>+BS275</f>
        <v/>
      </c>
      <c r="BT274" s="197">
        <f>+BT275</f>
        <v/>
      </c>
      <c r="BU274" s="197">
        <f>+BU275</f>
        <v/>
      </c>
      <c r="BV274" s="197">
        <f>+BV275</f>
        <v/>
      </c>
      <c r="BX274" s="198">
        <f>$G274</f>
        <v/>
      </c>
      <c r="BY274" s="197">
        <f>$K274</f>
        <v/>
      </c>
      <c r="BZ274" s="197">
        <f>+BZ275</f>
        <v/>
      </c>
      <c r="CA274" s="197">
        <f>+CA275</f>
        <v/>
      </c>
      <c r="CB274" s="197">
        <f>+CB275</f>
        <v/>
      </c>
      <c r="CC274" s="197">
        <f>+CC275</f>
        <v/>
      </c>
      <c r="CD274" s="197">
        <f>+CD275</f>
        <v/>
      </c>
      <c r="CF274" s="198">
        <f>$G274</f>
        <v/>
      </c>
      <c r="CG274" s="197">
        <f>$L274</f>
        <v/>
      </c>
      <c r="CH274" s="197">
        <f>+CH275</f>
        <v/>
      </c>
      <c r="CI274" s="197">
        <f>+CI275</f>
        <v/>
      </c>
      <c r="CJ274" s="197">
        <f>+CJ275</f>
        <v/>
      </c>
      <c r="CK274" s="197">
        <f>+CK275</f>
        <v/>
      </c>
      <c r="CL274" s="197">
        <f>+CL275</f>
        <v/>
      </c>
      <c r="CO274" s="199" t="n">
        <v>12.5469375716117</v>
      </c>
      <c r="CP274" s="199" t="n">
        <v>3.61</v>
      </c>
      <c r="CR274" s="199" t="n">
        <v>11.06</v>
      </c>
      <c r="CS274" s="970" t="n">
        <v>0.88149</v>
      </c>
    </row>
    <row r="275">
      <c r="B275" s="204">
        <f>+C275-1</f>
        <v/>
      </c>
      <c r="C275" s="204">
        <f>IF('bands_A-H_Avg'!$D$9+1&gt;MONTH(G275),YEAR(G275),YEAR(G275)+1)</f>
        <v/>
      </c>
      <c r="D275" s="204">
        <f>+C275+1</f>
        <v/>
      </c>
      <c r="E275" s="203">
        <f>IF(C275&gt;C274,1,E274+1)</f>
        <v/>
      </c>
      <c r="F275" s="203">
        <f>COUNTIF(C:C,C275)</f>
        <v/>
      </c>
      <c r="G275" s="198">
        <f>+G274+7</f>
        <v/>
      </c>
      <c r="H275" s="361">
        <f>IF(ISBLANK(CO275),CP275,SUMPRODUCT(CO$32:CP$32,CO275:CP275))</f>
        <v/>
      </c>
      <c r="I275" s="968">
        <f>H275/M275</f>
        <v/>
      </c>
      <c r="J275" s="968">
        <f>H275/N275</f>
        <v/>
      </c>
      <c r="K275" s="968">
        <f>(H275+Q275)/O275</f>
        <v/>
      </c>
      <c r="L275" s="968">
        <f>(H275+Q275)/P275</f>
        <v/>
      </c>
      <c r="M275" s="199">
        <f>HLOOKUP(C:C,$4:$10,3,FALSE)+((HLOOKUP(D:D,$4:$10,3,FALSE)-HLOOKUP(C:C,$4:$10,3,FALSE))*E275/F275)</f>
        <v/>
      </c>
      <c r="N275" s="199">
        <f>HLOOKUP(C:C,$4:$10,2,FALSE)+((HLOOKUP(D:D,$4:$10,2,FALSE)-HLOOKUP(C:C,$4:$10,2,FALSE))*E275/F275)</f>
        <v/>
      </c>
      <c r="O275" s="199">
        <f>HLOOKUP(C:C,$4:$10,5,FALSE)+((HLOOKUP(D:D,$4:$10,5,FALSE)-HLOOKUP(C:C,$4:$10,5,FALSE))*E275/F275)</f>
        <v/>
      </c>
      <c r="P275" s="199">
        <f>HLOOKUP(C:C,$4:$10,4,FALSE)+((HLOOKUP(D:D,$4:$10,4,FALSE)-HLOOKUP(C:C,$4:$10,4,FALSE))*E275/F275)</f>
        <v/>
      </c>
      <c r="Q275" s="199">
        <f>HLOOKUP(B:B,$4:$10,6,FALSE)+((HLOOKUP(C:C,$4:$10,6,FALSE)-HLOOKUP(B:B,$4:$10,6,FALSE))*E275/F275)</f>
        <v/>
      </c>
      <c r="T275" s="198">
        <f>$G275</f>
        <v/>
      </c>
      <c r="U275" s="199">
        <f>H275/(HLOOKUP(B:B,$4:$10,3,FALSE)+((HLOOKUP(C:C,$4:$10,3,FALSE)-HLOOKUP(B:B,$4:$10,3,FALSE))*E275/F275))</f>
        <v/>
      </c>
      <c r="V275" s="969">
        <f>HLOOKUP(B:B,$4:$10,7,FALSE)+((HLOOKUP(C:C,$4:$10,7,FALSE)-HLOOKUP(B:B,$4:$10,7,FALSE))*E275/F275)</f>
        <v/>
      </c>
      <c r="AB275" s="198">
        <f>$G275</f>
        <v/>
      </c>
      <c r="AC275" s="199">
        <f>$H275</f>
        <v/>
      </c>
      <c r="AD275" s="199">
        <f>$M275*AD$34</f>
        <v/>
      </c>
      <c r="AE275" s="199">
        <f>$M275*AE$34</f>
        <v/>
      </c>
      <c r="AF275" s="199">
        <f>$M275*AF$34</f>
        <v/>
      </c>
      <c r="AG275" s="199">
        <f>$M275*AG$34</f>
        <v/>
      </c>
      <c r="AH275" s="199">
        <f>$M275*AH$34</f>
        <v/>
      </c>
      <c r="AJ275" s="198">
        <f>$G275</f>
        <v/>
      </c>
      <c r="AK275" s="199">
        <f>$H275</f>
        <v/>
      </c>
      <c r="AL275" s="199">
        <f>$N275*AL$34</f>
        <v/>
      </c>
      <c r="AM275" s="199">
        <f>$N275*AM$34</f>
        <v/>
      </c>
      <c r="AN275" s="199">
        <f>$N275*AN$34</f>
        <v/>
      </c>
      <c r="AO275" s="199">
        <f>$N275*AO$34</f>
        <v/>
      </c>
      <c r="AP275" s="199">
        <f>$N275*AP$34</f>
        <v/>
      </c>
      <c r="AR275" s="198">
        <f>$G275</f>
        <v/>
      </c>
      <c r="AS275" s="199">
        <f>$H275</f>
        <v/>
      </c>
      <c r="AT275" s="199">
        <f>$O275*AT$34-$Q275</f>
        <v/>
      </c>
      <c r="AU275" s="199">
        <f>$O275*AU$34-$Q275</f>
        <v/>
      </c>
      <c r="AV275" s="199">
        <f>$O275*AV$34-$Q275</f>
        <v/>
      </c>
      <c r="AW275" s="199">
        <f>$O275*AW$34-$Q275</f>
        <v/>
      </c>
      <c r="AX275" s="199">
        <f>$O275*AX$34-$Q275</f>
        <v/>
      </c>
      <c r="AZ275" s="198">
        <f>$G275</f>
        <v/>
      </c>
      <c r="BA275" s="199">
        <f>$H275</f>
        <v/>
      </c>
      <c r="BB275" s="199">
        <f>$P275*BB$34-$Q275</f>
        <v/>
      </c>
      <c r="BC275" s="199">
        <f>$P275*BC$34-$Q275</f>
        <v/>
      </c>
      <c r="BD275" s="199">
        <f>$P275*BD$34-$Q275</f>
        <v/>
      </c>
      <c r="BE275" s="199">
        <f>$P275*BE$34-$Q275</f>
        <v/>
      </c>
      <c r="BF275" s="199">
        <f>$P275*BF$34-$Q275</f>
        <v/>
      </c>
      <c r="BH275" s="198">
        <f>$G275</f>
        <v/>
      </c>
      <c r="BI275" s="197">
        <f>$I275</f>
        <v/>
      </c>
      <c r="BJ275" s="197">
        <f>+BJ276</f>
        <v/>
      </c>
      <c r="BK275" s="197">
        <f>+BK276</f>
        <v/>
      </c>
      <c r="BL275" s="197">
        <f>+BL276</f>
        <v/>
      </c>
      <c r="BM275" s="197">
        <f>+BM276</f>
        <v/>
      </c>
      <c r="BN275" s="197">
        <f>+BN276</f>
        <v/>
      </c>
      <c r="BP275" s="198">
        <f>$G275</f>
        <v/>
      </c>
      <c r="BQ275" s="197">
        <f>$J275</f>
        <v/>
      </c>
      <c r="BR275" s="197">
        <f>+BR276</f>
        <v/>
      </c>
      <c r="BS275" s="197">
        <f>+BS276</f>
        <v/>
      </c>
      <c r="BT275" s="197">
        <f>+BT276</f>
        <v/>
      </c>
      <c r="BU275" s="197">
        <f>+BU276</f>
        <v/>
      </c>
      <c r="BV275" s="197">
        <f>+BV276</f>
        <v/>
      </c>
      <c r="BX275" s="198">
        <f>$G275</f>
        <v/>
      </c>
      <c r="BY275" s="197">
        <f>$K275</f>
        <v/>
      </c>
      <c r="BZ275" s="197">
        <f>+BZ276</f>
        <v/>
      </c>
      <c r="CA275" s="197">
        <f>+CA276</f>
        <v/>
      </c>
      <c r="CB275" s="197">
        <f>+CB276</f>
        <v/>
      </c>
      <c r="CC275" s="197">
        <f>+CC276</f>
        <v/>
      </c>
      <c r="CD275" s="197">
        <f>+CD276</f>
        <v/>
      </c>
      <c r="CF275" s="198">
        <f>$G275</f>
        <v/>
      </c>
      <c r="CG275" s="197">
        <f>$L275</f>
        <v/>
      </c>
      <c r="CH275" s="197">
        <f>+CH276</f>
        <v/>
      </c>
      <c r="CI275" s="197">
        <f>+CI276</f>
        <v/>
      </c>
      <c r="CJ275" s="197">
        <f>+CJ276</f>
        <v/>
      </c>
      <c r="CK275" s="197">
        <f>+CK276</f>
        <v/>
      </c>
      <c r="CL275" s="197">
        <f>+CL276</f>
        <v/>
      </c>
      <c r="CO275" s="199" t="n">
        <v>14.40627977675938</v>
      </c>
      <c r="CP275" s="199" t="n">
        <v>4.07</v>
      </c>
      <c r="CR275" s="199" t="n">
        <v>12.7</v>
      </c>
      <c r="CS275" s="970" t="n">
        <v>0.88156</v>
      </c>
    </row>
    <row r="276">
      <c r="B276" s="204">
        <f>+C276-1</f>
        <v/>
      </c>
      <c r="C276" s="204">
        <f>IF('bands_A-H_Avg'!$D$9+1&gt;MONTH(G276),YEAR(G276),YEAR(G276)+1)</f>
        <v/>
      </c>
      <c r="D276" s="204">
        <f>+C276+1</f>
        <v/>
      </c>
      <c r="E276" s="203">
        <f>IF(C276&gt;C275,1,E275+1)</f>
        <v/>
      </c>
      <c r="F276" s="203">
        <f>COUNTIF(C:C,C276)</f>
        <v/>
      </c>
      <c r="G276" s="198">
        <f>+G275+7</f>
        <v/>
      </c>
      <c r="H276" s="361">
        <f>IF(ISBLANK(CO276),CP276,SUMPRODUCT(CO$32:CP$32,CO276:CP276))</f>
        <v/>
      </c>
      <c r="I276" s="968">
        <f>H276/M276</f>
        <v/>
      </c>
      <c r="J276" s="968">
        <f>H276/N276</f>
        <v/>
      </c>
      <c r="K276" s="968">
        <f>(H276+Q276)/O276</f>
        <v/>
      </c>
      <c r="L276" s="968">
        <f>(H276+Q276)/P276</f>
        <v/>
      </c>
      <c r="M276" s="199">
        <f>HLOOKUP(C:C,$4:$10,3,FALSE)+((HLOOKUP(D:D,$4:$10,3,FALSE)-HLOOKUP(C:C,$4:$10,3,FALSE))*E276/F276)</f>
        <v/>
      </c>
      <c r="N276" s="199">
        <f>HLOOKUP(C:C,$4:$10,2,FALSE)+((HLOOKUP(D:D,$4:$10,2,FALSE)-HLOOKUP(C:C,$4:$10,2,FALSE))*E276/F276)</f>
        <v/>
      </c>
      <c r="O276" s="199">
        <f>HLOOKUP(C:C,$4:$10,5,FALSE)+((HLOOKUP(D:D,$4:$10,5,FALSE)-HLOOKUP(C:C,$4:$10,5,FALSE))*E276/F276)</f>
        <v/>
      </c>
      <c r="P276" s="199">
        <f>HLOOKUP(C:C,$4:$10,4,FALSE)+((HLOOKUP(D:D,$4:$10,4,FALSE)-HLOOKUP(C:C,$4:$10,4,FALSE))*E276/F276)</f>
        <v/>
      </c>
      <c r="Q276" s="199">
        <f>HLOOKUP(B:B,$4:$10,6,FALSE)+((HLOOKUP(C:C,$4:$10,6,FALSE)-HLOOKUP(B:B,$4:$10,6,FALSE))*E276/F276)</f>
        <v/>
      </c>
      <c r="T276" s="198">
        <f>$G276</f>
        <v/>
      </c>
      <c r="U276" s="199">
        <f>H276/(HLOOKUP(B:B,$4:$10,3,FALSE)+((HLOOKUP(C:C,$4:$10,3,FALSE)-HLOOKUP(B:B,$4:$10,3,FALSE))*E276/F276))</f>
        <v/>
      </c>
      <c r="V276" s="969">
        <f>HLOOKUP(B:B,$4:$10,7,FALSE)+((HLOOKUP(C:C,$4:$10,7,FALSE)-HLOOKUP(B:B,$4:$10,7,FALSE))*E276/F276)</f>
        <v/>
      </c>
      <c r="AB276" s="198">
        <f>$G276</f>
        <v/>
      </c>
      <c r="AC276" s="199">
        <f>$H276</f>
        <v/>
      </c>
      <c r="AD276" s="199">
        <f>$M276*AD$34</f>
        <v/>
      </c>
      <c r="AE276" s="199">
        <f>$M276*AE$34</f>
        <v/>
      </c>
      <c r="AF276" s="199">
        <f>$M276*AF$34</f>
        <v/>
      </c>
      <c r="AG276" s="199">
        <f>$M276*AG$34</f>
        <v/>
      </c>
      <c r="AH276" s="199">
        <f>$M276*AH$34</f>
        <v/>
      </c>
      <c r="AJ276" s="198">
        <f>$G276</f>
        <v/>
      </c>
      <c r="AK276" s="199">
        <f>$H276</f>
        <v/>
      </c>
      <c r="AL276" s="199">
        <f>$N276*AL$34</f>
        <v/>
      </c>
      <c r="AM276" s="199">
        <f>$N276*AM$34</f>
        <v/>
      </c>
      <c r="AN276" s="199">
        <f>$N276*AN$34</f>
        <v/>
      </c>
      <c r="AO276" s="199">
        <f>$N276*AO$34</f>
        <v/>
      </c>
      <c r="AP276" s="199">
        <f>$N276*AP$34</f>
        <v/>
      </c>
      <c r="AR276" s="198">
        <f>$G276</f>
        <v/>
      </c>
      <c r="AS276" s="199">
        <f>$H276</f>
        <v/>
      </c>
      <c r="AT276" s="199">
        <f>$O276*AT$34-$Q276</f>
        <v/>
      </c>
      <c r="AU276" s="199">
        <f>$O276*AU$34-$Q276</f>
        <v/>
      </c>
      <c r="AV276" s="199">
        <f>$O276*AV$34-$Q276</f>
        <v/>
      </c>
      <c r="AW276" s="199">
        <f>$O276*AW$34-$Q276</f>
        <v/>
      </c>
      <c r="AX276" s="199">
        <f>$O276*AX$34-$Q276</f>
        <v/>
      </c>
      <c r="AZ276" s="198">
        <f>$G276</f>
        <v/>
      </c>
      <c r="BA276" s="199">
        <f>$H276</f>
        <v/>
      </c>
      <c r="BB276" s="199">
        <f>$P276*BB$34-$Q276</f>
        <v/>
      </c>
      <c r="BC276" s="199">
        <f>$P276*BC$34-$Q276</f>
        <v/>
      </c>
      <c r="BD276" s="199">
        <f>$P276*BD$34-$Q276</f>
        <v/>
      </c>
      <c r="BE276" s="199">
        <f>$P276*BE$34-$Q276</f>
        <v/>
      </c>
      <c r="BF276" s="199">
        <f>$P276*BF$34-$Q276</f>
        <v/>
      </c>
      <c r="BH276" s="198">
        <f>$G276</f>
        <v/>
      </c>
      <c r="BI276" s="197">
        <f>$I276</f>
        <v/>
      </c>
      <c r="BJ276" s="197">
        <f>+BJ277</f>
        <v/>
      </c>
      <c r="BK276" s="197">
        <f>+BK277</f>
        <v/>
      </c>
      <c r="BL276" s="197">
        <f>+BL277</f>
        <v/>
      </c>
      <c r="BM276" s="197">
        <f>+BM277</f>
        <v/>
      </c>
      <c r="BN276" s="197">
        <f>+BN277</f>
        <v/>
      </c>
      <c r="BP276" s="198">
        <f>$G276</f>
        <v/>
      </c>
      <c r="BQ276" s="197">
        <f>$J276</f>
        <v/>
      </c>
      <c r="BR276" s="197">
        <f>+BR277</f>
        <v/>
      </c>
      <c r="BS276" s="197">
        <f>+BS277</f>
        <v/>
      </c>
      <c r="BT276" s="197">
        <f>+BT277</f>
        <v/>
      </c>
      <c r="BU276" s="197">
        <f>+BU277</f>
        <v/>
      </c>
      <c r="BV276" s="197">
        <f>+BV277</f>
        <v/>
      </c>
      <c r="BX276" s="198">
        <f>$G276</f>
        <v/>
      </c>
      <c r="BY276" s="197">
        <f>$K276</f>
        <v/>
      </c>
      <c r="BZ276" s="197">
        <f>+BZ277</f>
        <v/>
      </c>
      <c r="CA276" s="197">
        <f>+CA277</f>
        <v/>
      </c>
      <c r="CB276" s="197">
        <f>+CB277</f>
        <v/>
      </c>
      <c r="CC276" s="197">
        <f>+CC277</f>
        <v/>
      </c>
      <c r="CD276" s="197">
        <f>+CD277</f>
        <v/>
      </c>
      <c r="CF276" s="198">
        <f>$G276</f>
        <v/>
      </c>
      <c r="CG276" s="197">
        <f>$L276</f>
        <v/>
      </c>
      <c r="CH276" s="197">
        <f>+CH277</f>
        <v/>
      </c>
      <c r="CI276" s="197">
        <f>+CI277</f>
        <v/>
      </c>
      <c r="CJ276" s="197">
        <f>+CJ277</f>
        <v/>
      </c>
      <c r="CK276" s="197">
        <f>+CK277</f>
        <v/>
      </c>
      <c r="CL276" s="197">
        <f>+CL277</f>
        <v/>
      </c>
      <c r="CO276" s="199" t="n">
        <v>13.1259501281964</v>
      </c>
      <c r="CP276" s="199" t="n">
        <v>3.84</v>
      </c>
      <c r="CR276" s="199" t="n">
        <v>11.57</v>
      </c>
      <c r="CS276" s="970" t="n">
        <v>0.88146</v>
      </c>
    </row>
    <row r="277">
      <c r="B277" s="204">
        <f>+C277-1</f>
        <v/>
      </c>
      <c r="C277" s="204">
        <f>IF('bands_A-H_Avg'!$D$9+1&gt;MONTH(G277),YEAR(G277),YEAR(G277)+1)</f>
        <v/>
      </c>
      <c r="D277" s="204">
        <f>+C277+1</f>
        <v/>
      </c>
      <c r="E277" s="203">
        <f>IF(C277&gt;C276,1,E276+1)</f>
        <v/>
      </c>
      <c r="F277" s="203">
        <f>COUNTIF(C:C,C277)</f>
        <v/>
      </c>
      <c r="G277" s="198">
        <f>+G276+7</f>
        <v/>
      </c>
      <c r="H277" s="361">
        <f>IF(ISBLANK(CO277),CP277,SUMPRODUCT(CO$32:CP$32,CO277:CP277))</f>
        <v/>
      </c>
      <c r="I277" s="968">
        <f>H277/M277</f>
        <v/>
      </c>
      <c r="J277" s="968">
        <f>H277/N277</f>
        <v/>
      </c>
      <c r="K277" s="968">
        <f>(H277+Q277)/O277</f>
        <v/>
      </c>
      <c r="L277" s="968">
        <f>(H277+Q277)/P277</f>
        <v/>
      </c>
      <c r="M277" s="199">
        <f>HLOOKUP(C:C,$4:$10,3,FALSE)+((HLOOKUP(D:D,$4:$10,3,FALSE)-HLOOKUP(C:C,$4:$10,3,FALSE))*E277/F277)</f>
        <v/>
      </c>
      <c r="N277" s="199">
        <f>HLOOKUP(C:C,$4:$10,2,FALSE)+((HLOOKUP(D:D,$4:$10,2,FALSE)-HLOOKUP(C:C,$4:$10,2,FALSE))*E277/F277)</f>
        <v/>
      </c>
      <c r="O277" s="199">
        <f>HLOOKUP(C:C,$4:$10,5,FALSE)+((HLOOKUP(D:D,$4:$10,5,FALSE)-HLOOKUP(C:C,$4:$10,5,FALSE))*E277/F277)</f>
        <v/>
      </c>
      <c r="P277" s="199">
        <f>HLOOKUP(C:C,$4:$10,4,FALSE)+((HLOOKUP(D:D,$4:$10,4,FALSE)-HLOOKUP(C:C,$4:$10,4,FALSE))*E277/F277)</f>
        <v/>
      </c>
      <c r="Q277" s="199">
        <f>HLOOKUP(B:B,$4:$10,6,FALSE)+((HLOOKUP(C:C,$4:$10,6,FALSE)-HLOOKUP(B:B,$4:$10,6,FALSE))*E277/F277)</f>
        <v/>
      </c>
      <c r="T277" s="198">
        <f>$G277</f>
        <v/>
      </c>
      <c r="U277" s="199">
        <f>H277/(HLOOKUP(B:B,$4:$10,3,FALSE)+((HLOOKUP(C:C,$4:$10,3,FALSE)-HLOOKUP(B:B,$4:$10,3,FALSE))*E277/F277))</f>
        <v/>
      </c>
      <c r="V277" s="969">
        <f>HLOOKUP(B:B,$4:$10,7,FALSE)+((HLOOKUP(C:C,$4:$10,7,FALSE)-HLOOKUP(B:B,$4:$10,7,FALSE))*E277/F277)</f>
        <v/>
      </c>
      <c r="AB277" s="198">
        <f>$G277</f>
        <v/>
      </c>
      <c r="AC277" s="199">
        <f>$H277</f>
        <v/>
      </c>
      <c r="AD277" s="199">
        <f>$M277*AD$34</f>
        <v/>
      </c>
      <c r="AE277" s="199">
        <f>$M277*AE$34</f>
        <v/>
      </c>
      <c r="AF277" s="199">
        <f>$M277*AF$34</f>
        <v/>
      </c>
      <c r="AG277" s="199">
        <f>$M277*AG$34</f>
        <v/>
      </c>
      <c r="AH277" s="199">
        <f>$M277*AH$34</f>
        <v/>
      </c>
      <c r="AJ277" s="198">
        <f>$G277</f>
        <v/>
      </c>
      <c r="AK277" s="199">
        <f>$H277</f>
        <v/>
      </c>
      <c r="AL277" s="199">
        <f>$N277*AL$34</f>
        <v/>
      </c>
      <c r="AM277" s="199">
        <f>$N277*AM$34</f>
        <v/>
      </c>
      <c r="AN277" s="199">
        <f>$N277*AN$34</f>
        <v/>
      </c>
      <c r="AO277" s="199">
        <f>$N277*AO$34</f>
        <v/>
      </c>
      <c r="AP277" s="199">
        <f>$N277*AP$34</f>
        <v/>
      </c>
      <c r="AR277" s="198">
        <f>$G277</f>
        <v/>
      </c>
      <c r="AS277" s="199">
        <f>$H277</f>
        <v/>
      </c>
      <c r="AT277" s="199">
        <f>$O277*AT$34-$Q277</f>
        <v/>
      </c>
      <c r="AU277" s="199">
        <f>$O277*AU$34-$Q277</f>
        <v/>
      </c>
      <c r="AV277" s="199">
        <f>$O277*AV$34-$Q277</f>
        <v/>
      </c>
      <c r="AW277" s="199">
        <f>$O277*AW$34-$Q277</f>
        <v/>
      </c>
      <c r="AX277" s="199">
        <f>$O277*AX$34-$Q277</f>
        <v/>
      </c>
      <c r="AZ277" s="198">
        <f>$G277</f>
        <v/>
      </c>
      <c r="BA277" s="199">
        <f>$H277</f>
        <v/>
      </c>
      <c r="BB277" s="199">
        <f>$P277*BB$34-$Q277</f>
        <v/>
      </c>
      <c r="BC277" s="199">
        <f>$P277*BC$34-$Q277</f>
        <v/>
      </c>
      <c r="BD277" s="199">
        <f>$P277*BD$34-$Q277</f>
        <v/>
      </c>
      <c r="BE277" s="199">
        <f>$P277*BE$34-$Q277</f>
        <v/>
      </c>
      <c r="BF277" s="199">
        <f>$P277*BF$34-$Q277</f>
        <v/>
      </c>
      <c r="BH277" s="198">
        <f>$G277</f>
        <v/>
      </c>
      <c r="BI277" s="197">
        <f>$I277</f>
        <v/>
      </c>
      <c r="BJ277" s="197">
        <f>+BJ278</f>
        <v/>
      </c>
      <c r="BK277" s="197">
        <f>+BK278</f>
        <v/>
      </c>
      <c r="BL277" s="197">
        <f>+BL278</f>
        <v/>
      </c>
      <c r="BM277" s="197">
        <f>+BM278</f>
        <v/>
      </c>
      <c r="BN277" s="197">
        <f>+BN278</f>
        <v/>
      </c>
      <c r="BP277" s="198">
        <f>$G277</f>
        <v/>
      </c>
      <c r="BQ277" s="197">
        <f>$J277</f>
        <v/>
      </c>
      <c r="BR277" s="197">
        <f>+BR278</f>
        <v/>
      </c>
      <c r="BS277" s="197">
        <f>+BS278</f>
        <v/>
      </c>
      <c r="BT277" s="197">
        <f>+BT278</f>
        <v/>
      </c>
      <c r="BU277" s="197">
        <f>+BU278</f>
        <v/>
      </c>
      <c r="BV277" s="197">
        <f>+BV278</f>
        <v/>
      </c>
      <c r="BX277" s="198">
        <f>$G277</f>
        <v/>
      </c>
      <c r="BY277" s="197">
        <f>$K277</f>
        <v/>
      </c>
      <c r="BZ277" s="197">
        <f>+BZ278</f>
        <v/>
      </c>
      <c r="CA277" s="197">
        <f>+CA278</f>
        <v/>
      </c>
      <c r="CB277" s="197">
        <f>+CB278</f>
        <v/>
      </c>
      <c r="CC277" s="197">
        <f>+CC278</f>
        <v/>
      </c>
      <c r="CD277" s="197">
        <f>+CD278</f>
        <v/>
      </c>
      <c r="CF277" s="198">
        <f>$G277</f>
        <v/>
      </c>
      <c r="CG277" s="197">
        <f>$L277</f>
        <v/>
      </c>
      <c r="CH277" s="197">
        <f>+CH278</f>
        <v/>
      </c>
      <c r="CI277" s="197">
        <f>+CI278</f>
        <v/>
      </c>
      <c r="CJ277" s="197">
        <f>+CJ278</f>
        <v/>
      </c>
      <c r="CK277" s="197">
        <f>+CK278</f>
        <v/>
      </c>
      <c r="CL277" s="197">
        <f>+CL278</f>
        <v/>
      </c>
      <c r="CO277" s="199" t="n">
        <v>11.43142280387398</v>
      </c>
      <c r="CP277" s="199" t="n">
        <v>3.73</v>
      </c>
      <c r="CR277" s="199" t="n">
        <v>10.08</v>
      </c>
      <c r="CS277" s="970" t="n">
        <v>0.88178</v>
      </c>
    </row>
    <row r="278">
      <c r="B278" s="204">
        <f>+C278-1</f>
        <v/>
      </c>
      <c r="C278" s="204">
        <f>IF('bands_A-H_Avg'!$D$9+1&gt;MONTH(G278),YEAR(G278),YEAR(G278)+1)</f>
        <v/>
      </c>
      <c r="D278" s="204">
        <f>+C278+1</f>
        <v/>
      </c>
      <c r="E278" s="203">
        <f>IF(C278&gt;C277,1,E277+1)</f>
        <v/>
      </c>
      <c r="F278" s="203">
        <f>COUNTIF(C:C,C278)</f>
        <v/>
      </c>
      <c r="G278" s="198">
        <f>+G277+7</f>
        <v/>
      </c>
      <c r="H278" s="361">
        <f>IF(ISBLANK(CO278),CP278,SUMPRODUCT(CO$32:CP$32,CO278:CP278))</f>
        <v/>
      </c>
      <c r="I278" s="968">
        <f>H278/M278</f>
        <v/>
      </c>
      <c r="J278" s="968">
        <f>H278/N278</f>
        <v/>
      </c>
      <c r="K278" s="968">
        <f>(H278+Q278)/O278</f>
        <v/>
      </c>
      <c r="L278" s="968">
        <f>(H278+Q278)/P278</f>
        <v/>
      </c>
      <c r="M278" s="199">
        <f>HLOOKUP(C:C,$4:$10,3,FALSE)+((HLOOKUP(D:D,$4:$10,3,FALSE)-HLOOKUP(C:C,$4:$10,3,FALSE))*E278/F278)</f>
        <v/>
      </c>
      <c r="N278" s="199">
        <f>HLOOKUP(C:C,$4:$10,2,FALSE)+((HLOOKUP(D:D,$4:$10,2,FALSE)-HLOOKUP(C:C,$4:$10,2,FALSE))*E278/F278)</f>
        <v/>
      </c>
      <c r="O278" s="199">
        <f>HLOOKUP(C:C,$4:$10,5,FALSE)+((HLOOKUP(D:D,$4:$10,5,FALSE)-HLOOKUP(C:C,$4:$10,5,FALSE))*E278/F278)</f>
        <v/>
      </c>
      <c r="P278" s="199">
        <f>HLOOKUP(C:C,$4:$10,4,FALSE)+((HLOOKUP(D:D,$4:$10,4,FALSE)-HLOOKUP(C:C,$4:$10,4,FALSE))*E278/F278)</f>
        <v/>
      </c>
      <c r="Q278" s="199">
        <f>HLOOKUP(B:B,$4:$10,6,FALSE)+((HLOOKUP(C:C,$4:$10,6,FALSE)-HLOOKUP(B:B,$4:$10,6,FALSE))*E278/F278)</f>
        <v/>
      </c>
      <c r="T278" s="198">
        <f>$G278</f>
        <v/>
      </c>
      <c r="U278" s="199">
        <f>H278/(HLOOKUP(B:B,$4:$10,3,FALSE)+((HLOOKUP(C:C,$4:$10,3,FALSE)-HLOOKUP(B:B,$4:$10,3,FALSE))*E278/F278))</f>
        <v/>
      </c>
      <c r="V278" s="969">
        <f>HLOOKUP(B:B,$4:$10,7,FALSE)+((HLOOKUP(C:C,$4:$10,7,FALSE)-HLOOKUP(B:B,$4:$10,7,FALSE))*E278/F278)</f>
        <v/>
      </c>
      <c r="AB278" s="198">
        <f>$G278</f>
        <v/>
      </c>
      <c r="AC278" s="199">
        <f>$H278</f>
        <v/>
      </c>
      <c r="AD278" s="199">
        <f>$M278*AD$34</f>
        <v/>
      </c>
      <c r="AE278" s="199">
        <f>$M278*AE$34</f>
        <v/>
      </c>
      <c r="AF278" s="199">
        <f>$M278*AF$34</f>
        <v/>
      </c>
      <c r="AG278" s="199">
        <f>$M278*AG$34</f>
        <v/>
      </c>
      <c r="AH278" s="199">
        <f>$M278*AH$34</f>
        <v/>
      </c>
      <c r="AJ278" s="198">
        <f>$G278</f>
        <v/>
      </c>
      <c r="AK278" s="199">
        <f>$H278</f>
        <v/>
      </c>
      <c r="AL278" s="199">
        <f>$N278*AL$34</f>
        <v/>
      </c>
      <c r="AM278" s="199">
        <f>$N278*AM$34</f>
        <v/>
      </c>
      <c r="AN278" s="199">
        <f>$N278*AN$34</f>
        <v/>
      </c>
      <c r="AO278" s="199">
        <f>$N278*AO$34</f>
        <v/>
      </c>
      <c r="AP278" s="199">
        <f>$N278*AP$34</f>
        <v/>
      </c>
      <c r="AR278" s="198">
        <f>$G278</f>
        <v/>
      </c>
      <c r="AS278" s="199">
        <f>$H278</f>
        <v/>
      </c>
      <c r="AT278" s="199">
        <f>$O278*AT$34-$Q278</f>
        <v/>
      </c>
      <c r="AU278" s="199">
        <f>$O278*AU$34-$Q278</f>
        <v/>
      </c>
      <c r="AV278" s="199">
        <f>$O278*AV$34-$Q278</f>
        <v/>
      </c>
      <c r="AW278" s="199">
        <f>$O278*AW$34-$Q278</f>
        <v/>
      </c>
      <c r="AX278" s="199">
        <f>$O278*AX$34-$Q278</f>
        <v/>
      </c>
      <c r="AZ278" s="198">
        <f>$G278</f>
        <v/>
      </c>
      <c r="BA278" s="199">
        <f>$H278</f>
        <v/>
      </c>
      <c r="BB278" s="199">
        <f>$P278*BB$34-$Q278</f>
        <v/>
      </c>
      <c r="BC278" s="199">
        <f>$P278*BC$34-$Q278</f>
        <v/>
      </c>
      <c r="BD278" s="199">
        <f>$P278*BD$34-$Q278</f>
        <v/>
      </c>
      <c r="BE278" s="199">
        <f>$P278*BE$34-$Q278</f>
        <v/>
      </c>
      <c r="BF278" s="199">
        <f>$P278*BF$34-$Q278</f>
        <v/>
      </c>
      <c r="BH278" s="198">
        <f>$G278</f>
        <v/>
      </c>
      <c r="BI278" s="197">
        <f>$I278</f>
        <v/>
      </c>
      <c r="BJ278" s="197">
        <f>+BJ279</f>
        <v/>
      </c>
      <c r="BK278" s="197">
        <f>+BK279</f>
        <v/>
      </c>
      <c r="BL278" s="197">
        <f>+BL279</f>
        <v/>
      </c>
      <c r="BM278" s="197">
        <f>+BM279</f>
        <v/>
      </c>
      <c r="BN278" s="197">
        <f>+BN279</f>
        <v/>
      </c>
      <c r="BP278" s="198">
        <f>$G278</f>
        <v/>
      </c>
      <c r="BQ278" s="197">
        <f>$J278</f>
        <v/>
      </c>
      <c r="BR278" s="197">
        <f>+BR279</f>
        <v/>
      </c>
      <c r="BS278" s="197">
        <f>+BS279</f>
        <v/>
      </c>
      <c r="BT278" s="197">
        <f>+BT279</f>
        <v/>
      </c>
      <c r="BU278" s="197">
        <f>+BU279</f>
        <v/>
      </c>
      <c r="BV278" s="197">
        <f>+BV279</f>
        <v/>
      </c>
      <c r="BX278" s="198">
        <f>$G278</f>
        <v/>
      </c>
      <c r="BY278" s="197">
        <f>$K278</f>
        <v/>
      </c>
      <c r="BZ278" s="197">
        <f>+BZ279</f>
        <v/>
      </c>
      <c r="CA278" s="197">
        <f>+CA279</f>
        <v/>
      </c>
      <c r="CB278" s="197">
        <f>+CB279</f>
        <v/>
      </c>
      <c r="CC278" s="197">
        <f>+CC279</f>
        <v/>
      </c>
      <c r="CD278" s="197">
        <f>+CD279</f>
        <v/>
      </c>
      <c r="CF278" s="198">
        <f>$G278</f>
        <v/>
      </c>
      <c r="CG278" s="197">
        <f>$L278</f>
        <v/>
      </c>
      <c r="CH278" s="197">
        <f>+CH279</f>
        <v/>
      </c>
      <c r="CI278" s="197">
        <f>+CI279</f>
        <v/>
      </c>
      <c r="CJ278" s="197">
        <f>+CJ279</f>
        <v/>
      </c>
      <c r="CK278" s="197">
        <f>+CK279</f>
        <v/>
      </c>
      <c r="CL278" s="197">
        <f>+CL279</f>
        <v/>
      </c>
      <c r="CO278" s="199" t="n">
        <v>11.01718953877574</v>
      </c>
      <c r="CP278" s="199" t="n">
        <v>3.59</v>
      </c>
      <c r="CR278" s="199" t="n">
        <v>9.710000000000001</v>
      </c>
      <c r="CS278" s="970" t="n">
        <v>0.88135</v>
      </c>
    </row>
    <row r="279">
      <c r="B279" s="204">
        <f>+C279-1</f>
        <v/>
      </c>
      <c r="C279" s="204">
        <f>IF('bands_A-H_Avg'!$D$9+1&gt;MONTH(G279),YEAR(G279),YEAR(G279)+1)</f>
        <v/>
      </c>
      <c r="D279" s="204">
        <f>+C279+1</f>
        <v/>
      </c>
      <c r="E279" s="203">
        <f>IF(C279&gt;C278,1,E278+1)</f>
        <v/>
      </c>
      <c r="F279" s="203">
        <f>COUNTIF(C:C,C279)</f>
        <v/>
      </c>
      <c r="G279" s="198">
        <f>+G278+7</f>
        <v/>
      </c>
      <c r="H279" s="361">
        <f>IF(ISBLANK(CO279),CP279,SUMPRODUCT(CO$32:CP$32,CO279:CP279))</f>
        <v/>
      </c>
      <c r="I279" s="968">
        <f>H279/M279</f>
        <v/>
      </c>
      <c r="J279" s="968">
        <f>H279/N279</f>
        <v/>
      </c>
      <c r="K279" s="968">
        <f>(H279+Q279)/O279</f>
        <v/>
      </c>
      <c r="L279" s="968">
        <f>(H279+Q279)/P279</f>
        <v/>
      </c>
      <c r="M279" s="199">
        <f>HLOOKUP(C:C,$4:$10,3,FALSE)+((HLOOKUP(D:D,$4:$10,3,FALSE)-HLOOKUP(C:C,$4:$10,3,FALSE))*E279/F279)</f>
        <v/>
      </c>
      <c r="N279" s="199">
        <f>HLOOKUP(C:C,$4:$10,2,FALSE)+((HLOOKUP(D:D,$4:$10,2,FALSE)-HLOOKUP(C:C,$4:$10,2,FALSE))*E279/F279)</f>
        <v/>
      </c>
      <c r="O279" s="199">
        <f>HLOOKUP(C:C,$4:$10,5,FALSE)+((HLOOKUP(D:D,$4:$10,5,FALSE)-HLOOKUP(C:C,$4:$10,5,FALSE))*E279/F279)</f>
        <v/>
      </c>
      <c r="P279" s="199">
        <f>HLOOKUP(C:C,$4:$10,4,FALSE)+((HLOOKUP(D:D,$4:$10,4,FALSE)-HLOOKUP(C:C,$4:$10,4,FALSE))*E279/F279)</f>
        <v/>
      </c>
      <c r="Q279" s="199">
        <f>HLOOKUP(B:B,$4:$10,6,FALSE)+((HLOOKUP(C:C,$4:$10,6,FALSE)-HLOOKUP(B:B,$4:$10,6,FALSE))*E279/F279)</f>
        <v/>
      </c>
      <c r="T279" s="198">
        <f>$G279</f>
        <v/>
      </c>
      <c r="U279" s="199">
        <f>H279/(HLOOKUP(B:B,$4:$10,3,FALSE)+((HLOOKUP(C:C,$4:$10,3,FALSE)-HLOOKUP(B:B,$4:$10,3,FALSE))*E279/F279))</f>
        <v/>
      </c>
      <c r="V279" s="969">
        <f>HLOOKUP(B:B,$4:$10,7,FALSE)+((HLOOKUP(C:C,$4:$10,7,FALSE)-HLOOKUP(B:B,$4:$10,7,FALSE))*E279/F279)</f>
        <v/>
      </c>
      <c r="AB279" s="198">
        <f>$G279</f>
        <v/>
      </c>
      <c r="AC279" s="199">
        <f>$H279</f>
        <v/>
      </c>
      <c r="AD279" s="199">
        <f>$M279*AD$34</f>
        <v/>
      </c>
      <c r="AE279" s="199">
        <f>$M279*AE$34</f>
        <v/>
      </c>
      <c r="AF279" s="199">
        <f>$M279*AF$34</f>
        <v/>
      </c>
      <c r="AG279" s="199">
        <f>$M279*AG$34</f>
        <v/>
      </c>
      <c r="AH279" s="199">
        <f>$M279*AH$34</f>
        <v/>
      </c>
      <c r="AJ279" s="198">
        <f>$G279</f>
        <v/>
      </c>
      <c r="AK279" s="199">
        <f>$H279</f>
        <v/>
      </c>
      <c r="AL279" s="199">
        <f>$N279*AL$34</f>
        <v/>
      </c>
      <c r="AM279" s="199">
        <f>$N279*AM$34</f>
        <v/>
      </c>
      <c r="AN279" s="199">
        <f>$N279*AN$34</f>
        <v/>
      </c>
      <c r="AO279" s="199">
        <f>$N279*AO$34</f>
        <v/>
      </c>
      <c r="AP279" s="199">
        <f>$N279*AP$34</f>
        <v/>
      </c>
      <c r="AR279" s="198">
        <f>$G279</f>
        <v/>
      </c>
      <c r="AS279" s="199">
        <f>$H279</f>
        <v/>
      </c>
      <c r="AT279" s="199">
        <f>$O279*AT$34-$Q279</f>
        <v/>
      </c>
      <c r="AU279" s="199">
        <f>$O279*AU$34-$Q279</f>
        <v/>
      </c>
      <c r="AV279" s="199">
        <f>$O279*AV$34-$Q279</f>
        <v/>
      </c>
      <c r="AW279" s="199">
        <f>$O279*AW$34-$Q279</f>
        <v/>
      </c>
      <c r="AX279" s="199">
        <f>$O279*AX$34-$Q279</f>
        <v/>
      </c>
      <c r="AZ279" s="198">
        <f>$G279</f>
        <v/>
      </c>
      <c r="BA279" s="199">
        <f>$H279</f>
        <v/>
      </c>
      <c r="BB279" s="199">
        <f>$P279*BB$34-$Q279</f>
        <v/>
      </c>
      <c r="BC279" s="199">
        <f>$P279*BC$34-$Q279</f>
        <v/>
      </c>
      <c r="BD279" s="199">
        <f>$P279*BD$34-$Q279</f>
        <v/>
      </c>
      <c r="BE279" s="199">
        <f>$P279*BE$34-$Q279</f>
        <v/>
      </c>
      <c r="BF279" s="199">
        <f>$P279*BF$34-$Q279</f>
        <v/>
      </c>
      <c r="BH279" s="198">
        <f>$G279</f>
        <v/>
      </c>
      <c r="BI279" s="197">
        <f>$I279</f>
        <v/>
      </c>
      <c r="BJ279" s="197">
        <f>+BJ280</f>
        <v/>
      </c>
      <c r="BK279" s="197">
        <f>+BK280</f>
        <v/>
      </c>
      <c r="BL279" s="197">
        <f>+BL280</f>
        <v/>
      </c>
      <c r="BM279" s="197">
        <f>+BM280</f>
        <v/>
      </c>
      <c r="BN279" s="197">
        <f>+BN280</f>
        <v/>
      </c>
      <c r="BP279" s="198">
        <f>$G279</f>
        <v/>
      </c>
      <c r="BQ279" s="197">
        <f>$J279</f>
        <v/>
      </c>
      <c r="BR279" s="197">
        <f>+BR280</f>
        <v/>
      </c>
      <c r="BS279" s="197">
        <f>+BS280</f>
        <v/>
      </c>
      <c r="BT279" s="197">
        <f>+BT280</f>
        <v/>
      </c>
      <c r="BU279" s="197">
        <f>+BU280</f>
        <v/>
      </c>
      <c r="BV279" s="197">
        <f>+BV280</f>
        <v/>
      </c>
      <c r="BX279" s="198">
        <f>$G279</f>
        <v/>
      </c>
      <c r="BY279" s="197">
        <f>$K279</f>
        <v/>
      </c>
      <c r="BZ279" s="197">
        <f>+BZ280</f>
        <v/>
      </c>
      <c r="CA279" s="197">
        <f>+CA280</f>
        <v/>
      </c>
      <c r="CB279" s="197">
        <f>+CB280</f>
        <v/>
      </c>
      <c r="CC279" s="197">
        <f>+CC280</f>
        <v/>
      </c>
      <c r="CD279" s="197">
        <f>+CD280</f>
        <v/>
      </c>
      <c r="CF279" s="198">
        <f>$G279</f>
        <v/>
      </c>
      <c r="CG279" s="197">
        <f>$L279</f>
        <v/>
      </c>
      <c r="CH279" s="197">
        <f>+CH280</f>
        <v/>
      </c>
      <c r="CI279" s="197">
        <f>+CI280</f>
        <v/>
      </c>
      <c r="CJ279" s="197">
        <f>+CJ280</f>
        <v/>
      </c>
      <c r="CK279" s="197">
        <f>+CK280</f>
        <v/>
      </c>
      <c r="CL279" s="197">
        <f>+CL280</f>
        <v/>
      </c>
      <c r="CO279" s="199" t="n">
        <v>10.54268140448035</v>
      </c>
      <c r="CP279" s="199" t="n">
        <v>3.68</v>
      </c>
      <c r="CR279" s="199" t="n">
        <v>9.289999999999999</v>
      </c>
      <c r="CS279" s="970" t="n">
        <v>0.88118</v>
      </c>
    </row>
    <row r="280">
      <c r="B280" s="204">
        <f>+C280-1</f>
        <v/>
      </c>
      <c r="C280" s="204">
        <f>IF('bands_A-H_Avg'!$D$9+1&gt;MONTH(G280),YEAR(G280),YEAR(G280)+1)</f>
        <v/>
      </c>
      <c r="D280" s="204">
        <f>+C280+1</f>
        <v/>
      </c>
      <c r="E280" s="203">
        <f>IF(C280&gt;C279,1,E279+1)</f>
        <v/>
      </c>
      <c r="F280" s="203">
        <f>COUNTIF(C:C,C280)</f>
        <v/>
      </c>
      <c r="G280" s="198">
        <f>+G279+7</f>
        <v/>
      </c>
      <c r="H280" s="361">
        <f>IF(ISBLANK(CO280),CP280,SUMPRODUCT(CO$32:CP$32,CO280:CP280))</f>
        <v/>
      </c>
      <c r="I280" s="968">
        <f>H280/M280</f>
        <v/>
      </c>
      <c r="J280" s="968">
        <f>H280/N280</f>
        <v/>
      </c>
      <c r="K280" s="968">
        <f>(H280+Q280)/O280</f>
        <v/>
      </c>
      <c r="L280" s="968">
        <f>(H280+Q280)/P280</f>
        <v/>
      </c>
      <c r="M280" s="199">
        <f>HLOOKUP(C:C,$4:$10,3,FALSE)+((HLOOKUP(D:D,$4:$10,3,FALSE)-HLOOKUP(C:C,$4:$10,3,FALSE))*E280/F280)</f>
        <v/>
      </c>
      <c r="N280" s="199">
        <f>HLOOKUP(C:C,$4:$10,2,FALSE)+((HLOOKUP(D:D,$4:$10,2,FALSE)-HLOOKUP(C:C,$4:$10,2,FALSE))*E280/F280)</f>
        <v/>
      </c>
      <c r="O280" s="199">
        <f>HLOOKUP(C:C,$4:$10,5,FALSE)+((HLOOKUP(D:D,$4:$10,5,FALSE)-HLOOKUP(C:C,$4:$10,5,FALSE))*E280/F280)</f>
        <v/>
      </c>
      <c r="P280" s="199">
        <f>HLOOKUP(C:C,$4:$10,4,FALSE)+((HLOOKUP(D:D,$4:$10,4,FALSE)-HLOOKUP(C:C,$4:$10,4,FALSE))*E280/F280)</f>
        <v/>
      </c>
      <c r="Q280" s="199">
        <f>HLOOKUP(B:B,$4:$10,6,FALSE)+((HLOOKUP(C:C,$4:$10,6,FALSE)-HLOOKUP(B:B,$4:$10,6,FALSE))*E280/F280)</f>
        <v/>
      </c>
      <c r="T280" s="198">
        <f>$G280</f>
        <v/>
      </c>
      <c r="U280" s="199">
        <f>H280/(HLOOKUP(B:B,$4:$10,3,FALSE)+((HLOOKUP(C:C,$4:$10,3,FALSE)-HLOOKUP(B:B,$4:$10,3,FALSE))*E280/F280))</f>
        <v/>
      </c>
      <c r="V280" s="969">
        <f>HLOOKUP(B:B,$4:$10,7,FALSE)+((HLOOKUP(C:C,$4:$10,7,FALSE)-HLOOKUP(B:B,$4:$10,7,FALSE))*E280/F280)</f>
        <v/>
      </c>
      <c r="AB280" s="198">
        <f>$G280</f>
        <v/>
      </c>
      <c r="AC280" s="199">
        <f>$H280</f>
        <v/>
      </c>
      <c r="AD280" s="199">
        <f>$M280*AD$34</f>
        <v/>
      </c>
      <c r="AE280" s="199">
        <f>$M280*AE$34</f>
        <v/>
      </c>
      <c r="AF280" s="199">
        <f>$M280*AF$34</f>
        <v/>
      </c>
      <c r="AG280" s="199">
        <f>$M280*AG$34</f>
        <v/>
      </c>
      <c r="AH280" s="199">
        <f>$M280*AH$34</f>
        <v/>
      </c>
      <c r="AJ280" s="198">
        <f>$G280</f>
        <v/>
      </c>
      <c r="AK280" s="199">
        <f>$H280</f>
        <v/>
      </c>
      <c r="AL280" s="199">
        <f>$N280*AL$34</f>
        <v/>
      </c>
      <c r="AM280" s="199">
        <f>$N280*AM$34</f>
        <v/>
      </c>
      <c r="AN280" s="199">
        <f>$N280*AN$34</f>
        <v/>
      </c>
      <c r="AO280" s="199">
        <f>$N280*AO$34</f>
        <v/>
      </c>
      <c r="AP280" s="199">
        <f>$N280*AP$34</f>
        <v/>
      </c>
      <c r="AR280" s="198">
        <f>$G280</f>
        <v/>
      </c>
      <c r="AS280" s="199">
        <f>$H280</f>
        <v/>
      </c>
      <c r="AT280" s="199">
        <f>$O280*AT$34-$Q280</f>
        <v/>
      </c>
      <c r="AU280" s="199">
        <f>$O280*AU$34-$Q280</f>
        <v/>
      </c>
      <c r="AV280" s="199">
        <f>$O280*AV$34-$Q280</f>
        <v/>
      </c>
      <c r="AW280" s="199">
        <f>$O280*AW$34-$Q280</f>
        <v/>
      </c>
      <c r="AX280" s="199">
        <f>$O280*AX$34-$Q280</f>
        <v/>
      </c>
      <c r="AZ280" s="198">
        <f>$G280</f>
        <v/>
      </c>
      <c r="BA280" s="199">
        <f>$H280</f>
        <v/>
      </c>
      <c r="BB280" s="199">
        <f>$P280*BB$34-$Q280</f>
        <v/>
      </c>
      <c r="BC280" s="199">
        <f>$P280*BC$34-$Q280</f>
        <v/>
      </c>
      <c r="BD280" s="199">
        <f>$P280*BD$34-$Q280</f>
        <v/>
      </c>
      <c r="BE280" s="199">
        <f>$P280*BE$34-$Q280</f>
        <v/>
      </c>
      <c r="BF280" s="199">
        <f>$P280*BF$34-$Q280</f>
        <v/>
      </c>
      <c r="BH280" s="198">
        <f>$G280</f>
        <v/>
      </c>
      <c r="BI280" s="197">
        <f>$I280</f>
        <v/>
      </c>
      <c r="BJ280" s="197">
        <f>+BJ281</f>
        <v/>
      </c>
      <c r="BK280" s="197">
        <f>+BK281</f>
        <v/>
      </c>
      <c r="BL280" s="197">
        <f>+BL281</f>
        <v/>
      </c>
      <c r="BM280" s="197">
        <f>+BM281</f>
        <v/>
      </c>
      <c r="BN280" s="197">
        <f>+BN281</f>
        <v/>
      </c>
      <c r="BP280" s="198">
        <f>$G280</f>
        <v/>
      </c>
      <c r="BQ280" s="197">
        <f>$J280</f>
        <v/>
      </c>
      <c r="BR280" s="197">
        <f>+BR281</f>
        <v/>
      </c>
      <c r="BS280" s="197">
        <f>+BS281</f>
        <v/>
      </c>
      <c r="BT280" s="197">
        <f>+BT281</f>
        <v/>
      </c>
      <c r="BU280" s="197">
        <f>+BU281</f>
        <v/>
      </c>
      <c r="BV280" s="197">
        <f>+BV281</f>
        <v/>
      </c>
      <c r="BX280" s="198">
        <f>$G280</f>
        <v/>
      </c>
      <c r="BY280" s="197">
        <f>$K280</f>
        <v/>
      </c>
      <c r="BZ280" s="197">
        <f>+BZ281</f>
        <v/>
      </c>
      <c r="CA280" s="197">
        <f>+CA281</f>
        <v/>
      </c>
      <c r="CB280" s="197">
        <f>+CB281</f>
        <v/>
      </c>
      <c r="CC280" s="197">
        <f>+CC281</f>
        <v/>
      </c>
      <c r="CD280" s="197">
        <f>+CD281</f>
        <v/>
      </c>
      <c r="CF280" s="198">
        <f>$G280</f>
        <v/>
      </c>
      <c r="CG280" s="197">
        <f>$L280</f>
        <v/>
      </c>
      <c r="CH280" s="197">
        <f>+CH281</f>
        <v/>
      </c>
      <c r="CI280" s="197">
        <f>+CI281</f>
        <v/>
      </c>
      <c r="CJ280" s="197">
        <f>+CJ281</f>
        <v/>
      </c>
      <c r="CK280" s="197">
        <f>+CK281</f>
        <v/>
      </c>
      <c r="CL280" s="197">
        <f>+CL281</f>
        <v/>
      </c>
      <c r="CO280" s="199" t="n">
        <v>10.42872381471142</v>
      </c>
      <c r="CP280" s="199" t="n">
        <v>3.72</v>
      </c>
      <c r="CR280" s="199" t="n">
        <v>9.19</v>
      </c>
      <c r="CS280" s="970" t="n">
        <v>0.88122</v>
      </c>
    </row>
    <row r="281">
      <c r="B281" s="204">
        <f>+C281-1</f>
        <v/>
      </c>
      <c r="C281" s="204">
        <f>IF('bands_A-H_Avg'!$D$9+1&gt;MONTH(G281),YEAR(G281),YEAR(G281)+1)</f>
        <v/>
      </c>
      <c r="D281" s="204">
        <f>+C281+1</f>
        <v/>
      </c>
      <c r="E281" s="203">
        <f>IF(C281&gt;C280,1,E280+1)</f>
        <v/>
      </c>
      <c r="F281" s="203">
        <f>COUNTIF(C:C,C281)</f>
        <v/>
      </c>
      <c r="G281" s="198">
        <f>+G280+7</f>
        <v/>
      </c>
      <c r="H281" s="361">
        <f>IF(ISBLANK(CO281),CP281,SUMPRODUCT(CO$32:CP$32,CO281:CP281))</f>
        <v/>
      </c>
      <c r="I281" s="968">
        <f>H281/M281</f>
        <v/>
      </c>
      <c r="J281" s="968">
        <f>H281/N281</f>
        <v/>
      </c>
      <c r="K281" s="968">
        <f>(H281+Q281)/O281</f>
        <v/>
      </c>
      <c r="L281" s="968">
        <f>(H281+Q281)/P281</f>
        <v/>
      </c>
      <c r="M281" s="199">
        <f>HLOOKUP(C:C,$4:$10,3,FALSE)+((HLOOKUP(D:D,$4:$10,3,FALSE)-HLOOKUP(C:C,$4:$10,3,FALSE))*E281/F281)</f>
        <v/>
      </c>
      <c r="N281" s="199">
        <f>HLOOKUP(C:C,$4:$10,2,FALSE)+((HLOOKUP(D:D,$4:$10,2,FALSE)-HLOOKUP(C:C,$4:$10,2,FALSE))*E281/F281)</f>
        <v/>
      </c>
      <c r="O281" s="199">
        <f>HLOOKUP(C:C,$4:$10,5,FALSE)+((HLOOKUP(D:D,$4:$10,5,FALSE)-HLOOKUP(C:C,$4:$10,5,FALSE))*E281/F281)</f>
        <v/>
      </c>
      <c r="P281" s="199">
        <f>HLOOKUP(C:C,$4:$10,4,FALSE)+((HLOOKUP(D:D,$4:$10,4,FALSE)-HLOOKUP(C:C,$4:$10,4,FALSE))*E281/F281)</f>
        <v/>
      </c>
      <c r="Q281" s="199">
        <f>HLOOKUP(B:B,$4:$10,6,FALSE)+((HLOOKUP(C:C,$4:$10,6,FALSE)-HLOOKUP(B:B,$4:$10,6,FALSE))*E281/F281)</f>
        <v/>
      </c>
      <c r="T281" s="198">
        <f>$G281</f>
        <v/>
      </c>
      <c r="U281" s="199">
        <f>H281/(HLOOKUP(B:B,$4:$10,3,FALSE)+((HLOOKUP(C:C,$4:$10,3,FALSE)-HLOOKUP(B:B,$4:$10,3,FALSE))*E281/F281))</f>
        <v/>
      </c>
      <c r="V281" s="969">
        <f>HLOOKUP(B:B,$4:$10,7,FALSE)+((HLOOKUP(C:C,$4:$10,7,FALSE)-HLOOKUP(B:B,$4:$10,7,FALSE))*E281/F281)</f>
        <v/>
      </c>
      <c r="AB281" s="198">
        <f>$G281</f>
        <v/>
      </c>
      <c r="AC281" s="199">
        <f>$H281</f>
        <v/>
      </c>
      <c r="AD281" s="199">
        <f>$M281*AD$34</f>
        <v/>
      </c>
      <c r="AE281" s="199">
        <f>$M281*AE$34</f>
        <v/>
      </c>
      <c r="AF281" s="199">
        <f>$M281*AF$34</f>
        <v/>
      </c>
      <c r="AG281" s="199">
        <f>$M281*AG$34</f>
        <v/>
      </c>
      <c r="AH281" s="199">
        <f>$M281*AH$34</f>
        <v/>
      </c>
      <c r="AJ281" s="198">
        <f>$G281</f>
        <v/>
      </c>
      <c r="AK281" s="199">
        <f>$H281</f>
        <v/>
      </c>
      <c r="AL281" s="199">
        <f>$N281*AL$34</f>
        <v/>
      </c>
      <c r="AM281" s="199">
        <f>$N281*AM$34</f>
        <v/>
      </c>
      <c r="AN281" s="199">
        <f>$N281*AN$34</f>
        <v/>
      </c>
      <c r="AO281" s="199">
        <f>$N281*AO$34</f>
        <v/>
      </c>
      <c r="AP281" s="199">
        <f>$N281*AP$34</f>
        <v/>
      </c>
      <c r="AR281" s="198">
        <f>$G281</f>
        <v/>
      </c>
      <c r="AS281" s="199">
        <f>$H281</f>
        <v/>
      </c>
      <c r="AT281" s="199">
        <f>$O281*AT$34-$Q281</f>
        <v/>
      </c>
      <c r="AU281" s="199">
        <f>$O281*AU$34-$Q281</f>
        <v/>
      </c>
      <c r="AV281" s="199">
        <f>$O281*AV$34-$Q281</f>
        <v/>
      </c>
      <c r="AW281" s="199">
        <f>$O281*AW$34-$Q281</f>
        <v/>
      </c>
      <c r="AX281" s="199">
        <f>$O281*AX$34-$Q281</f>
        <v/>
      </c>
      <c r="AZ281" s="198">
        <f>$G281</f>
        <v/>
      </c>
      <c r="BA281" s="199">
        <f>$H281</f>
        <v/>
      </c>
      <c r="BB281" s="199">
        <f>$P281*BB$34-$Q281</f>
        <v/>
      </c>
      <c r="BC281" s="199">
        <f>$P281*BC$34-$Q281</f>
        <v/>
      </c>
      <c r="BD281" s="199">
        <f>$P281*BD$34-$Q281</f>
        <v/>
      </c>
      <c r="BE281" s="199">
        <f>$P281*BE$34-$Q281</f>
        <v/>
      </c>
      <c r="BF281" s="199">
        <f>$P281*BF$34-$Q281</f>
        <v/>
      </c>
      <c r="BH281" s="198">
        <f>$G281</f>
        <v/>
      </c>
      <c r="BI281" s="197">
        <f>$I281</f>
        <v/>
      </c>
      <c r="BJ281" s="197">
        <f>+BJ282</f>
        <v/>
      </c>
      <c r="BK281" s="197">
        <f>+BK282</f>
        <v/>
      </c>
      <c r="BL281" s="197">
        <f>+BL282</f>
        <v/>
      </c>
      <c r="BM281" s="197">
        <f>+BM282</f>
        <v/>
      </c>
      <c r="BN281" s="197">
        <f>+BN282</f>
        <v/>
      </c>
      <c r="BP281" s="198">
        <f>$G281</f>
        <v/>
      </c>
      <c r="BQ281" s="197">
        <f>$J281</f>
        <v/>
      </c>
      <c r="BR281" s="197">
        <f>+BR282</f>
        <v/>
      </c>
      <c r="BS281" s="197">
        <f>+BS282</f>
        <v/>
      </c>
      <c r="BT281" s="197">
        <f>+BT282</f>
        <v/>
      </c>
      <c r="BU281" s="197">
        <f>+BU282</f>
        <v/>
      </c>
      <c r="BV281" s="197">
        <f>+BV282</f>
        <v/>
      </c>
      <c r="BX281" s="198">
        <f>$G281</f>
        <v/>
      </c>
      <c r="BY281" s="197">
        <f>$K281</f>
        <v/>
      </c>
      <c r="BZ281" s="197">
        <f>+BZ282</f>
        <v/>
      </c>
      <c r="CA281" s="197">
        <f>+CA282</f>
        <v/>
      </c>
      <c r="CB281" s="197">
        <f>+CB282</f>
        <v/>
      </c>
      <c r="CC281" s="197">
        <f>+CC282</f>
        <v/>
      </c>
      <c r="CD281" s="197">
        <f>+CD282</f>
        <v/>
      </c>
      <c r="CF281" s="198">
        <f>$G281</f>
        <v/>
      </c>
      <c r="CG281" s="197">
        <f>$L281</f>
        <v/>
      </c>
      <c r="CH281" s="197">
        <f>+CH282</f>
        <v/>
      </c>
      <c r="CI281" s="197">
        <f>+CI282</f>
        <v/>
      </c>
      <c r="CJ281" s="197">
        <f>+CJ282</f>
        <v/>
      </c>
      <c r="CK281" s="197">
        <f>+CK282</f>
        <v/>
      </c>
      <c r="CL281" s="197">
        <f>+CL282</f>
        <v/>
      </c>
      <c r="CO281" s="199" t="n">
        <v>10.59966407916837</v>
      </c>
      <c r="CP281" s="199" t="n">
        <v>3.86</v>
      </c>
      <c r="CR281" s="199" t="n">
        <v>9.34</v>
      </c>
      <c r="CS281" s="970" t="n">
        <v>0.8811600000000001</v>
      </c>
    </row>
    <row r="282">
      <c r="B282" s="204">
        <f>+C282-1</f>
        <v/>
      </c>
      <c r="C282" s="204">
        <f>IF('bands_A-H_Avg'!$D$9+1&gt;MONTH(G282),YEAR(G282),YEAR(G282)+1)</f>
        <v/>
      </c>
      <c r="D282" s="204">
        <f>+C282+1</f>
        <v/>
      </c>
      <c r="E282" s="203">
        <f>IF(C282&gt;C281,1,E281+1)</f>
        <v/>
      </c>
      <c r="F282" s="203">
        <f>COUNTIF(C:C,C282)</f>
        <v/>
      </c>
      <c r="G282" s="198">
        <f>+G281+7</f>
        <v/>
      </c>
      <c r="H282" s="361">
        <f>IF(ISBLANK(CO282),CP282,SUMPRODUCT(CO$32:CP$32,CO282:CP282))</f>
        <v/>
      </c>
      <c r="I282" s="968">
        <f>H282/M282</f>
        <v/>
      </c>
      <c r="J282" s="968">
        <f>H282/N282</f>
        <v/>
      </c>
      <c r="K282" s="968">
        <f>(H282+Q282)/O282</f>
        <v/>
      </c>
      <c r="L282" s="968">
        <f>(H282+Q282)/P282</f>
        <v/>
      </c>
      <c r="M282" s="199">
        <f>HLOOKUP(C:C,$4:$10,3,FALSE)+((HLOOKUP(D:D,$4:$10,3,FALSE)-HLOOKUP(C:C,$4:$10,3,FALSE))*E282/F282)</f>
        <v/>
      </c>
      <c r="N282" s="199">
        <f>HLOOKUP(C:C,$4:$10,2,FALSE)+((HLOOKUP(D:D,$4:$10,2,FALSE)-HLOOKUP(C:C,$4:$10,2,FALSE))*E282/F282)</f>
        <v/>
      </c>
      <c r="O282" s="199">
        <f>HLOOKUP(C:C,$4:$10,5,FALSE)+((HLOOKUP(D:D,$4:$10,5,FALSE)-HLOOKUP(C:C,$4:$10,5,FALSE))*E282/F282)</f>
        <v/>
      </c>
      <c r="P282" s="199">
        <f>HLOOKUP(C:C,$4:$10,4,FALSE)+((HLOOKUP(D:D,$4:$10,4,FALSE)-HLOOKUP(C:C,$4:$10,4,FALSE))*E282/F282)</f>
        <v/>
      </c>
      <c r="Q282" s="199">
        <f>HLOOKUP(B:B,$4:$10,6,FALSE)+((HLOOKUP(C:C,$4:$10,6,FALSE)-HLOOKUP(B:B,$4:$10,6,FALSE))*E282/F282)</f>
        <v/>
      </c>
      <c r="T282" s="198">
        <f>$G282</f>
        <v/>
      </c>
      <c r="U282" s="199">
        <f>H282/(HLOOKUP(B:B,$4:$10,3,FALSE)+((HLOOKUP(C:C,$4:$10,3,FALSE)-HLOOKUP(B:B,$4:$10,3,FALSE))*E282/F282))</f>
        <v/>
      </c>
      <c r="V282" s="969">
        <f>HLOOKUP(B:B,$4:$10,7,FALSE)+((HLOOKUP(C:C,$4:$10,7,FALSE)-HLOOKUP(B:B,$4:$10,7,FALSE))*E282/F282)</f>
        <v/>
      </c>
      <c r="AB282" s="198">
        <f>$G282</f>
        <v/>
      </c>
      <c r="AC282" s="199">
        <f>$H282</f>
        <v/>
      </c>
      <c r="AD282" s="199">
        <f>$M282*AD$34</f>
        <v/>
      </c>
      <c r="AE282" s="199">
        <f>$M282*AE$34</f>
        <v/>
      </c>
      <c r="AF282" s="199">
        <f>$M282*AF$34</f>
        <v/>
      </c>
      <c r="AG282" s="199">
        <f>$M282*AG$34</f>
        <v/>
      </c>
      <c r="AH282" s="199">
        <f>$M282*AH$34</f>
        <v/>
      </c>
      <c r="AJ282" s="198">
        <f>$G282</f>
        <v/>
      </c>
      <c r="AK282" s="199">
        <f>$H282</f>
        <v/>
      </c>
      <c r="AL282" s="199">
        <f>$N282*AL$34</f>
        <v/>
      </c>
      <c r="AM282" s="199">
        <f>$N282*AM$34</f>
        <v/>
      </c>
      <c r="AN282" s="199">
        <f>$N282*AN$34</f>
        <v/>
      </c>
      <c r="AO282" s="199">
        <f>$N282*AO$34</f>
        <v/>
      </c>
      <c r="AP282" s="199">
        <f>$N282*AP$34</f>
        <v/>
      </c>
      <c r="AR282" s="198">
        <f>$G282</f>
        <v/>
      </c>
      <c r="AS282" s="199">
        <f>$H282</f>
        <v/>
      </c>
      <c r="AT282" s="199">
        <f>$O282*AT$34-$Q282</f>
        <v/>
      </c>
      <c r="AU282" s="199">
        <f>$O282*AU$34-$Q282</f>
        <v/>
      </c>
      <c r="AV282" s="199">
        <f>$O282*AV$34-$Q282</f>
        <v/>
      </c>
      <c r="AW282" s="199">
        <f>$O282*AW$34-$Q282</f>
        <v/>
      </c>
      <c r="AX282" s="199">
        <f>$O282*AX$34-$Q282</f>
        <v/>
      </c>
      <c r="AZ282" s="198">
        <f>$G282</f>
        <v/>
      </c>
      <c r="BA282" s="199">
        <f>$H282</f>
        <v/>
      </c>
      <c r="BB282" s="199">
        <f>$P282*BB$34-$Q282</f>
        <v/>
      </c>
      <c r="BC282" s="199">
        <f>$P282*BC$34-$Q282</f>
        <v/>
      </c>
      <c r="BD282" s="199">
        <f>$P282*BD$34-$Q282</f>
        <v/>
      </c>
      <c r="BE282" s="199">
        <f>$P282*BE$34-$Q282</f>
        <v/>
      </c>
      <c r="BF282" s="199">
        <f>$P282*BF$34-$Q282</f>
        <v/>
      </c>
      <c r="BH282" s="198">
        <f>$G282</f>
        <v/>
      </c>
      <c r="BI282" s="197">
        <f>$I282</f>
        <v/>
      </c>
      <c r="BJ282" s="197">
        <f>+BJ283</f>
        <v/>
      </c>
      <c r="BK282" s="197">
        <f>+BK283</f>
        <v/>
      </c>
      <c r="BL282" s="197">
        <f>+BL283</f>
        <v/>
      </c>
      <c r="BM282" s="197">
        <f>+BM283</f>
        <v/>
      </c>
      <c r="BN282" s="197">
        <f>+BN283</f>
        <v/>
      </c>
      <c r="BP282" s="198">
        <f>$G282</f>
        <v/>
      </c>
      <c r="BQ282" s="197">
        <f>$J282</f>
        <v/>
      </c>
      <c r="BR282" s="197">
        <f>+BR283</f>
        <v/>
      </c>
      <c r="BS282" s="197">
        <f>+BS283</f>
        <v/>
      </c>
      <c r="BT282" s="197">
        <f>+BT283</f>
        <v/>
      </c>
      <c r="BU282" s="197">
        <f>+BU283</f>
        <v/>
      </c>
      <c r="BV282" s="197">
        <f>+BV283</f>
        <v/>
      </c>
      <c r="BX282" s="198">
        <f>$G282</f>
        <v/>
      </c>
      <c r="BY282" s="197">
        <f>$K282</f>
        <v/>
      </c>
      <c r="BZ282" s="197">
        <f>+BZ283</f>
        <v/>
      </c>
      <c r="CA282" s="197">
        <f>+CA283</f>
        <v/>
      </c>
      <c r="CB282" s="197">
        <f>+CB283</f>
        <v/>
      </c>
      <c r="CC282" s="197">
        <f>+CC283</f>
        <v/>
      </c>
      <c r="CD282" s="197">
        <f>+CD283</f>
        <v/>
      </c>
      <c r="CF282" s="198">
        <f>$G282</f>
        <v/>
      </c>
      <c r="CG282" s="197">
        <f>$L282</f>
        <v/>
      </c>
      <c r="CH282" s="197">
        <f>+CH283</f>
        <v/>
      </c>
      <c r="CI282" s="197">
        <f>+CI283</f>
        <v/>
      </c>
      <c r="CJ282" s="197">
        <f>+CJ283</f>
        <v/>
      </c>
      <c r="CK282" s="197">
        <f>+CK283</f>
        <v/>
      </c>
      <c r="CL282" s="197">
        <f>+CL283</f>
        <v/>
      </c>
      <c r="CO282" s="199" t="n">
        <v>10.84069289622449</v>
      </c>
      <c r="CP282" s="199" t="n">
        <v>3.78</v>
      </c>
      <c r="CR282" s="199" t="n">
        <v>9.550000000000001</v>
      </c>
      <c r="CS282" s="970" t="n">
        <v>0.8809399999999999</v>
      </c>
    </row>
    <row r="283">
      <c r="B283" s="204">
        <f>+C283-1</f>
        <v/>
      </c>
      <c r="C283" s="204">
        <f>IF('bands_A-H_Avg'!$D$9+1&gt;MONTH(G283),YEAR(G283),YEAR(G283)+1)</f>
        <v/>
      </c>
      <c r="D283" s="204">
        <f>+C283+1</f>
        <v/>
      </c>
      <c r="E283" s="203">
        <f>IF(C283&gt;C282,1,E282+1)</f>
        <v/>
      </c>
      <c r="F283" s="203">
        <f>COUNTIF(C:C,C283)</f>
        <v/>
      </c>
      <c r="G283" s="198">
        <f>+G282+7</f>
        <v/>
      </c>
      <c r="H283" s="361">
        <f>IF(ISBLANK(CO283),CP283,SUMPRODUCT(CO$32:CP$32,CO283:CP283))</f>
        <v/>
      </c>
      <c r="I283" s="968">
        <f>H283/M283</f>
        <v/>
      </c>
      <c r="J283" s="968">
        <f>H283/N283</f>
        <v/>
      </c>
      <c r="K283" s="968">
        <f>(H283+Q283)/O283</f>
        <v/>
      </c>
      <c r="L283" s="968">
        <f>(H283+Q283)/P283</f>
        <v/>
      </c>
      <c r="M283" s="199">
        <f>HLOOKUP(C:C,$4:$10,3,FALSE)+((HLOOKUP(D:D,$4:$10,3,FALSE)-HLOOKUP(C:C,$4:$10,3,FALSE))*E283/F283)</f>
        <v/>
      </c>
      <c r="N283" s="199">
        <f>HLOOKUP(C:C,$4:$10,2,FALSE)+((HLOOKUP(D:D,$4:$10,2,FALSE)-HLOOKUP(C:C,$4:$10,2,FALSE))*E283/F283)</f>
        <v/>
      </c>
      <c r="O283" s="199">
        <f>HLOOKUP(C:C,$4:$10,5,FALSE)+((HLOOKUP(D:D,$4:$10,5,FALSE)-HLOOKUP(C:C,$4:$10,5,FALSE))*E283/F283)</f>
        <v/>
      </c>
      <c r="P283" s="199">
        <f>HLOOKUP(C:C,$4:$10,4,FALSE)+((HLOOKUP(D:D,$4:$10,4,FALSE)-HLOOKUP(C:C,$4:$10,4,FALSE))*E283/F283)</f>
        <v/>
      </c>
      <c r="Q283" s="199">
        <f>HLOOKUP(B:B,$4:$10,6,FALSE)+((HLOOKUP(C:C,$4:$10,6,FALSE)-HLOOKUP(B:B,$4:$10,6,FALSE))*E283/F283)</f>
        <v/>
      </c>
      <c r="T283" s="198">
        <f>$G283</f>
        <v/>
      </c>
      <c r="U283" s="199">
        <f>H283/(HLOOKUP(B:B,$4:$10,3,FALSE)+((HLOOKUP(C:C,$4:$10,3,FALSE)-HLOOKUP(B:B,$4:$10,3,FALSE))*E283/F283))</f>
        <v/>
      </c>
      <c r="V283" s="969">
        <f>HLOOKUP(B:B,$4:$10,7,FALSE)+((HLOOKUP(C:C,$4:$10,7,FALSE)-HLOOKUP(B:B,$4:$10,7,FALSE))*E283/F283)</f>
        <v/>
      </c>
      <c r="AB283" s="198">
        <f>$G283</f>
        <v/>
      </c>
      <c r="AC283" s="199">
        <f>$H283</f>
        <v/>
      </c>
      <c r="AD283" s="199">
        <f>$M283*AD$34</f>
        <v/>
      </c>
      <c r="AE283" s="199">
        <f>$M283*AE$34</f>
        <v/>
      </c>
      <c r="AF283" s="199">
        <f>$M283*AF$34</f>
        <v/>
      </c>
      <c r="AG283" s="199">
        <f>$M283*AG$34</f>
        <v/>
      </c>
      <c r="AH283" s="199">
        <f>$M283*AH$34</f>
        <v/>
      </c>
      <c r="AJ283" s="198">
        <f>$G283</f>
        <v/>
      </c>
      <c r="AK283" s="199">
        <f>$H283</f>
        <v/>
      </c>
      <c r="AL283" s="199">
        <f>$N283*AL$34</f>
        <v/>
      </c>
      <c r="AM283" s="199">
        <f>$N283*AM$34</f>
        <v/>
      </c>
      <c r="AN283" s="199">
        <f>$N283*AN$34</f>
        <v/>
      </c>
      <c r="AO283" s="199">
        <f>$N283*AO$34</f>
        <v/>
      </c>
      <c r="AP283" s="199">
        <f>$N283*AP$34</f>
        <v/>
      </c>
      <c r="AR283" s="198">
        <f>$G283</f>
        <v/>
      </c>
      <c r="AS283" s="199">
        <f>$H283</f>
        <v/>
      </c>
      <c r="AT283" s="199">
        <f>$O283*AT$34-$Q283</f>
        <v/>
      </c>
      <c r="AU283" s="199">
        <f>$O283*AU$34-$Q283</f>
        <v/>
      </c>
      <c r="AV283" s="199">
        <f>$O283*AV$34-$Q283</f>
        <v/>
      </c>
      <c r="AW283" s="199">
        <f>$O283*AW$34-$Q283</f>
        <v/>
      </c>
      <c r="AX283" s="199">
        <f>$O283*AX$34-$Q283</f>
        <v/>
      </c>
      <c r="AZ283" s="198">
        <f>$G283</f>
        <v/>
      </c>
      <c r="BA283" s="199">
        <f>$H283</f>
        <v/>
      </c>
      <c r="BB283" s="199">
        <f>$P283*BB$34-$Q283</f>
        <v/>
      </c>
      <c r="BC283" s="199">
        <f>$P283*BC$34-$Q283</f>
        <v/>
      </c>
      <c r="BD283" s="199">
        <f>$P283*BD$34-$Q283</f>
        <v/>
      </c>
      <c r="BE283" s="199">
        <f>$P283*BE$34-$Q283</f>
        <v/>
      </c>
      <c r="BF283" s="199">
        <f>$P283*BF$34-$Q283</f>
        <v/>
      </c>
      <c r="BH283" s="198">
        <f>$G283</f>
        <v/>
      </c>
      <c r="BI283" s="197">
        <f>$I283</f>
        <v/>
      </c>
      <c r="BJ283" s="197">
        <f>+BJ284</f>
        <v/>
      </c>
      <c r="BK283" s="197">
        <f>+BK284</f>
        <v/>
      </c>
      <c r="BL283" s="197">
        <f>+BL284</f>
        <v/>
      </c>
      <c r="BM283" s="197">
        <f>+BM284</f>
        <v/>
      </c>
      <c r="BN283" s="197">
        <f>+BN284</f>
        <v/>
      </c>
      <c r="BP283" s="198">
        <f>$G283</f>
        <v/>
      </c>
      <c r="BQ283" s="197">
        <f>$J283</f>
        <v/>
      </c>
      <c r="BR283" s="197">
        <f>+BR284</f>
        <v/>
      </c>
      <c r="BS283" s="197">
        <f>+BS284</f>
        <v/>
      </c>
      <c r="BT283" s="197">
        <f>+BT284</f>
        <v/>
      </c>
      <c r="BU283" s="197">
        <f>+BU284</f>
        <v/>
      </c>
      <c r="BV283" s="197">
        <f>+BV284</f>
        <v/>
      </c>
      <c r="BX283" s="198">
        <f>$G283</f>
        <v/>
      </c>
      <c r="BY283" s="197">
        <f>$K283</f>
        <v/>
      </c>
      <c r="BZ283" s="197">
        <f>+BZ284</f>
        <v/>
      </c>
      <c r="CA283" s="197">
        <f>+CA284</f>
        <v/>
      </c>
      <c r="CB283" s="197">
        <f>+CB284</f>
        <v/>
      </c>
      <c r="CC283" s="197">
        <f>+CC284</f>
        <v/>
      </c>
      <c r="CD283" s="197">
        <f>+CD284</f>
        <v/>
      </c>
      <c r="CF283" s="198">
        <f>$G283</f>
        <v/>
      </c>
      <c r="CG283" s="197">
        <f>$L283</f>
        <v/>
      </c>
      <c r="CH283" s="197">
        <f>+CH284</f>
        <v/>
      </c>
      <c r="CI283" s="197">
        <f>+CI284</f>
        <v/>
      </c>
      <c r="CJ283" s="197">
        <f>+CJ284</f>
        <v/>
      </c>
      <c r="CK283" s="197">
        <f>+CK284</f>
        <v/>
      </c>
      <c r="CL283" s="197">
        <f>+CL284</f>
        <v/>
      </c>
      <c r="CO283" s="199" t="n">
        <v>10.43038089617288</v>
      </c>
      <c r="CP283" s="199" t="n">
        <v>3.78</v>
      </c>
      <c r="CR283" s="199" t="n">
        <v>9.19</v>
      </c>
      <c r="CS283" s="970" t="n">
        <v>0.88108</v>
      </c>
    </row>
    <row r="284">
      <c r="B284" s="204">
        <f>+C284-1</f>
        <v/>
      </c>
      <c r="C284" s="204">
        <f>IF('bands_A-H_Avg'!$D$9+1&gt;MONTH(G284),YEAR(G284),YEAR(G284)+1)</f>
        <v/>
      </c>
      <c r="D284" s="204">
        <f>+C284+1</f>
        <v/>
      </c>
      <c r="E284" s="203">
        <f>IF(C284&gt;C283,1,E283+1)</f>
        <v/>
      </c>
      <c r="F284" s="203">
        <f>COUNTIF(C:C,C284)</f>
        <v/>
      </c>
      <c r="G284" s="198">
        <f>+G283+7</f>
        <v/>
      </c>
      <c r="H284" s="361">
        <f>IF(ISBLANK(CO284),CP284,SUMPRODUCT(CO$32:CP$32,CO284:CP284))</f>
        <v/>
      </c>
      <c r="I284" s="968">
        <f>H284/M284</f>
        <v/>
      </c>
      <c r="J284" s="968">
        <f>H284/N284</f>
        <v/>
      </c>
      <c r="K284" s="968">
        <f>(H284+Q284)/O284</f>
        <v/>
      </c>
      <c r="L284" s="968">
        <f>(H284+Q284)/P284</f>
        <v/>
      </c>
      <c r="M284" s="199">
        <f>HLOOKUP(C:C,$4:$10,3,FALSE)+((HLOOKUP(D:D,$4:$10,3,FALSE)-HLOOKUP(C:C,$4:$10,3,FALSE))*E284/F284)</f>
        <v/>
      </c>
      <c r="N284" s="199">
        <f>HLOOKUP(C:C,$4:$10,2,FALSE)+((HLOOKUP(D:D,$4:$10,2,FALSE)-HLOOKUP(C:C,$4:$10,2,FALSE))*E284/F284)</f>
        <v/>
      </c>
      <c r="O284" s="199">
        <f>HLOOKUP(C:C,$4:$10,5,FALSE)+((HLOOKUP(D:D,$4:$10,5,FALSE)-HLOOKUP(C:C,$4:$10,5,FALSE))*E284/F284)</f>
        <v/>
      </c>
      <c r="P284" s="199">
        <f>HLOOKUP(C:C,$4:$10,4,FALSE)+((HLOOKUP(D:D,$4:$10,4,FALSE)-HLOOKUP(C:C,$4:$10,4,FALSE))*E284/F284)</f>
        <v/>
      </c>
      <c r="Q284" s="199">
        <f>HLOOKUP(B:B,$4:$10,6,FALSE)+((HLOOKUP(C:C,$4:$10,6,FALSE)-HLOOKUP(B:B,$4:$10,6,FALSE))*E284/F284)</f>
        <v/>
      </c>
      <c r="T284" s="198">
        <f>$G284</f>
        <v/>
      </c>
      <c r="U284" s="199">
        <f>H284/(HLOOKUP(B:B,$4:$10,3,FALSE)+((HLOOKUP(C:C,$4:$10,3,FALSE)-HLOOKUP(B:B,$4:$10,3,FALSE))*E284/F284))</f>
        <v/>
      </c>
      <c r="V284" s="969">
        <f>HLOOKUP(B:B,$4:$10,7,FALSE)+((HLOOKUP(C:C,$4:$10,7,FALSE)-HLOOKUP(B:B,$4:$10,7,FALSE))*E284/F284)</f>
        <v/>
      </c>
      <c r="AB284" s="198">
        <f>$G284</f>
        <v/>
      </c>
      <c r="AC284" s="199">
        <f>$H284</f>
        <v/>
      </c>
      <c r="AD284" s="199">
        <f>$M284*AD$34</f>
        <v/>
      </c>
      <c r="AE284" s="199">
        <f>$M284*AE$34</f>
        <v/>
      </c>
      <c r="AF284" s="199">
        <f>$M284*AF$34</f>
        <v/>
      </c>
      <c r="AG284" s="199">
        <f>$M284*AG$34</f>
        <v/>
      </c>
      <c r="AH284" s="199">
        <f>$M284*AH$34</f>
        <v/>
      </c>
      <c r="AJ284" s="198">
        <f>$G284</f>
        <v/>
      </c>
      <c r="AK284" s="199">
        <f>$H284</f>
        <v/>
      </c>
      <c r="AL284" s="199">
        <f>$N284*AL$34</f>
        <v/>
      </c>
      <c r="AM284" s="199">
        <f>$N284*AM$34</f>
        <v/>
      </c>
      <c r="AN284" s="199">
        <f>$N284*AN$34</f>
        <v/>
      </c>
      <c r="AO284" s="199">
        <f>$N284*AO$34</f>
        <v/>
      </c>
      <c r="AP284" s="199">
        <f>$N284*AP$34</f>
        <v/>
      </c>
      <c r="AR284" s="198">
        <f>$G284</f>
        <v/>
      </c>
      <c r="AS284" s="199">
        <f>$H284</f>
        <v/>
      </c>
      <c r="AT284" s="199">
        <f>$O284*AT$34-$Q284</f>
        <v/>
      </c>
      <c r="AU284" s="199">
        <f>$O284*AU$34-$Q284</f>
        <v/>
      </c>
      <c r="AV284" s="199">
        <f>$O284*AV$34-$Q284</f>
        <v/>
      </c>
      <c r="AW284" s="199">
        <f>$O284*AW$34-$Q284</f>
        <v/>
      </c>
      <c r="AX284" s="199">
        <f>$O284*AX$34-$Q284</f>
        <v/>
      </c>
      <c r="AZ284" s="198">
        <f>$G284</f>
        <v/>
      </c>
      <c r="BA284" s="199">
        <f>$H284</f>
        <v/>
      </c>
      <c r="BB284" s="199">
        <f>$P284*BB$34-$Q284</f>
        <v/>
      </c>
      <c r="BC284" s="199">
        <f>$P284*BC$34-$Q284</f>
        <v/>
      </c>
      <c r="BD284" s="199">
        <f>$P284*BD$34-$Q284</f>
        <v/>
      </c>
      <c r="BE284" s="199">
        <f>$P284*BE$34-$Q284</f>
        <v/>
      </c>
      <c r="BF284" s="199">
        <f>$P284*BF$34-$Q284</f>
        <v/>
      </c>
      <c r="BH284" s="198">
        <f>$G284</f>
        <v/>
      </c>
      <c r="BI284" s="197">
        <f>$I284</f>
        <v/>
      </c>
      <c r="BJ284" s="197">
        <f>+BJ285</f>
        <v/>
      </c>
      <c r="BK284" s="197">
        <f>+BK285</f>
        <v/>
      </c>
      <c r="BL284" s="197">
        <f>+BL285</f>
        <v/>
      </c>
      <c r="BM284" s="197">
        <f>+BM285</f>
        <v/>
      </c>
      <c r="BN284" s="197">
        <f>+BN285</f>
        <v/>
      </c>
      <c r="BP284" s="198">
        <f>$G284</f>
        <v/>
      </c>
      <c r="BQ284" s="197">
        <f>$J284</f>
        <v/>
      </c>
      <c r="BR284" s="197">
        <f>+BR285</f>
        <v/>
      </c>
      <c r="BS284" s="197">
        <f>+BS285</f>
        <v/>
      </c>
      <c r="BT284" s="197">
        <f>+BT285</f>
        <v/>
      </c>
      <c r="BU284" s="197">
        <f>+BU285</f>
        <v/>
      </c>
      <c r="BV284" s="197">
        <f>+BV285</f>
        <v/>
      </c>
      <c r="BX284" s="198">
        <f>$G284</f>
        <v/>
      </c>
      <c r="BY284" s="197">
        <f>$K284</f>
        <v/>
      </c>
      <c r="BZ284" s="197">
        <f>+BZ285</f>
        <v/>
      </c>
      <c r="CA284" s="197">
        <f>+CA285</f>
        <v/>
      </c>
      <c r="CB284" s="197">
        <f>+CB285</f>
        <v/>
      </c>
      <c r="CC284" s="197">
        <f>+CC285</f>
        <v/>
      </c>
      <c r="CD284" s="197">
        <f>+CD285</f>
        <v/>
      </c>
      <c r="CF284" s="198">
        <f>$G284</f>
        <v/>
      </c>
      <c r="CG284" s="197">
        <f>$L284</f>
        <v/>
      </c>
      <c r="CH284" s="197">
        <f>+CH285</f>
        <v/>
      </c>
      <c r="CI284" s="197">
        <f>+CI285</f>
        <v/>
      </c>
      <c r="CJ284" s="197">
        <f>+CJ285</f>
        <v/>
      </c>
      <c r="CK284" s="197">
        <f>+CK285</f>
        <v/>
      </c>
      <c r="CL284" s="197">
        <f>+CL285</f>
        <v/>
      </c>
      <c r="CO284" s="199" t="n">
        <v>10.20616684074293</v>
      </c>
      <c r="CP284" s="199" t="n">
        <v>3.63</v>
      </c>
      <c r="CR284" s="199" t="n">
        <v>8.99</v>
      </c>
      <c r="CS284" s="970" t="n">
        <v>0.88084</v>
      </c>
    </row>
    <row r="285">
      <c r="B285" s="204">
        <f>+C285-1</f>
        <v/>
      </c>
      <c r="C285" s="204">
        <f>IF('bands_A-H_Avg'!$D$9+1&gt;MONTH(G285),YEAR(G285),YEAR(G285)+1)</f>
        <v/>
      </c>
      <c r="D285" s="204">
        <f>+C285+1</f>
        <v/>
      </c>
      <c r="E285" s="203">
        <f>IF(C285&gt;C284,1,E284+1)</f>
        <v/>
      </c>
      <c r="F285" s="203">
        <f>COUNTIF(C:C,C285)</f>
        <v/>
      </c>
      <c r="G285" s="198">
        <f>+G284+7</f>
        <v/>
      </c>
      <c r="H285" s="361">
        <f>IF(ISBLANK(CO285),CP285,SUMPRODUCT(CO$32:CP$32,CO285:CP285))</f>
        <v/>
      </c>
      <c r="I285" s="968">
        <f>H285/M285</f>
        <v/>
      </c>
      <c r="J285" s="968">
        <f>H285/N285</f>
        <v/>
      </c>
      <c r="K285" s="968">
        <f>(H285+Q285)/O285</f>
        <v/>
      </c>
      <c r="L285" s="968">
        <f>(H285+Q285)/P285</f>
        <v/>
      </c>
      <c r="M285" s="199">
        <f>HLOOKUP(C:C,$4:$10,3,FALSE)+((HLOOKUP(D:D,$4:$10,3,FALSE)-HLOOKUP(C:C,$4:$10,3,FALSE))*E285/F285)</f>
        <v/>
      </c>
      <c r="N285" s="199">
        <f>HLOOKUP(C:C,$4:$10,2,FALSE)+((HLOOKUP(D:D,$4:$10,2,FALSE)-HLOOKUP(C:C,$4:$10,2,FALSE))*E285/F285)</f>
        <v/>
      </c>
      <c r="O285" s="199">
        <f>HLOOKUP(C:C,$4:$10,5,FALSE)+((HLOOKUP(D:D,$4:$10,5,FALSE)-HLOOKUP(C:C,$4:$10,5,FALSE))*E285/F285)</f>
        <v/>
      </c>
      <c r="P285" s="199">
        <f>HLOOKUP(C:C,$4:$10,4,FALSE)+((HLOOKUP(D:D,$4:$10,4,FALSE)-HLOOKUP(C:C,$4:$10,4,FALSE))*E285/F285)</f>
        <v/>
      </c>
      <c r="Q285" s="199">
        <f>HLOOKUP(B:B,$4:$10,6,FALSE)+((HLOOKUP(C:C,$4:$10,6,FALSE)-HLOOKUP(B:B,$4:$10,6,FALSE))*E285/F285)</f>
        <v/>
      </c>
      <c r="T285" s="198">
        <f>$G285</f>
        <v/>
      </c>
      <c r="U285" s="199">
        <f>H285/(HLOOKUP(B:B,$4:$10,3,FALSE)+((HLOOKUP(C:C,$4:$10,3,FALSE)-HLOOKUP(B:B,$4:$10,3,FALSE))*E285/F285))</f>
        <v/>
      </c>
      <c r="V285" s="969">
        <f>HLOOKUP(B:B,$4:$10,7,FALSE)+((HLOOKUP(C:C,$4:$10,7,FALSE)-HLOOKUP(B:B,$4:$10,7,FALSE))*E285/F285)</f>
        <v/>
      </c>
      <c r="AB285" s="198">
        <f>$G285</f>
        <v/>
      </c>
      <c r="AC285" s="199">
        <f>$H285</f>
        <v/>
      </c>
      <c r="AD285" s="199">
        <f>$M285*AD$34</f>
        <v/>
      </c>
      <c r="AE285" s="199">
        <f>$M285*AE$34</f>
        <v/>
      </c>
      <c r="AF285" s="199">
        <f>$M285*AF$34</f>
        <v/>
      </c>
      <c r="AG285" s="199">
        <f>$M285*AG$34</f>
        <v/>
      </c>
      <c r="AH285" s="199">
        <f>$M285*AH$34</f>
        <v/>
      </c>
      <c r="AJ285" s="198">
        <f>$G285</f>
        <v/>
      </c>
      <c r="AK285" s="199">
        <f>$H285</f>
        <v/>
      </c>
      <c r="AL285" s="199">
        <f>$N285*AL$34</f>
        <v/>
      </c>
      <c r="AM285" s="199">
        <f>$N285*AM$34</f>
        <v/>
      </c>
      <c r="AN285" s="199">
        <f>$N285*AN$34</f>
        <v/>
      </c>
      <c r="AO285" s="199">
        <f>$N285*AO$34</f>
        <v/>
      </c>
      <c r="AP285" s="199">
        <f>$N285*AP$34</f>
        <v/>
      </c>
      <c r="AR285" s="198">
        <f>$G285</f>
        <v/>
      </c>
      <c r="AS285" s="199">
        <f>$H285</f>
        <v/>
      </c>
      <c r="AT285" s="199">
        <f>$O285*AT$34-$Q285</f>
        <v/>
      </c>
      <c r="AU285" s="199">
        <f>$O285*AU$34-$Q285</f>
        <v/>
      </c>
      <c r="AV285" s="199">
        <f>$O285*AV$34-$Q285</f>
        <v/>
      </c>
      <c r="AW285" s="199">
        <f>$O285*AW$34-$Q285</f>
        <v/>
      </c>
      <c r="AX285" s="199">
        <f>$O285*AX$34-$Q285</f>
        <v/>
      </c>
      <c r="AZ285" s="198">
        <f>$G285</f>
        <v/>
      </c>
      <c r="BA285" s="199">
        <f>$H285</f>
        <v/>
      </c>
      <c r="BB285" s="199">
        <f>$P285*BB$34-$Q285</f>
        <v/>
      </c>
      <c r="BC285" s="199">
        <f>$P285*BC$34-$Q285</f>
        <v/>
      </c>
      <c r="BD285" s="199">
        <f>$P285*BD$34-$Q285</f>
        <v/>
      </c>
      <c r="BE285" s="199">
        <f>$P285*BE$34-$Q285</f>
        <v/>
      </c>
      <c r="BF285" s="199">
        <f>$P285*BF$34-$Q285</f>
        <v/>
      </c>
      <c r="BH285" s="198">
        <f>$G285</f>
        <v/>
      </c>
      <c r="BI285" s="197">
        <f>$I285</f>
        <v/>
      </c>
      <c r="BJ285" s="197">
        <f>+BJ286</f>
        <v/>
      </c>
      <c r="BK285" s="197">
        <f>+BK286</f>
        <v/>
      </c>
      <c r="BL285" s="197">
        <f>+BL286</f>
        <v/>
      </c>
      <c r="BM285" s="197">
        <f>+BM286</f>
        <v/>
      </c>
      <c r="BN285" s="197">
        <f>+BN286</f>
        <v/>
      </c>
      <c r="BP285" s="198">
        <f>$G285</f>
        <v/>
      </c>
      <c r="BQ285" s="197">
        <f>$J285</f>
        <v/>
      </c>
      <c r="BR285" s="197">
        <f>+BR286</f>
        <v/>
      </c>
      <c r="BS285" s="197">
        <f>+BS286</f>
        <v/>
      </c>
      <c r="BT285" s="197">
        <f>+BT286</f>
        <v/>
      </c>
      <c r="BU285" s="197">
        <f>+BU286</f>
        <v/>
      </c>
      <c r="BV285" s="197">
        <f>+BV286</f>
        <v/>
      </c>
      <c r="BX285" s="198">
        <f>$G285</f>
        <v/>
      </c>
      <c r="BY285" s="197">
        <f>$K285</f>
        <v/>
      </c>
      <c r="BZ285" s="197">
        <f>+BZ286</f>
        <v/>
      </c>
      <c r="CA285" s="197">
        <f>+CA286</f>
        <v/>
      </c>
      <c r="CB285" s="197">
        <f>+CB286</f>
        <v/>
      </c>
      <c r="CC285" s="197">
        <f>+CC286</f>
        <v/>
      </c>
      <c r="CD285" s="197">
        <f>+CD286</f>
        <v/>
      </c>
      <c r="CF285" s="198">
        <f>$G285</f>
        <v/>
      </c>
      <c r="CG285" s="197">
        <f>$L285</f>
        <v/>
      </c>
      <c r="CH285" s="197">
        <f>+CH286</f>
        <v/>
      </c>
      <c r="CI285" s="197">
        <f>+CI286</f>
        <v/>
      </c>
      <c r="CJ285" s="197">
        <f>+CJ286</f>
        <v/>
      </c>
      <c r="CK285" s="197">
        <f>+CK286</f>
        <v/>
      </c>
      <c r="CL285" s="197">
        <f>+CL286</f>
        <v/>
      </c>
      <c r="CO285" s="199" t="n">
        <v>10.61655501305779</v>
      </c>
      <c r="CP285" s="199" t="n">
        <v>3.83</v>
      </c>
      <c r="CR285" s="199" t="n">
        <v>9.35</v>
      </c>
      <c r="CS285" s="970" t="n">
        <v>0.8807</v>
      </c>
    </row>
    <row r="286">
      <c r="B286" s="204">
        <f>+C286-1</f>
        <v/>
      </c>
      <c r="C286" s="204">
        <f>IF('bands_A-H_Avg'!$D$9+1&gt;MONTH(G286),YEAR(G286),YEAR(G286)+1)</f>
        <v/>
      </c>
      <c r="D286" s="204">
        <f>+C286+1</f>
        <v/>
      </c>
      <c r="E286" s="203">
        <f>IF(C286&gt;C285,1,E285+1)</f>
        <v/>
      </c>
      <c r="F286" s="203">
        <f>COUNTIF(C:C,C286)</f>
        <v/>
      </c>
      <c r="G286" s="198">
        <f>+G285+7</f>
        <v/>
      </c>
      <c r="H286" s="361">
        <f>IF(ISBLANK(CO286),CP286,SUMPRODUCT(CO$32:CP$32,CO286:CP286))</f>
        <v/>
      </c>
      <c r="I286" s="968">
        <f>H286/M286</f>
        <v/>
      </c>
      <c r="J286" s="968">
        <f>H286/N286</f>
        <v/>
      </c>
      <c r="K286" s="968">
        <f>(H286+Q286)/O286</f>
        <v/>
      </c>
      <c r="L286" s="968">
        <f>(H286+Q286)/P286</f>
        <v/>
      </c>
      <c r="M286" s="199">
        <f>HLOOKUP(C:C,$4:$10,3,FALSE)+((HLOOKUP(D:D,$4:$10,3,FALSE)-HLOOKUP(C:C,$4:$10,3,FALSE))*E286/F286)</f>
        <v/>
      </c>
      <c r="N286" s="199">
        <f>HLOOKUP(C:C,$4:$10,2,FALSE)+((HLOOKUP(D:D,$4:$10,2,FALSE)-HLOOKUP(C:C,$4:$10,2,FALSE))*E286/F286)</f>
        <v/>
      </c>
      <c r="O286" s="199">
        <f>HLOOKUP(C:C,$4:$10,5,FALSE)+((HLOOKUP(D:D,$4:$10,5,FALSE)-HLOOKUP(C:C,$4:$10,5,FALSE))*E286/F286)</f>
        <v/>
      </c>
      <c r="P286" s="199">
        <f>HLOOKUP(C:C,$4:$10,4,FALSE)+((HLOOKUP(D:D,$4:$10,4,FALSE)-HLOOKUP(C:C,$4:$10,4,FALSE))*E286/F286)</f>
        <v/>
      </c>
      <c r="Q286" s="199">
        <f>HLOOKUP(B:B,$4:$10,6,FALSE)+((HLOOKUP(C:C,$4:$10,6,FALSE)-HLOOKUP(B:B,$4:$10,6,FALSE))*E286/F286)</f>
        <v/>
      </c>
      <c r="T286" s="198">
        <f>$G286</f>
        <v/>
      </c>
      <c r="U286" s="199">
        <f>H286/(HLOOKUP(B:B,$4:$10,3,FALSE)+((HLOOKUP(C:C,$4:$10,3,FALSE)-HLOOKUP(B:B,$4:$10,3,FALSE))*E286/F286))</f>
        <v/>
      </c>
      <c r="V286" s="969">
        <f>HLOOKUP(B:B,$4:$10,7,FALSE)+((HLOOKUP(C:C,$4:$10,7,FALSE)-HLOOKUP(B:B,$4:$10,7,FALSE))*E286/F286)</f>
        <v/>
      </c>
      <c r="AB286" s="198">
        <f>$G286</f>
        <v/>
      </c>
      <c r="AC286" s="199">
        <f>$H286</f>
        <v/>
      </c>
      <c r="AD286" s="199">
        <f>$M286*AD$34</f>
        <v/>
      </c>
      <c r="AE286" s="199">
        <f>$M286*AE$34</f>
        <v/>
      </c>
      <c r="AF286" s="199">
        <f>$M286*AF$34</f>
        <v/>
      </c>
      <c r="AG286" s="199">
        <f>$M286*AG$34</f>
        <v/>
      </c>
      <c r="AH286" s="199">
        <f>$M286*AH$34</f>
        <v/>
      </c>
      <c r="AJ286" s="198">
        <f>$G286</f>
        <v/>
      </c>
      <c r="AK286" s="199">
        <f>$H286</f>
        <v/>
      </c>
      <c r="AL286" s="199">
        <f>$N286*AL$34</f>
        <v/>
      </c>
      <c r="AM286" s="199">
        <f>$N286*AM$34</f>
        <v/>
      </c>
      <c r="AN286" s="199">
        <f>$N286*AN$34</f>
        <v/>
      </c>
      <c r="AO286" s="199">
        <f>$N286*AO$34</f>
        <v/>
      </c>
      <c r="AP286" s="199">
        <f>$N286*AP$34</f>
        <v/>
      </c>
      <c r="AR286" s="198">
        <f>$G286</f>
        <v/>
      </c>
      <c r="AS286" s="199">
        <f>$H286</f>
        <v/>
      </c>
      <c r="AT286" s="199">
        <f>$O286*AT$34-$Q286</f>
        <v/>
      </c>
      <c r="AU286" s="199">
        <f>$O286*AU$34-$Q286</f>
        <v/>
      </c>
      <c r="AV286" s="199">
        <f>$O286*AV$34-$Q286</f>
        <v/>
      </c>
      <c r="AW286" s="199">
        <f>$O286*AW$34-$Q286</f>
        <v/>
      </c>
      <c r="AX286" s="199">
        <f>$O286*AX$34-$Q286</f>
        <v/>
      </c>
      <c r="AZ286" s="198">
        <f>$G286</f>
        <v/>
      </c>
      <c r="BA286" s="199">
        <f>$H286</f>
        <v/>
      </c>
      <c r="BB286" s="199">
        <f>$P286*BB$34-$Q286</f>
        <v/>
      </c>
      <c r="BC286" s="199">
        <f>$P286*BC$34-$Q286</f>
        <v/>
      </c>
      <c r="BD286" s="199">
        <f>$P286*BD$34-$Q286</f>
        <v/>
      </c>
      <c r="BE286" s="199">
        <f>$P286*BE$34-$Q286</f>
        <v/>
      </c>
      <c r="BF286" s="199">
        <f>$P286*BF$34-$Q286</f>
        <v/>
      </c>
      <c r="BH286" s="198">
        <f>$G286</f>
        <v/>
      </c>
      <c r="BI286" s="197">
        <f>$I286</f>
        <v/>
      </c>
      <c r="BJ286" s="197">
        <f>+BJ287</f>
        <v/>
      </c>
      <c r="BK286" s="197">
        <f>+BK287</f>
        <v/>
      </c>
      <c r="BL286" s="197">
        <f>+BL287</f>
        <v/>
      </c>
      <c r="BM286" s="197">
        <f>+BM287</f>
        <v/>
      </c>
      <c r="BN286" s="197">
        <f>+BN287</f>
        <v/>
      </c>
      <c r="BP286" s="198">
        <f>$G286</f>
        <v/>
      </c>
      <c r="BQ286" s="197">
        <f>$J286</f>
        <v/>
      </c>
      <c r="BR286" s="197">
        <f>+BR287</f>
        <v/>
      </c>
      <c r="BS286" s="197">
        <f>+BS287</f>
        <v/>
      </c>
      <c r="BT286" s="197">
        <f>+BT287</f>
        <v/>
      </c>
      <c r="BU286" s="197">
        <f>+BU287</f>
        <v/>
      </c>
      <c r="BV286" s="197">
        <f>+BV287</f>
        <v/>
      </c>
      <c r="BX286" s="198">
        <f>$G286</f>
        <v/>
      </c>
      <c r="BY286" s="197">
        <f>$K286</f>
        <v/>
      </c>
      <c r="BZ286" s="197">
        <f>+BZ287</f>
        <v/>
      </c>
      <c r="CA286" s="197">
        <f>+CA287</f>
        <v/>
      </c>
      <c r="CB286" s="197">
        <f>+CB287</f>
        <v/>
      </c>
      <c r="CC286" s="197">
        <f>+CC287</f>
        <v/>
      </c>
      <c r="CD286" s="197">
        <f>+CD287</f>
        <v/>
      </c>
      <c r="CF286" s="198">
        <f>$G286</f>
        <v/>
      </c>
      <c r="CG286" s="197">
        <f>$L286</f>
        <v/>
      </c>
      <c r="CH286" s="197">
        <f>+CH287</f>
        <v/>
      </c>
      <c r="CI286" s="197">
        <f>+CI287</f>
        <v/>
      </c>
      <c r="CJ286" s="197">
        <f>+CJ287</f>
        <v/>
      </c>
      <c r="CK286" s="197">
        <f>+CK287</f>
        <v/>
      </c>
      <c r="CL286" s="197">
        <f>+CL287</f>
        <v/>
      </c>
      <c r="CO286" s="199" t="n">
        <v>10.72839562236047</v>
      </c>
      <c r="CP286" s="199" t="n">
        <v>3.83</v>
      </c>
      <c r="CR286" s="199" t="n">
        <v>9.449999999999999</v>
      </c>
      <c r="CS286" s="970" t="n">
        <v>0.88084</v>
      </c>
    </row>
    <row r="287">
      <c r="B287" s="204">
        <f>+C287-1</f>
        <v/>
      </c>
      <c r="C287" s="204">
        <f>IF('bands_A-H_Avg'!$D$9+1&gt;MONTH(G287),YEAR(G287),YEAR(G287)+1)</f>
        <v/>
      </c>
      <c r="D287" s="204">
        <f>+C287+1</f>
        <v/>
      </c>
      <c r="E287" s="203">
        <f>IF(C287&gt;C286,1,E286+1)</f>
        <v/>
      </c>
      <c r="F287" s="203">
        <f>COUNTIF(C:C,C287)</f>
        <v/>
      </c>
      <c r="G287" s="198">
        <f>+G286+7</f>
        <v/>
      </c>
      <c r="H287" s="361">
        <f>IF(ISBLANK(CO287),CP287,SUMPRODUCT(CO$32:CP$32,CO287:CP287))</f>
        <v/>
      </c>
      <c r="I287" s="968">
        <f>H287/M287</f>
        <v/>
      </c>
      <c r="J287" s="968">
        <f>H287/N287</f>
        <v/>
      </c>
      <c r="K287" s="968">
        <f>(H287+Q287)/O287</f>
        <v/>
      </c>
      <c r="L287" s="968">
        <f>(H287+Q287)/P287</f>
        <v/>
      </c>
      <c r="M287" s="199">
        <f>HLOOKUP(C:C,$4:$10,3,FALSE)+((HLOOKUP(D:D,$4:$10,3,FALSE)-HLOOKUP(C:C,$4:$10,3,FALSE))*E287/F287)</f>
        <v/>
      </c>
      <c r="N287" s="199">
        <f>HLOOKUP(C:C,$4:$10,2,FALSE)+((HLOOKUP(D:D,$4:$10,2,FALSE)-HLOOKUP(C:C,$4:$10,2,FALSE))*E287/F287)</f>
        <v/>
      </c>
      <c r="O287" s="199">
        <f>HLOOKUP(C:C,$4:$10,5,FALSE)+((HLOOKUP(D:D,$4:$10,5,FALSE)-HLOOKUP(C:C,$4:$10,5,FALSE))*E287/F287)</f>
        <v/>
      </c>
      <c r="P287" s="199">
        <f>HLOOKUP(C:C,$4:$10,4,FALSE)+((HLOOKUP(D:D,$4:$10,4,FALSE)-HLOOKUP(C:C,$4:$10,4,FALSE))*E287/F287)</f>
        <v/>
      </c>
      <c r="Q287" s="199">
        <f>HLOOKUP(B:B,$4:$10,6,FALSE)+((HLOOKUP(C:C,$4:$10,6,FALSE)-HLOOKUP(B:B,$4:$10,6,FALSE))*E287/F287)</f>
        <v/>
      </c>
      <c r="T287" s="198">
        <f>$G287</f>
        <v/>
      </c>
      <c r="U287" s="199">
        <f>H287/(HLOOKUP(B:B,$4:$10,3,FALSE)+((HLOOKUP(C:C,$4:$10,3,FALSE)-HLOOKUP(B:B,$4:$10,3,FALSE))*E287/F287))</f>
        <v/>
      </c>
      <c r="V287" s="969">
        <f>HLOOKUP(B:B,$4:$10,7,FALSE)+((HLOOKUP(C:C,$4:$10,7,FALSE)-HLOOKUP(B:B,$4:$10,7,FALSE))*E287/F287)</f>
        <v/>
      </c>
      <c r="AB287" s="198">
        <f>$G287</f>
        <v/>
      </c>
      <c r="AC287" s="199">
        <f>$H287</f>
        <v/>
      </c>
      <c r="AD287" s="199">
        <f>$M287*AD$34</f>
        <v/>
      </c>
      <c r="AE287" s="199">
        <f>$M287*AE$34</f>
        <v/>
      </c>
      <c r="AF287" s="199">
        <f>$M287*AF$34</f>
        <v/>
      </c>
      <c r="AG287" s="199">
        <f>$M287*AG$34</f>
        <v/>
      </c>
      <c r="AH287" s="199">
        <f>$M287*AH$34</f>
        <v/>
      </c>
      <c r="AJ287" s="198">
        <f>$G287</f>
        <v/>
      </c>
      <c r="AK287" s="199">
        <f>$H287</f>
        <v/>
      </c>
      <c r="AL287" s="199">
        <f>$N287*AL$34</f>
        <v/>
      </c>
      <c r="AM287" s="199">
        <f>$N287*AM$34</f>
        <v/>
      </c>
      <c r="AN287" s="199">
        <f>$N287*AN$34</f>
        <v/>
      </c>
      <c r="AO287" s="199">
        <f>$N287*AO$34</f>
        <v/>
      </c>
      <c r="AP287" s="199">
        <f>$N287*AP$34</f>
        <v/>
      </c>
      <c r="AR287" s="198">
        <f>$G287</f>
        <v/>
      </c>
      <c r="AS287" s="199">
        <f>$H287</f>
        <v/>
      </c>
      <c r="AT287" s="199">
        <f>$O287*AT$34-$Q287</f>
        <v/>
      </c>
      <c r="AU287" s="199">
        <f>$O287*AU$34-$Q287</f>
        <v/>
      </c>
      <c r="AV287" s="199">
        <f>$O287*AV$34-$Q287</f>
        <v/>
      </c>
      <c r="AW287" s="199">
        <f>$O287*AW$34-$Q287</f>
        <v/>
      </c>
      <c r="AX287" s="199">
        <f>$O287*AX$34-$Q287</f>
        <v/>
      </c>
      <c r="AZ287" s="198">
        <f>$G287</f>
        <v/>
      </c>
      <c r="BA287" s="199">
        <f>$H287</f>
        <v/>
      </c>
      <c r="BB287" s="199">
        <f>$P287*BB$34-$Q287</f>
        <v/>
      </c>
      <c r="BC287" s="199">
        <f>$P287*BC$34-$Q287</f>
        <v/>
      </c>
      <c r="BD287" s="199">
        <f>$P287*BD$34-$Q287</f>
        <v/>
      </c>
      <c r="BE287" s="199">
        <f>$P287*BE$34-$Q287</f>
        <v/>
      </c>
      <c r="BF287" s="199">
        <f>$P287*BF$34-$Q287</f>
        <v/>
      </c>
      <c r="BH287" s="198">
        <f>$G287</f>
        <v/>
      </c>
      <c r="BI287" s="197">
        <f>$I287</f>
        <v/>
      </c>
      <c r="BJ287" s="197">
        <f>+BJ288</f>
        <v/>
      </c>
      <c r="BK287" s="197">
        <f>+BK288</f>
        <v/>
      </c>
      <c r="BL287" s="197">
        <f>+BL288</f>
        <v/>
      </c>
      <c r="BM287" s="197">
        <f>+BM288</f>
        <v/>
      </c>
      <c r="BN287" s="197">
        <f>+BN288</f>
        <v/>
      </c>
      <c r="BP287" s="198">
        <f>$G287</f>
        <v/>
      </c>
      <c r="BQ287" s="197">
        <f>$J287</f>
        <v/>
      </c>
      <c r="BR287" s="197">
        <f>+BR288</f>
        <v/>
      </c>
      <c r="BS287" s="197">
        <f>+BS288</f>
        <v/>
      </c>
      <c r="BT287" s="197">
        <f>+BT288</f>
        <v/>
      </c>
      <c r="BU287" s="197">
        <f>+BU288</f>
        <v/>
      </c>
      <c r="BV287" s="197">
        <f>+BV288</f>
        <v/>
      </c>
      <c r="BX287" s="198">
        <f>$G287</f>
        <v/>
      </c>
      <c r="BY287" s="197">
        <f>$K287</f>
        <v/>
      </c>
      <c r="BZ287" s="197">
        <f>+BZ288</f>
        <v/>
      </c>
      <c r="CA287" s="197">
        <f>+CA288</f>
        <v/>
      </c>
      <c r="CB287" s="197">
        <f>+CB288</f>
        <v/>
      </c>
      <c r="CC287" s="197">
        <f>+CC288</f>
        <v/>
      </c>
      <c r="CD287" s="197">
        <f>+CD288</f>
        <v/>
      </c>
      <c r="CF287" s="198">
        <f>$G287</f>
        <v/>
      </c>
      <c r="CG287" s="197">
        <f>$L287</f>
        <v/>
      </c>
      <c r="CH287" s="197">
        <f>+CH288</f>
        <v/>
      </c>
      <c r="CI287" s="197">
        <f>+CI288</f>
        <v/>
      </c>
      <c r="CJ287" s="197">
        <f>+CJ288</f>
        <v/>
      </c>
      <c r="CK287" s="197">
        <f>+CK288</f>
        <v/>
      </c>
      <c r="CL287" s="197">
        <f>+CL288</f>
        <v/>
      </c>
      <c r="CO287" s="199" t="n">
        <v>10.98651654787306</v>
      </c>
      <c r="CP287" s="199" t="n">
        <v>3.95</v>
      </c>
      <c r="CR287" s="199" t="n">
        <v>9.68</v>
      </c>
      <c r="CS287" s="970" t="n">
        <v>0.88108</v>
      </c>
    </row>
    <row r="288">
      <c r="B288" s="204">
        <f>+C288-1</f>
        <v/>
      </c>
      <c r="C288" s="204">
        <f>IF('bands_A-H_Avg'!$D$9+1&gt;MONTH(G288),YEAR(G288),YEAR(G288)+1)</f>
        <v/>
      </c>
      <c r="D288" s="204">
        <f>+C288+1</f>
        <v/>
      </c>
      <c r="E288" s="203">
        <f>IF(C288&gt;C287,1,E287+1)</f>
        <v/>
      </c>
      <c r="F288" s="203">
        <f>COUNTIF(C:C,C288)</f>
        <v/>
      </c>
      <c r="G288" s="198">
        <f>+G287+7</f>
        <v/>
      </c>
      <c r="H288" s="361">
        <f>IF(ISBLANK(CO288),CP288,SUMPRODUCT(CO$32:CP$32,CO288:CP288))</f>
        <v/>
      </c>
      <c r="I288" s="968">
        <f>H288/M288</f>
        <v/>
      </c>
      <c r="J288" s="968">
        <f>H288/N288</f>
        <v/>
      </c>
      <c r="K288" s="968">
        <f>(H288+Q288)/O288</f>
        <v/>
      </c>
      <c r="L288" s="968">
        <f>(H288+Q288)/P288</f>
        <v/>
      </c>
      <c r="M288" s="199">
        <f>HLOOKUP(C:C,$4:$10,3,FALSE)+((HLOOKUP(D:D,$4:$10,3,FALSE)-HLOOKUP(C:C,$4:$10,3,FALSE))*E288/F288)</f>
        <v/>
      </c>
      <c r="N288" s="199">
        <f>HLOOKUP(C:C,$4:$10,2,FALSE)+((HLOOKUP(D:D,$4:$10,2,FALSE)-HLOOKUP(C:C,$4:$10,2,FALSE))*E288/F288)</f>
        <v/>
      </c>
      <c r="O288" s="199">
        <f>HLOOKUP(C:C,$4:$10,5,FALSE)+((HLOOKUP(D:D,$4:$10,5,FALSE)-HLOOKUP(C:C,$4:$10,5,FALSE))*E288/F288)</f>
        <v/>
      </c>
      <c r="P288" s="199">
        <f>HLOOKUP(C:C,$4:$10,4,FALSE)+((HLOOKUP(D:D,$4:$10,4,FALSE)-HLOOKUP(C:C,$4:$10,4,FALSE))*E288/F288)</f>
        <v/>
      </c>
      <c r="Q288" s="199">
        <f>HLOOKUP(B:B,$4:$10,6,FALSE)+((HLOOKUP(C:C,$4:$10,6,FALSE)-HLOOKUP(B:B,$4:$10,6,FALSE))*E288/F288)</f>
        <v/>
      </c>
      <c r="T288" s="198">
        <f>$G288</f>
        <v/>
      </c>
      <c r="U288" s="199">
        <f>H288/(HLOOKUP(B:B,$4:$10,3,FALSE)+((HLOOKUP(C:C,$4:$10,3,FALSE)-HLOOKUP(B:B,$4:$10,3,FALSE))*E288/F288))</f>
        <v/>
      </c>
      <c r="V288" s="969">
        <f>HLOOKUP(B:B,$4:$10,7,FALSE)+((HLOOKUP(C:C,$4:$10,7,FALSE)-HLOOKUP(B:B,$4:$10,7,FALSE))*E288/F288)</f>
        <v/>
      </c>
      <c r="AB288" s="198">
        <f>$G288</f>
        <v/>
      </c>
      <c r="AC288" s="199">
        <f>$H288</f>
        <v/>
      </c>
      <c r="AD288" s="199">
        <f>$M288*AD$34</f>
        <v/>
      </c>
      <c r="AE288" s="199">
        <f>$M288*AE$34</f>
        <v/>
      </c>
      <c r="AF288" s="199">
        <f>$M288*AF$34</f>
        <v/>
      </c>
      <c r="AG288" s="199">
        <f>$M288*AG$34</f>
        <v/>
      </c>
      <c r="AH288" s="199">
        <f>$M288*AH$34</f>
        <v/>
      </c>
      <c r="AJ288" s="198">
        <f>$G288</f>
        <v/>
      </c>
      <c r="AK288" s="199">
        <f>$H288</f>
        <v/>
      </c>
      <c r="AL288" s="199">
        <f>$N288*AL$34</f>
        <v/>
      </c>
      <c r="AM288" s="199">
        <f>$N288*AM$34</f>
        <v/>
      </c>
      <c r="AN288" s="199">
        <f>$N288*AN$34</f>
        <v/>
      </c>
      <c r="AO288" s="199">
        <f>$N288*AO$34</f>
        <v/>
      </c>
      <c r="AP288" s="199">
        <f>$N288*AP$34</f>
        <v/>
      </c>
      <c r="AR288" s="198">
        <f>$G288</f>
        <v/>
      </c>
      <c r="AS288" s="199">
        <f>$H288</f>
        <v/>
      </c>
      <c r="AT288" s="199">
        <f>$O288*AT$34-$Q288</f>
        <v/>
      </c>
      <c r="AU288" s="199">
        <f>$O288*AU$34-$Q288</f>
        <v/>
      </c>
      <c r="AV288" s="199">
        <f>$O288*AV$34-$Q288</f>
        <v/>
      </c>
      <c r="AW288" s="199">
        <f>$O288*AW$34-$Q288</f>
        <v/>
      </c>
      <c r="AX288" s="199">
        <f>$O288*AX$34-$Q288</f>
        <v/>
      </c>
      <c r="AZ288" s="198">
        <f>$G288</f>
        <v/>
      </c>
      <c r="BA288" s="199">
        <f>$H288</f>
        <v/>
      </c>
      <c r="BB288" s="199">
        <f>$P288*BB$34-$Q288</f>
        <v/>
      </c>
      <c r="BC288" s="199">
        <f>$P288*BC$34-$Q288</f>
        <v/>
      </c>
      <c r="BD288" s="199">
        <f>$P288*BD$34-$Q288</f>
        <v/>
      </c>
      <c r="BE288" s="199">
        <f>$P288*BE$34-$Q288</f>
        <v/>
      </c>
      <c r="BF288" s="199">
        <f>$P288*BF$34-$Q288</f>
        <v/>
      </c>
      <c r="BH288" s="198">
        <f>$G288</f>
        <v/>
      </c>
      <c r="BI288" s="197">
        <f>$I288</f>
        <v/>
      </c>
      <c r="BJ288" s="197">
        <f>+BJ289</f>
        <v/>
      </c>
      <c r="BK288" s="197">
        <f>+BK289</f>
        <v/>
      </c>
      <c r="BL288" s="197">
        <f>+BL289</f>
        <v/>
      </c>
      <c r="BM288" s="197">
        <f>+BM289</f>
        <v/>
      </c>
      <c r="BN288" s="197">
        <f>+BN289</f>
        <v/>
      </c>
      <c r="BP288" s="198">
        <f>$G288</f>
        <v/>
      </c>
      <c r="BQ288" s="197">
        <f>$J288</f>
        <v/>
      </c>
      <c r="BR288" s="197">
        <f>+BR289</f>
        <v/>
      </c>
      <c r="BS288" s="197">
        <f>+BS289</f>
        <v/>
      </c>
      <c r="BT288" s="197">
        <f>+BT289</f>
        <v/>
      </c>
      <c r="BU288" s="197">
        <f>+BU289</f>
        <v/>
      </c>
      <c r="BV288" s="197">
        <f>+BV289</f>
        <v/>
      </c>
      <c r="BX288" s="198">
        <f>$G288</f>
        <v/>
      </c>
      <c r="BY288" s="197">
        <f>$K288</f>
        <v/>
      </c>
      <c r="BZ288" s="197">
        <f>+BZ289</f>
        <v/>
      </c>
      <c r="CA288" s="197">
        <f>+CA289</f>
        <v/>
      </c>
      <c r="CB288" s="197">
        <f>+CB289</f>
        <v/>
      </c>
      <c r="CC288" s="197">
        <f>+CC289</f>
        <v/>
      </c>
      <c r="CD288" s="197">
        <f>+CD289</f>
        <v/>
      </c>
      <c r="CF288" s="198">
        <f>$G288</f>
        <v/>
      </c>
      <c r="CG288" s="197">
        <f>$L288</f>
        <v/>
      </c>
      <c r="CH288" s="197">
        <f>+CH289</f>
        <v/>
      </c>
      <c r="CI288" s="197">
        <f>+CI289</f>
        <v/>
      </c>
      <c r="CJ288" s="197">
        <f>+CJ289</f>
        <v/>
      </c>
      <c r="CK288" s="197">
        <f>+CK289</f>
        <v/>
      </c>
      <c r="CL288" s="197">
        <f>+CL289</f>
        <v/>
      </c>
      <c r="CO288" s="199" t="n">
        <v>10.44327146830127</v>
      </c>
      <c r="CP288" s="199" t="n">
        <v>3.72</v>
      </c>
      <c r="CR288" s="199" t="n">
        <v>9.199999999999999</v>
      </c>
      <c r="CS288" s="970" t="n">
        <v>0.88095</v>
      </c>
    </row>
    <row r="289">
      <c r="B289" s="204">
        <f>+C289-1</f>
        <v/>
      </c>
      <c r="C289" s="204">
        <f>IF('bands_A-H_Avg'!$D$9+1&gt;MONTH(G289),YEAR(G289),YEAR(G289)+1)</f>
        <v/>
      </c>
      <c r="D289" s="204">
        <f>+C289+1</f>
        <v/>
      </c>
      <c r="E289" s="203">
        <f>IF(C289&gt;C288,1,E288+1)</f>
        <v/>
      </c>
      <c r="F289" s="203">
        <f>COUNTIF(C:C,C289)</f>
        <v/>
      </c>
      <c r="G289" s="198">
        <f>+G288+7</f>
        <v/>
      </c>
      <c r="H289" s="361">
        <f>IF(ISBLANK(CO289),CP289,SUMPRODUCT(CO$32:CP$32,CO289:CP289))</f>
        <v/>
      </c>
      <c r="I289" s="968">
        <f>H289/M289</f>
        <v/>
      </c>
      <c r="J289" s="968">
        <f>H289/N289</f>
        <v/>
      </c>
      <c r="K289" s="968">
        <f>(H289+Q289)/O289</f>
        <v/>
      </c>
      <c r="L289" s="968">
        <f>(H289+Q289)/P289</f>
        <v/>
      </c>
      <c r="M289" s="199">
        <f>HLOOKUP(C:C,$4:$10,3,FALSE)+((HLOOKUP(D:D,$4:$10,3,FALSE)-HLOOKUP(C:C,$4:$10,3,FALSE))*E289/F289)</f>
        <v/>
      </c>
      <c r="N289" s="199">
        <f>HLOOKUP(C:C,$4:$10,2,FALSE)+((HLOOKUP(D:D,$4:$10,2,FALSE)-HLOOKUP(C:C,$4:$10,2,FALSE))*E289/F289)</f>
        <v/>
      </c>
      <c r="O289" s="199">
        <f>HLOOKUP(C:C,$4:$10,5,FALSE)+((HLOOKUP(D:D,$4:$10,5,FALSE)-HLOOKUP(C:C,$4:$10,5,FALSE))*E289/F289)</f>
        <v/>
      </c>
      <c r="P289" s="199">
        <f>HLOOKUP(C:C,$4:$10,4,FALSE)+((HLOOKUP(D:D,$4:$10,4,FALSE)-HLOOKUP(C:C,$4:$10,4,FALSE))*E289/F289)</f>
        <v/>
      </c>
      <c r="Q289" s="199">
        <f>HLOOKUP(B:B,$4:$10,6,FALSE)+((HLOOKUP(C:C,$4:$10,6,FALSE)-HLOOKUP(B:B,$4:$10,6,FALSE))*E289/F289)</f>
        <v/>
      </c>
      <c r="T289" s="198">
        <f>$G289</f>
        <v/>
      </c>
      <c r="U289" s="199">
        <f>H289/(HLOOKUP(B:B,$4:$10,3,FALSE)+((HLOOKUP(C:C,$4:$10,3,FALSE)-HLOOKUP(B:B,$4:$10,3,FALSE))*E289/F289))</f>
        <v/>
      </c>
      <c r="V289" s="969">
        <f>HLOOKUP(B:B,$4:$10,7,FALSE)+((HLOOKUP(C:C,$4:$10,7,FALSE)-HLOOKUP(B:B,$4:$10,7,FALSE))*E289/F289)</f>
        <v/>
      </c>
      <c r="AB289" s="198">
        <f>$G289</f>
        <v/>
      </c>
      <c r="AC289" s="199">
        <f>$H289</f>
        <v/>
      </c>
      <c r="AD289" s="199">
        <f>$M289*AD$34</f>
        <v/>
      </c>
      <c r="AE289" s="199">
        <f>$M289*AE$34</f>
        <v/>
      </c>
      <c r="AF289" s="199">
        <f>$M289*AF$34</f>
        <v/>
      </c>
      <c r="AG289" s="199">
        <f>$M289*AG$34</f>
        <v/>
      </c>
      <c r="AH289" s="199">
        <f>$M289*AH$34</f>
        <v/>
      </c>
      <c r="AJ289" s="198">
        <f>$G289</f>
        <v/>
      </c>
      <c r="AK289" s="199">
        <f>$H289</f>
        <v/>
      </c>
      <c r="AL289" s="199">
        <f>$N289*AL$34</f>
        <v/>
      </c>
      <c r="AM289" s="199">
        <f>$N289*AM$34</f>
        <v/>
      </c>
      <c r="AN289" s="199">
        <f>$N289*AN$34</f>
        <v/>
      </c>
      <c r="AO289" s="199">
        <f>$N289*AO$34</f>
        <v/>
      </c>
      <c r="AP289" s="199">
        <f>$N289*AP$34</f>
        <v/>
      </c>
      <c r="AR289" s="198">
        <f>$G289</f>
        <v/>
      </c>
      <c r="AS289" s="199">
        <f>$H289</f>
        <v/>
      </c>
      <c r="AT289" s="199">
        <f>$O289*AT$34-$Q289</f>
        <v/>
      </c>
      <c r="AU289" s="199">
        <f>$O289*AU$34-$Q289</f>
        <v/>
      </c>
      <c r="AV289" s="199">
        <f>$O289*AV$34-$Q289</f>
        <v/>
      </c>
      <c r="AW289" s="199">
        <f>$O289*AW$34-$Q289</f>
        <v/>
      </c>
      <c r="AX289" s="199">
        <f>$O289*AX$34-$Q289</f>
        <v/>
      </c>
      <c r="AZ289" s="198">
        <f>$G289</f>
        <v/>
      </c>
      <c r="BA289" s="199">
        <f>$H289</f>
        <v/>
      </c>
      <c r="BB289" s="199">
        <f>$P289*BB$34-$Q289</f>
        <v/>
      </c>
      <c r="BC289" s="199">
        <f>$P289*BC$34-$Q289</f>
        <v/>
      </c>
      <c r="BD289" s="199">
        <f>$P289*BD$34-$Q289</f>
        <v/>
      </c>
      <c r="BE289" s="199">
        <f>$P289*BE$34-$Q289</f>
        <v/>
      </c>
      <c r="BF289" s="199">
        <f>$P289*BF$34-$Q289</f>
        <v/>
      </c>
      <c r="BH289" s="198">
        <f>$G289</f>
        <v/>
      </c>
      <c r="BI289" s="197">
        <f>$I289</f>
        <v/>
      </c>
      <c r="BJ289" s="197">
        <f>+BJ290</f>
        <v/>
      </c>
      <c r="BK289" s="197">
        <f>+BK290</f>
        <v/>
      </c>
      <c r="BL289" s="197">
        <f>+BL290</f>
        <v/>
      </c>
      <c r="BM289" s="197">
        <f>+BM290</f>
        <v/>
      </c>
      <c r="BN289" s="197">
        <f>+BN290</f>
        <v/>
      </c>
      <c r="BP289" s="198">
        <f>$G289</f>
        <v/>
      </c>
      <c r="BQ289" s="197">
        <f>$J289</f>
        <v/>
      </c>
      <c r="BR289" s="197">
        <f>+BR290</f>
        <v/>
      </c>
      <c r="BS289" s="197">
        <f>+BS290</f>
        <v/>
      </c>
      <c r="BT289" s="197">
        <f>+BT290</f>
        <v/>
      </c>
      <c r="BU289" s="197">
        <f>+BU290</f>
        <v/>
      </c>
      <c r="BV289" s="197">
        <f>+BV290</f>
        <v/>
      </c>
      <c r="BX289" s="198">
        <f>$G289</f>
        <v/>
      </c>
      <c r="BY289" s="197">
        <f>$K289</f>
        <v/>
      </c>
      <c r="BZ289" s="197">
        <f>+BZ290</f>
        <v/>
      </c>
      <c r="CA289" s="197">
        <f>+CA290</f>
        <v/>
      </c>
      <c r="CB289" s="197">
        <f>+CB290</f>
        <v/>
      </c>
      <c r="CC289" s="197">
        <f>+CC290</f>
        <v/>
      </c>
      <c r="CD289" s="197">
        <f>+CD290</f>
        <v/>
      </c>
      <c r="CF289" s="198">
        <f>$G289</f>
        <v/>
      </c>
      <c r="CG289" s="197">
        <f>$L289</f>
        <v/>
      </c>
      <c r="CH289" s="197">
        <f>+CH290</f>
        <v/>
      </c>
      <c r="CI289" s="197">
        <f>+CI290</f>
        <v/>
      </c>
      <c r="CJ289" s="197">
        <f>+CJ290</f>
        <v/>
      </c>
      <c r="CK289" s="197">
        <f>+CK290</f>
        <v/>
      </c>
      <c r="CL289" s="197">
        <f>+CL290</f>
        <v/>
      </c>
      <c r="CO289" s="199" t="n">
        <v>11.4311012225716</v>
      </c>
      <c r="CP289" s="199" t="n">
        <v>3.79</v>
      </c>
      <c r="CR289" s="199" t="n">
        <v>10.07</v>
      </c>
      <c r="CS289" s="970" t="n">
        <v>0.88093</v>
      </c>
    </row>
    <row r="290">
      <c r="B290" s="204">
        <f>+C290-1</f>
        <v/>
      </c>
      <c r="C290" s="204">
        <f>IF('bands_A-H_Avg'!$D$9+1&gt;MONTH(G290),YEAR(G290),YEAR(G290)+1)</f>
        <v/>
      </c>
      <c r="D290" s="204">
        <f>+C290+1</f>
        <v/>
      </c>
      <c r="E290" s="203">
        <f>IF(C290&gt;C289,1,E289+1)</f>
        <v/>
      </c>
      <c r="F290" s="203">
        <f>COUNTIF(C:C,C290)</f>
        <v/>
      </c>
      <c r="G290" s="198">
        <f>+G289+7</f>
        <v/>
      </c>
      <c r="H290" s="361">
        <f>IF(ISBLANK(CO290),CP290,SUMPRODUCT(CO$32:CP$32,CO290:CP290))</f>
        <v/>
      </c>
      <c r="I290" s="968">
        <f>H290/M290</f>
        <v/>
      </c>
      <c r="J290" s="968">
        <f>H290/N290</f>
        <v/>
      </c>
      <c r="K290" s="968">
        <f>(H290+Q290)/O290</f>
        <v/>
      </c>
      <c r="L290" s="968">
        <f>(H290+Q290)/P290</f>
        <v/>
      </c>
      <c r="M290" s="199">
        <f>HLOOKUP(C:C,$4:$10,3,FALSE)+((HLOOKUP(D:D,$4:$10,3,FALSE)-HLOOKUP(C:C,$4:$10,3,FALSE))*E290/F290)</f>
        <v/>
      </c>
      <c r="N290" s="199">
        <f>HLOOKUP(C:C,$4:$10,2,FALSE)+((HLOOKUP(D:D,$4:$10,2,FALSE)-HLOOKUP(C:C,$4:$10,2,FALSE))*E290/F290)</f>
        <v/>
      </c>
      <c r="O290" s="199">
        <f>HLOOKUP(C:C,$4:$10,5,FALSE)+((HLOOKUP(D:D,$4:$10,5,FALSE)-HLOOKUP(C:C,$4:$10,5,FALSE))*E290/F290)</f>
        <v/>
      </c>
      <c r="P290" s="199">
        <f>HLOOKUP(C:C,$4:$10,4,FALSE)+((HLOOKUP(D:D,$4:$10,4,FALSE)-HLOOKUP(C:C,$4:$10,4,FALSE))*E290/F290)</f>
        <v/>
      </c>
      <c r="Q290" s="199">
        <f>HLOOKUP(B:B,$4:$10,6,FALSE)+((HLOOKUP(C:C,$4:$10,6,FALSE)-HLOOKUP(B:B,$4:$10,6,FALSE))*E290/F290)</f>
        <v/>
      </c>
      <c r="T290" s="198">
        <f>$G290</f>
        <v/>
      </c>
      <c r="U290" s="199">
        <f>H290/(HLOOKUP(B:B,$4:$10,3,FALSE)+((HLOOKUP(C:C,$4:$10,3,FALSE)-HLOOKUP(B:B,$4:$10,3,FALSE))*E290/F290))</f>
        <v/>
      </c>
      <c r="V290" s="969">
        <f>HLOOKUP(B:B,$4:$10,7,FALSE)+((HLOOKUP(C:C,$4:$10,7,FALSE)-HLOOKUP(B:B,$4:$10,7,FALSE))*E290/F290)</f>
        <v/>
      </c>
      <c r="AB290" s="198">
        <f>$G290</f>
        <v/>
      </c>
      <c r="AC290" s="199">
        <f>$H290</f>
        <v/>
      </c>
      <c r="AD290" s="199">
        <f>$M290*AD$34</f>
        <v/>
      </c>
      <c r="AE290" s="199">
        <f>$M290*AE$34</f>
        <v/>
      </c>
      <c r="AF290" s="199">
        <f>$M290*AF$34</f>
        <v/>
      </c>
      <c r="AG290" s="199">
        <f>$M290*AG$34</f>
        <v/>
      </c>
      <c r="AH290" s="199">
        <f>$M290*AH$34</f>
        <v/>
      </c>
      <c r="AJ290" s="198">
        <f>$G290</f>
        <v/>
      </c>
      <c r="AK290" s="199">
        <f>$H290</f>
        <v/>
      </c>
      <c r="AL290" s="199">
        <f>$N290*AL$34</f>
        <v/>
      </c>
      <c r="AM290" s="199">
        <f>$N290*AM$34</f>
        <v/>
      </c>
      <c r="AN290" s="199">
        <f>$N290*AN$34</f>
        <v/>
      </c>
      <c r="AO290" s="199">
        <f>$N290*AO$34</f>
        <v/>
      </c>
      <c r="AP290" s="199">
        <f>$N290*AP$34</f>
        <v/>
      </c>
      <c r="AR290" s="198">
        <f>$G290</f>
        <v/>
      </c>
      <c r="AS290" s="199">
        <f>$H290</f>
        <v/>
      </c>
      <c r="AT290" s="199">
        <f>$O290*AT$34-$Q290</f>
        <v/>
      </c>
      <c r="AU290" s="199">
        <f>$O290*AU$34-$Q290</f>
        <v/>
      </c>
      <c r="AV290" s="199">
        <f>$O290*AV$34-$Q290</f>
        <v/>
      </c>
      <c r="AW290" s="199">
        <f>$O290*AW$34-$Q290</f>
        <v/>
      </c>
      <c r="AX290" s="199">
        <f>$O290*AX$34-$Q290</f>
        <v/>
      </c>
      <c r="AZ290" s="198">
        <f>$G290</f>
        <v/>
      </c>
      <c r="BA290" s="199">
        <f>$H290</f>
        <v/>
      </c>
      <c r="BB290" s="199">
        <f>$P290*BB$34-$Q290</f>
        <v/>
      </c>
      <c r="BC290" s="199">
        <f>$P290*BC$34-$Q290</f>
        <v/>
      </c>
      <c r="BD290" s="199">
        <f>$P290*BD$34-$Q290</f>
        <v/>
      </c>
      <c r="BE290" s="199">
        <f>$P290*BE$34-$Q290</f>
        <v/>
      </c>
      <c r="BF290" s="199">
        <f>$P290*BF$34-$Q290</f>
        <v/>
      </c>
      <c r="BH290" s="198">
        <f>$G290</f>
        <v/>
      </c>
      <c r="BI290" s="197">
        <f>$I290</f>
        <v/>
      </c>
      <c r="BJ290" s="197">
        <f>+BJ291</f>
        <v/>
      </c>
      <c r="BK290" s="197">
        <f>+BK291</f>
        <v/>
      </c>
      <c r="BL290" s="197">
        <f>+BL291</f>
        <v/>
      </c>
      <c r="BM290" s="197">
        <f>+BM291</f>
        <v/>
      </c>
      <c r="BN290" s="197">
        <f>+BN291</f>
        <v/>
      </c>
      <c r="BP290" s="198">
        <f>$G290</f>
        <v/>
      </c>
      <c r="BQ290" s="197">
        <f>$J290</f>
        <v/>
      </c>
      <c r="BR290" s="197">
        <f>+BR291</f>
        <v/>
      </c>
      <c r="BS290" s="197">
        <f>+BS291</f>
        <v/>
      </c>
      <c r="BT290" s="197">
        <f>+BT291</f>
        <v/>
      </c>
      <c r="BU290" s="197">
        <f>+BU291</f>
        <v/>
      </c>
      <c r="BV290" s="197">
        <f>+BV291</f>
        <v/>
      </c>
      <c r="BX290" s="198">
        <f>$G290</f>
        <v/>
      </c>
      <c r="BY290" s="197">
        <f>$K290</f>
        <v/>
      </c>
      <c r="BZ290" s="197">
        <f>+BZ291</f>
        <v/>
      </c>
      <c r="CA290" s="197">
        <f>+CA291</f>
        <v/>
      </c>
      <c r="CB290" s="197">
        <f>+CB291</f>
        <v/>
      </c>
      <c r="CC290" s="197">
        <f>+CC291</f>
        <v/>
      </c>
      <c r="CD290" s="197">
        <f>+CD291</f>
        <v/>
      </c>
      <c r="CF290" s="198">
        <f>$G290</f>
        <v/>
      </c>
      <c r="CG290" s="197">
        <f>$L290</f>
        <v/>
      </c>
      <c r="CH290" s="197">
        <f>+CH291</f>
        <v/>
      </c>
      <c r="CI290" s="197">
        <f>+CI291</f>
        <v/>
      </c>
      <c r="CJ290" s="197">
        <f>+CJ291</f>
        <v/>
      </c>
      <c r="CK290" s="197">
        <f>+CK291</f>
        <v/>
      </c>
      <c r="CL290" s="197">
        <f>+CL291</f>
        <v/>
      </c>
      <c r="CO290" s="199" t="n">
        <v>11.86448375303708</v>
      </c>
      <c r="CP290" s="199" t="n">
        <v>3.8</v>
      </c>
      <c r="CR290" s="199" t="n">
        <v>10.45</v>
      </c>
      <c r="CS290" s="970" t="n">
        <v>0.88078</v>
      </c>
    </row>
    <row r="291">
      <c r="B291" s="204">
        <f>+C291-1</f>
        <v/>
      </c>
      <c r="C291" s="204">
        <f>IF('bands_A-H_Avg'!$D$9+1&gt;MONTH(G291),YEAR(G291),YEAR(G291)+1)</f>
        <v/>
      </c>
      <c r="D291" s="204">
        <f>+C291+1</f>
        <v/>
      </c>
      <c r="E291" s="203">
        <f>IF(C291&gt;C290,1,E290+1)</f>
        <v/>
      </c>
      <c r="F291" s="203">
        <f>COUNTIF(C:C,C291)</f>
        <v/>
      </c>
      <c r="G291" s="198">
        <f>+G290+7</f>
        <v/>
      </c>
      <c r="H291" s="361">
        <f>IF(ISBLANK(CO291),CP291,SUMPRODUCT(CO$32:CP$32,CO291:CP291))</f>
        <v/>
      </c>
      <c r="I291" s="968">
        <f>H291/M291</f>
        <v/>
      </c>
      <c r="J291" s="968">
        <f>H291/N291</f>
        <v/>
      </c>
      <c r="K291" s="968">
        <f>(H291+Q291)/O291</f>
        <v/>
      </c>
      <c r="L291" s="968">
        <f>(H291+Q291)/P291</f>
        <v/>
      </c>
      <c r="M291" s="199">
        <f>HLOOKUP(C:C,$4:$10,3,FALSE)+((HLOOKUP(D:D,$4:$10,3,FALSE)-HLOOKUP(C:C,$4:$10,3,FALSE))*E291/F291)</f>
        <v/>
      </c>
      <c r="N291" s="199">
        <f>HLOOKUP(C:C,$4:$10,2,FALSE)+((HLOOKUP(D:D,$4:$10,2,FALSE)-HLOOKUP(C:C,$4:$10,2,FALSE))*E291/F291)</f>
        <v/>
      </c>
      <c r="O291" s="199">
        <f>HLOOKUP(C:C,$4:$10,5,FALSE)+((HLOOKUP(D:D,$4:$10,5,FALSE)-HLOOKUP(C:C,$4:$10,5,FALSE))*E291/F291)</f>
        <v/>
      </c>
      <c r="P291" s="199">
        <f>HLOOKUP(C:C,$4:$10,4,FALSE)+((HLOOKUP(D:D,$4:$10,4,FALSE)-HLOOKUP(C:C,$4:$10,4,FALSE))*E291/F291)</f>
        <v/>
      </c>
      <c r="Q291" s="199">
        <f>HLOOKUP(B:B,$4:$10,6,FALSE)+((HLOOKUP(C:C,$4:$10,6,FALSE)-HLOOKUP(B:B,$4:$10,6,FALSE))*E291/F291)</f>
        <v/>
      </c>
      <c r="T291" s="198">
        <f>$G291</f>
        <v/>
      </c>
      <c r="U291" s="199">
        <f>H291/(HLOOKUP(B:B,$4:$10,3,FALSE)+((HLOOKUP(C:C,$4:$10,3,FALSE)-HLOOKUP(B:B,$4:$10,3,FALSE))*E291/F291))</f>
        <v/>
      </c>
      <c r="V291" s="969">
        <f>HLOOKUP(B:B,$4:$10,7,FALSE)+((HLOOKUP(C:C,$4:$10,7,FALSE)-HLOOKUP(B:B,$4:$10,7,FALSE))*E291/F291)</f>
        <v/>
      </c>
      <c r="AB291" s="198">
        <f>$G291</f>
        <v/>
      </c>
      <c r="AC291" s="199">
        <f>$H291</f>
        <v/>
      </c>
      <c r="AD291" s="199">
        <f>$M291*AD$34</f>
        <v/>
      </c>
      <c r="AE291" s="199">
        <f>$M291*AE$34</f>
        <v/>
      </c>
      <c r="AF291" s="199">
        <f>$M291*AF$34</f>
        <v/>
      </c>
      <c r="AG291" s="199">
        <f>$M291*AG$34</f>
        <v/>
      </c>
      <c r="AH291" s="199">
        <f>$M291*AH$34</f>
        <v/>
      </c>
      <c r="AJ291" s="198">
        <f>$G291</f>
        <v/>
      </c>
      <c r="AK291" s="199">
        <f>$H291</f>
        <v/>
      </c>
      <c r="AL291" s="199">
        <f>$N291*AL$34</f>
        <v/>
      </c>
      <c r="AM291" s="199">
        <f>$N291*AM$34</f>
        <v/>
      </c>
      <c r="AN291" s="199">
        <f>$N291*AN$34</f>
        <v/>
      </c>
      <c r="AO291" s="199">
        <f>$N291*AO$34</f>
        <v/>
      </c>
      <c r="AP291" s="199">
        <f>$N291*AP$34</f>
        <v/>
      </c>
      <c r="AR291" s="198">
        <f>$G291</f>
        <v/>
      </c>
      <c r="AS291" s="199">
        <f>$H291</f>
        <v/>
      </c>
      <c r="AT291" s="199">
        <f>$O291*AT$34-$Q291</f>
        <v/>
      </c>
      <c r="AU291" s="199">
        <f>$O291*AU$34-$Q291</f>
        <v/>
      </c>
      <c r="AV291" s="199">
        <f>$O291*AV$34-$Q291</f>
        <v/>
      </c>
      <c r="AW291" s="199">
        <f>$O291*AW$34-$Q291</f>
        <v/>
      </c>
      <c r="AX291" s="199">
        <f>$O291*AX$34-$Q291</f>
        <v/>
      </c>
      <c r="AZ291" s="198">
        <f>$G291</f>
        <v/>
      </c>
      <c r="BA291" s="199">
        <f>$H291</f>
        <v/>
      </c>
      <c r="BB291" s="199">
        <f>$P291*BB$34-$Q291</f>
        <v/>
      </c>
      <c r="BC291" s="199">
        <f>$P291*BC$34-$Q291</f>
        <v/>
      </c>
      <c r="BD291" s="199">
        <f>$P291*BD$34-$Q291</f>
        <v/>
      </c>
      <c r="BE291" s="199">
        <f>$P291*BE$34-$Q291</f>
        <v/>
      </c>
      <c r="BF291" s="199">
        <f>$P291*BF$34-$Q291</f>
        <v/>
      </c>
      <c r="BH291" s="198">
        <f>$G291</f>
        <v/>
      </c>
      <c r="BI291" s="197">
        <f>$I291</f>
        <v/>
      </c>
      <c r="BJ291" s="197">
        <f>+BJ292</f>
        <v/>
      </c>
      <c r="BK291" s="197">
        <f>+BK292</f>
        <v/>
      </c>
      <c r="BL291" s="197">
        <f>+BL292</f>
        <v/>
      </c>
      <c r="BM291" s="197">
        <f>+BM292</f>
        <v/>
      </c>
      <c r="BN291" s="197">
        <f>+BN292</f>
        <v/>
      </c>
      <c r="BP291" s="198">
        <f>$G291</f>
        <v/>
      </c>
      <c r="BQ291" s="197">
        <f>$J291</f>
        <v/>
      </c>
      <c r="BR291" s="197">
        <f>+BR292</f>
        <v/>
      </c>
      <c r="BS291" s="197">
        <f>+BS292</f>
        <v/>
      </c>
      <c r="BT291" s="197">
        <f>+BT292</f>
        <v/>
      </c>
      <c r="BU291" s="197">
        <f>+BU292</f>
        <v/>
      </c>
      <c r="BV291" s="197">
        <f>+BV292</f>
        <v/>
      </c>
      <c r="BX291" s="198">
        <f>$G291</f>
        <v/>
      </c>
      <c r="BY291" s="197">
        <f>$K291</f>
        <v/>
      </c>
      <c r="BZ291" s="197">
        <f>+BZ292</f>
        <v/>
      </c>
      <c r="CA291" s="197">
        <f>+CA292</f>
        <v/>
      </c>
      <c r="CB291" s="197">
        <f>+CB292</f>
        <v/>
      </c>
      <c r="CC291" s="197">
        <f>+CC292</f>
        <v/>
      </c>
      <c r="CD291" s="197">
        <f>+CD292</f>
        <v/>
      </c>
      <c r="CF291" s="198">
        <f>$G291</f>
        <v/>
      </c>
      <c r="CG291" s="197">
        <f>$L291</f>
        <v/>
      </c>
      <c r="CH291" s="197">
        <f>+CH292</f>
        <v/>
      </c>
      <c r="CI291" s="197">
        <f>+CI292</f>
        <v/>
      </c>
      <c r="CJ291" s="197">
        <f>+CJ292</f>
        <v/>
      </c>
      <c r="CK291" s="197">
        <f>+CK292</f>
        <v/>
      </c>
      <c r="CL291" s="197">
        <f>+CL292</f>
        <v/>
      </c>
      <c r="CO291" s="199" t="n">
        <v>12.33853208926423</v>
      </c>
      <c r="CP291" s="199" t="n">
        <v>3.85</v>
      </c>
      <c r="CR291" s="199" t="n">
        <v>10.87</v>
      </c>
      <c r="CS291" s="970" t="n">
        <v>0.88098</v>
      </c>
    </row>
    <row r="292">
      <c r="B292" s="204">
        <f>+C292-1</f>
        <v/>
      </c>
      <c r="C292" s="204">
        <f>IF('bands_A-H_Avg'!$D$9+1&gt;MONTH(G292),YEAR(G292),YEAR(G292)+1)</f>
        <v/>
      </c>
      <c r="D292" s="204">
        <f>+C292+1</f>
        <v/>
      </c>
      <c r="E292" s="203">
        <f>IF(C292&gt;C291,1,E291+1)</f>
        <v/>
      </c>
      <c r="F292" s="203">
        <f>COUNTIF(C:C,C292)</f>
        <v/>
      </c>
      <c r="G292" s="198">
        <f>+G291+7</f>
        <v/>
      </c>
      <c r="H292" s="361">
        <f>IF(ISBLANK(CO292),CP292,SUMPRODUCT(CO$32:CP$32,CO292:CP292))</f>
        <v/>
      </c>
      <c r="I292" s="968">
        <f>H292/M292</f>
        <v/>
      </c>
      <c r="J292" s="968">
        <f>H292/N292</f>
        <v/>
      </c>
      <c r="K292" s="968">
        <f>(H292+Q292)/O292</f>
        <v/>
      </c>
      <c r="L292" s="968">
        <f>(H292+Q292)/P292</f>
        <v/>
      </c>
      <c r="M292" s="199">
        <f>HLOOKUP(C:C,$4:$10,3,FALSE)+((HLOOKUP(D:D,$4:$10,3,FALSE)-HLOOKUP(C:C,$4:$10,3,FALSE))*E292/F292)</f>
        <v/>
      </c>
      <c r="N292" s="199">
        <f>HLOOKUP(C:C,$4:$10,2,FALSE)+((HLOOKUP(D:D,$4:$10,2,FALSE)-HLOOKUP(C:C,$4:$10,2,FALSE))*E292/F292)</f>
        <v/>
      </c>
      <c r="O292" s="199">
        <f>HLOOKUP(C:C,$4:$10,5,FALSE)+((HLOOKUP(D:D,$4:$10,5,FALSE)-HLOOKUP(C:C,$4:$10,5,FALSE))*E292/F292)</f>
        <v/>
      </c>
      <c r="P292" s="199">
        <f>HLOOKUP(C:C,$4:$10,4,FALSE)+((HLOOKUP(D:D,$4:$10,4,FALSE)-HLOOKUP(C:C,$4:$10,4,FALSE))*E292/F292)</f>
        <v/>
      </c>
      <c r="Q292" s="199">
        <f>HLOOKUP(B:B,$4:$10,6,FALSE)+((HLOOKUP(C:C,$4:$10,6,FALSE)-HLOOKUP(B:B,$4:$10,6,FALSE))*E292/F292)</f>
        <v/>
      </c>
      <c r="T292" s="198">
        <f>$G292</f>
        <v/>
      </c>
      <c r="U292" s="199">
        <f>H292/(HLOOKUP(B:B,$4:$10,3,FALSE)+((HLOOKUP(C:C,$4:$10,3,FALSE)-HLOOKUP(B:B,$4:$10,3,FALSE))*E292/F292))</f>
        <v/>
      </c>
      <c r="V292" s="969">
        <f>HLOOKUP(B:B,$4:$10,7,FALSE)+((HLOOKUP(C:C,$4:$10,7,FALSE)-HLOOKUP(B:B,$4:$10,7,FALSE))*E292/F292)</f>
        <v/>
      </c>
      <c r="AB292" s="198">
        <f>$G292</f>
        <v/>
      </c>
      <c r="AC292" s="199">
        <f>$H292</f>
        <v/>
      </c>
      <c r="AD292" s="199">
        <f>$M292*AD$34</f>
        <v/>
      </c>
      <c r="AE292" s="199">
        <f>$M292*AE$34</f>
        <v/>
      </c>
      <c r="AF292" s="199">
        <f>$M292*AF$34</f>
        <v/>
      </c>
      <c r="AG292" s="199">
        <f>$M292*AG$34</f>
        <v/>
      </c>
      <c r="AH292" s="199">
        <f>$M292*AH$34</f>
        <v/>
      </c>
      <c r="AJ292" s="198">
        <f>$G292</f>
        <v/>
      </c>
      <c r="AK292" s="199">
        <f>$H292</f>
        <v/>
      </c>
      <c r="AL292" s="199">
        <f>$N292*AL$34</f>
        <v/>
      </c>
      <c r="AM292" s="199">
        <f>$N292*AM$34</f>
        <v/>
      </c>
      <c r="AN292" s="199">
        <f>$N292*AN$34</f>
        <v/>
      </c>
      <c r="AO292" s="199">
        <f>$N292*AO$34</f>
        <v/>
      </c>
      <c r="AP292" s="199">
        <f>$N292*AP$34</f>
        <v/>
      </c>
      <c r="AR292" s="198">
        <f>$G292</f>
        <v/>
      </c>
      <c r="AS292" s="199">
        <f>$H292</f>
        <v/>
      </c>
      <c r="AT292" s="199">
        <f>$O292*AT$34-$Q292</f>
        <v/>
      </c>
      <c r="AU292" s="199">
        <f>$O292*AU$34-$Q292</f>
        <v/>
      </c>
      <c r="AV292" s="199">
        <f>$O292*AV$34-$Q292</f>
        <v/>
      </c>
      <c r="AW292" s="199">
        <f>$O292*AW$34-$Q292</f>
        <v/>
      </c>
      <c r="AX292" s="199">
        <f>$O292*AX$34-$Q292</f>
        <v/>
      </c>
      <c r="AZ292" s="198">
        <f>$G292</f>
        <v/>
      </c>
      <c r="BA292" s="199">
        <f>$H292</f>
        <v/>
      </c>
      <c r="BB292" s="199">
        <f>$P292*BB$34-$Q292</f>
        <v/>
      </c>
      <c r="BC292" s="199">
        <f>$P292*BC$34-$Q292</f>
        <v/>
      </c>
      <c r="BD292" s="199">
        <f>$P292*BD$34-$Q292</f>
        <v/>
      </c>
      <c r="BE292" s="199">
        <f>$P292*BE$34-$Q292</f>
        <v/>
      </c>
      <c r="BF292" s="199">
        <f>$P292*BF$34-$Q292</f>
        <v/>
      </c>
      <c r="BH292" s="198">
        <f>$G292</f>
        <v/>
      </c>
      <c r="BI292" s="197">
        <f>$I292</f>
        <v/>
      </c>
      <c r="BJ292" s="197">
        <f>+BJ293</f>
        <v/>
      </c>
      <c r="BK292" s="197">
        <f>+BK293</f>
        <v/>
      </c>
      <c r="BL292" s="197">
        <f>+BL293</f>
        <v/>
      </c>
      <c r="BM292" s="197">
        <f>+BM293</f>
        <v/>
      </c>
      <c r="BN292" s="197">
        <f>+BN293</f>
        <v/>
      </c>
      <c r="BP292" s="198">
        <f>$G292</f>
        <v/>
      </c>
      <c r="BQ292" s="197">
        <f>$J292</f>
        <v/>
      </c>
      <c r="BR292" s="197">
        <f>+BR293</f>
        <v/>
      </c>
      <c r="BS292" s="197">
        <f>+BS293</f>
        <v/>
      </c>
      <c r="BT292" s="197">
        <f>+BT293</f>
        <v/>
      </c>
      <c r="BU292" s="197">
        <f>+BU293</f>
        <v/>
      </c>
      <c r="BV292" s="197">
        <f>+BV293</f>
        <v/>
      </c>
      <c r="BX292" s="198">
        <f>$G292</f>
        <v/>
      </c>
      <c r="BY292" s="197">
        <f>$K292</f>
        <v/>
      </c>
      <c r="BZ292" s="197">
        <f>+BZ293</f>
        <v/>
      </c>
      <c r="CA292" s="197">
        <f>+CA293</f>
        <v/>
      </c>
      <c r="CB292" s="197">
        <f>+CB293</f>
        <v/>
      </c>
      <c r="CC292" s="197">
        <f>+CC293</f>
        <v/>
      </c>
      <c r="CD292" s="197">
        <f>+CD293</f>
        <v/>
      </c>
      <c r="CF292" s="198">
        <f>$G292</f>
        <v/>
      </c>
      <c r="CG292" s="197">
        <f>$L292</f>
        <v/>
      </c>
      <c r="CH292" s="197">
        <f>+CH293</f>
        <v/>
      </c>
      <c r="CI292" s="197">
        <f>+CI293</f>
        <v/>
      </c>
      <c r="CJ292" s="197">
        <f>+CJ293</f>
        <v/>
      </c>
      <c r="CK292" s="197">
        <f>+CK293</f>
        <v/>
      </c>
      <c r="CL292" s="197">
        <f>+CL293</f>
        <v/>
      </c>
      <c r="CO292" s="199" t="n">
        <v>11.22511520214287</v>
      </c>
      <c r="CP292" s="199" t="n">
        <v>3.48</v>
      </c>
      <c r="CR292" s="199" t="n">
        <v>9.890000000000001</v>
      </c>
      <c r="CS292" s="970" t="n">
        <v>0.88106</v>
      </c>
    </row>
    <row r="293">
      <c r="B293" s="204">
        <f>+C293-1</f>
        <v/>
      </c>
      <c r="C293" s="204">
        <f>IF('bands_A-H_Avg'!$D$9+1&gt;MONTH(G293),YEAR(G293),YEAR(G293)+1)</f>
        <v/>
      </c>
      <c r="D293" s="204">
        <f>+C293+1</f>
        <v/>
      </c>
      <c r="E293" s="203">
        <f>IF(C293&gt;C292,1,E292+1)</f>
        <v/>
      </c>
      <c r="F293" s="203">
        <f>COUNTIF(C:C,C293)</f>
        <v/>
      </c>
      <c r="G293" s="198">
        <f>+G292+7</f>
        <v/>
      </c>
      <c r="H293" s="361">
        <f>IF(ISBLANK(CO293),CP293,SUMPRODUCT(CO$32:CP$32,CO293:CP293))</f>
        <v/>
      </c>
      <c r="I293" s="968">
        <f>H293/M293</f>
        <v/>
      </c>
      <c r="J293" s="968">
        <f>H293/N293</f>
        <v/>
      </c>
      <c r="K293" s="968">
        <f>(H293+Q293)/O293</f>
        <v/>
      </c>
      <c r="L293" s="968">
        <f>(H293+Q293)/P293</f>
        <v/>
      </c>
      <c r="M293" s="199">
        <f>HLOOKUP(C:C,$4:$10,3,FALSE)+((HLOOKUP(D:D,$4:$10,3,FALSE)-HLOOKUP(C:C,$4:$10,3,FALSE))*E293/F293)</f>
        <v/>
      </c>
      <c r="N293" s="199">
        <f>HLOOKUP(C:C,$4:$10,2,FALSE)+((HLOOKUP(D:D,$4:$10,2,FALSE)-HLOOKUP(C:C,$4:$10,2,FALSE))*E293/F293)</f>
        <v/>
      </c>
      <c r="O293" s="199">
        <f>HLOOKUP(C:C,$4:$10,5,FALSE)+((HLOOKUP(D:D,$4:$10,5,FALSE)-HLOOKUP(C:C,$4:$10,5,FALSE))*E293/F293)</f>
        <v/>
      </c>
      <c r="P293" s="199">
        <f>HLOOKUP(C:C,$4:$10,4,FALSE)+((HLOOKUP(D:D,$4:$10,4,FALSE)-HLOOKUP(C:C,$4:$10,4,FALSE))*E293/F293)</f>
        <v/>
      </c>
      <c r="Q293" s="199">
        <f>HLOOKUP(B:B,$4:$10,6,FALSE)+((HLOOKUP(C:C,$4:$10,6,FALSE)-HLOOKUP(B:B,$4:$10,6,FALSE))*E293/F293)</f>
        <v/>
      </c>
      <c r="T293" s="198">
        <f>$G293</f>
        <v/>
      </c>
      <c r="U293" s="199">
        <f>H293/(HLOOKUP(B:B,$4:$10,3,FALSE)+((HLOOKUP(C:C,$4:$10,3,FALSE)-HLOOKUP(B:B,$4:$10,3,FALSE))*E293/F293))</f>
        <v/>
      </c>
      <c r="V293" s="969">
        <f>HLOOKUP(B:B,$4:$10,7,FALSE)+((HLOOKUP(C:C,$4:$10,7,FALSE)-HLOOKUP(B:B,$4:$10,7,FALSE))*E293/F293)</f>
        <v/>
      </c>
      <c r="AB293" s="198">
        <f>$G293</f>
        <v/>
      </c>
      <c r="AC293" s="199">
        <f>$H293</f>
        <v/>
      </c>
      <c r="AD293" s="199">
        <f>$M293*AD$34</f>
        <v/>
      </c>
      <c r="AE293" s="199">
        <f>$M293*AE$34</f>
        <v/>
      </c>
      <c r="AF293" s="199">
        <f>$M293*AF$34</f>
        <v/>
      </c>
      <c r="AG293" s="199">
        <f>$M293*AG$34</f>
        <v/>
      </c>
      <c r="AH293" s="199">
        <f>$M293*AH$34</f>
        <v/>
      </c>
      <c r="AJ293" s="198">
        <f>$G293</f>
        <v/>
      </c>
      <c r="AK293" s="199">
        <f>$H293</f>
        <v/>
      </c>
      <c r="AL293" s="199">
        <f>$N293*AL$34</f>
        <v/>
      </c>
      <c r="AM293" s="199">
        <f>$N293*AM$34</f>
        <v/>
      </c>
      <c r="AN293" s="199">
        <f>$N293*AN$34</f>
        <v/>
      </c>
      <c r="AO293" s="199">
        <f>$N293*AO$34</f>
        <v/>
      </c>
      <c r="AP293" s="199">
        <f>$N293*AP$34</f>
        <v/>
      </c>
      <c r="AR293" s="198">
        <f>$G293</f>
        <v/>
      </c>
      <c r="AS293" s="199">
        <f>$H293</f>
        <v/>
      </c>
      <c r="AT293" s="199">
        <f>$O293*AT$34-$Q293</f>
        <v/>
      </c>
      <c r="AU293" s="199">
        <f>$O293*AU$34-$Q293</f>
        <v/>
      </c>
      <c r="AV293" s="199">
        <f>$O293*AV$34-$Q293</f>
        <v/>
      </c>
      <c r="AW293" s="199">
        <f>$O293*AW$34-$Q293</f>
        <v/>
      </c>
      <c r="AX293" s="199">
        <f>$O293*AX$34-$Q293</f>
        <v/>
      </c>
      <c r="AZ293" s="198">
        <f>$G293</f>
        <v/>
      </c>
      <c r="BA293" s="199">
        <f>$H293</f>
        <v/>
      </c>
      <c r="BB293" s="199">
        <f>$P293*BB$34-$Q293</f>
        <v/>
      </c>
      <c r="BC293" s="199">
        <f>$P293*BC$34-$Q293</f>
        <v/>
      </c>
      <c r="BD293" s="199">
        <f>$P293*BD$34-$Q293</f>
        <v/>
      </c>
      <c r="BE293" s="199">
        <f>$P293*BE$34-$Q293</f>
        <v/>
      </c>
      <c r="BF293" s="199">
        <f>$P293*BF$34-$Q293</f>
        <v/>
      </c>
      <c r="BH293" s="198">
        <f>$G293</f>
        <v/>
      </c>
      <c r="BI293" s="197">
        <f>$I293</f>
        <v/>
      </c>
      <c r="BJ293" s="197">
        <f>+BJ294</f>
        <v/>
      </c>
      <c r="BK293" s="197">
        <f>+BK294</f>
        <v/>
      </c>
      <c r="BL293" s="197">
        <f>+BL294</f>
        <v/>
      </c>
      <c r="BM293" s="197">
        <f>+BM294</f>
        <v/>
      </c>
      <c r="BN293" s="197">
        <f>+BN294</f>
        <v/>
      </c>
      <c r="BP293" s="198">
        <f>$G293</f>
        <v/>
      </c>
      <c r="BQ293" s="197">
        <f>$J293</f>
        <v/>
      </c>
      <c r="BR293" s="197">
        <f>+BR294</f>
        <v/>
      </c>
      <c r="BS293" s="197">
        <f>+BS294</f>
        <v/>
      </c>
      <c r="BT293" s="197">
        <f>+BT294</f>
        <v/>
      </c>
      <c r="BU293" s="197">
        <f>+BU294</f>
        <v/>
      </c>
      <c r="BV293" s="197">
        <f>+BV294</f>
        <v/>
      </c>
      <c r="BX293" s="198">
        <f>$G293</f>
        <v/>
      </c>
      <c r="BY293" s="197">
        <f>$K293</f>
        <v/>
      </c>
      <c r="BZ293" s="197">
        <f>+BZ294</f>
        <v/>
      </c>
      <c r="CA293" s="197">
        <f>+CA294</f>
        <v/>
      </c>
      <c r="CB293" s="197">
        <f>+CB294</f>
        <v/>
      </c>
      <c r="CC293" s="197">
        <f>+CC294</f>
        <v/>
      </c>
      <c r="CD293" s="197">
        <f>+CD294</f>
        <v/>
      </c>
      <c r="CF293" s="198">
        <f>$G293</f>
        <v/>
      </c>
      <c r="CG293" s="197">
        <f>$L293</f>
        <v/>
      </c>
      <c r="CH293" s="197">
        <f>+CH294</f>
        <v/>
      </c>
      <c r="CI293" s="197">
        <f>+CI294</f>
        <v/>
      </c>
      <c r="CJ293" s="197">
        <f>+CJ294</f>
        <v/>
      </c>
      <c r="CK293" s="197">
        <f>+CK294</f>
        <v/>
      </c>
      <c r="CL293" s="197">
        <f>+CL294</f>
        <v/>
      </c>
      <c r="CO293" s="199" t="n">
        <v>11.47715920443193</v>
      </c>
      <c r="CP293" s="199" t="n">
        <v>3.64</v>
      </c>
      <c r="CR293" s="199" t="n">
        <v>10.11</v>
      </c>
      <c r="CS293" s="970" t="n">
        <v>0.88088</v>
      </c>
    </row>
    <row r="294">
      <c r="B294" s="204">
        <f>+C294-1</f>
        <v/>
      </c>
      <c r="C294" s="204">
        <f>IF('bands_A-H_Avg'!$D$9+1&gt;MONTH(G294),YEAR(G294),YEAR(G294)+1)</f>
        <v/>
      </c>
      <c r="D294" s="204">
        <f>+C294+1</f>
        <v/>
      </c>
      <c r="E294" s="203">
        <f>IF(C294&gt;C293,1,E293+1)</f>
        <v/>
      </c>
      <c r="F294" s="203">
        <f>COUNTIF(C:C,C294)</f>
        <v/>
      </c>
      <c r="G294" s="198">
        <f>+G293+7</f>
        <v/>
      </c>
      <c r="H294" s="361">
        <f>IF(ISBLANK(CO294),CP294,SUMPRODUCT(CO$32:CP$32,CO294:CP294))</f>
        <v/>
      </c>
      <c r="I294" s="968">
        <f>H294/M294</f>
        <v/>
      </c>
      <c r="J294" s="968">
        <f>H294/N294</f>
        <v/>
      </c>
      <c r="K294" s="968">
        <f>(H294+Q294)/O294</f>
        <v/>
      </c>
      <c r="L294" s="968">
        <f>(H294+Q294)/P294</f>
        <v/>
      </c>
      <c r="M294" s="199">
        <f>HLOOKUP(C:C,$4:$10,3,FALSE)+((HLOOKUP(D:D,$4:$10,3,FALSE)-HLOOKUP(C:C,$4:$10,3,FALSE))*E294/F294)</f>
        <v/>
      </c>
      <c r="N294" s="199">
        <f>HLOOKUP(C:C,$4:$10,2,FALSE)+((HLOOKUP(D:D,$4:$10,2,FALSE)-HLOOKUP(C:C,$4:$10,2,FALSE))*E294/F294)</f>
        <v/>
      </c>
      <c r="O294" s="199">
        <f>HLOOKUP(C:C,$4:$10,5,FALSE)+((HLOOKUP(D:D,$4:$10,5,FALSE)-HLOOKUP(C:C,$4:$10,5,FALSE))*E294/F294)</f>
        <v/>
      </c>
      <c r="P294" s="199">
        <f>HLOOKUP(C:C,$4:$10,4,FALSE)+((HLOOKUP(D:D,$4:$10,4,FALSE)-HLOOKUP(C:C,$4:$10,4,FALSE))*E294/F294)</f>
        <v/>
      </c>
      <c r="Q294" s="199">
        <f>HLOOKUP(B:B,$4:$10,6,FALSE)+((HLOOKUP(C:C,$4:$10,6,FALSE)-HLOOKUP(B:B,$4:$10,6,FALSE))*E294/F294)</f>
        <v/>
      </c>
      <c r="T294" s="198">
        <f>$G294</f>
        <v/>
      </c>
      <c r="U294" s="199">
        <f>H294/(HLOOKUP(B:B,$4:$10,3,FALSE)+((HLOOKUP(C:C,$4:$10,3,FALSE)-HLOOKUP(B:B,$4:$10,3,FALSE))*E294/F294))</f>
        <v/>
      </c>
      <c r="V294" s="969">
        <f>HLOOKUP(B:B,$4:$10,7,FALSE)+((HLOOKUP(C:C,$4:$10,7,FALSE)-HLOOKUP(B:B,$4:$10,7,FALSE))*E294/F294)</f>
        <v/>
      </c>
      <c r="AB294" s="198">
        <f>$G294</f>
        <v/>
      </c>
      <c r="AC294" s="199">
        <f>$H294</f>
        <v/>
      </c>
      <c r="AD294" s="199">
        <f>$M294*AD$34</f>
        <v/>
      </c>
      <c r="AE294" s="199">
        <f>$M294*AE$34</f>
        <v/>
      </c>
      <c r="AF294" s="199">
        <f>$M294*AF$34</f>
        <v/>
      </c>
      <c r="AG294" s="199">
        <f>$M294*AG$34</f>
        <v/>
      </c>
      <c r="AH294" s="199">
        <f>$M294*AH$34</f>
        <v/>
      </c>
      <c r="AJ294" s="198">
        <f>$G294</f>
        <v/>
      </c>
      <c r="AK294" s="199">
        <f>$H294</f>
        <v/>
      </c>
      <c r="AL294" s="199">
        <f>$N294*AL$34</f>
        <v/>
      </c>
      <c r="AM294" s="199">
        <f>$N294*AM$34</f>
        <v/>
      </c>
      <c r="AN294" s="199">
        <f>$N294*AN$34</f>
        <v/>
      </c>
      <c r="AO294" s="199">
        <f>$N294*AO$34</f>
        <v/>
      </c>
      <c r="AP294" s="199">
        <f>$N294*AP$34</f>
        <v/>
      </c>
      <c r="AR294" s="198">
        <f>$G294</f>
        <v/>
      </c>
      <c r="AS294" s="199">
        <f>$H294</f>
        <v/>
      </c>
      <c r="AT294" s="199">
        <f>$O294*AT$34-$Q294</f>
        <v/>
      </c>
      <c r="AU294" s="199">
        <f>$O294*AU$34-$Q294</f>
        <v/>
      </c>
      <c r="AV294" s="199">
        <f>$O294*AV$34-$Q294</f>
        <v/>
      </c>
      <c r="AW294" s="199">
        <f>$O294*AW$34-$Q294</f>
        <v/>
      </c>
      <c r="AX294" s="199">
        <f>$O294*AX$34-$Q294</f>
        <v/>
      </c>
      <c r="AZ294" s="198">
        <f>$G294</f>
        <v/>
      </c>
      <c r="BA294" s="199">
        <f>$H294</f>
        <v/>
      </c>
      <c r="BB294" s="199">
        <f>$P294*BB$34-$Q294</f>
        <v/>
      </c>
      <c r="BC294" s="199">
        <f>$P294*BC$34-$Q294</f>
        <v/>
      </c>
      <c r="BD294" s="199">
        <f>$P294*BD$34-$Q294</f>
        <v/>
      </c>
      <c r="BE294" s="199">
        <f>$P294*BE$34-$Q294</f>
        <v/>
      </c>
      <c r="BF294" s="199">
        <f>$P294*BF$34-$Q294</f>
        <v/>
      </c>
      <c r="BH294" s="198">
        <f>$G294</f>
        <v/>
      </c>
      <c r="BI294" s="197">
        <f>$I294</f>
        <v/>
      </c>
      <c r="BJ294" s="197">
        <f>+BJ295</f>
        <v/>
      </c>
      <c r="BK294" s="197">
        <f>+BK295</f>
        <v/>
      </c>
      <c r="BL294" s="197">
        <f>+BL295</f>
        <v/>
      </c>
      <c r="BM294" s="197">
        <f>+BM295</f>
        <v/>
      </c>
      <c r="BN294" s="197">
        <f>+BN295</f>
        <v/>
      </c>
      <c r="BP294" s="198">
        <f>$G294</f>
        <v/>
      </c>
      <c r="BQ294" s="197">
        <f>$J294</f>
        <v/>
      </c>
      <c r="BR294" s="197">
        <f>+BR295</f>
        <v/>
      </c>
      <c r="BS294" s="197">
        <f>+BS295</f>
        <v/>
      </c>
      <c r="BT294" s="197">
        <f>+BT295</f>
        <v/>
      </c>
      <c r="BU294" s="197">
        <f>+BU295</f>
        <v/>
      </c>
      <c r="BV294" s="197">
        <f>+BV295</f>
        <v/>
      </c>
      <c r="BX294" s="198">
        <f>$G294</f>
        <v/>
      </c>
      <c r="BY294" s="197">
        <f>$K294</f>
        <v/>
      </c>
      <c r="BZ294" s="197">
        <f>+BZ295</f>
        <v/>
      </c>
      <c r="CA294" s="197">
        <f>+CA295</f>
        <v/>
      </c>
      <c r="CB294" s="197">
        <f>+CB295</f>
        <v/>
      </c>
      <c r="CC294" s="197">
        <f>+CC295</f>
        <v/>
      </c>
      <c r="CD294" s="197">
        <f>+CD295</f>
        <v/>
      </c>
      <c r="CF294" s="198">
        <f>$G294</f>
        <v/>
      </c>
      <c r="CG294" s="197">
        <f>$L294</f>
        <v/>
      </c>
      <c r="CH294" s="197">
        <f>+CH295</f>
        <v/>
      </c>
      <c r="CI294" s="197">
        <f>+CI295</f>
        <v/>
      </c>
      <c r="CJ294" s="197">
        <f>+CJ295</f>
        <v/>
      </c>
      <c r="CK294" s="197">
        <f>+CK295</f>
        <v/>
      </c>
      <c r="CL294" s="197">
        <f>+CL295</f>
        <v/>
      </c>
      <c r="CO294" s="199" t="n">
        <v>11.49947213676766</v>
      </c>
      <c r="CP294" s="199" t="n">
        <v>3.53</v>
      </c>
      <c r="CR294" s="199" t="n">
        <v>10.13</v>
      </c>
      <c r="CS294" s="970" t="n">
        <v>0.88091</v>
      </c>
    </row>
    <row r="295">
      <c r="B295" s="204">
        <f>+C295-1</f>
        <v/>
      </c>
      <c r="C295" s="204">
        <f>IF('bands_A-H_Avg'!$D$9+1&gt;MONTH(G295),YEAR(G295),YEAR(G295)+1)</f>
        <v/>
      </c>
      <c r="D295" s="204">
        <f>+C295+1</f>
        <v/>
      </c>
      <c r="E295" s="203">
        <f>IF(C295&gt;C294,1,E294+1)</f>
        <v/>
      </c>
      <c r="F295" s="203">
        <f>COUNTIF(C:C,C295)</f>
        <v/>
      </c>
      <c r="G295" s="198">
        <f>+G294+7</f>
        <v/>
      </c>
      <c r="H295" s="361">
        <f>IF(ISBLANK(CO295),CP295,SUMPRODUCT(CO$32:CP$32,CO295:CP295))</f>
        <v/>
      </c>
      <c r="I295" s="968">
        <f>H295/M295</f>
        <v/>
      </c>
      <c r="J295" s="968">
        <f>H295/N295</f>
        <v/>
      </c>
      <c r="K295" s="968">
        <f>(H295+Q295)/O295</f>
        <v/>
      </c>
      <c r="L295" s="968">
        <f>(H295+Q295)/P295</f>
        <v/>
      </c>
      <c r="M295" s="199">
        <f>HLOOKUP(C:C,$4:$10,3,FALSE)+((HLOOKUP(D:D,$4:$10,3,FALSE)-HLOOKUP(C:C,$4:$10,3,FALSE))*E295/F295)</f>
        <v/>
      </c>
      <c r="N295" s="199">
        <f>HLOOKUP(C:C,$4:$10,2,FALSE)+((HLOOKUP(D:D,$4:$10,2,FALSE)-HLOOKUP(C:C,$4:$10,2,FALSE))*E295/F295)</f>
        <v/>
      </c>
      <c r="O295" s="199">
        <f>HLOOKUP(C:C,$4:$10,5,FALSE)+((HLOOKUP(D:D,$4:$10,5,FALSE)-HLOOKUP(C:C,$4:$10,5,FALSE))*E295/F295)</f>
        <v/>
      </c>
      <c r="P295" s="199">
        <f>HLOOKUP(C:C,$4:$10,4,FALSE)+((HLOOKUP(D:D,$4:$10,4,FALSE)-HLOOKUP(C:C,$4:$10,4,FALSE))*E295/F295)</f>
        <v/>
      </c>
      <c r="Q295" s="199">
        <f>HLOOKUP(B:B,$4:$10,6,FALSE)+((HLOOKUP(C:C,$4:$10,6,FALSE)-HLOOKUP(B:B,$4:$10,6,FALSE))*E295/F295)</f>
        <v/>
      </c>
      <c r="T295" s="198">
        <f>$G295</f>
        <v/>
      </c>
      <c r="U295" s="199">
        <f>H295/(HLOOKUP(B:B,$4:$10,3,FALSE)+((HLOOKUP(C:C,$4:$10,3,FALSE)-HLOOKUP(B:B,$4:$10,3,FALSE))*E295/F295))</f>
        <v/>
      </c>
      <c r="V295" s="969">
        <f>HLOOKUP(B:B,$4:$10,7,FALSE)+((HLOOKUP(C:C,$4:$10,7,FALSE)-HLOOKUP(B:B,$4:$10,7,FALSE))*E295/F295)</f>
        <v/>
      </c>
      <c r="AB295" s="198">
        <f>$G295</f>
        <v/>
      </c>
      <c r="AC295" s="199">
        <f>$H295</f>
        <v/>
      </c>
      <c r="AD295" s="199">
        <f>$M295*AD$34</f>
        <v/>
      </c>
      <c r="AE295" s="199">
        <f>$M295*AE$34</f>
        <v/>
      </c>
      <c r="AF295" s="199">
        <f>$M295*AF$34</f>
        <v/>
      </c>
      <c r="AG295" s="199">
        <f>$M295*AG$34</f>
        <v/>
      </c>
      <c r="AH295" s="199">
        <f>$M295*AH$34</f>
        <v/>
      </c>
      <c r="AJ295" s="198">
        <f>$G295</f>
        <v/>
      </c>
      <c r="AK295" s="199">
        <f>$H295</f>
        <v/>
      </c>
      <c r="AL295" s="199">
        <f>$N295*AL$34</f>
        <v/>
      </c>
      <c r="AM295" s="199">
        <f>$N295*AM$34</f>
        <v/>
      </c>
      <c r="AN295" s="199">
        <f>$N295*AN$34</f>
        <v/>
      </c>
      <c r="AO295" s="199">
        <f>$N295*AO$34</f>
        <v/>
      </c>
      <c r="AP295" s="199">
        <f>$N295*AP$34</f>
        <v/>
      </c>
      <c r="AR295" s="198">
        <f>$G295</f>
        <v/>
      </c>
      <c r="AS295" s="199">
        <f>$H295</f>
        <v/>
      </c>
      <c r="AT295" s="199">
        <f>$O295*AT$34-$Q295</f>
        <v/>
      </c>
      <c r="AU295" s="199">
        <f>$O295*AU$34-$Q295</f>
        <v/>
      </c>
      <c r="AV295" s="199">
        <f>$O295*AV$34-$Q295</f>
        <v/>
      </c>
      <c r="AW295" s="199">
        <f>$O295*AW$34-$Q295</f>
        <v/>
      </c>
      <c r="AX295" s="199">
        <f>$O295*AX$34-$Q295</f>
        <v/>
      </c>
      <c r="AZ295" s="198">
        <f>$G295</f>
        <v/>
      </c>
      <c r="BA295" s="199">
        <f>$H295</f>
        <v/>
      </c>
      <c r="BB295" s="199">
        <f>$P295*BB$34-$Q295</f>
        <v/>
      </c>
      <c r="BC295" s="199">
        <f>$P295*BC$34-$Q295</f>
        <v/>
      </c>
      <c r="BD295" s="199">
        <f>$P295*BD$34-$Q295</f>
        <v/>
      </c>
      <c r="BE295" s="199">
        <f>$P295*BE$34-$Q295</f>
        <v/>
      </c>
      <c r="BF295" s="199">
        <f>$P295*BF$34-$Q295</f>
        <v/>
      </c>
      <c r="BH295" s="198">
        <f>$G295</f>
        <v/>
      </c>
      <c r="BI295" s="197">
        <f>$I295</f>
        <v/>
      </c>
      <c r="BJ295" s="197">
        <f>+BJ296</f>
        <v/>
      </c>
      <c r="BK295" s="197">
        <f>+BK296</f>
        <v/>
      </c>
      <c r="BL295" s="197">
        <f>+BL296</f>
        <v/>
      </c>
      <c r="BM295" s="197">
        <f>+BM296</f>
        <v/>
      </c>
      <c r="BN295" s="197">
        <f>+BN296</f>
        <v/>
      </c>
      <c r="BP295" s="198">
        <f>$G295</f>
        <v/>
      </c>
      <c r="BQ295" s="197">
        <f>$J295</f>
        <v/>
      </c>
      <c r="BR295" s="197">
        <f>+BR296</f>
        <v/>
      </c>
      <c r="BS295" s="197">
        <f>+BS296</f>
        <v/>
      </c>
      <c r="BT295" s="197">
        <f>+BT296</f>
        <v/>
      </c>
      <c r="BU295" s="197">
        <f>+BU296</f>
        <v/>
      </c>
      <c r="BV295" s="197">
        <f>+BV296</f>
        <v/>
      </c>
      <c r="BX295" s="198">
        <f>$G295</f>
        <v/>
      </c>
      <c r="BY295" s="197">
        <f>$K295</f>
        <v/>
      </c>
      <c r="BZ295" s="197">
        <f>+BZ296</f>
        <v/>
      </c>
      <c r="CA295" s="197">
        <f>+CA296</f>
        <v/>
      </c>
      <c r="CB295" s="197">
        <f>+CB296</f>
        <v/>
      </c>
      <c r="CC295" s="197">
        <f>+CC296</f>
        <v/>
      </c>
      <c r="CD295" s="197">
        <f>+CD296</f>
        <v/>
      </c>
      <c r="CF295" s="198">
        <f>$G295</f>
        <v/>
      </c>
      <c r="CG295" s="197">
        <f>$L295</f>
        <v/>
      </c>
      <c r="CH295" s="197">
        <f>+CH296</f>
        <v/>
      </c>
      <c r="CI295" s="197">
        <f>+CI296</f>
        <v/>
      </c>
      <c r="CJ295" s="197">
        <f>+CJ296</f>
        <v/>
      </c>
      <c r="CK295" s="197">
        <f>+CK296</f>
        <v/>
      </c>
      <c r="CL295" s="197">
        <f>+CL296</f>
        <v/>
      </c>
      <c r="CO295" s="199" t="n">
        <v>10.49844909274766</v>
      </c>
      <c r="CP295" s="199" t="n">
        <v>3.27</v>
      </c>
      <c r="CR295" s="199" t="n">
        <v>9.24</v>
      </c>
      <c r="CS295" s="970" t="n">
        <v>0.88013</v>
      </c>
    </row>
    <row r="296">
      <c r="B296" s="204">
        <f>+C296-1</f>
        <v/>
      </c>
      <c r="C296" s="204">
        <f>IF('bands_A-H_Avg'!$D$9+1&gt;MONTH(G296),YEAR(G296),YEAR(G296)+1)</f>
        <v/>
      </c>
      <c r="D296" s="204">
        <f>+C296+1</f>
        <v/>
      </c>
      <c r="E296" s="203">
        <f>IF(C296&gt;C295,1,E295+1)</f>
        <v/>
      </c>
      <c r="F296" s="203">
        <f>COUNTIF(C:C,C296)</f>
        <v/>
      </c>
      <c r="G296" s="198">
        <f>+G295+7</f>
        <v/>
      </c>
      <c r="H296" s="361">
        <f>IF(ISBLANK(CO296),CP296,SUMPRODUCT(CO$32:CP$32,CO296:CP296))</f>
        <v/>
      </c>
      <c r="I296" s="968">
        <f>H296/M296</f>
        <v/>
      </c>
      <c r="J296" s="968">
        <f>H296/N296</f>
        <v/>
      </c>
      <c r="K296" s="968">
        <f>(H296+Q296)/O296</f>
        <v/>
      </c>
      <c r="L296" s="968">
        <f>(H296+Q296)/P296</f>
        <v/>
      </c>
      <c r="M296" s="199">
        <f>HLOOKUP(C:C,$4:$10,3,FALSE)+((HLOOKUP(D:D,$4:$10,3,FALSE)-HLOOKUP(C:C,$4:$10,3,FALSE))*E296/F296)</f>
        <v/>
      </c>
      <c r="N296" s="199">
        <f>HLOOKUP(C:C,$4:$10,2,FALSE)+((HLOOKUP(D:D,$4:$10,2,FALSE)-HLOOKUP(C:C,$4:$10,2,FALSE))*E296/F296)</f>
        <v/>
      </c>
      <c r="O296" s="199">
        <f>HLOOKUP(C:C,$4:$10,5,FALSE)+((HLOOKUP(D:D,$4:$10,5,FALSE)-HLOOKUP(C:C,$4:$10,5,FALSE))*E296/F296)</f>
        <v/>
      </c>
      <c r="P296" s="199">
        <f>HLOOKUP(C:C,$4:$10,4,FALSE)+((HLOOKUP(D:D,$4:$10,4,FALSE)-HLOOKUP(C:C,$4:$10,4,FALSE))*E296/F296)</f>
        <v/>
      </c>
      <c r="Q296" s="199">
        <f>HLOOKUP(B:B,$4:$10,6,FALSE)+((HLOOKUP(C:C,$4:$10,6,FALSE)-HLOOKUP(B:B,$4:$10,6,FALSE))*E296/F296)</f>
        <v/>
      </c>
      <c r="T296" s="198">
        <f>$G296</f>
        <v/>
      </c>
      <c r="U296" s="199">
        <f>H296/(HLOOKUP(B:B,$4:$10,3,FALSE)+((HLOOKUP(C:C,$4:$10,3,FALSE)-HLOOKUP(B:B,$4:$10,3,FALSE))*E296/F296))</f>
        <v/>
      </c>
      <c r="V296" s="969">
        <f>HLOOKUP(B:B,$4:$10,7,FALSE)+((HLOOKUP(C:C,$4:$10,7,FALSE)-HLOOKUP(B:B,$4:$10,7,FALSE))*E296/F296)</f>
        <v/>
      </c>
      <c r="AB296" s="198">
        <f>$G296</f>
        <v/>
      </c>
      <c r="AC296" s="199">
        <f>$H296</f>
        <v/>
      </c>
      <c r="AD296" s="199">
        <f>$M296*AD$34</f>
        <v/>
      </c>
      <c r="AE296" s="199">
        <f>$M296*AE$34</f>
        <v/>
      </c>
      <c r="AF296" s="199">
        <f>$M296*AF$34</f>
        <v/>
      </c>
      <c r="AG296" s="199">
        <f>$M296*AG$34</f>
        <v/>
      </c>
      <c r="AH296" s="199">
        <f>$M296*AH$34</f>
        <v/>
      </c>
      <c r="AJ296" s="198">
        <f>$G296</f>
        <v/>
      </c>
      <c r="AK296" s="199">
        <f>$H296</f>
        <v/>
      </c>
      <c r="AL296" s="199">
        <f>$N296*AL$34</f>
        <v/>
      </c>
      <c r="AM296" s="199">
        <f>$N296*AM$34</f>
        <v/>
      </c>
      <c r="AN296" s="199">
        <f>$N296*AN$34</f>
        <v/>
      </c>
      <c r="AO296" s="199">
        <f>$N296*AO$34</f>
        <v/>
      </c>
      <c r="AP296" s="199">
        <f>$N296*AP$34</f>
        <v/>
      </c>
      <c r="AR296" s="198">
        <f>$G296</f>
        <v/>
      </c>
      <c r="AS296" s="199">
        <f>$H296</f>
        <v/>
      </c>
      <c r="AT296" s="199">
        <f>$O296*AT$34-$Q296</f>
        <v/>
      </c>
      <c r="AU296" s="199">
        <f>$O296*AU$34-$Q296</f>
        <v/>
      </c>
      <c r="AV296" s="199">
        <f>$O296*AV$34-$Q296</f>
        <v/>
      </c>
      <c r="AW296" s="199">
        <f>$O296*AW$34-$Q296</f>
        <v/>
      </c>
      <c r="AX296" s="199">
        <f>$O296*AX$34-$Q296</f>
        <v/>
      </c>
      <c r="AZ296" s="198">
        <f>$G296</f>
        <v/>
      </c>
      <c r="BA296" s="199">
        <f>$H296</f>
        <v/>
      </c>
      <c r="BB296" s="199">
        <f>$P296*BB$34-$Q296</f>
        <v/>
      </c>
      <c r="BC296" s="199">
        <f>$P296*BC$34-$Q296</f>
        <v/>
      </c>
      <c r="BD296" s="199">
        <f>$P296*BD$34-$Q296</f>
        <v/>
      </c>
      <c r="BE296" s="199">
        <f>$P296*BE$34-$Q296</f>
        <v/>
      </c>
      <c r="BF296" s="199">
        <f>$P296*BF$34-$Q296</f>
        <v/>
      </c>
      <c r="BH296" s="198">
        <f>$G296</f>
        <v/>
      </c>
      <c r="BI296" s="197">
        <f>$I296</f>
        <v/>
      </c>
      <c r="BJ296" s="197">
        <f>+BJ297</f>
        <v/>
      </c>
      <c r="BK296" s="197">
        <f>+BK297</f>
        <v/>
      </c>
      <c r="BL296" s="197">
        <f>+BL297</f>
        <v/>
      </c>
      <c r="BM296" s="197">
        <f>+BM297</f>
        <v/>
      </c>
      <c r="BN296" s="197">
        <f>+BN297</f>
        <v/>
      </c>
      <c r="BP296" s="198">
        <f>$G296</f>
        <v/>
      </c>
      <c r="BQ296" s="197">
        <f>$J296</f>
        <v/>
      </c>
      <c r="BR296" s="197">
        <f>+BR297</f>
        <v/>
      </c>
      <c r="BS296" s="197">
        <f>+BS297</f>
        <v/>
      </c>
      <c r="BT296" s="197">
        <f>+BT297</f>
        <v/>
      </c>
      <c r="BU296" s="197">
        <f>+BU297</f>
        <v/>
      </c>
      <c r="BV296" s="197">
        <f>+BV297</f>
        <v/>
      </c>
      <c r="BX296" s="198">
        <f>$G296</f>
        <v/>
      </c>
      <c r="BY296" s="197">
        <f>$K296</f>
        <v/>
      </c>
      <c r="BZ296" s="197">
        <f>+BZ297</f>
        <v/>
      </c>
      <c r="CA296" s="197">
        <f>+CA297</f>
        <v/>
      </c>
      <c r="CB296" s="197">
        <f>+CB297</f>
        <v/>
      </c>
      <c r="CC296" s="197">
        <f>+CC297</f>
        <v/>
      </c>
      <c r="CD296" s="197">
        <f>+CD297</f>
        <v/>
      </c>
      <c r="CF296" s="198">
        <f>$G296</f>
        <v/>
      </c>
      <c r="CG296" s="197">
        <f>$L296</f>
        <v/>
      </c>
      <c r="CH296" s="197">
        <f>+CH297</f>
        <v/>
      </c>
      <c r="CI296" s="197">
        <f>+CI297</f>
        <v/>
      </c>
      <c r="CJ296" s="197">
        <f>+CJ297</f>
        <v/>
      </c>
      <c r="CK296" s="197">
        <f>+CK297</f>
        <v/>
      </c>
      <c r="CL296" s="197">
        <f>+CL297</f>
        <v/>
      </c>
      <c r="CO296" s="199" t="n">
        <v>10.56554043307355</v>
      </c>
      <c r="CP296" s="199" t="n">
        <v>3.49</v>
      </c>
      <c r="CR296" s="199" t="n">
        <v>9.300000000000001</v>
      </c>
      <c r="CS296" s="970" t="n">
        <v>0.88022</v>
      </c>
    </row>
    <row r="297">
      <c r="B297" s="204">
        <f>+C297-1</f>
        <v/>
      </c>
      <c r="C297" s="204">
        <f>IF('bands_A-H_Avg'!$D$9+1&gt;MONTH(G297),YEAR(G297),YEAR(G297)+1)</f>
        <v/>
      </c>
      <c r="D297" s="204">
        <f>+C297+1</f>
        <v/>
      </c>
      <c r="E297" s="203">
        <f>IF(C297&gt;C296,1,E296+1)</f>
        <v/>
      </c>
      <c r="F297" s="203">
        <f>COUNTIF(C:C,C297)</f>
        <v/>
      </c>
      <c r="G297" s="198">
        <f>+G296+7</f>
        <v/>
      </c>
      <c r="H297" s="361">
        <f>IF(ISBLANK(CO297),CP297,SUMPRODUCT(CO$32:CP$32,CO297:CP297))</f>
        <v/>
      </c>
      <c r="I297" s="968">
        <f>H297/M297</f>
        <v/>
      </c>
      <c r="J297" s="968">
        <f>H297/N297</f>
        <v/>
      </c>
      <c r="K297" s="968">
        <f>(H297+Q297)/O297</f>
        <v/>
      </c>
      <c r="L297" s="968">
        <f>(H297+Q297)/P297</f>
        <v/>
      </c>
      <c r="M297" s="199">
        <f>HLOOKUP(C:C,$4:$10,3,FALSE)+((HLOOKUP(D:D,$4:$10,3,FALSE)-HLOOKUP(C:C,$4:$10,3,FALSE))*E297/F297)</f>
        <v/>
      </c>
      <c r="N297" s="199">
        <f>HLOOKUP(C:C,$4:$10,2,FALSE)+((HLOOKUP(D:D,$4:$10,2,FALSE)-HLOOKUP(C:C,$4:$10,2,FALSE))*E297/F297)</f>
        <v/>
      </c>
      <c r="O297" s="199">
        <f>HLOOKUP(C:C,$4:$10,5,FALSE)+((HLOOKUP(D:D,$4:$10,5,FALSE)-HLOOKUP(C:C,$4:$10,5,FALSE))*E297/F297)</f>
        <v/>
      </c>
      <c r="P297" s="199">
        <f>HLOOKUP(C:C,$4:$10,4,FALSE)+((HLOOKUP(D:D,$4:$10,4,FALSE)-HLOOKUP(C:C,$4:$10,4,FALSE))*E297/F297)</f>
        <v/>
      </c>
      <c r="Q297" s="199">
        <f>HLOOKUP(B:B,$4:$10,6,FALSE)+((HLOOKUP(C:C,$4:$10,6,FALSE)-HLOOKUP(B:B,$4:$10,6,FALSE))*E297/F297)</f>
        <v/>
      </c>
      <c r="T297" s="198">
        <f>$G297</f>
        <v/>
      </c>
      <c r="U297" s="199">
        <f>H297/(HLOOKUP(B:B,$4:$10,3,FALSE)+((HLOOKUP(C:C,$4:$10,3,FALSE)-HLOOKUP(B:B,$4:$10,3,FALSE))*E297/F297))</f>
        <v/>
      </c>
      <c r="V297" s="969">
        <f>HLOOKUP(B:B,$4:$10,7,FALSE)+((HLOOKUP(C:C,$4:$10,7,FALSE)-HLOOKUP(B:B,$4:$10,7,FALSE))*E297/F297)</f>
        <v/>
      </c>
      <c r="AB297" s="198">
        <f>$G297</f>
        <v/>
      </c>
      <c r="AC297" s="199">
        <f>$H297</f>
        <v/>
      </c>
      <c r="AD297" s="199">
        <f>$M297*AD$34</f>
        <v/>
      </c>
      <c r="AE297" s="199">
        <f>$M297*AE$34</f>
        <v/>
      </c>
      <c r="AF297" s="199">
        <f>$M297*AF$34</f>
        <v/>
      </c>
      <c r="AG297" s="199">
        <f>$M297*AG$34</f>
        <v/>
      </c>
      <c r="AH297" s="199">
        <f>$M297*AH$34</f>
        <v/>
      </c>
      <c r="AJ297" s="198">
        <f>$G297</f>
        <v/>
      </c>
      <c r="AK297" s="199">
        <f>$H297</f>
        <v/>
      </c>
      <c r="AL297" s="199">
        <f>$N297*AL$34</f>
        <v/>
      </c>
      <c r="AM297" s="199">
        <f>$N297*AM$34</f>
        <v/>
      </c>
      <c r="AN297" s="199">
        <f>$N297*AN$34</f>
        <v/>
      </c>
      <c r="AO297" s="199">
        <f>$N297*AO$34</f>
        <v/>
      </c>
      <c r="AP297" s="199">
        <f>$N297*AP$34</f>
        <v/>
      </c>
      <c r="AR297" s="198">
        <f>$G297</f>
        <v/>
      </c>
      <c r="AS297" s="199">
        <f>$H297</f>
        <v/>
      </c>
      <c r="AT297" s="199">
        <f>$O297*AT$34-$Q297</f>
        <v/>
      </c>
      <c r="AU297" s="199">
        <f>$O297*AU$34-$Q297</f>
        <v/>
      </c>
      <c r="AV297" s="199">
        <f>$O297*AV$34-$Q297</f>
        <v/>
      </c>
      <c r="AW297" s="199">
        <f>$O297*AW$34-$Q297</f>
        <v/>
      </c>
      <c r="AX297" s="199">
        <f>$O297*AX$34-$Q297</f>
        <v/>
      </c>
      <c r="AZ297" s="198">
        <f>$G297</f>
        <v/>
      </c>
      <c r="BA297" s="199">
        <f>$H297</f>
        <v/>
      </c>
      <c r="BB297" s="199">
        <f>$P297*BB$34-$Q297</f>
        <v/>
      </c>
      <c r="BC297" s="199">
        <f>$P297*BC$34-$Q297</f>
        <v/>
      </c>
      <c r="BD297" s="199">
        <f>$P297*BD$34-$Q297</f>
        <v/>
      </c>
      <c r="BE297" s="199">
        <f>$P297*BE$34-$Q297</f>
        <v/>
      </c>
      <c r="BF297" s="199">
        <f>$P297*BF$34-$Q297</f>
        <v/>
      </c>
      <c r="BH297" s="198">
        <f>$G297</f>
        <v/>
      </c>
      <c r="BI297" s="197">
        <f>$I297</f>
        <v/>
      </c>
      <c r="BJ297" s="197">
        <f>+BJ298</f>
        <v/>
      </c>
      <c r="BK297" s="197">
        <f>+BK298</f>
        <v/>
      </c>
      <c r="BL297" s="197">
        <f>+BL298</f>
        <v/>
      </c>
      <c r="BM297" s="197">
        <f>+BM298</f>
        <v/>
      </c>
      <c r="BN297" s="197">
        <f>+BN298</f>
        <v/>
      </c>
      <c r="BP297" s="198">
        <f>$G297</f>
        <v/>
      </c>
      <c r="BQ297" s="197">
        <f>$J297</f>
        <v/>
      </c>
      <c r="BR297" s="197">
        <f>+BR298</f>
        <v/>
      </c>
      <c r="BS297" s="197">
        <f>+BS298</f>
        <v/>
      </c>
      <c r="BT297" s="197">
        <f>+BT298</f>
        <v/>
      </c>
      <c r="BU297" s="197">
        <f>+BU298</f>
        <v/>
      </c>
      <c r="BV297" s="197">
        <f>+BV298</f>
        <v/>
      </c>
      <c r="BX297" s="198">
        <f>$G297</f>
        <v/>
      </c>
      <c r="BY297" s="197">
        <f>$K297</f>
        <v/>
      </c>
      <c r="BZ297" s="197">
        <f>+BZ298</f>
        <v/>
      </c>
      <c r="CA297" s="197">
        <f>+CA298</f>
        <v/>
      </c>
      <c r="CB297" s="197">
        <f>+CB298</f>
        <v/>
      </c>
      <c r="CC297" s="197">
        <f>+CC298</f>
        <v/>
      </c>
      <c r="CD297" s="197">
        <f>+CD298</f>
        <v/>
      </c>
      <c r="CF297" s="198">
        <f>$G297</f>
        <v/>
      </c>
      <c r="CG297" s="197">
        <f>$L297</f>
        <v/>
      </c>
      <c r="CH297" s="197">
        <f>+CH298</f>
        <v/>
      </c>
      <c r="CI297" s="197">
        <f>+CI298</f>
        <v/>
      </c>
      <c r="CJ297" s="197">
        <f>+CJ298</f>
        <v/>
      </c>
      <c r="CK297" s="197">
        <f>+CK298</f>
        <v/>
      </c>
      <c r="CL297" s="197">
        <f>+CL298</f>
        <v/>
      </c>
      <c r="CO297" s="199" t="n">
        <v>10.92784442021083</v>
      </c>
      <c r="CP297" s="199" t="n">
        <v>3.59</v>
      </c>
      <c r="CR297" s="199" t="n">
        <v>9.619999999999999</v>
      </c>
      <c r="CS297" s="970" t="n">
        <v>0.88032</v>
      </c>
    </row>
    <row r="298">
      <c r="B298" s="204">
        <f>+C298-1</f>
        <v/>
      </c>
      <c r="C298" s="204">
        <f>IF('bands_A-H_Avg'!$D$9+1&gt;MONTH(G298),YEAR(G298),YEAR(G298)+1)</f>
        <v/>
      </c>
      <c r="D298" s="204">
        <f>+C298+1</f>
        <v/>
      </c>
      <c r="E298" s="203">
        <f>IF(C298&gt;C297,1,E297+1)</f>
        <v/>
      </c>
      <c r="F298" s="203">
        <f>COUNTIF(C:C,C298)</f>
        <v/>
      </c>
      <c r="G298" s="198">
        <f>+G297+7</f>
        <v/>
      </c>
      <c r="H298" s="361">
        <f>IF(ISBLANK(CO298),CP298,SUMPRODUCT(CO$32:CP$32,CO298:CP298))</f>
        <v/>
      </c>
      <c r="I298" s="968">
        <f>H298/M298</f>
        <v/>
      </c>
      <c r="J298" s="968">
        <f>H298/N298</f>
        <v/>
      </c>
      <c r="K298" s="968">
        <f>(H298+Q298)/O298</f>
        <v/>
      </c>
      <c r="L298" s="968">
        <f>(H298+Q298)/P298</f>
        <v/>
      </c>
      <c r="M298" s="199">
        <f>HLOOKUP(C:C,$4:$10,3,FALSE)+((HLOOKUP(D:D,$4:$10,3,FALSE)-HLOOKUP(C:C,$4:$10,3,FALSE))*E298/F298)</f>
        <v/>
      </c>
      <c r="N298" s="199">
        <f>HLOOKUP(C:C,$4:$10,2,FALSE)+((HLOOKUP(D:D,$4:$10,2,FALSE)-HLOOKUP(C:C,$4:$10,2,FALSE))*E298/F298)</f>
        <v/>
      </c>
      <c r="O298" s="199">
        <f>HLOOKUP(C:C,$4:$10,5,FALSE)+((HLOOKUP(D:D,$4:$10,5,FALSE)-HLOOKUP(C:C,$4:$10,5,FALSE))*E298/F298)</f>
        <v/>
      </c>
      <c r="P298" s="199">
        <f>HLOOKUP(C:C,$4:$10,4,FALSE)+((HLOOKUP(D:D,$4:$10,4,FALSE)-HLOOKUP(C:C,$4:$10,4,FALSE))*E298/F298)</f>
        <v/>
      </c>
      <c r="Q298" s="199">
        <f>HLOOKUP(B:B,$4:$10,6,FALSE)+((HLOOKUP(C:C,$4:$10,6,FALSE)-HLOOKUP(B:B,$4:$10,6,FALSE))*E298/F298)</f>
        <v/>
      </c>
      <c r="T298" s="198">
        <f>$G298</f>
        <v/>
      </c>
      <c r="U298" s="199">
        <f>H298/(HLOOKUP(B:B,$4:$10,3,FALSE)+((HLOOKUP(C:C,$4:$10,3,FALSE)-HLOOKUP(B:B,$4:$10,3,FALSE))*E298/F298))</f>
        <v/>
      </c>
      <c r="V298" s="969">
        <f>HLOOKUP(B:B,$4:$10,7,FALSE)+((HLOOKUP(C:C,$4:$10,7,FALSE)-HLOOKUP(B:B,$4:$10,7,FALSE))*E298/F298)</f>
        <v/>
      </c>
      <c r="AB298" s="198">
        <f>$G298</f>
        <v/>
      </c>
      <c r="AC298" s="199">
        <f>$H298</f>
        <v/>
      </c>
      <c r="AD298" s="199">
        <f>$M298*AD$34</f>
        <v/>
      </c>
      <c r="AE298" s="199">
        <f>$M298*AE$34</f>
        <v/>
      </c>
      <c r="AF298" s="199">
        <f>$M298*AF$34</f>
        <v/>
      </c>
      <c r="AG298" s="199">
        <f>$M298*AG$34</f>
        <v/>
      </c>
      <c r="AH298" s="199">
        <f>$M298*AH$34</f>
        <v/>
      </c>
      <c r="AJ298" s="198">
        <f>$G298</f>
        <v/>
      </c>
      <c r="AK298" s="199">
        <f>$H298</f>
        <v/>
      </c>
      <c r="AL298" s="199">
        <f>$N298*AL$34</f>
        <v/>
      </c>
      <c r="AM298" s="199">
        <f>$N298*AM$34</f>
        <v/>
      </c>
      <c r="AN298" s="199">
        <f>$N298*AN$34</f>
        <v/>
      </c>
      <c r="AO298" s="199">
        <f>$N298*AO$34</f>
        <v/>
      </c>
      <c r="AP298" s="199">
        <f>$N298*AP$34</f>
        <v/>
      </c>
      <c r="AR298" s="198">
        <f>$G298</f>
        <v/>
      </c>
      <c r="AS298" s="199">
        <f>$H298</f>
        <v/>
      </c>
      <c r="AT298" s="199">
        <f>$O298*AT$34-$Q298</f>
        <v/>
      </c>
      <c r="AU298" s="199">
        <f>$O298*AU$34-$Q298</f>
        <v/>
      </c>
      <c r="AV298" s="199">
        <f>$O298*AV$34-$Q298</f>
        <v/>
      </c>
      <c r="AW298" s="199">
        <f>$O298*AW$34-$Q298</f>
        <v/>
      </c>
      <c r="AX298" s="199">
        <f>$O298*AX$34-$Q298</f>
        <v/>
      </c>
      <c r="AZ298" s="198">
        <f>$G298</f>
        <v/>
      </c>
      <c r="BA298" s="199">
        <f>$H298</f>
        <v/>
      </c>
      <c r="BB298" s="199">
        <f>$P298*BB$34-$Q298</f>
        <v/>
      </c>
      <c r="BC298" s="199">
        <f>$P298*BC$34-$Q298</f>
        <v/>
      </c>
      <c r="BD298" s="199">
        <f>$P298*BD$34-$Q298</f>
        <v/>
      </c>
      <c r="BE298" s="199">
        <f>$P298*BE$34-$Q298</f>
        <v/>
      </c>
      <c r="BF298" s="199">
        <f>$P298*BF$34-$Q298</f>
        <v/>
      </c>
      <c r="BH298" s="198">
        <f>$G298</f>
        <v/>
      </c>
      <c r="BI298" s="197">
        <f>$I298</f>
        <v/>
      </c>
      <c r="BJ298" s="197">
        <f>+BJ299</f>
        <v/>
      </c>
      <c r="BK298" s="197">
        <f>+BK299</f>
        <v/>
      </c>
      <c r="BL298" s="197">
        <f>+BL299</f>
        <v/>
      </c>
      <c r="BM298" s="197">
        <f>+BM299</f>
        <v/>
      </c>
      <c r="BN298" s="197">
        <f>+BN299</f>
        <v/>
      </c>
      <c r="BP298" s="198">
        <f>$G298</f>
        <v/>
      </c>
      <c r="BQ298" s="197">
        <f>$J298</f>
        <v/>
      </c>
      <c r="BR298" s="197">
        <f>+BR299</f>
        <v/>
      </c>
      <c r="BS298" s="197">
        <f>+BS299</f>
        <v/>
      </c>
      <c r="BT298" s="197">
        <f>+BT299</f>
        <v/>
      </c>
      <c r="BU298" s="197">
        <f>+BU299</f>
        <v/>
      </c>
      <c r="BV298" s="197">
        <f>+BV299</f>
        <v/>
      </c>
      <c r="BX298" s="198">
        <f>$G298</f>
        <v/>
      </c>
      <c r="BY298" s="197">
        <f>$K298</f>
        <v/>
      </c>
      <c r="BZ298" s="197">
        <f>+BZ299</f>
        <v/>
      </c>
      <c r="CA298" s="197">
        <f>+CA299</f>
        <v/>
      </c>
      <c r="CB298" s="197">
        <f>+CB299</f>
        <v/>
      </c>
      <c r="CC298" s="197">
        <f>+CC299</f>
        <v/>
      </c>
      <c r="CD298" s="197">
        <f>+CD299</f>
        <v/>
      </c>
      <c r="CF298" s="198">
        <f>$G298</f>
        <v/>
      </c>
      <c r="CG298" s="197">
        <f>$L298</f>
        <v/>
      </c>
      <c r="CH298" s="197">
        <f>+CH299</f>
        <v/>
      </c>
      <c r="CI298" s="197">
        <f>+CI299</f>
        <v/>
      </c>
      <c r="CJ298" s="197">
        <f>+CJ299</f>
        <v/>
      </c>
      <c r="CK298" s="197">
        <f>+CK299</f>
        <v/>
      </c>
      <c r="CL298" s="197">
        <f>+CL299</f>
        <v/>
      </c>
      <c r="CO298" s="199" t="n">
        <v>10.64421951856774</v>
      </c>
      <c r="CP298" s="199" t="n">
        <v>3.76</v>
      </c>
      <c r="CR298" s="199" t="n">
        <v>9.369999999999999</v>
      </c>
      <c r="CS298" s="970" t="n">
        <v>0.88029</v>
      </c>
    </row>
    <row r="299">
      <c r="B299" s="204">
        <f>+C299-1</f>
        <v/>
      </c>
      <c r="C299" s="204">
        <f>IF('bands_A-H_Avg'!$D$9+1&gt;MONTH(G299),YEAR(G299),YEAR(G299)+1)</f>
        <v/>
      </c>
      <c r="D299" s="204">
        <f>+C299+1</f>
        <v/>
      </c>
      <c r="E299" s="203">
        <f>IF(C299&gt;C298,1,E298+1)</f>
        <v/>
      </c>
      <c r="F299" s="203">
        <f>COUNTIF(C:C,C299)</f>
        <v/>
      </c>
      <c r="G299" s="198">
        <f>+G298+7</f>
        <v/>
      </c>
      <c r="H299" s="361">
        <f>IF(ISBLANK(CO299),CP299,SUMPRODUCT(CO$32:CP$32,CO299:CP299))</f>
        <v/>
      </c>
      <c r="I299" s="968">
        <f>H299/M299</f>
        <v/>
      </c>
      <c r="J299" s="968">
        <f>H299/N299</f>
        <v/>
      </c>
      <c r="K299" s="968">
        <f>(H299+Q299)/O299</f>
        <v/>
      </c>
      <c r="L299" s="968">
        <f>(H299+Q299)/P299</f>
        <v/>
      </c>
      <c r="M299" s="199">
        <f>HLOOKUP(C:C,$4:$10,3,FALSE)+((HLOOKUP(D:D,$4:$10,3,FALSE)-HLOOKUP(C:C,$4:$10,3,FALSE))*E299/F299)</f>
        <v/>
      </c>
      <c r="N299" s="199">
        <f>HLOOKUP(C:C,$4:$10,2,FALSE)+((HLOOKUP(D:D,$4:$10,2,FALSE)-HLOOKUP(C:C,$4:$10,2,FALSE))*E299/F299)</f>
        <v/>
      </c>
      <c r="O299" s="199">
        <f>HLOOKUP(C:C,$4:$10,5,FALSE)+((HLOOKUP(D:D,$4:$10,5,FALSE)-HLOOKUP(C:C,$4:$10,5,FALSE))*E299/F299)</f>
        <v/>
      </c>
      <c r="P299" s="199">
        <f>HLOOKUP(C:C,$4:$10,4,FALSE)+((HLOOKUP(D:D,$4:$10,4,FALSE)-HLOOKUP(C:C,$4:$10,4,FALSE))*E299/F299)</f>
        <v/>
      </c>
      <c r="Q299" s="199">
        <f>HLOOKUP(B:B,$4:$10,6,FALSE)+((HLOOKUP(C:C,$4:$10,6,FALSE)-HLOOKUP(B:B,$4:$10,6,FALSE))*E299/F299)</f>
        <v/>
      </c>
      <c r="T299" s="198">
        <f>$G299</f>
        <v/>
      </c>
      <c r="U299" s="199">
        <f>H299/(HLOOKUP(B:B,$4:$10,3,FALSE)+((HLOOKUP(C:C,$4:$10,3,FALSE)-HLOOKUP(B:B,$4:$10,3,FALSE))*E299/F299))</f>
        <v/>
      </c>
      <c r="V299" s="969">
        <f>HLOOKUP(B:B,$4:$10,7,FALSE)+((HLOOKUP(C:C,$4:$10,7,FALSE)-HLOOKUP(B:B,$4:$10,7,FALSE))*E299/F299)</f>
        <v/>
      </c>
      <c r="AB299" s="198">
        <f>$G299</f>
        <v/>
      </c>
      <c r="AC299" s="199">
        <f>$H299</f>
        <v/>
      </c>
      <c r="AD299" s="199">
        <f>$M299*AD$34</f>
        <v/>
      </c>
      <c r="AE299" s="199">
        <f>$M299*AE$34</f>
        <v/>
      </c>
      <c r="AF299" s="199">
        <f>$M299*AF$34</f>
        <v/>
      </c>
      <c r="AG299" s="199">
        <f>$M299*AG$34</f>
        <v/>
      </c>
      <c r="AH299" s="199">
        <f>$M299*AH$34</f>
        <v/>
      </c>
      <c r="AJ299" s="198">
        <f>$G299</f>
        <v/>
      </c>
      <c r="AK299" s="199">
        <f>$H299</f>
        <v/>
      </c>
      <c r="AL299" s="199">
        <f>$N299*AL$34</f>
        <v/>
      </c>
      <c r="AM299" s="199">
        <f>$N299*AM$34</f>
        <v/>
      </c>
      <c r="AN299" s="199">
        <f>$N299*AN$34</f>
        <v/>
      </c>
      <c r="AO299" s="199">
        <f>$N299*AO$34</f>
        <v/>
      </c>
      <c r="AP299" s="199">
        <f>$N299*AP$34</f>
        <v/>
      </c>
      <c r="AR299" s="198">
        <f>$G299</f>
        <v/>
      </c>
      <c r="AS299" s="199">
        <f>$H299</f>
        <v/>
      </c>
      <c r="AT299" s="199">
        <f>$O299*AT$34-$Q299</f>
        <v/>
      </c>
      <c r="AU299" s="199">
        <f>$O299*AU$34-$Q299</f>
        <v/>
      </c>
      <c r="AV299" s="199">
        <f>$O299*AV$34-$Q299</f>
        <v/>
      </c>
      <c r="AW299" s="199">
        <f>$O299*AW$34-$Q299</f>
        <v/>
      </c>
      <c r="AX299" s="199">
        <f>$O299*AX$34-$Q299</f>
        <v/>
      </c>
      <c r="AZ299" s="198">
        <f>$G299</f>
        <v/>
      </c>
      <c r="BA299" s="199">
        <f>$H299</f>
        <v/>
      </c>
      <c r="BB299" s="199">
        <f>$P299*BB$34-$Q299</f>
        <v/>
      </c>
      <c r="BC299" s="199">
        <f>$P299*BC$34-$Q299</f>
        <v/>
      </c>
      <c r="BD299" s="199">
        <f>$P299*BD$34-$Q299</f>
        <v/>
      </c>
      <c r="BE299" s="199">
        <f>$P299*BE$34-$Q299</f>
        <v/>
      </c>
      <c r="BF299" s="199">
        <f>$P299*BF$34-$Q299</f>
        <v/>
      </c>
      <c r="BH299" s="198">
        <f>$G299</f>
        <v/>
      </c>
      <c r="BI299" s="197">
        <f>$I299</f>
        <v/>
      </c>
      <c r="BJ299" s="197">
        <f>+BJ300</f>
        <v/>
      </c>
      <c r="BK299" s="197">
        <f>+BK300</f>
        <v/>
      </c>
      <c r="BL299" s="197">
        <f>+BL300</f>
        <v/>
      </c>
      <c r="BM299" s="197">
        <f>+BM300</f>
        <v/>
      </c>
      <c r="BN299" s="197">
        <f>+BN300</f>
        <v/>
      </c>
      <c r="BP299" s="198">
        <f>$G299</f>
        <v/>
      </c>
      <c r="BQ299" s="197">
        <f>$J299</f>
        <v/>
      </c>
      <c r="BR299" s="197">
        <f>+BR300</f>
        <v/>
      </c>
      <c r="BS299" s="197">
        <f>+BS300</f>
        <v/>
      </c>
      <c r="BT299" s="197">
        <f>+BT300</f>
        <v/>
      </c>
      <c r="BU299" s="197">
        <f>+BU300</f>
        <v/>
      </c>
      <c r="BV299" s="197">
        <f>+BV300</f>
        <v/>
      </c>
      <c r="BX299" s="198">
        <f>$G299</f>
        <v/>
      </c>
      <c r="BY299" s="197">
        <f>$K299</f>
        <v/>
      </c>
      <c r="BZ299" s="197">
        <f>+BZ300</f>
        <v/>
      </c>
      <c r="CA299" s="197">
        <f>+CA300</f>
        <v/>
      </c>
      <c r="CB299" s="197">
        <f>+CB300</f>
        <v/>
      </c>
      <c r="CC299" s="197">
        <f>+CC300</f>
        <v/>
      </c>
      <c r="CD299" s="197">
        <f>+CD300</f>
        <v/>
      </c>
      <c r="CF299" s="198">
        <f>$G299</f>
        <v/>
      </c>
      <c r="CG299" s="197">
        <f>$L299</f>
        <v/>
      </c>
      <c r="CH299" s="197">
        <f>+CH300</f>
        <v/>
      </c>
      <c r="CI299" s="197">
        <f>+CI300</f>
        <v/>
      </c>
      <c r="CJ299" s="197">
        <f>+CJ300</f>
        <v/>
      </c>
      <c r="CK299" s="197">
        <f>+CK300</f>
        <v/>
      </c>
      <c r="CL299" s="197">
        <f>+CL300</f>
        <v/>
      </c>
      <c r="CO299" s="199" t="n">
        <v>10.92393034147229</v>
      </c>
      <c r="CP299" s="199" t="n">
        <v>3.82</v>
      </c>
      <c r="CR299" s="199" t="n">
        <v>9.609999999999999</v>
      </c>
      <c r="CS299" s="970" t="n">
        <v>0.8797199999999999</v>
      </c>
    </row>
    <row r="300">
      <c r="B300" s="204">
        <f>+C300-1</f>
        <v/>
      </c>
      <c r="C300" s="204">
        <f>IF('bands_A-H_Avg'!$D$9+1&gt;MONTH(G300),YEAR(G300),YEAR(G300)+1)</f>
        <v/>
      </c>
      <c r="D300" s="204">
        <f>+C300+1</f>
        <v/>
      </c>
      <c r="E300" s="203">
        <f>IF(C300&gt;C299,1,E299+1)</f>
        <v/>
      </c>
      <c r="F300" s="203">
        <f>COUNTIF(C:C,C300)</f>
        <v/>
      </c>
      <c r="G300" s="198">
        <f>+G299+7</f>
        <v/>
      </c>
      <c r="H300" s="361">
        <f>IF(ISBLANK(CO300),CP300,SUMPRODUCT(CO$32:CP$32,CO300:CP300))</f>
        <v/>
      </c>
      <c r="I300" s="968">
        <f>H300/M300</f>
        <v/>
      </c>
      <c r="J300" s="968">
        <f>H300/N300</f>
        <v/>
      </c>
      <c r="K300" s="968">
        <f>(H300+Q300)/O300</f>
        <v/>
      </c>
      <c r="L300" s="968">
        <f>(H300+Q300)/P300</f>
        <v/>
      </c>
      <c r="M300" s="199">
        <f>HLOOKUP(C:C,$4:$10,3,FALSE)+((HLOOKUP(D:D,$4:$10,3,FALSE)-HLOOKUP(C:C,$4:$10,3,FALSE))*E300/F300)</f>
        <v/>
      </c>
      <c r="N300" s="199">
        <f>HLOOKUP(C:C,$4:$10,2,FALSE)+((HLOOKUP(D:D,$4:$10,2,FALSE)-HLOOKUP(C:C,$4:$10,2,FALSE))*E300/F300)</f>
        <v/>
      </c>
      <c r="O300" s="199">
        <f>HLOOKUP(C:C,$4:$10,5,FALSE)+((HLOOKUP(D:D,$4:$10,5,FALSE)-HLOOKUP(C:C,$4:$10,5,FALSE))*E300/F300)</f>
        <v/>
      </c>
      <c r="P300" s="199">
        <f>HLOOKUP(C:C,$4:$10,4,FALSE)+((HLOOKUP(D:D,$4:$10,4,FALSE)-HLOOKUP(C:C,$4:$10,4,FALSE))*E300/F300)</f>
        <v/>
      </c>
      <c r="Q300" s="199">
        <f>HLOOKUP(B:B,$4:$10,6,FALSE)+((HLOOKUP(C:C,$4:$10,6,FALSE)-HLOOKUP(B:B,$4:$10,6,FALSE))*E300/F300)</f>
        <v/>
      </c>
      <c r="T300" s="198">
        <f>$G300</f>
        <v/>
      </c>
      <c r="U300" s="199">
        <f>H300/(HLOOKUP(B:B,$4:$10,3,FALSE)+((HLOOKUP(C:C,$4:$10,3,FALSE)-HLOOKUP(B:B,$4:$10,3,FALSE))*E300/F300))</f>
        <v/>
      </c>
      <c r="V300" s="969">
        <f>HLOOKUP(B:B,$4:$10,7,FALSE)+((HLOOKUP(C:C,$4:$10,7,FALSE)-HLOOKUP(B:B,$4:$10,7,FALSE))*E300/F300)</f>
        <v/>
      </c>
      <c r="AB300" s="198">
        <f>$G300</f>
        <v/>
      </c>
      <c r="AC300" s="199">
        <f>$H300</f>
        <v/>
      </c>
      <c r="AD300" s="199">
        <f>$M300*AD$34</f>
        <v/>
      </c>
      <c r="AE300" s="199">
        <f>$M300*AE$34</f>
        <v/>
      </c>
      <c r="AF300" s="199">
        <f>$M300*AF$34</f>
        <v/>
      </c>
      <c r="AG300" s="199">
        <f>$M300*AG$34</f>
        <v/>
      </c>
      <c r="AH300" s="199">
        <f>$M300*AH$34</f>
        <v/>
      </c>
      <c r="AJ300" s="198">
        <f>$G300</f>
        <v/>
      </c>
      <c r="AK300" s="199">
        <f>$H300</f>
        <v/>
      </c>
      <c r="AL300" s="199">
        <f>$N300*AL$34</f>
        <v/>
      </c>
      <c r="AM300" s="199">
        <f>$N300*AM$34</f>
        <v/>
      </c>
      <c r="AN300" s="199">
        <f>$N300*AN$34</f>
        <v/>
      </c>
      <c r="AO300" s="199">
        <f>$N300*AO$34</f>
        <v/>
      </c>
      <c r="AP300" s="199">
        <f>$N300*AP$34</f>
        <v/>
      </c>
      <c r="AR300" s="198">
        <f>$G300</f>
        <v/>
      </c>
      <c r="AS300" s="199">
        <f>$H300</f>
        <v/>
      </c>
      <c r="AT300" s="199">
        <f>$O300*AT$34-$Q300</f>
        <v/>
      </c>
      <c r="AU300" s="199">
        <f>$O300*AU$34-$Q300</f>
        <v/>
      </c>
      <c r="AV300" s="199">
        <f>$O300*AV$34-$Q300</f>
        <v/>
      </c>
      <c r="AW300" s="199">
        <f>$O300*AW$34-$Q300</f>
        <v/>
      </c>
      <c r="AX300" s="199">
        <f>$O300*AX$34-$Q300</f>
        <v/>
      </c>
      <c r="AZ300" s="198">
        <f>$G300</f>
        <v/>
      </c>
      <c r="BA300" s="199">
        <f>$H300</f>
        <v/>
      </c>
      <c r="BB300" s="199">
        <f>$P300*BB$34-$Q300</f>
        <v/>
      </c>
      <c r="BC300" s="199">
        <f>$P300*BC$34-$Q300</f>
        <v/>
      </c>
      <c r="BD300" s="199">
        <f>$P300*BD$34-$Q300</f>
        <v/>
      </c>
      <c r="BE300" s="199">
        <f>$P300*BE$34-$Q300</f>
        <v/>
      </c>
      <c r="BF300" s="199">
        <f>$P300*BF$34-$Q300</f>
        <v/>
      </c>
      <c r="BH300" s="198">
        <f>$G300</f>
        <v/>
      </c>
      <c r="BI300" s="197">
        <f>$I300</f>
        <v/>
      </c>
      <c r="BJ300" s="197">
        <f>+BJ301</f>
        <v/>
      </c>
      <c r="BK300" s="197">
        <f>+BK301</f>
        <v/>
      </c>
      <c r="BL300" s="197">
        <f>+BL301</f>
        <v/>
      </c>
      <c r="BM300" s="197">
        <f>+BM301</f>
        <v/>
      </c>
      <c r="BN300" s="197">
        <f>+BN301</f>
        <v/>
      </c>
      <c r="BP300" s="198">
        <f>$G300</f>
        <v/>
      </c>
      <c r="BQ300" s="197">
        <f>$J300</f>
        <v/>
      </c>
      <c r="BR300" s="197">
        <f>+BR301</f>
        <v/>
      </c>
      <c r="BS300" s="197">
        <f>+BS301</f>
        <v/>
      </c>
      <c r="BT300" s="197">
        <f>+BT301</f>
        <v/>
      </c>
      <c r="BU300" s="197">
        <f>+BU301</f>
        <v/>
      </c>
      <c r="BV300" s="197">
        <f>+BV301</f>
        <v/>
      </c>
      <c r="BX300" s="198">
        <f>$G300</f>
        <v/>
      </c>
      <c r="BY300" s="197">
        <f>$K300</f>
        <v/>
      </c>
      <c r="BZ300" s="197">
        <f>+BZ301</f>
        <v/>
      </c>
      <c r="CA300" s="197">
        <f>+CA301</f>
        <v/>
      </c>
      <c r="CB300" s="197">
        <f>+CB301</f>
        <v/>
      </c>
      <c r="CC300" s="197">
        <f>+CC301</f>
        <v/>
      </c>
      <c r="CD300" s="197">
        <f>+CD301</f>
        <v/>
      </c>
      <c r="CF300" s="198">
        <f>$G300</f>
        <v/>
      </c>
      <c r="CG300" s="197">
        <f>$L300</f>
        <v/>
      </c>
      <c r="CH300" s="197">
        <f>+CH301</f>
        <v/>
      </c>
      <c r="CI300" s="197">
        <f>+CI301</f>
        <v/>
      </c>
      <c r="CJ300" s="197">
        <f>+CJ301</f>
        <v/>
      </c>
      <c r="CK300" s="197">
        <f>+CK301</f>
        <v/>
      </c>
      <c r="CL300" s="197">
        <f>+CL301</f>
        <v/>
      </c>
      <c r="CO300" s="199" t="n">
        <v>10.99764336213669</v>
      </c>
      <c r="CP300" s="199" t="n">
        <v>3.49</v>
      </c>
      <c r="CR300" s="199" t="n">
        <v>9.66</v>
      </c>
      <c r="CS300" s="970" t="n">
        <v>0.87837</v>
      </c>
    </row>
    <row r="301">
      <c r="B301" s="204">
        <f>+C301-1</f>
        <v/>
      </c>
      <c r="C301" s="204">
        <f>IF('bands_A-H_Avg'!$D$9+1&gt;MONTH(G301),YEAR(G301),YEAR(G301)+1)</f>
        <v/>
      </c>
      <c r="D301" s="204">
        <f>+C301+1</f>
        <v/>
      </c>
      <c r="E301" s="203">
        <f>IF(C301&gt;C300,1,E300+1)</f>
        <v/>
      </c>
      <c r="F301" s="203">
        <f>COUNTIF(C:C,C301)</f>
        <v/>
      </c>
      <c r="G301" s="198">
        <f>+G300+7</f>
        <v/>
      </c>
      <c r="H301" s="361">
        <f>IF(ISBLANK(CO301),CP301,SUMPRODUCT(CO$32:CP$32,CO301:CP301))</f>
        <v/>
      </c>
      <c r="I301" s="968">
        <f>H301/M301</f>
        <v/>
      </c>
      <c r="J301" s="968">
        <f>H301/N301</f>
        <v/>
      </c>
      <c r="K301" s="968">
        <f>(H301+Q301)/O301</f>
        <v/>
      </c>
      <c r="L301" s="968">
        <f>(H301+Q301)/P301</f>
        <v/>
      </c>
      <c r="M301" s="199">
        <f>HLOOKUP(C:C,$4:$10,3,FALSE)+((HLOOKUP(D:D,$4:$10,3,FALSE)-HLOOKUP(C:C,$4:$10,3,FALSE))*E301/F301)</f>
        <v/>
      </c>
      <c r="N301" s="199">
        <f>HLOOKUP(C:C,$4:$10,2,FALSE)+((HLOOKUP(D:D,$4:$10,2,FALSE)-HLOOKUP(C:C,$4:$10,2,FALSE))*E301/F301)</f>
        <v/>
      </c>
      <c r="O301" s="199">
        <f>HLOOKUP(C:C,$4:$10,5,FALSE)+((HLOOKUP(D:D,$4:$10,5,FALSE)-HLOOKUP(C:C,$4:$10,5,FALSE))*E301/F301)</f>
        <v/>
      </c>
      <c r="P301" s="199">
        <f>HLOOKUP(C:C,$4:$10,4,FALSE)+((HLOOKUP(D:D,$4:$10,4,FALSE)-HLOOKUP(C:C,$4:$10,4,FALSE))*E301/F301)</f>
        <v/>
      </c>
      <c r="Q301" s="199">
        <f>HLOOKUP(B:B,$4:$10,6,FALSE)+((HLOOKUP(C:C,$4:$10,6,FALSE)-HLOOKUP(B:B,$4:$10,6,FALSE))*E301/F301)</f>
        <v/>
      </c>
      <c r="T301" s="198">
        <f>$G301</f>
        <v/>
      </c>
      <c r="U301" s="199">
        <f>H301/(HLOOKUP(B:B,$4:$10,3,FALSE)+((HLOOKUP(C:C,$4:$10,3,FALSE)-HLOOKUP(B:B,$4:$10,3,FALSE))*E301/F301))</f>
        <v/>
      </c>
      <c r="V301" s="969">
        <f>HLOOKUP(B:B,$4:$10,7,FALSE)+((HLOOKUP(C:C,$4:$10,7,FALSE)-HLOOKUP(B:B,$4:$10,7,FALSE))*E301/F301)</f>
        <v/>
      </c>
      <c r="AB301" s="198">
        <f>$G301</f>
        <v/>
      </c>
      <c r="AC301" s="199">
        <f>$H301</f>
        <v/>
      </c>
      <c r="AD301" s="199">
        <f>$M301*AD$34</f>
        <v/>
      </c>
      <c r="AE301" s="199">
        <f>$M301*AE$34</f>
        <v/>
      </c>
      <c r="AF301" s="199">
        <f>$M301*AF$34</f>
        <v/>
      </c>
      <c r="AG301" s="199">
        <f>$M301*AG$34</f>
        <v/>
      </c>
      <c r="AH301" s="199">
        <f>$M301*AH$34</f>
        <v/>
      </c>
      <c r="AJ301" s="198">
        <f>$G301</f>
        <v/>
      </c>
      <c r="AK301" s="199">
        <f>$H301</f>
        <v/>
      </c>
      <c r="AL301" s="199">
        <f>$N301*AL$34</f>
        <v/>
      </c>
      <c r="AM301" s="199">
        <f>$N301*AM$34</f>
        <v/>
      </c>
      <c r="AN301" s="199">
        <f>$N301*AN$34</f>
        <v/>
      </c>
      <c r="AO301" s="199">
        <f>$N301*AO$34</f>
        <v/>
      </c>
      <c r="AP301" s="199">
        <f>$N301*AP$34</f>
        <v/>
      </c>
      <c r="AR301" s="198">
        <f>$G301</f>
        <v/>
      </c>
      <c r="AS301" s="199">
        <f>$H301</f>
        <v/>
      </c>
      <c r="AT301" s="199">
        <f>$O301*AT$34-$Q301</f>
        <v/>
      </c>
      <c r="AU301" s="199">
        <f>$O301*AU$34-$Q301</f>
        <v/>
      </c>
      <c r="AV301" s="199">
        <f>$O301*AV$34-$Q301</f>
        <v/>
      </c>
      <c r="AW301" s="199">
        <f>$O301*AW$34-$Q301</f>
        <v/>
      </c>
      <c r="AX301" s="199">
        <f>$O301*AX$34-$Q301</f>
        <v/>
      </c>
      <c r="AZ301" s="198">
        <f>$G301</f>
        <v/>
      </c>
      <c r="BA301" s="199">
        <f>$H301</f>
        <v/>
      </c>
      <c r="BB301" s="199">
        <f>$P301*BB$34-$Q301</f>
        <v/>
      </c>
      <c r="BC301" s="199">
        <f>$P301*BC$34-$Q301</f>
        <v/>
      </c>
      <c r="BD301" s="199">
        <f>$P301*BD$34-$Q301</f>
        <v/>
      </c>
      <c r="BE301" s="199">
        <f>$P301*BE$34-$Q301</f>
        <v/>
      </c>
      <c r="BF301" s="199">
        <f>$P301*BF$34-$Q301</f>
        <v/>
      </c>
      <c r="BH301" s="198">
        <f>$G301</f>
        <v/>
      </c>
      <c r="BI301" s="197">
        <f>$I301</f>
        <v/>
      </c>
      <c r="BJ301" s="197">
        <f>+BJ302</f>
        <v/>
      </c>
      <c r="BK301" s="197">
        <f>+BK302</f>
        <v/>
      </c>
      <c r="BL301" s="197">
        <f>+BL302</f>
        <v/>
      </c>
      <c r="BM301" s="197">
        <f>+BM302</f>
        <v/>
      </c>
      <c r="BN301" s="197">
        <f>+BN302</f>
        <v/>
      </c>
      <c r="BP301" s="198">
        <f>$G301</f>
        <v/>
      </c>
      <c r="BQ301" s="197">
        <f>$J301</f>
        <v/>
      </c>
      <c r="BR301" s="197">
        <f>+BR302</f>
        <v/>
      </c>
      <c r="BS301" s="197">
        <f>+BS302</f>
        <v/>
      </c>
      <c r="BT301" s="197">
        <f>+BT302</f>
        <v/>
      </c>
      <c r="BU301" s="197">
        <f>+BU302</f>
        <v/>
      </c>
      <c r="BV301" s="197">
        <f>+BV302</f>
        <v/>
      </c>
      <c r="BX301" s="198">
        <f>$G301</f>
        <v/>
      </c>
      <c r="BY301" s="197">
        <f>$K301</f>
        <v/>
      </c>
      <c r="BZ301" s="197">
        <f>+BZ302</f>
        <v/>
      </c>
      <c r="CA301" s="197">
        <f>+CA302</f>
        <v/>
      </c>
      <c r="CB301" s="197">
        <f>+CB302</f>
        <v/>
      </c>
      <c r="CC301" s="197">
        <f>+CC302</f>
        <v/>
      </c>
      <c r="CD301" s="197">
        <f>+CD302</f>
        <v/>
      </c>
      <c r="CF301" s="198">
        <f>$G301</f>
        <v/>
      </c>
      <c r="CG301" s="197">
        <f>$L301</f>
        <v/>
      </c>
      <c r="CH301" s="197">
        <f>+CH302</f>
        <v/>
      </c>
      <c r="CI301" s="197">
        <f>+CI302</f>
        <v/>
      </c>
      <c r="CJ301" s="197">
        <f>+CJ302</f>
        <v/>
      </c>
      <c r="CK301" s="197">
        <f>+CK302</f>
        <v/>
      </c>
      <c r="CL301" s="197">
        <f>+CL302</f>
        <v/>
      </c>
      <c r="CO301" s="199" t="n">
        <v>10.34984759565079</v>
      </c>
      <c r="CP301" s="199" t="n">
        <v>3.4</v>
      </c>
      <c r="CR301" s="199" t="n">
        <v>9.1</v>
      </c>
      <c r="CS301" s="970" t="n">
        <v>0.87924</v>
      </c>
    </row>
    <row r="302">
      <c r="B302" s="204">
        <f>+C302-1</f>
        <v/>
      </c>
      <c r="C302" s="204">
        <f>IF('bands_A-H_Avg'!$D$9+1&gt;MONTH(G302),YEAR(G302),YEAR(G302)+1)</f>
        <v/>
      </c>
      <c r="D302" s="204">
        <f>+C302+1</f>
        <v/>
      </c>
      <c r="E302" s="203">
        <f>IF(C302&gt;C301,1,E301+1)</f>
        <v/>
      </c>
      <c r="F302" s="203">
        <f>COUNTIF(C:C,C302)</f>
        <v/>
      </c>
      <c r="G302" s="198">
        <f>+G301+7</f>
        <v/>
      </c>
      <c r="H302" s="361">
        <f>IF(ISBLANK(CO302),CP302,SUMPRODUCT(CO$32:CP$32,CO302:CP302))</f>
        <v/>
      </c>
      <c r="I302" s="968">
        <f>H302/M302</f>
        <v/>
      </c>
      <c r="J302" s="968">
        <f>H302/N302</f>
        <v/>
      </c>
      <c r="K302" s="968">
        <f>(H302+Q302)/O302</f>
        <v/>
      </c>
      <c r="L302" s="968">
        <f>(H302+Q302)/P302</f>
        <v/>
      </c>
      <c r="M302" s="199">
        <f>HLOOKUP(C:C,$4:$10,3,FALSE)+((HLOOKUP(D:D,$4:$10,3,FALSE)-HLOOKUP(C:C,$4:$10,3,FALSE))*E302/F302)</f>
        <v/>
      </c>
      <c r="N302" s="199">
        <f>HLOOKUP(C:C,$4:$10,2,FALSE)+((HLOOKUP(D:D,$4:$10,2,FALSE)-HLOOKUP(C:C,$4:$10,2,FALSE))*E302/F302)</f>
        <v/>
      </c>
      <c r="O302" s="199">
        <f>HLOOKUP(C:C,$4:$10,5,FALSE)+((HLOOKUP(D:D,$4:$10,5,FALSE)-HLOOKUP(C:C,$4:$10,5,FALSE))*E302/F302)</f>
        <v/>
      </c>
      <c r="P302" s="199">
        <f>HLOOKUP(C:C,$4:$10,4,FALSE)+((HLOOKUP(D:D,$4:$10,4,FALSE)-HLOOKUP(C:C,$4:$10,4,FALSE))*E302/F302)</f>
        <v/>
      </c>
      <c r="Q302" s="199">
        <f>HLOOKUP(B:B,$4:$10,6,FALSE)+((HLOOKUP(C:C,$4:$10,6,FALSE)-HLOOKUP(B:B,$4:$10,6,FALSE))*E302/F302)</f>
        <v/>
      </c>
      <c r="T302" s="198">
        <f>$G302</f>
        <v/>
      </c>
      <c r="U302" s="199">
        <f>H302/(HLOOKUP(B:B,$4:$10,3,FALSE)+((HLOOKUP(C:C,$4:$10,3,FALSE)-HLOOKUP(B:B,$4:$10,3,FALSE))*E302/F302))</f>
        <v/>
      </c>
      <c r="V302" s="969">
        <f>HLOOKUP(B:B,$4:$10,7,FALSE)+((HLOOKUP(C:C,$4:$10,7,FALSE)-HLOOKUP(B:B,$4:$10,7,FALSE))*E302/F302)</f>
        <v/>
      </c>
      <c r="AB302" s="198">
        <f>$G302</f>
        <v/>
      </c>
      <c r="AC302" s="199">
        <f>$H302</f>
        <v/>
      </c>
      <c r="AD302" s="199">
        <f>$M302*AD$34</f>
        <v/>
      </c>
      <c r="AE302" s="199">
        <f>$M302*AE$34</f>
        <v/>
      </c>
      <c r="AF302" s="199">
        <f>$M302*AF$34</f>
        <v/>
      </c>
      <c r="AG302" s="199">
        <f>$M302*AG$34</f>
        <v/>
      </c>
      <c r="AH302" s="199">
        <f>$M302*AH$34</f>
        <v/>
      </c>
      <c r="AJ302" s="198">
        <f>$G302</f>
        <v/>
      </c>
      <c r="AK302" s="199">
        <f>$H302</f>
        <v/>
      </c>
      <c r="AL302" s="199">
        <f>$N302*AL$34</f>
        <v/>
      </c>
      <c r="AM302" s="199">
        <f>$N302*AM$34</f>
        <v/>
      </c>
      <c r="AN302" s="199">
        <f>$N302*AN$34</f>
        <v/>
      </c>
      <c r="AO302" s="199">
        <f>$N302*AO$34</f>
        <v/>
      </c>
      <c r="AP302" s="199">
        <f>$N302*AP$34</f>
        <v/>
      </c>
      <c r="AR302" s="198">
        <f>$G302</f>
        <v/>
      </c>
      <c r="AS302" s="199">
        <f>$H302</f>
        <v/>
      </c>
      <c r="AT302" s="199">
        <f>$O302*AT$34-$Q302</f>
        <v/>
      </c>
      <c r="AU302" s="199">
        <f>$O302*AU$34-$Q302</f>
        <v/>
      </c>
      <c r="AV302" s="199">
        <f>$O302*AV$34-$Q302</f>
        <v/>
      </c>
      <c r="AW302" s="199">
        <f>$O302*AW$34-$Q302</f>
        <v/>
      </c>
      <c r="AX302" s="199">
        <f>$O302*AX$34-$Q302</f>
        <v/>
      </c>
      <c r="AZ302" s="198">
        <f>$G302</f>
        <v/>
      </c>
      <c r="BA302" s="199">
        <f>$H302</f>
        <v/>
      </c>
      <c r="BB302" s="199">
        <f>$P302*BB$34-$Q302</f>
        <v/>
      </c>
      <c r="BC302" s="199">
        <f>$P302*BC$34-$Q302</f>
        <v/>
      </c>
      <c r="BD302" s="199">
        <f>$P302*BD$34-$Q302</f>
        <v/>
      </c>
      <c r="BE302" s="199">
        <f>$P302*BE$34-$Q302</f>
        <v/>
      </c>
      <c r="BF302" s="199">
        <f>$P302*BF$34-$Q302</f>
        <v/>
      </c>
      <c r="BH302" s="198">
        <f>$G302</f>
        <v/>
      </c>
      <c r="BI302" s="197">
        <f>$I302</f>
        <v/>
      </c>
      <c r="BJ302" s="197">
        <f>+BJ303</f>
        <v/>
      </c>
      <c r="BK302" s="197">
        <f>+BK303</f>
        <v/>
      </c>
      <c r="BL302" s="197">
        <f>+BL303</f>
        <v/>
      </c>
      <c r="BM302" s="197">
        <f>+BM303</f>
        <v/>
      </c>
      <c r="BN302" s="197">
        <f>+BN303</f>
        <v/>
      </c>
      <c r="BP302" s="198">
        <f>$G302</f>
        <v/>
      </c>
      <c r="BQ302" s="197">
        <f>$J302</f>
        <v/>
      </c>
      <c r="BR302" s="197">
        <f>+BR303</f>
        <v/>
      </c>
      <c r="BS302" s="197">
        <f>+BS303</f>
        <v/>
      </c>
      <c r="BT302" s="197">
        <f>+BT303</f>
        <v/>
      </c>
      <c r="BU302" s="197">
        <f>+BU303</f>
        <v/>
      </c>
      <c r="BV302" s="197">
        <f>+BV303</f>
        <v/>
      </c>
      <c r="BX302" s="198">
        <f>$G302</f>
        <v/>
      </c>
      <c r="BY302" s="197">
        <f>$K302</f>
        <v/>
      </c>
      <c r="BZ302" s="197">
        <f>+BZ303</f>
        <v/>
      </c>
      <c r="CA302" s="197">
        <f>+CA303</f>
        <v/>
      </c>
      <c r="CB302" s="197">
        <f>+CB303</f>
        <v/>
      </c>
      <c r="CC302" s="197">
        <f>+CC303</f>
        <v/>
      </c>
      <c r="CD302" s="197">
        <f>+CD303</f>
        <v/>
      </c>
      <c r="CF302" s="198">
        <f>$G302</f>
        <v/>
      </c>
      <c r="CG302" s="197">
        <f>$L302</f>
        <v/>
      </c>
      <c r="CH302" s="197">
        <f>+CH303</f>
        <v/>
      </c>
      <c r="CI302" s="197">
        <f>+CI303</f>
        <v/>
      </c>
      <c r="CJ302" s="197">
        <f>+CJ303</f>
        <v/>
      </c>
      <c r="CK302" s="197">
        <f>+CK303</f>
        <v/>
      </c>
      <c r="CL302" s="197">
        <f>+CL303</f>
        <v/>
      </c>
      <c r="CO302" s="199" t="n">
        <v>9.98281180635394</v>
      </c>
      <c r="CP302" s="199" t="n">
        <v>3.32</v>
      </c>
      <c r="CR302" s="199" t="n">
        <v>8.77</v>
      </c>
      <c r="CS302" s="970" t="n">
        <v>0.87851</v>
      </c>
    </row>
    <row r="303">
      <c r="B303" s="204">
        <f>+C303-1</f>
        <v/>
      </c>
      <c r="C303" s="204">
        <f>IF('bands_A-H_Avg'!$D$9+1&gt;MONTH(G303),YEAR(G303),YEAR(G303)+1)</f>
        <v/>
      </c>
      <c r="D303" s="204">
        <f>+C303+1</f>
        <v/>
      </c>
      <c r="E303" s="203">
        <f>IF(C303&gt;C302,1,E302+1)</f>
        <v/>
      </c>
      <c r="F303" s="203">
        <f>COUNTIF(C:C,C303)</f>
        <v/>
      </c>
      <c r="G303" s="198">
        <f>+G302+7</f>
        <v/>
      </c>
      <c r="H303" s="361">
        <f>IF(ISBLANK(CO303),CP303,SUMPRODUCT(CO$32:CP$32,CO303:CP303))</f>
        <v/>
      </c>
      <c r="I303" s="968">
        <f>H303/M303</f>
        <v/>
      </c>
      <c r="J303" s="968">
        <f>H303/N303</f>
        <v/>
      </c>
      <c r="K303" s="968">
        <f>(H303+Q303)/O303</f>
        <v/>
      </c>
      <c r="L303" s="968">
        <f>(H303+Q303)/P303</f>
        <v/>
      </c>
      <c r="M303" s="199">
        <f>HLOOKUP(C:C,$4:$10,3,FALSE)+((HLOOKUP(D:D,$4:$10,3,FALSE)-HLOOKUP(C:C,$4:$10,3,FALSE))*E303/F303)</f>
        <v/>
      </c>
      <c r="N303" s="199">
        <f>HLOOKUP(C:C,$4:$10,2,FALSE)+((HLOOKUP(D:D,$4:$10,2,FALSE)-HLOOKUP(C:C,$4:$10,2,FALSE))*E303/F303)</f>
        <v/>
      </c>
      <c r="O303" s="199">
        <f>HLOOKUP(C:C,$4:$10,5,FALSE)+((HLOOKUP(D:D,$4:$10,5,FALSE)-HLOOKUP(C:C,$4:$10,5,FALSE))*E303/F303)</f>
        <v/>
      </c>
      <c r="P303" s="199">
        <f>HLOOKUP(C:C,$4:$10,4,FALSE)+((HLOOKUP(D:D,$4:$10,4,FALSE)-HLOOKUP(C:C,$4:$10,4,FALSE))*E303/F303)</f>
        <v/>
      </c>
      <c r="Q303" s="199">
        <f>HLOOKUP(B:B,$4:$10,6,FALSE)+((HLOOKUP(C:C,$4:$10,6,FALSE)-HLOOKUP(B:B,$4:$10,6,FALSE))*E303/F303)</f>
        <v/>
      </c>
      <c r="T303" s="198">
        <f>$G303</f>
        <v/>
      </c>
      <c r="U303" s="199">
        <f>H303/(HLOOKUP(B:B,$4:$10,3,FALSE)+((HLOOKUP(C:C,$4:$10,3,FALSE)-HLOOKUP(B:B,$4:$10,3,FALSE))*E303/F303))</f>
        <v/>
      </c>
      <c r="V303" s="969">
        <f>HLOOKUP(B:B,$4:$10,7,FALSE)+((HLOOKUP(C:C,$4:$10,7,FALSE)-HLOOKUP(B:B,$4:$10,7,FALSE))*E303/F303)</f>
        <v/>
      </c>
      <c r="AB303" s="198">
        <f>$G303</f>
        <v/>
      </c>
      <c r="AC303" s="199">
        <f>$H303</f>
        <v/>
      </c>
      <c r="AD303" s="199">
        <f>$M303*AD$34</f>
        <v/>
      </c>
      <c r="AE303" s="199">
        <f>$M303*AE$34</f>
        <v/>
      </c>
      <c r="AF303" s="199">
        <f>$M303*AF$34</f>
        <v/>
      </c>
      <c r="AG303" s="199">
        <f>$M303*AG$34</f>
        <v/>
      </c>
      <c r="AH303" s="199">
        <f>$M303*AH$34</f>
        <v/>
      </c>
      <c r="AJ303" s="198">
        <f>$G303</f>
        <v/>
      </c>
      <c r="AK303" s="199">
        <f>$H303</f>
        <v/>
      </c>
      <c r="AL303" s="199">
        <f>$N303*AL$34</f>
        <v/>
      </c>
      <c r="AM303" s="199">
        <f>$N303*AM$34</f>
        <v/>
      </c>
      <c r="AN303" s="199">
        <f>$N303*AN$34</f>
        <v/>
      </c>
      <c r="AO303" s="199">
        <f>$N303*AO$34</f>
        <v/>
      </c>
      <c r="AP303" s="199">
        <f>$N303*AP$34</f>
        <v/>
      </c>
      <c r="AR303" s="198">
        <f>$G303</f>
        <v/>
      </c>
      <c r="AS303" s="199">
        <f>$H303</f>
        <v/>
      </c>
      <c r="AT303" s="199">
        <f>$O303*AT$34-$Q303</f>
        <v/>
      </c>
      <c r="AU303" s="199">
        <f>$O303*AU$34-$Q303</f>
        <v/>
      </c>
      <c r="AV303" s="199">
        <f>$O303*AV$34-$Q303</f>
        <v/>
      </c>
      <c r="AW303" s="199">
        <f>$O303*AW$34-$Q303</f>
        <v/>
      </c>
      <c r="AX303" s="199">
        <f>$O303*AX$34-$Q303</f>
        <v/>
      </c>
      <c r="AZ303" s="198">
        <f>$G303</f>
        <v/>
      </c>
      <c r="BA303" s="199">
        <f>$H303</f>
        <v/>
      </c>
      <c r="BB303" s="199">
        <f>$P303*BB$34-$Q303</f>
        <v/>
      </c>
      <c r="BC303" s="199">
        <f>$P303*BC$34-$Q303</f>
        <v/>
      </c>
      <c r="BD303" s="199">
        <f>$P303*BD$34-$Q303</f>
        <v/>
      </c>
      <c r="BE303" s="199">
        <f>$P303*BE$34-$Q303</f>
        <v/>
      </c>
      <c r="BF303" s="199">
        <f>$P303*BF$34-$Q303</f>
        <v/>
      </c>
      <c r="BH303" s="198">
        <f>$G303</f>
        <v/>
      </c>
      <c r="BI303" s="197">
        <f>$I303</f>
        <v/>
      </c>
      <c r="BJ303" s="197">
        <f>+BJ304</f>
        <v/>
      </c>
      <c r="BK303" s="197">
        <f>+BK304</f>
        <v/>
      </c>
      <c r="BL303" s="197">
        <f>+BL304</f>
        <v/>
      </c>
      <c r="BM303" s="197">
        <f>+BM304</f>
        <v/>
      </c>
      <c r="BN303" s="197">
        <f>+BN304</f>
        <v/>
      </c>
      <c r="BP303" s="198">
        <f>$G303</f>
        <v/>
      </c>
      <c r="BQ303" s="197">
        <f>$J303</f>
        <v/>
      </c>
      <c r="BR303" s="197">
        <f>+BR304</f>
        <v/>
      </c>
      <c r="BS303" s="197">
        <f>+BS304</f>
        <v/>
      </c>
      <c r="BT303" s="197">
        <f>+BT304</f>
        <v/>
      </c>
      <c r="BU303" s="197">
        <f>+BU304</f>
        <v/>
      </c>
      <c r="BV303" s="197">
        <f>+BV304</f>
        <v/>
      </c>
      <c r="BX303" s="198">
        <f>$G303</f>
        <v/>
      </c>
      <c r="BY303" s="197">
        <f>$K303</f>
        <v/>
      </c>
      <c r="BZ303" s="197">
        <f>+BZ304</f>
        <v/>
      </c>
      <c r="CA303" s="197">
        <f>+CA304</f>
        <v/>
      </c>
      <c r="CB303" s="197">
        <f>+CB304</f>
        <v/>
      </c>
      <c r="CC303" s="197">
        <f>+CC304</f>
        <v/>
      </c>
      <c r="CD303" s="197">
        <f>+CD304</f>
        <v/>
      </c>
      <c r="CF303" s="198">
        <f>$G303</f>
        <v/>
      </c>
      <c r="CG303" s="197">
        <f>$L303</f>
        <v/>
      </c>
      <c r="CH303" s="197">
        <f>+CH304</f>
        <v/>
      </c>
      <c r="CI303" s="197">
        <f>+CI304</f>
        <v/>
      </c>
      <c r="CJ303" s="197">
        <f>+CJ304</f>
        <v/>
      </c>
      <c r="CK303" s="197">
        <f>+CK304</f>
        <v/>
      </c>
      <c r="CL303" s="197">
        <f>+CL304</f>
        <v/>
      </c>
      <c r="CO303" s="199" t="n">
        <v>10.22229802717608</v>
      </c>
      <c r="CP303" s="199" t="n">
        <v>3.5</v>
      </c>
      <c r="CR303" s="199" t="n">
        <v>8.99</v>
      </c>
      <c r="CS303" s="970" t="n">
        <v>0.87945</v>
      </c>
    </row>
    <row r="304">
      <c r="B304" s="204">
        <f>+C304-1</f>
        <v/>
      </c>
      <c r="C304" s="204">
        <f>IF('bands_A-H_Avg'!$D$9+1&gt;MONTH(G304),YEAR(G304),YEAR(G304)+1)</f>
        <v/>
      </c>
      <c r="D304" s="204">
        <f>+C304+1</f>
        <v/>
      </c>
      <c r="E304" s="203">
        <f>IF(C304&gt;C303,1,E303+1)</f>
        <v/>
      </c>
      <c r="F304" s="203">
        <f>COUNTIF(C:C,C304)</f>
        <v/>
      </c>
      <c r="G304" s="198">
        <f>+G303+7</f>
        <v/>
      </c>
      <c r="H304" s="361">
        <f>IF(ISBLANK(CO304),CP304,SUMPRODUCT(CO$32:CP$32,CO304:CP304))</f>
        <v/>
      </c>
      <c r="I304" s="968">
        <f>H304/M304</f>
        <v/>
      </c>
      <c r="J304" s="968">
        <f>H304/N304</f>
        <v/>
      </c>
      <c r="K304" s="968">
        <f>(H304+Q304)/O304</f>
        <v/>
      </c>
      <c r="L304" s="968">
        <f>(H304+Q304)/P304</f>
        <v/>
      </c>
      <c r="M304" s="199">
        <f>HLOOKUP(C:C,$4:$10,3,FALSE)+((HLOOKUP(D:D,$4:$10,3,FALSE)-HLOOKUP(C:C,$4:$10,3,FALSE))*E304/F304)</f>
        <v/>
      </c>
      <c r="N304" s="199">
        <f>HLOOKUP(C:C,$4:$10,2,FALSE)+((HLOOKUP(D:D,$4:$10,2,FALSE)-HLOOKUP(C:C,$4:$10,2,FALSE))*E304/F304)</f>
        <v/>
      </c>
      <c r="O304" s="199">
        <f>HLOOKUP(C:C,$4:$10,5,FALSE)+((HLOOKUP(D:D,$4:$10,5,FALSE)-HLOOKUP(C:C,$4:$10,5,FALSE))*E304/F304)</f>
        <v/>
      </c>
      <c r="P304" s="199">
        <f>HLOOKUP(C:C,$4:$10,4,FALSE)+((HLOOKUP(D:D,$4:$10,4,FALSE)-HLOOKUP(C:C,$4:$10,4,FALSE))*E304/F304)</f>
        <v/>
      </c>
      <c r="Q304" s="199">
        <f>HLOOKUP(B:B,$4:$10,6,FALSE)+((HLOOKUP(C:C,$4:$10,6,FALSE)-HLOOKUP(B:B,$4:$10,6,FALSE))*E304/F304)</f>
        <v/>
      </c>
      <c r="T304" s="198">
        <f>$G304</f>
        <v/>
      </c>
      <c r="U304" s="199">
        <f>H304/(HLOOKUP(B:B,$4:$10,3,FALSE)+((HLOOKUP(C:C,$4:$10,3,FALSE)-HLOOKUP(B:B,$4:$10,3,FALSE))*E304/F304))</f>
        <v/>
      </c>
      <c r="V304" s="969">
        <f>HLOOKUP(B:B,$4:$10,7,FALSE)+((HLOOKUP(C:C,$4:$10,7,FALSE)-HLOOKUP(B:B,$4:$10,7,FALSE))*E304/F304)</f>
        <v/>
      </c>
      <c r="AB304" s="198">
        <f>$G304</f>
        <v/>
      </c>
      <c r="AC304" s="199">
        <f>$H304</f>
        <v/>
      </c>
      <c r="AD304" s="199">
        <f>$M304*AD$34</f>
        <v/>
      </c>
      <c r="AE304" s="199">
        <f>$M304*AE$34</f>
        <v/>
      </c>
      <c r="AF304" s="199">
        <f>$M304*AF$34</f>
        <v/>
      </c>
      <c r="AG304" s="199">
        <f>$M304*AG$34</f>
        <v/>
      </c>
      <c r="AH304" s="199">
        <f>$M304*AH$34</f>
        <v/>
      </c>
      <c r="AJ304" s="198">
        <f>$G304</f>
        <v/>
      </c>
      <c r="AK304" s="199">
        <f>$H304</f>
        <v/>
      </c>
      <c r="AL304" s="199">
        <f>$N304*AL$34</f>
        <v/>
      </c>
      <c r="AM304" s="199">
        <f>$N304*AM$34</f>
        <v/>
      </c>
      <c r="AN304" s="199">
        <f>$N304*AN$34</f>
        <v/>
      </c>
      <c r="AO304" s="199">
        <f>$N304*AO$34</f>
        <v/>
      </c>
      <c r="AP304" s="199">
        <f>$N304*AP$34</f>
        <v/>
      </c>
      <c r="AR304" s="198">
        <f>$G304</f>
        <v/>
      </c>
      <c r="AS304" s="199">
        <f>$H304</f>
        <v/>
      </c>
      <c r="AT304" s="199">
        <f>$O304*AT$34-$Q304</f>
        <v/>
      </c>
      <c r="AU304" s="199">
        <f>$O304*AU$34-$Q304</f>
        <v/>
      </c>
      <c r="AV304" s="199">
        <f>$O304*AV$34-$Q304</f>
        <v/>
      </c>
      <c r="AW304" s="199">
        <f>$O304*AW$34-$Q304</f>
        <v/>
      </c>
      <c r="AX304" s="199">
        <f>$O304*AX$34-$Q304</f>
        <v/>
      </c>
      <c r="AZ304" s="198">
        <f>$G304</f>
        <v/>
      </c>
      <c r="BA304" s="199">
        <f>$H304</f>
        <v/>
      </c>
      <c r="BB304" s="199">
        <f>$P304*BB$34-$Q304</f>
        <v/>
      </c>
      <c r="BC304" s="199">
        <f>$P304*BC$34-$Q304</f>
        <v/>
      </c>
      <c r="BD304" s="199">
        <f>$P304*BD$34-$Q304</f>
        <v/>
      </c>
      <c r="BE304" s="199">
        <f>$P304*BE$34-$Q304</f>
        <v/>
      </c>
      <c r="BF304" s="199">
        <f>$P304*BF$34-$Q304</f>
        <v/>
      </c>
      <c r="BH304" s="198">
        <f>$G304</f>
        <v/>
      </c>
      <c r="BI304" s="197">
        <f>$I304</f>
        <v/>
      </c>
      <c r="BJ304" s="197">
        <f>+BJ305</f>
        <v/>
      </c>
      <c r="BK304" s="197">
        <f>+BK305</f>
        <v/>
      </c>
      <c r="BL304" s="197">
        <f>+BL305</f>
        <v/>
      </c>
      <c r="BM304" s="197">
        <f>+BM305</f>
        <v/>
      </c>
      <c r="BN304" s="197">
        <f>+BN305</f>
        <v/>
      </c>
      <c r="BP304" s="198">
        <f>$G304</f>
        <v/>
      </c>
      <c r="BQ304" s="197">
        <f>$J304</f>
        <v/>
      </c>
      <c r="BR304" s="197">
        <f>+BR305</f>
        <v/>
      </c>
      <c r="BS304" s="197">
        <f>+BS305</f>
        <v/>
      </c>
      <c r="BT304" s="197">
        <f>+BT305</f>
        <v/>
      </c>
      <c r="BU304" s="197">
        <f>+BU305</f>
        <v/>
      </c>
      <c r="BV304" s="197">
        <f>+BV305</f>
        <v/>
      </c>
      <c r="BX304" s="198">
        <f>$G304</f>
        <v/>
      </c>
      <c r="BY304" s="197">
        <f>$K304</f>
        <v/>
      </c>
      <c r="BZ304" s="197">
        <f>+BZ305</f>
        <v/>
      </c>
      <c r="CA304" s="197">
        <f>+CA305</f>
        <v/>
      </c>
      <c r="CB304" s="197">
        <f>+CB305</f>
        <v/>
      </c>
      <c r="CC304" s="197">
        <f>+CC305</f>
        <v/>
      </c>
      <c r="CD304" s="197">
        <f>+CD305</f>
        <v/>
      </c>
      <c r="CF304" s="198">
        <f>$G304</f>
        <v/>
      </c>
      <c r="CG304" s="197">
        <f>$L304</f>
        <v/>
      </c>
      <c r="CH304" s="197">
        <f>+CH305</f>
        <v/>
      </c>
      <c r="CI304" s="197">
        <f>+CI305</f>
        <v/>
      </c>
      <c r="CJ304" s="197">
        <f>+CJ305</f>
        <v/>
      </c>
      <c r="CK304" s="197">
        <f>+CK305</f>
        <v/>
      </c>
      <c r="CL304" s="197">
        <f>+CL305</f>
        <v/>
      </c>
      <c r="CO304" s="199" t="n">
        <v>10.21648957327121</v>
      </c>
      <c r="CP304" s="199" t="n">
        <v>3.41</v>
      </c>
      <c r="CR304" s="199" t="n">
        <v>8.99</v>
      </c>
      <c r="CS304" s="970" t="n">
        <v>0.87995</v>
      </c>
    </row>
    <row r="305">
      <c r="B305" s="204">
        <f>+C305-1</f>
        <v/>
      </c>
      <c r="C305" s="204">
        <f>IF('bands_A-H_Avg'!$D$9+1&gt;MONTH(G305),YEAR(G305),YEAR(G305)+1)</f>
        <v/>
      </c>
      <c r="D305" s="204">
        <f>+C305+1</f>
        <v/>
      </c>
      <c r="E305" s="203">
        <f>IF(C305&gt;C304,1,E304+1)</f>
        <v/>
      </c>
      <c r="F305" s="203">
        <f>COUNTIF(C:C,C305)</f>
        <v/>
      </c>
      <c r="G305" s="198">
        <f>+G304+7</f>
        <v/>
      </c>
      <c r="H305" s="361">
        <f>IF(ISBLANK(CO305),CP305,SUMPRODUCT(CO$32:CP$32,CO305:CP305))</f>
        <v/>
      </c>
      <c r="I305" s="968">
        <f>H305/M305</f>
        <v/>
      </c>
      <c r="J305" s="968">
        <f>H305/N305</f>
        <v/>
      </c>
      <c r="K305" s="968">
        <f>(H305+Q305)/O305</f>
        <v/>
      </c>
      <c r="L305" s="968">
        <f>(H305+Q305)/P305</f>
        <v/>
      </c>
      <c r="M305" s="199">
        <f>HLOOKUP(C:C,$4:$10,3,FALSE)+((HLOOKUP(D:D,$4:$10,3,FALSE)-HLOOKUP(C:C,$4:$10,3,FALSE))*E305/F305)</f>
        <v/>
      </c>
      <c r="N305" s="199">
        <f>HLOOKUP(C:C,$4:$10,2,FALSE)+((HLOOKUP(D:D,$4:$10,2,FALSE)-HLOOKUP(C:C,$4:$10,2,FALSE))*E305/F305)</f>
        <v/>
      </c>
      <c r="O305" s="199">
        <f>HLOOKUP(C:C,$4:$10,5,FALSE)+((HLOOKUP(D:D,$4:$10,5,FALSE)-HLOOKUP(C:C,$4:$10,5,FALSE))*E305/F305)</f>
        <v/>
      </c>
      <c r="P305" s="199">
        <f>HLOOKUP(C:C,$4:$10,4,FALSE)+((HLOOKUP(D:D,$4:$10,4,FALSE)-HLOOKUP(C:C,$4:$10,4,FALSE))*E305/F305)</f>
        <v/>
      </c>
      <c r="Q305" s="199">
        <f>HLOOKUP(B:B,$4:$10,6,FALSE)+((HLOOKUP(C:C,$4:$10,6,FALSE)-HLOOKUP(B:B,$4:$10,6,FALSE))*E305/F305)</f>
        <v/>
      </c>
      <c r="T305" s="198">
        <f>$G305</f>
        <v/>
      </c>
      <c r="U305" s="199">
        <f>H305/(HLOOKUP(B:B,$4:$10,3,FALSE)+((HLOOKUP(C:C,$4:$10,3,FALSE)-HLOOKUP(B:B,$4:$10,3,FALSE))*E305/F305))</f>
        <v/>
      </c>
      <c r="V305" s="969">
        <f>HLOOKUP(B:B,$4:$10,7,FALSE)+((HLOOKUP(C:C,$4:$10,7,FALSE)-HLOOKUP(B:B,$4:$10,7,FALSE))*E305/F305)</f>
        <v/>
      </c>
      <c r="AB305" s="198">
        <f>$G305</f>
        <v/>
      </c>
      <c r="AC305" s="199">
        <f>$H305</f>
        <v/>
      </c>
      <c r="AD305" s="199">
        <f>$M305*AD$34</f>
        <v/>
      </c>
      <c r="AE305" s="199">
        <f>$M305*AE$34</f>
        <v/>
      </c>
      <c r="AF305" s="199">
        <f>$M305*AF$34</f>
        <v/>
      </c>
      <c r="AG305" s="199">
        <f>$M305*AG$34</f>
        <v/>
      </c>
      <c r="AH305" s="199">
        <f>$M305*AH$34</f>
        <v/>
      </c>
      <c r="AJ305" s="198">
        <f>$G305</f>
        <v/>
      </c>
      <c r="AK305" s="199">
        <f>$H305</f>
        <v/>
      </c>
      <c r="AL305" s="199">
        <f>$N305*AL$34</f>
        <v/>
      </c>
      <c r="AM305" s="199">
        <f>$N305*AM$34</f>
        <v/>
      </c>
      <c r="AN305" s="199">
        <f>$N305*AN$34</f>
        <v/>
      </c>
      <c r="AO305" s="199">
        <f>$N305*AO$34</f>
        <v/>
      </c>
      <c r="AP305" s="199">
        <f>$N305*AP$34</f>
        <v/>
      </c>
      <c r="AR305" s="198">
        <f>$G305</f>
        <v/>
      </c>
      <c r="AS305" s="199">
        <f>$H305</f>
        <v/>
      </c>
      <c r="AT305" s="199">
        <f>$O305*AT$34-$Q305</f>
        <v/>
      </c>
      <c r="AU305" s="199">
        <f>$O305*AU$34-$Q305</f>
        <v/>
      </c>
      <c r="AV305" s="199">
        <f>$O305*AV$34-$Q305</f>
        <v/>
      </c>
      <c r="AW305" s="199">
        <f>$O305*AW$34-$Q305</f>
        <v/>
      </c>
      <c r="AX305" s="199">
        <f>$O305*AX$34-$Q305</f>
        <v/>
      </c>
      <c r="AZ305" s="198">
        <f>$G305</f>
        <v/>
      </c>
      <c r="BA305" s="199">
        <f>$H305</f>
        <v/>
      </c>
      <c r="BB305" s="199">
        <f>$P305*BB$34-$Q305</f>
        <v/>
      </c>
      <c r="BC305" s="199">
        <f>$P305*BC$34-$Q305</f>
        <v/>
      </c>
      <c r="BD305" s="199">
        <f>$P305*BD$34-$Q305</f>
        <v/>
      </c>
      <c r="BE305" s="199">
        <f>$P305*BE$34-$Q305</f>
        <v/>
      </c>
      <c r="BF305" s="199">
        <f>$P305*BF$34-$Q305</f>
        <v/>
      </c>
      <c r="BH305" s="198">
        <f>$G305</f>
        <v/>
      </c>
      <c r="BI305" s="197">
        <f>$I305</f>
        <v/>
      </c>
      <c r="BJ305" s="197">
        <f>+BJ306</f>
        <v/>
      </c>
      <c r="BK305" s="197">
        <f>+BK306</f>
        <v/>
      </c>
      <c r="BL305" s="197">
        <f>+BL306</f>
        <v/>
      </c>
      <c r="BM305" s="197">
        <f>+BM306</f>
        <v/>
      </c>
      <c r="BN305" s="197">
        <f>+BN306</f>
        <v/>
      </c>
      <c r="BP305" s="198">
        <f>$G305</f>
        <v/>
      </c>
      <c r="BQ305" s="197">
        <f>$J305</f>
        <v/>
      </c>
      <c r="BR305" s="197">
        <f>+BR306</f>
        <v/>
      </c>
      <c r="BS305" s="197">
        <f>+BS306</f>
        <v/>
      </c>
      <c r="BT305" s="197">
        <f>+BT306</f>
        <v/>
      </c>
      <c r="BU305" s="197">
        <f>+BU306</f>
        <v/>
      </c>
      <c r="BV305" s="197">
        <f>+BV306</f>
        <v/>
      </c>
      <c r="BX305" s="198">
        <f>$G305</f>
        <v/>
      </c>
      <c r="BY305" s="197">
        <f>$K305</f>
        <v/>
      </c>
      <c r="BZ305" s="197">
        <f>+BZ306</f>
        <v/>
      </c>
      <c r="CA305" s="197">
        <f>+CA306</f>
        <v/>
      </c>
      <c r="CB305" s="197">
        <f>+CB306</f>
        <v/>
      </c>
      <c r="CC305" s="197">
        <f>+CC306</f>
        <v/>
      </c>
      <c r="CD305" s="197">
        <f>+CD306</f>
        <v/>
      </c>
      <c r="CF305" s="198">
        <f>$G305</f>
        <v/>
      </c>
      <c r="CG305" s="197">
        <f>$L305</f>
        <v/>
      </c>
      <c r="CH305" s="197">
        <f>+CH306</f>
        <v/>
      </c>
      <c r="CI305" s="197">
        <f>+CI306</f>
        <v/>
      </c>
      <c r="CJ305" s="197">
        <f>+CJ306</f>
        <v/>
      </c>
      <c r="CK305" s="197">
        <f>+CK306</f>
        <v/>
      </c>
      <c r="CL305" s="197">
        <f>+CL306</f>
        <v/>
      </c>
      <c r="CO305" s="199" t="n">
        <v>10.4167851253767</v>
      </c>
      <c r="CP305" s="199" t="n">
        <v>3.51</v>
      </c>
      <c r="CR305" s="199" t="n">
        <v>9.16</v>
      </c>
      <c r="CS305" s="970" t="n">
        <v>0.87935</v>
      </c>
    </row>
    <row r="306">
      <c r="B306" s="204">
        <f>+C306-1</f>
        <v/>
      </c>
      <c r="C306" s="204">
        <f>IF('bands_A-H_Avg'!$D$9+1&gt;MONTH(G306),YEAR(G306),YEAR(G306)+1)</f>
        <v/>
      </c>
      <c r="D306" s="204">
        <f>+C306+1</f>
        <v/>
      </c>
      <c r="E306" s="203">
        <f>IF(C306&gt;C305,1,E305+1)</f>
        <v/>
      </c>
      <c r="F306" s="203">
        <f>COUNTIF(C:C,C306)</f>
        <v/>
      </c>
      <c r="G306" s="198">
        <f>+G305+7</f>
        <v/>
      </c>
      <c r="H306" s="361">
        <f>IF(ISBLANK(CO306),CP306,SUMPRODUCT(CO$32:CP$32,CO306:CP306))</f>
        <v/>
      </c>
      <c r="I306" s="968">
        <f>H306/M306</f>
        <v/>
      </c>
      <c r="J306" s="968">
        <f>H306/N306</f>
        <v/>
      </c>
      <c r="K306" s="968">
        <f>(H306+Q306)/O306</f>
        <v/>
      </c>
      <c r="L306" s="968">
        <f>(H306+Q306)/P306</f>
        <v/>
      </c>
      <c r="M306" s="199">
        <f>HLOOKUP(C:C,$4:$10,3,FALSE)+((HLOOKUP(D:D,$4:$10,3,FALSE)-HLOOKUP(C:C,$4:$10,3,FALSE))*E306/F306)</f>
        <v/>
      </c>
      <c r="N306" s="199">
        <f>HLOOKUP(C:C,$4:$10,2,FALSE)+((HLOOKUP(D:D,$4:$10,2,FALSE)-HLOOKUP(C:C,$4:$10,2,FALSE))*E306/F306)</f>
        <v/>
      </c>
      <c r="O306" s="199">
        <f>HLOOKUP(C:C,$4:$10,5,FALSE)+((HLOOKUP(D:D,$4:$10,5,FALSE)-HLOOKUP(C:C,$4:$10,5,FALSE))*E306/F306)</f>
        <v/>
      </c>
      <c r="P306" s="199">
        <f>HLOOKUP(C:C,$4:$10,4,FALSE)+((HLOOKUP(D:D,$4:$10,4,FALSE)-HLOOKUP(C:C,$4:$10,4,FALSE))*E306/F306)</f>
        <v/>
      </c>
      <c r="Q306" s="199">
        <f>HLOOKUP(B:B,$4:$10,6,FALSE)+((HLOOKUP(C:C,$4:$10,6,FALSE)-HLOOKUP(B:B,$4:$10,6,FALSE))*E306/F306)</f>
        <v/>
      </c>
      <c r="T306" s="198">
        <f>$G306</f>
        <v/>
      </c>
      <c r="U306" s="199">
        <f>H306/(HLOOKUP(B:B,$4:$10,3,FALSE)+((HLOOKUP(C:C,$4:$10,3,FALSE)-HLOOKUP(B:B,$4:$10,3,FALSE))*E306/F306))</f>
        <v/>
      </c>
      <c r="V306" s="969">
        <f>HLOOKUP(B:B,$4:$10,7,FALSE)+((HLOOKUP(C:C,$4:$10,7,FALSE)-HLOOKUP(B:B,$4:$10,7,FALSE))*E306/F306)</f>
        <v/>
      </c>
      <c r="AB306" s="198">
        <f>$G306</f>
        <v/>
      </c>
      <c r="AC306" s="199">
        <f>$H306</f>
        <v/>
      </c>
      <c r="AD306" s="199">
        <f>$M306*AD$34</f>
        <v/>
      </c>
      <c r="AE306" s="199">
        <f>$M306*AE$34</f>
        <v/>
      </c>
      <c r="AF306" s="199">
        <f>$M306*AF$34</f>
        <v/>
      </c>
      <c r="AG306" s="199">
        <f>$M306*AG$34</f>
        <v/>
      </c>
      <c r="AH306" s="199">
        <f>$M306*AH$34</f>
        <v/>
      </c>
      <c r="AJ306" s="198">
        <f>$G306</f>
        <v/>
      </c>
      <c r="AK306" s="199">
        <f>$H306</f>
        <v/>
      </c>
      <c r="AL306" s="199">
        <f>$N306*AL$34</f>
        <v/>
      </c>
      <c r="AM306" s="199">
        <f>$N306*AM$34</f>
        <v/>
      </c>
      <c r="AN306" s="199">
        <f>$N306*AN$34</f>
        <v/>
      </c>
      <c r="AO306" s="199">
        <f>$N306*AO$34</f>
        <v/>
      </c>
      <c r="AP306" s="199">
        <f>$N306*AP$34</f>
        <v/>
      </c>
      <c r="AR306" s="198">
        <f>$G306</f>
        <v/>
      </c>
      <c r="AS306" s="199">
        <f>$H306</f>
        <v/>
      </c>
      <c r="AT306" s="199">
        <f>$O306*AT$34-$Q306</f>
        <v/>
      </c>
      <c r="AU306" s="199">
        <f>$O306*AU$34-$Q306</f>
        <v/>
      </c>
      <c r="AV306" s="199">
        <f>$O306*AV$34-$Q306</f>
        <v/>
      </c>
      <c r="AW306" s="199">
        <f>$O306*AW$34-$Q306</f>
        <v/>
      </c>
      <c r="AX306" s="199">
        <f>$O306*AX$34-$Q306</f>
        <v/>
      </c>
      <c r="AZ306" s="198">
        <f>$G306</f>
        <v/>
      </c>
      <c r="BA306" s="199">
        <f>$H306</f>
        <v/>
      </c>
      <c r="BB306" s="199">
        <f>$P306*BB$34-$Q306</f>
        <v/>
      </c>
      <c r="BC306" s="199">
        <f>$P306*BC$34-$Q306</f>
        <v/>
      </c>
      <c r="BD306" s="199">
        <f>$P306*BD$34-$Q306</f>
        <v/>
      </c>
      <c r="BE306" s="199">
        <f>$P306*BE$34-$Q306</f>
        <v/>
      </c>
      <c r="BF306" s="199">
        <f>$P306*BF$34-$Q306</f>
        <v/>
      </c>
      <c r="BH306" s="198">
        <f>$G306</f>
        <v/>
      </c>
      <c r="BI306" s="197">
        <f>$I306</f>
        <v/>
      </c>
      <c r="BJ306" s="197">
        <f>+BJ307</f>
        <v/>
      </c>
      <c r="BK306" s="197">
        <f>+BK307</f>
        <v/>
      </c>
      <c r="BL306" s="197">
        <f>+BL307</f>
        <v/>
      </c>
      <c r="BM306" s="197">
        <f>+BM307</f>
        <v/>
      </c>
      <c r="BN306" s="197">
        <f>+BN307</f>
        <v/>
      </c>
      <c r="BP306" s="198">
        <f>$G306</f>
        <v/>
      </c>
      <c r="BQ306" s="197">
        <f>$J306</f>
        <v/>
      </c>
      <c r="BR306" s="197">
        <f>+BR307</f>
        <v/>
      </c>
      <c r="BS306" s="197">
        <f>+BS307</f>
        <v/>
      </c>
      <c r="BT306" s="197">
        <f>+BT307</f>
        <v/>
      </c>
      <c r="BU306" s="197">
        <f>+BU307</f>
        <v/>
      </c>
      <c r="BV306" s="197">
        <f>+BV307</f>
        <v/>
      </c>
      <c r="BX306" s="198">
        <f>$G306</f>
        <v/>
      </c>
      <c r="BY306" s="197">
        <f>$K306</f>
        <v/>
      </c>
      <c r="BZ306" s="197">
        <f>+BZ307</f>
        <v/>
      </c>
      <c r="CA306" s="197">
        <f>+CA307</f>
        <v/>
      </c>
      <c r="CB306" s="197">
        <f>+CB307</f>
        <v/>
      </c>
      <c r="CC306" s="197">
        <f>+CC307</f>
        <v/>
      </c>
      <c r="CD306" s="197">
        <f>+CD307</f>
        <v/>
      </c>
      <c r="CF306" s="198">
        <f>$G306</f>
        <v/>
      </c>
      <c r="CG306" s="197">
        <f>$L306</f>
        <v/>
      </c>
      <c r="CH306" s="197">
        <f>+CH307</f>
        <v/>
      </c>
      <c r="CI306" s="197">
        <f>+CI307</f>
        <v/>
      </c>
      <c r="CJ306" s="197">
        <f>+CJ307</f>
        <v/>
      </c>
      <c r="CK306" s="197">
        <f>+CK307</f>
        <v/>
      </c>
      <c r="CL306" s="197">
        <f>+CL307</f>
        <v/>
      </c>
      <c r="CO306" s="199" t="n">
        <v>11.51921764839664</v>
      </c>
      <c r="CP306" s="199" t="n">
        <v>3.76</v>
      </c>
      <c r="CR306" s="199" t="n">
        <v>10.13</v>
      </c>
      <c r="CS306" s="970" t="n">
        <v>0.8794</v>
      </c>
    </row>
    <row r="307">
      <c r="B307" s="204">
        <f>+C307-1</f>
        <v/>
      </c>
      <c r="C307" s="204">
        <f>IF('bands_A-H_Avg'!$D$9+1&gt;MONTH(G307),YEAR(G307),YEAR(G307)+1)</f>
        <v/>
      </c>
      <c r="D307" s="204">
        <f>+C307+1</f>
        <v/>
      </c>
      <c r="E307" s="203">
        <f>IF(C307&gt;C306,1,E306+1)</f>
        <v/>
      </c>
      <c r="F307" s="203">
        <f>COUNTIF(C:C,C307)</f>
        <v/>
      </c>
      <c r="G307" s="198">
        <f>+G306+7</f>
        <v/>
      </c>
      <c r="H307" s="361">
        <f>IF(ISBLANK(CO307),CP307,SUMPRODUCT(CO$32:CP$32,CO307:CP307))</f>
        <v/>
      </c>
      <c r="I307" s="968">
        <f>H307/M307</f>
        <v/>
      </c>
      <c r="J307" s="968">
        <f>H307/N307</f>
        <v/>
      </c>
      <c r="K307" s="968">
        <f>(H307+Q307)/O307</f>
        <v/>
      </c>
      <c r="L307" s="968">
        <f>(H307+Q307)/P307</f>
        <v/>
      </c>
      <c r="M307" s="199">
        <f>HLOOKUP(C:C,$4:$10,3,FALSE)+((HLOOKUP(D:D,$4:$10,3,FALSE)-HLOOKUP(C:C,$4:$10,3,FALSE))*E307/F307)</f>
        <v/>
      </c>
      <c r="N307" s="199">
        <f>HLOOKUP(C:C,$4:$10,2,FALSE)+((HLOOKUP(D:D,$4:$10,2,FALSE)-HLOOKUP(C:C,$4:$10,2,FALSE))*E307/F307)</f>
        <v/>
      </c>
      <c r="O307" s="199">
        <f>HLOOKUP(C:C,$4:$10,5,FALSE)+((HLOOKUP(D:D,$4:$10,5,FALSE)-HLOOKUP(C:C,$4:$10,5,FALSE))*E307/F307)</f>
        <v/>
      </c>
      <c r="P307" s="199">
        <f>HLOOKUP(C:C,$4:$10,4,FALSE)+((HLOOKUP(D:D,$4:$10,4,FALSE)-HLOOKUP(C:C,$4:$10,4,FALSE))*E307/F307)</f>
        <v/>
      </c>
      <c r="Q307" s="199">
        <f>HLOOKUP(B:B,$4:$10,6,FALSE)+((HLOOKUP(C:C,$4:$10,6,FALSE)-HLOOKUP(B:B,$4:$10,6,FALSE))*E307/F307)</f>
        <v/>
      </c>
      <c r="T307" s="198">
        <f>$G307</f>
        <v/>
      </c>
      <c r="U307" s="199">
        <f>H307/(HLOOKUP(B:B,$4:$10,3,FALSE)+((HLOOKUP(C:C,$4:$10,3,FALSE)-HLOOKUP(B:B,$4:$10,3,FALSE))*E307/F307))</f>
        <v/>
      </c>
      <c r="V307" s="969">
        <f>HLOOKUP(B:B,$4:$10,7,FALSE)+((HLOOKUP(C:C,$4:$10,7,FALSE)-HLOOKUP(B:B,$4:$10,7,FALSE))*E307/F307)</f>
        <v/>
      </c>
      <c r="AB307" s="198">
        <f>$G307</f>
        <v/>
      </c>
      <c r="AC307" s="199">
        <f>$H307</f>
        <v/>
      </c>
      <c r="AD307" s="199">
        <f>$M307*AD$34</f>
        <v/>
      </c>
      <c r="AE307" s="199">
        <f>$M307*AE$34</f>
        <v/>
      </c>
      <c r="AF307" s="199">
        <f>$M307*AF$34</f>
        <v/>
      </c>
      <c r="AG307" s="199">
        <f>$M307*AG$34</f>
        <v/>
      </c>
      <c r="AH307" s="199">
        <f>$M307*AH$34</f>
        <v/>
      </c>
      <c r="AJ307" s="198">
        <f>$G307</f>
        <v/>
      </c>
      <c r="AK307" s="199">
        <f>$H307</f>
        <v/>
      </c>
      <c r="AL307" s="199">
        <f>$N307*AL$34</f>
        <v/>
      </c>
      <c r="AM307" s="199">
        <f>$N307*AM$34</f>
        <v/>
      </c>
      <c r="AN307" s="199">
        <f>$N307*AN$34</f>
        <v/>
      </c>
      <c r="AO307" s="199">
        <f>$N307*AO$34</f>
        <v/>
      </c>
      <c r="AP307" s="199">
        <f>$N307*AP$34</f>
        <v/>
      </c>
      <c r="AR307" s="198">
        <f>$G307</f>
        <v/>
      </c>
      <c r="AS307" s="199">
        <f>$H307</f>
        <v/>
      </c>
      <c r="AT307" s="199">
        <f>$O307*AT$34-$Q307</f>
        <v/>
      </c>
      <c r="AU307" s="199">
        <f>$O307*AU$34-$Q307</f>
        <v/>
      </c>
      <c r="AV307" s="199">
        <f>$O307*AV$34-$Q307</f>
        <v/>
      </c>
      <c r="AW307" s="199">
        <f>$O307*AW$34-$Q307</f>
        <v/>
      </c>
      <c r="AX307" s="199">
        <f>$O307*AX$34-$Q307</f>
        <v/>
      </c>
      <c r="AZ307" s="198">
        <f>$G307</f>
        <v/>
      </c>
      <c r="BA307" s="199">
        <f>$H307</f>
        <v/>
      </c>
      <c r="BB307" s="199">
        <f>$P307*BB$34-$Q307</f>
        <v/>
      </c>
      <c r="BC307" s="199">
        <f>$P307*BC$34-$Q307</f>
        <v/>
      </c>
      <c r="BD307" s="199">
        <f>$P307*BD$34-$Q307</f>
        <v/>
      </c>
      <c r="BE307" s="199">
        <f>$P307*BE$34-$Q307</f>
        <v/>
      </c>
      <c r="BF307" s="199">
        <f>$P307*BF$34-$Q307</f>
        <v/>
      </c>
      <c r="BH307" s="198">
        <f>$G307</f>
        <v/>
      </c>
      <c r="BI307" s="197">
        <f>$I307</f>
        <v/>
      </c>
      <c r="BJ307" s="197">
        <f>+BJ308</f>
        <v/>
      </c>
      <c r="BK307" s="197">
        <f>+BK308</f>
        <v/>
      </c>
      <c r="BL307" s="197">
        <f>+BL308</f>
        <v/>
      </c>
      <c r="BM307" s="197">
        <f>+BM308</f>
        <v/>
      </c>
      <c r="BN307" s="197">
        <f>+BN308</f>
        <v/>
      </c>
      <c r="BP307" s="198">
        <f>$G307</f>
        <v/>
      </c>
      <c r="BQ307" s="197">
        <f>$J307</f>
        <v/>
      </c>
      <c r="BR307" s="197">
        <f>+BR308</f>
        <v/>
      </c>
      <c r="BS307" s="197">
        <f>+BS308</f>
        <v/>
      </c>
      <c r="BT307" s="197">
        <f>+BT308</f>
        <v/>
      </c>
      <c r="BU307" s="197">
        <f>+BU308</f>
        <v/>
      </c>
      <c r="BV307" s="197">
        <f>+BV308</f>
        <v/>
      </c>
      <c r="BX307" s="198">
        <f>$G307</f>
        <v/>
      </c>
      <c r="BY307" s="197">
        <f>$K307</f>
        <v/>
      </c>
      <c r="BZ307" s="197">
        <f>+BZ308</f>
        <v/>
      </c>
      <c r="CA307" s="197">
        <f>+CA308</f>
        <v/>
      </c>
      <c r="CB307" s="197">
        <f>+CB308</f>
        <v/>
      </c>
      <c r="CC307" s="197">
        <f>+CC308</f>
        <v/>
      </c>
      <c r="CD307" s="197">
        <f>+CD308</f>
        <v/>
      </c>
      <c r="CF307" s="198">
        <f>$G307</f>
        <v/>
      </c>
      <c r="CG307" s="197">
        <f>$L307</f>
        <v/>
      </c>
      <c r="CH307" s="197">
        <f>+CH308</f>
        <v/>
      </c>
      <c r="CI307" s="197">
        <f>+CI308</f>
        <v/>
      </c>
      <c r="CJ307" s="197">
        <f>+CJ308</f>
        <v/>
      </c>
      <c r="CK307" s="197">
        <f>+CK308</f>
        <v/>
      </c>
      <c r="CL307" s="197">
        <f>+CL308</f>
        <v/>
      </c>
      <c r="CO307" s="199" t="n">
        <v>10.95591494391345</v>
      </c>
      <c r="CP307" s="199" t="n">
        <v>3.72</v>
      </c>
      <c r="CR307" s="199" t="n">
        <v>9.640000000000001</v>
      </c>
      <c r="CS307" s="970" t="n">
        <v>0.8798899999999999</v>
      </c>
    </row>
    <row r="308">
      <c r="B308" s="204">
        <f>+C308-1</f>
        <v/>
      </c>
      <c r="C308" s="204">
        <f>IF('bands_A-H_Avg'!$D$9+1&gt;MONTH(G308),YEAR(G308),YEAR(G308)+1)</f>
        <v/>
      </c>
      <c r="D308" s="204">
        <f>+C308+1</f>
        <v/>
      </c>
      <c r="E308" s="203">
        <f>IF(C308&gt;C307,1,E307+1)</f>
        <v/>
      </c>
      <c r="F308" s="203">
        <f>COUNTIF(C:C,C308)</f>
        <v/>
      </c>
      <c r="G308" s="198">
        <f>+G307+7</f>
        <v/>
      </c>
      <c r="H308" s="361">
        <f>IF(ISBLANK(CO308),CP308,SUMPRODUCT(CO$32:CP$32,CO308:CP308))</f>
        <v/>
      </c>
      <c r="I308" s="968">
        <f>H308/M308</f>
        <v/>
      </c>
      <c r="J308" s="968">
        <f>H308/N308</f>
        <v/>
      </c>
      <c r="K308" s="968">
        <f>(H308+Q308)/O308</f>
        <v/>
      </c>
      <c r="L308" s="968">
        <f>(H308+Q308)/P308</f>
        <v/>
      </c>
      <c r="M308" s="199">
        <f>HLOOKUP(C:C,$4:$10,3,FALSE)+((HLOOKUP(D:D,$4:$10,3,FALSE)-HLOOKUP(C:C,$4:$10,3,FALSE))*E308/F308)</f>
        <v/>
      </c>
      <c r="N308" s="199">
        <f>HLOOKUP(C:C,$4:$10,2,FALSE)+((HLOOKUP(D:D,$4:$10,2,FALSE)-HLOOKUP(C:C,$4:$10,2,FALSE))*E308/F308)</f>
        <v/>
      </c>
      <c r="O308" s="199">
        <f>HLOOKUP(C:C,$4:$10,5,FALSE)+((HLOOKUP(D:D,$4:$10,5,FALSE)-HLOOKUP(C:C,$4:$10,5,FALSE))*E308/F308)</f>
        <v/>
      </c>
      <c r="P308" s="199">
        <f>HLOOKUP(C:C,$4:$10,4,FALSE)+((HLOOKUP(D:D,$4:$10,4,FALSE)-HLOOKUP(C:C,$4:$10,4,FALSE))*E308/F308)</f>
        <v/>
      </c>
      <c r="Q308" s="199">
        <f>HLOOKUP(B:B,$4:$10,6,FALSE)+((HLOOKUP(C:C,$4:$10,6,FALSE)-HLOOKUP(B:B,$4:$10,6,FALSE))*E308/F308)</f>
        <v/>
      </c>
      <c r="T308" s="198">
        <f>$G308</f>
        <v/>
      </c>
      <c r="U308" s="199">
        <f>H308/(HLOOKUP(B:B,$4:$10,3,FALSE)+((HLOOKUP(C:C,$4:$10,3,FALSE)-HLOOKUP(B:B,$4:$10,3,FALSE))*E308/F308))</f>
        <v/>
      </c>
      <c r="V308" s="969">
        <f>HLOOKUP(B:B,$4:$10,7,FALSE)+((HLOOKUP(C:C,$4:$10,7,FALSE)-HLOOKUP(B:B,$4:$10,7,FALSE))*E308/F308)</f>
        <v/>
      </c>
      <c r="AB308" s="198">
        <f>$G308</f>
        <v/>
      </c>
      <c r="AC308" s="199">
        <f>$H308</f>
        <v/>
      </c>
      <c r="AD308" s="199">
        <f>$M308*AD$34</f>
        <v/>
      </c>
      <c r="AE308" s="199">
        <f>$M308*AE$34</f>
        <v/>
      </c>
      <c r="AF308" s="199">
        <f>$M308*AF$34</f>
        <v/>
      </c>
      <c r="AG308" s="199">
        <f>$M308*AG$34</f>
        <v/>
      </c>
      <c r="AH308" s="199">
        <f>$M308*AH$34</f>
        <v/>
      </c>
      <c r="AJ308" s="198">
        <f>$G308</f>
        <v/>
      </c>
      <c r="AK308" s="199">
        <f>$H308</f>
        <v/>
      </c>
      <c r="AL308" s="199">
        <f>$N308*AL$34</f>
        <v/>
      </c>
      <c r="AM308" s="199">
        <f>$N308*AM$34</f>
        <v/>
      </c>
      <c r="AN308" s="199">
        <f>$N308*AN$34</f>
        <v/>
      </c>
      <c r="AO308" s="199">
        <f>$N308*AO$34</f>
        <v/>
      </c>
      <c r="AP308" s="199">
        <f>$N308*AP$34</f>
        <v/>
      </c>
      <c r="AR308" s="198">
        <f>$G308</f>
        <v/>
      </c>
      <c r="AS308" s="199">
        <f>$H308</f>
        <v/>
      </c>
      <c r="AT308" s="199">
        <f>$O308*AT$34-$Q308</f>
        <v/>
      </c>
      <c r="AU308" s="199">
        <f>$O308*AU$34-$Q308</f>
        <v/>
      </c>
      <c r="AV308" s="199">
        <f>$O308*AV$34-$Q308</f>
        <v/>
      </c>
      <c r="AW308" s="199">
        <f>$O308*AW$34-$Q308</f>
        <v/>
      </c>
      <c r="AX308" s="199">
        <f>$O308*AX$34-$Q308</f>
        <v/>
      </c>
      <c r="AZ308" s="198">
        <f>$G308</f>
        <v/>
      </c>
      <c r="BA308" s="199">
        <f>$H308</f>
        <v/>
      </c>
      <c r="BB308" s="199">
        <f>$P308*BB$34-$Q308</f>
        <v/>
      </c>
      <c r="BC308" s="199">
        <f>$P308*BC$34-$Q308</f>
        <v/>
      </c>
      <c r="BD308" s="199">
        <f>$P308*BD$34-$Q308</f>
        <v/>
      </c>
      <c r="BE308" s="199">
        <f>$P308*BE$34-$Q308</f>
        <v/>
      </c>
      <c r="BF308" s="199">
        <f>$P308*BF$34-$Q308</f>
        <v/>
      </c>
      <c r="BH308" s="198">
        <f>$G308</f>
        <v/>
      </c>
      <c r="BI308" s="197">
        <f>$I308</f>
        <v/>
      </c>
      <c r="BJ308" s="197">
        <f>+BJ309</f>
        <v/>
      </c>
      <c r="BK308" s="197">
        <f>+BK309</f>
        <v/>
      </c>
      <c r="BL308" s="197">
        <f>+BL309</f>
        <v/>
      </c>
      <c r="BM308" s="197">
        <f>+BM309</f>
        <v/>
      </c>
      <c r="BN308" s="197">
        <f>+BN309</f>
        <v/>
      </c>
      <c r="BP308" s="198">
        <f>$G308</f>
        <v/>
      </c>
      <c r="BQ308" s="197">
        <f>$J308</f>
        <v/>
      </c>
      <c r="BR308" s="197">
        <f>+BR309</f>
        <v/>
      </c>
      <c r="BS308" s="197">
        <f>+BS309</f>
        <v/>
      </c>
      <c r="BT308" s="197">
        <f>+BT309</f>
        <v/>
      </c>
      <c r="BU308" s="197">
        <f>+BU309</f>
        <v/>
      </c>
      <c r="BV308" s="197">
        <f>+BV309</f>
        <v/>
      </c>
      <c r="BX308" s="198">
        <f>$G308</f>
        <v/>
      </c>
      <c r="BY308" s="197">
        <f>$K308</f>
        <v/>
      </c>
      <c r="BZ308" s="197">
        <f>+BZ309</f>
        <v/>
      </c>
      <c r="CA308" s="197">
        <f>+CA309</f>
        <v/>
      </c>
      <c r="CB308" s="197">
        <f>+CB309</f>
        <v/>
      </c>
      <c r="CC308" s="197">
        <f>+CC309</f>
        <v/>
      </c>
      <c r="CD308" s="197">
        <f>+CD309</f>
        <v/>
      </c>
      <c r="CF308" s="198">
        <f>$G308</f>
        <v/>
      </c>
      <c r="CG308" s="197">
        <f>$L308</f>
        <v/>
      </c>
      <c r="CH308" s="197">
        <f>+CH309</f>
        <v/>
      </c>
      <c r="CI308" s="197">
        <f>+CI309</f>
        <v/>
      </c>
      <c r="CJ308" s="197">
        <f>+CJ309</f>
        <v/>
      </c>
      <c r="CK308" s="197">
        <f>+CK309</f>
        <v/>
      </c>
      <c r="CL308" s="197">
        <f>+CL309</f>
        <v/>
      </c>
      <c r="CO308" s="199" t="n">
        <v>11.16175450959888</v>
      </c>
      <c r="CP308" s="199" t="n">
        <v>3.85</v>
      </c>
      <c r="CR308" s="199" t="n">
        <v>9.82</v>
      </c>
      <c r="CS308" s="970" t="n">
        <v>0.87979</v>
      </c>
    </row>
    <row r="309">
      <c r="B309" s="204">
        <f>+C309-1</f>
        <v/>
      </c>
      <c r="C309" s="204">
        <f>IF('bands_A-H_Avg'!$D$9+1&gt;MONTH(G309),YEAR(G309),YEAR(G309)+1)</f>
        <v/>
      </c>
      <c r="D309" s="204">
        <f>+C309+1</f>
        <v/>
      </c>
      <c r="E309" s="203">
        <f>IF(C309&gt;C308,1,E308+1)</f>
        <v/>
      </c>
      <c r="F309" s="203">
        <f>COUNTIF(C:C,C309)</f>
        <v/>
      </c>
      <c r="G309" s="198">
        <f>+G308+7</f>
        <v/>
      </c>
      <c r="H309" s="361">
        <f>IF(ISBLANK(CO309),CP309,SUMPRODUCT(CO$32:CP$32,CO309:CP309))</f>
        <v/>
      </c>
      <c r="I309" s="968">
        <f>H309/M309</f>
        <v/>
      </c>
      <c r="J309" s="968">
        <f>H309/N309</f>
        <v/>
      </c>
      <c r="K309" s="968">
        <f>(H309+Q309)/O309</f>
        <v/>
      </c>
      <c r="L309" s="968">
        <f>(H309+Q309)/P309</f>
        <v/>
      </c>
      <c r="M309" s="199">
        <f>HLOOKUP(C:C,$4:$10,3,FALSE)+((HLOOKUP(D:D,$4:$10,3,FALSE)-HLOOKUP(C:C,$4:$10,3,FALSE))*E309/F309)</f>
        <v/>
      </c>
      <c r="N309" s="199">
        <f>HLOOKUP(C:C,$4:$10,2,FALSE)+((HLOOKUP(D:D,$4:$10,2,FALSE)-HLOOKUP(C:C,$4:$10,2,FALSE))*E309/F309)</f>
        <v/>
      </c>
      <c r="O309" s="199">
        <f>HLOOKUP(C:C,$4:$10,5,FALSE)+((HLOOKUP(D:D,$4:$10,5,FALSE)-HLOOKUP(C:C,$4:$10,5,FALSE))*E309/F309)</f>
        <v/>
      </c>
      <c r="P309" s="199">
        <f>HLOOKUP(C:C,$4:$10,4,FALSE)+((HLOOKUP(D:D,$4:$10,4,FALSE)-HLOOKUP(C:C,$4:$10,4,FALSE))*E309/F309)</f>
        <v/>
      </c>
      <c r="Q309" s="199">
        <f>HLOOKUP(B:B,$4:$10,6,FALSE)+((HLOOKUP(C:C,$4:$10,6,FALSE)-HLOOKUP(B:B,$4:$10,6,FALSE))*E309/F309)</f>
        <v/>
      </c>
      <c r="T309" s="198">
        <f>$G309</f>
        <v/>
      </c>
      <c r="U309" s="199">
        <f>H309/(HLOOKUP(B:B,$4:$10,3,FALSE)+((HLOOKUP(C:C,$4:$10,3,FALSE)-HLOOKUP(B:B,$4:$10,3,FALSE))*E309/F309))</f>
        <v/>
      </c>
      <c r="V309" s="969">
        <f>HLOOKUP(B:B,$4:$10,7,FALSE)+((HLOOKUP(C:C,$4:$10,7,FALSE)-HLOOKUP(B:B,$4:$10,7,FALSE))*E309/F309)</f>
        <v/>
      </c>
      <c r="AB309" s="198">
        <f>$G309</f>
        <v/>
      </c>
      <c r="AC309" s="199">
        <f>$H309</f>
        <v/>
      </c>
      <c r="AD309" s="199">
        <f>$M309*AD$34</f>
        <v/>
      </c>
      <c r="AE309" s="199">
        <f>$M309*AE$34</f>
        <v/>
      </c>
      <c r="AF309" s="199">
        <f>$M309*AF$34</f>
        <v/>
      </c>
      <c r="AG309" s="199">
        <f>$M309*AG$34</f>
        <v/>
      </c>
      <c r="AH309" s="199">
        <f>$M309*AH$34</f>
        <v/>
      </c>
      <c r="AJ309" s="198">
        <f>$G309</f>
        <v/>
      </c>
      <c r="AK309" s="199">
        <f>$H309</f>
        <v/>
      </c>
      <c r="AL309" s="199">
        <f>$N309*AL$34</f>
        <v/>
      </c>
      <c r="AM309" s="199">
        <f>$N309*AM$34</f>
        <v/>
      </c>
      <c r="AN309" s="199">
        <f>$N309*AN$34</f>
        <v/>
      </c>
      <c r="AO309" s="199">
        <f>$N309*AO$34</f>
        <v/>
      </c>
      <c r="AP309" s="199">
        <f>$N309*AP$34</f>
        <v/>
      </c>
      <c r="AR309" s="198">
        <f>$G309</f>
        <v/>
      </c>
      <c r="AS309" s="199">
        <f>$H309</f>
        <v/>
      </c>
      <c r="AT309" s="199">
        <f>$O309*AT$34-$Q309</f>
        <v/>
      </c>
      <c r="AU309" s="199">
        <f>$O309*AU$34-$Q309</f>
        <v/>
      </c>
      <c r="AV309" s="199">
        <f>$O309*AV$34-$Q309</f>
        <v/>
      </c>
      <c r="AW309" s="199">
        <f>$O309*AW$34-$Q309</f>
        <v/>
      </c>
      <c r="AX309" s="199">
        <f>$O309*AX$34-$Q309</f>
        <v/>
      </c>
      <c r="AZ309" s="198">
        <f>$G309</f>
        <v/>
      </c>
      <c r="BA309" s="199">
        <f>$H309</f>
        <v/>
      </c>
      <c r="BB309" s="199">
        <f>$P309*BB$34-$Q309</f>
        <v/>
      </c>
      <c r="BC309" s="199">
        <f>$P309*BC$34-$Q309</f>
        <v/>
      </c>
      <c r="BD309" s="199">
        <f>$P309*BD$34-$Q309</f>
        <v/>
      </c>
      <c r="BE309" s="199">
        <f>$P309*BE$34-$Q309</f>
        <v/>
      </c>
      <c r="BF309" s="199">
        <f>$P309*BF$34-$Q309</f>
        <v/>
      </c>
      <c r="BH309" s="198">
        <f>$G309</f>
        <v/>
      </c>
      <c r="BI309" s="197">
        <f>$I309</f>
        <v/>
      </c>
      <c r="BJ309" s="197">
        <f>+BJ310</f>
        <v/>
      </c>
      <c r="BK309" s="197">
        <f>+BK310</f>
        <v/>
      </c>
      <c r="BL309" s="197">
        <f>+BL310</f>
        <v/>
      </c>
      <c r="BM309" s="197">
        <f>+BM310</f>
        <v/>
      </c>
      <c r="BN309" s="197">
        <f>+BN310</f>
        <v/>
      </c>
      <c r="BP309" s="198">
        <f>$G309</f>
        <v/>
      </c>
      <c r="BQ309" s="197">
        <f>$J309</f>
        <v/>
      </c>
      <c r="BR309" s="197">
        <f>+BR310</f>
        <v/>
      </c>
      <c r="BS309" s="197">
        <f>+BS310</f>
        <v/>
      </c>
      <c r="BT309" s="197">
        <f>+BT310</f>
        <v/>
      </c>
      <c r="BU309" s="197">
        <f>+BU310</f>
        <v/>
      </c>
      <c r="BV309" s="197">
        <f>+BV310</f>
        <v/>
      </c>
      <c r="BX309" s="198">
        <f>$G309</f>
        <v/>
      </c>
      <c r="BY309" s="197">
        <f>$K309</f>
        <v/>
      </c>
      <c r="BZ309" s="197">
        <f>+BZ310</f>
        <v/>
      </c>
      <c r="CA309" s="197">
        <f>+CA310</f>
        <v/>
      </c>
      <c r="CB309" s="197">
        <f>+CB310</f>
        <v/>
      </c>
      <c r="CC309" s="197">
        <f>+CC310</f>
        <v/>
      </c>
      <c r="CD309" s="197">
        <f>+CD310</f>
        <v/>
      </c>
      <c r="CF309" s="198">
        <f>$G309</f>
        <v/>
      </c>
      <c r="CG309" s="197">
        <f>$L309</f>
        <v/>
      </c>
      <c r="CH309" s="197">
        <f>+CH310</f>
        <v/>
      </c>
      <c r="CI309" s="197">
        <f>+CI310</f>
        <v/>
      </c>
      <c r="CJ309" s="197">
        <f>+CJ310</f>
        <v/>
      </c>
      <c r="CK309" s="197">
        <f>+CK310</f>
        <v/>
      </c>
      <c r="CL309" s="197">
        <f>+CL310</f>
        <v/>
      </c>
      <c r="CO309" s="199" t="n">
        <v>10.94952756711276</v>
      </c>
      <c r="CP309" s="199" t="n">
        <v>3.75</v>
      </c>
      <c r="CR309" s="199" t="n">
        <v>9.630000000000001</v>
      </c>
      <c r="CS309" s="970" t="n">
        <v>0.87949</v>
      </c>
    </row>
    <row r="310">
      <c r="B310" s="204">
        <f>+C310-1</f>
        <v/>
      </c>
      <c r="C310" s="204">
        <f>IF('bands_A-H_Avg'!$D$9+1&gt;MONTH(G310),YEAR(G310),YEAR(G310)+1)</f>
        <v/>
      </c>
      <c r="D310" s="204">
        <f>+C310+1</f>
        <v/>
      </c>
      <c r="E310" s="203">
        <f>IF(C310&gt;C309,1,E309+1)</f>
        <v/>
      </c>
      <c r="F310" s="203">
        <f>COUNTIF(C:C,C310)</f>
        <v/>
      </c>
      <c r="G310" s="198">
        <f>+G309+7</f>
        <v/>
      </c>
      <c r="H310" s="361">
        <f>IF(ISBLANK(CO310),CP310,SUMPRODUCT(CO$32:CP$32,CO310:CP310))</f>
        <v/>
      </c>
      <c r="I310" s="968">
        <f>H310/M310</f>
        <v/>
      </c>
      <c r="J310" s="968">
        <f>H310/N310</f>
        <v/>
      </c>
      <c r="K310" s="968">
        <f>(H310+Q310)/O310</f>
        <v/>
      </c>
      <c r="L310" s="968">
        <f>(H310+Q310)/P310</f>
        <v/>
      </c>
      <c r="M310" s="199">
        <f>HLOOKUP(C:C,$4:$10,3,FALSE)+((HLOOKUP(D:D,$4:$10,3,FALSE)-HLOOKUP(C:C,$4:$10,3,FALSE))*E310/F310)</f>
        <v/>
      </c>
      <c r="N310" s="199">
        <f>HLOOKUP(C:C,$4:$10,2,FALSE)+((HLOOKUP(D:D,$4:$10,2,FALSE)-HLOOKUP(C:C,$4:$10,2,FALSE))*E310/F310)</f>
        <v/>
      </c>
      <c r="O310" s="199">
        <f>HLOOKUP(C:C,$4:$10,5,FALSE)+((HLOOKUP(D:D,$4:$10,5,FALSE)-HLOOKUP(C:C,$4:$10,5,FALSE))*E310/F310)</f>
        <v/>
      </c>
      <c r="P310" s="199">
        <f>HLOOKUP(C:C,$4:$10,4,FALSE)+((HLOOKUP(D:D,$4:$10,4,FALSE)-HLOOKUP(C:C,$4:$10,4,FALSE))*E310/F310)</f>
        <v/>
      </c>
      <c r="Q310" s="199">
        <f>HLOOKUP(B:B,$4:$10,6,FALSE)+((HLOOKUP(C:C,$4:$10,6,FALSE)-HLOOKUP(B:B,$4:$10,6,FALSE))*E310/F310)</f>
        <v/>
      </c>
      <c r="T310" s="198">
        <f>$G310</f>
        <v/>
      </c>
      <c r="U310" s="199">
        <f>H310/(HLOOKUP(B:B,$4:$10,3,FALSE)+((HLOOKUP(C:C,$4:$10,3,FALSE)-HLOOKUP(B:B,$4:$10,3,FALSE))*E310/F310))</f>
        <v/>
      </c>
      <c r="V310" s="969">
        <f>HLOOKUP(B:B,$4:$10,7,FALSE)+((HLOOKUP(C:C,$4:$10,7,FALSE)-HLOOKUP(B:B,$4:$10,7,FALSE))*E310/F310)</f>
        <v/>
      </c>
      <c r="AB310" s="198">
        <f>$G310</f>
        <v/>
      </c>
      <c r="AC310" s="199">
        <f>$H310</f>
        <v/>
      </c>
      <c r="AD310" s="199">
        <f>$M310*AD$34</f>
        <v/>
      </c>
      <c r="AE310" s="199">
        <f>$M310*AE$34</f>
        <v/>
      </c>
      <c r="AF310" s="199">
        <f>$M310*AF$34</f>
        <v/>
      </c>
      <c r="AG310" s="199">
        <f>$M310*AG$34</f>
        <v/>
      </c>
      <c r="AH310" s="199">
        <f>$M310*AH$34</f>
        <v/>
      </c>
      <c r="AJ310" s="198">
        <f>$G310</f>
        <v/>
      </c>
      <c r="AK310" s="199">
        <f>$H310</f>
        <v/>
      </c>
      <c r="AL310" s="199">
        <f>$N310*AL$34</f>
        <v/>
      </c>
      <c r="AM310" s="199">
        <f>$N310*AM$34</f>
        <v/>
      </c>
      <c r="AN310" s="199">
        <f>$N310*AN$34</f>
        <v/>
      </c>
      <c r="AO310" s="199">
        <f>$N310*AO$34</f>
        <v/>
      </c>
      <c r="AP310" s="199">
        <f>$N310*AP$34</f>
        <v/>
      </c>
      <c r="AR310" s="198">
        <f>$G310</f>
        <v/>
      </c>
      <c r="AS310" s="199">
        <f>$H310</f>
        <v/>
      </c>
      <c r="AT310" s="199">
        <f>$O310*AT$34-$Q310</f>
        <v/>
      </c>
      <c r="AU310" s="199">
        <f>$O310*AU$34-$Q310</f>
        <v/>
      </c>
      <c r="AV310" s="199">
        <f>$O310*AV$34-$Q310</f>
        <v/>
      </c>
      <c r="AW310" s="199">
        <f>$O310*AW$34-$Q310</f>
        <v/>
      </c>
      <c r="AX310" s="199">
        <f>$O310*AX$34-$Q310</f>
        <v/>
      </c>
      <c r="AZ310" s="198">
        <f>$G310</f>
        <v/>
      </c>
      <c r="BA310" s="199">
        <f>$H310</f>
        <v/>
      </c>
      <c r="BB310" s="199">
        <f>$P310*BB$34-$Q310</f>
        <v/>
      </c>
      <c r="BC310" s="199">
        <f>$P310*BC$34-$Q310</f>
        <v/>
      </c>
      <c r="BD310" s="199">
        <f>$P310*BD$34-$Q310</f>
        <v/>
      </c>
      <c r="BE310" s="199">
        <f>$P310*BE$34-$Q310</f>
        <v/>
      </c>
      <c r="BF310" s="199">
        <f>$P310*BF$34-$Q310</f>
        <v/>
      </c>
      <c r="BH310" s="198">
        <f>$G310</f>
        <v/>
      </c>
      <c r="BI310" s="197">
        <f>$I310</f>
        <v/>
      </c>
      <c r="BJ310" s="197">
        <f>+BJ311</f>
        <v/>
      </c>
      <c r="BK310" s="197">
        <f>+BK311</f>
        <v/>
      </c>
      <c r="BL310" s="197">
        <f>+BL311</f>
        <v/>
      </c>
      <c r="BM310" s="197">
        <f>+BM311</f>
        <v/>
      </c>
      <c r="BN310" s="197">
        <f>+BN311</f>
        <v/>
      </c>
      <c r="BP310" s="198">
        <f>$G310</f>
        <v/>
      </c>
      <c r="BQ310" s="197">
        <f>$J310</f>
        <v/>
      </c>
      <c r="BR310" s="197">
        <f>+BR311</f>
        <v/>
      </c>
      <c r="BS310" s="197">
        <f>+BS311</f>
        <v/>
      </c>
      <c r="BT310" s="197">
        <f>+BT311</f>
        <v/>
      </c>
      <c r="BU310" s="197">
        <f>+BU311</f>
        <v/>
      </c>
      <c r="BV310" s="197">
        <f>+BV311</f>
        <v/>
      </c>
      <c r="BX310" s="198">
        <f>$G310</f>
        <v/>
      </c>
      <c r="BY310" s="197">
        <f>$K310</f>
        <v/>
      </c>
      <c r="BZ310" s="197">
        <f>+BZ311</f>
        <v/>
      </c>
      <c r="CA310" s="197">
        <f>+CA311</f>
        <v/>
      </c>
      <c r="CB310" s="197">
        <f>+CB311</f>
        <v/>
      </c>
      <c r="CC310" s="197">
        <f>+CC311</f>
        <v/>
      </c>
      <c r="CD310" s="197">
        <f>+CD311</f>
        <v/>
      </c>
      <c r="CF310" s="198">
        <f>$G310</f>
        <v/>
      </c>
      <c r="CG310" s="197">
        <f>$L310</f>
        <v/>
      </c>
      <c r="CH310" s="197">
        <f>+CH311</f>
        <v/>
      </c>
      <c r="CI310" s="197">
        <f>+CI311</f>
        <v/>
      </c>
      <c r="CJ310" s="197">
        <f>+CJ311</f>
        <v/>
      </c>
      <c r="CK310" s="197">
        <f>+CK311</f>
        <v/>
      </c>
      <c r="CL310" s="197">
        <f>+CL311</f>
        <v/>
      </c>
      <c r="CO310" s="199" t="n">
        <v>11.31165077269727</v>
      </c>
      <c r="CP310" s="199" t="n">
        <v>3.91</v>
      </c>
      <c r="CR310" s="199" t="n">
        <v>9.94</v>
      </c>
      <c r="CS310" s="970" t="n">
        <v>0.87874</v>
      </c>
    </row>
    <row r="311">
      <c r="B311" s="204">
        <f>+C311-1</f>
        <v/>
      </c>
      <c r="C311" s="204">
        <f>IF('bands_A-H_Avg'!$D$9+1&gt;MONTH(G311),YEAR(G311),YEAR(G311)+1)</f>
        <v/>
      </c>
      <c r="D311" s="204">
        <f>+C311+1</f>
        <v/>
      </c>
      <c r="E311" s="203">
        <f>IF(C311&gt;C310,1,E310+1)</f>
        <v/>
      </c>
      <c r="F311" s="203">
        <f>COUNTIF(C:C,C311)</f>
        <v/>
      </c>
      <c r="G311" s="198">
        <f>+G310+7</f>
        <v/>
      </c>
      <c r="H311" s="361">
        <f>IF(ISBLANK(CO311),CP311,SUMPRODUCT(CO$32:CP$32,CO311:CP311))</f>
        <v/>
      </c>
      <c r="I311" s="968">
        <f>H311/M311</f>
        <v/>
      </c>
      <c r="J311" s="968">
        <f>H311/N311</f>
        <v/>
      </c>
      <c r="K311" s="968">
        <f>(H311+Q311)/O311</f>
        <v/>
      </c>
      <c r="L311" s="968">
        <f>(H311+Q311)/P311</f>
        <v/>
      </c>
      <c r="M311" s="199">
        <f>HLOOKUP(C:C,$4:$10,3,FALSE)+((HLOOKUP(D:D,$4:$10,3,FALSE)-HLOOKUP(C:C,$4:$10,3,FALSE))*E311/F311)</f>
        <v/>
      </c>
      <c r="N311" s="199">
        <f>HLOOKUP(C:C,$4:$10,2,FALSE)+((HLOOKUP(D:D,$4:$10,2,FALSE)-HLOOKUP(C:C,$4:$10,2,FALSE))*E311/F311)</f>
        <v/>
      </c>
      <c r="O311" s="199">
        <f>HLOOKUP(C:C,$4:$10,5,FALSE)+((HLOOKUP(D:D,$4:$10,5,FALSE)-HLOOKUP(C:C,$4:$10,5,FALSE))*E311/F311)</f>
        <v/>
      </c>
      <c r="P311" s="199">
        <f>HLOOKUP(C:C,$4:$10,4,FALSE)+((HLOOKUP(D:D,$4:$10,4,FALSE)-HLOOKUP(C:C,$4:$10,4,FALSE))*E311/F311)</f>
        <v/>
      </c>
      <c r="Q311" s="199">
        <f>HLOOKUP(B:B,$4:$10,6,FALSE)+((HLOOKUP(C:C,$4:$10,6,FALSE)-HLOOKUP(B:B,$4:$10,6,FALSE))*E311/F311)</f>
        <v/>
      </c>
      <c r="T311" s="198">
        <f>$G311</f>
        <v/>
      </c>
      <c r="U311" s="199">
        <f>H311/(HLOOKUP(B:B,$4:$10,3,FALSE)+((HLOOKUP(C:C,$4:$10,3,FALSE)-HLOOKUP(B:B,$4:$10,3,FALSE))*E311/F311))</f>
        <v/>
      </c>
      <c r="V311" s="969">
        <f>HLOOKUP(B:B,$4:$10,7,FALSE)+((HLOOKUP(C:C,$4:$10,7,FALSE)-HLOOKUP(B:B,$4:$10,7,FALSE))*E311/F311)</f>
        <v/>
      </c>
      <c r="AB311" s="198">
        <f>$G311</f>
        <v/>
      </c>
      <c r="AC311" s="199">
        <f>$H311</f>
        <v/>
      </c>
      <c r="AD311" s="199">
        <f>$M311*AD$34</f>
        <v/>
      </c>
      <c r="AE311" s="199">
        <f>$M311*AE$34</f>
        <v/>
      </c>
      <c r="AF311" s="199">
        <f>$M311*AF$34</f>
        <v/>
      </c>
      <c r="AG311" s="199">
        <f>$M311*AG$34</f>
        <v/>
      </c>
      <c r="AH311" s="199">
        <f>$M311*AH$34</f>
        <v/>
      </c>
      <c r="AJ311" s="198">
        <f>$G311</f>
        <v/>
      </c>
      <c r="AK311" s="199">
        <f>$H311</f>
        <v/>
      </c>
      <c r="AL311" s="199">
        <f>$N311*AL$34</f>
        <v/>
      </c>
      <c r="AM311" s="199">
        <f>$N311*AM$34</f>
        <v/>
      </c>
      <c r="AN311" s="199">
        <f>$N311*AN$34</f>
        <v/>
      </c>
      <c r="AO311" s="199">
        <f>$N311*AO$34</f>
        <v/>
      </c>
      <c r="AP311" s="199">
        <f>$N311*AP$34</f>
        <v/>
      </c>
      <c r="AR311" s="198">
        <f>$G311</f>
        <v/>
      </c>
      <c r="AS311" s="199">
        <f>$H311</f>
        <v/>
      </c>
      <c r="AT311" s="199">
        <f>$O311*AT$34-$Q311</f>
        <v/>
      </c>
      <c r="AU311" s="199">
        <f>$O311*AU$34-$Q311</f>
        <v/>
      </c>
      <c r="AV311" s="199">
        <f>$O311*AV$34-$Q311</f>
        <v/>
      </c>
      <c r="AW311" s="199">
        <f>$O311*AW$34-$Q311</f>
        <v/>
      </c>
      <c r="AX311" s="199">
        <f>$O311*AX$34-$Q311</f>
        <v/>
      </c>
      <c r="AZ311" s="198">
        <f>$G311</f>
        <v/>
      </c>
      <c r="BA311" s="199">
        <f>$H311</f>
        <v/>
      </c>
      <c r="BB311" s="199">
        <f>$P311*BB$34-$Q311</f>
        <v/>
      </c>
      <c r="BC311" s="199">
        <f>$P311*BC$34-$Q311</f>
        <v/>
      </c>
      <c r="BD311" s="199">
        <f>$P311*BD$34-$Q311</f>
        <v/>
      </c>
      <c r="BE311" s="199">
        <f>$P311*BE$34-$Q311</f>
        <v/>
      </c>
      <c r="BF311" s="199">
        <f>$P311*BF$34-$Q311</f>
        <v/>
      </c>
      <c r="BH311" s="198">
        <f>$G311</f>
        <v/>
      </c>
      <c r="BI311" s="197">
        <f>$I311</f>
        <v/>
      </c>
      <c r="BJ311" s="197">
        <f>+BJ312</f>
        <v/>
      </c>
      <c r="BK311" s="197">
        <f>+BK312</f>
        <v/>
      </c>
      <c r="BL311" s="197">
        <f>+BL312</f>
        <v/>
      </c>
      <c r="BM311" s="197">
        <f>+BM312</f>
        <v/>
      </c>
      <c r="BN311" s="197">
        <f>+BN312</f>
        <v/>
      </c>
      <c r="BP311" s="198">
        <f>$G311</f>
        <v/>
      </c>
      <c r="BQ311" s="197">
        <f>$J311</f>
        <v/>
      </c>
      <c r="BR311" s="197">
        <f>+BR312</f>
        <v/>
      </c>
      <c r="BS311" s="197">
        <f>+BS312</f>
        <v/>
      </c>
      <c r="BT311" s="197">
        <f>+BT312</f>
        <v/>
      </c>
      <c r="BU311" s="197">
        <f>+BU312</f>
        <v/>
      </c>
      <c r="BV311" s="197">
        <f>+BV312</f>
        <v/>
      </c>
      <c r="BX311" s="198">
        <f>$G311</f>
        <v/>
      </c>
      <c r="BY311" s="197">
        <f>$K311</f>
        <v/>
      </c>
      <c r="BZ311" s="197">
        <f>+BZ312</f>
        <v/>
      </c>
      <c r="CA311" s="197">
        <f>+CA312</f>
        <v/>
      </c>
      <c r="CB311" s="197">
        <f>+CB312</f>
        <v/>
      </c>
      <c r="CC311" s="197">
        <f>+CC312</f>
        <v/>
      </c>
      <c r="CD311" s="197">
        <f>+CD312</f>
        <v/>
      </c>
      <c r="CF311" s="198">
        <f>$G311</f>
        <v/>
      </c>
      <c r="CG311" s="197">
        <f>$L311</f>
        <v/>
      </c>
      <c r="CH311" s="197">
        <f>+CH312</f>
        <v/>
      </c>
      <c r="CI311" s="197">
        <f>+CI312</f>
        <v/>
      </c>
      <c r="CJ311" s="197">
        <f>+CJ312</f>
        <v/>
      </c>
      <c r="CK311" s="197">
        <f>+CK312</f>
        <v/>
      </c>
      <c r="CL311" s="197">
        <f>+CL312</f>
        <v/>
      </c>
      <c r="CO311" s="199" t="n">
        <v>11.13902181202332</v>
      </c>
      <c r="CP311" s="199" t="n">
        <v>3.94</v>
      </c>
      <c r="CR311" s="199" t="n">
        <v>9.800000000000001</v>
      </c>
      <c r="CS311" s="970" t="n">
        <v>0.87979</v>
      </c>
    </row>
    <row r="312">
      <c r="B312" s="204">
        <f>+C312-1</f>
        <v/>
      </c>
      <c r="C312" s="204">
        <f>IF('bands_A-H_Avg'!$D$9+1&gt;MONTH(G312),YEAR(G312),YEAR(G312)+1)</f>
        <v/>
      </c>
      <c r="D312" s="204">
        <f>+C312+1</f>
        <v/>
      </c>
      <c r="E312" s="203">
        <f>IF(C312&gt;C311,1,E311+1)</f>
        <v/>
      </c>
      <c r="F312" s="203">
        <f>COUNTIF(C:C,C312)</f>
        <v/>
      </c>
      <c r="G312" s="198">
        <f>+G311+7</f>
        <v/>
      </c>
      <c r="H312" s="361">
        <f>IF(ISBLANK(CO312),CP312,SUMPRODUCT(CO$32:CP$32,CO312:CP312))</f>
        <v/>
      </c>
      <c r="I312" s="968">
        <f>H312/M312</f>
        <v/>
      </c>
      <c r="J312" s="968">
        <f>H312/N312</f>
        <v/>
      </c>
      <c r="K312" s="968">
        <f>(H312+Q312)/O312</f>
        <v/>
      </c>
      <c r="L312" s="968">
        <f>(H312+Q312)/P312</f>
        <v/>
      </c>
      <c r="M312" s="199">
        <f>HLOOKUP(C:C,$4:$10,3,FALSE)+((HLOOKUP(D:D,$4:$10,3,FALSE)-HLOOKUP(C:C,$4:$10,3,FALSE))*E312/F312)</f>
        <v/>
      </c>
      <c r="N312" s="199">
        <f>HLOOKUP(C:C,$4:$10,2,FALSE)+((HLOOKUP(D:D,$4:$10,2,FALSE)-HLOOKUP(C:C,$4:$10,2,FALSE))*E312/F312)</f>
        <v/>
      </c>
      <c r="O312" s="199">
        <f>HLOOKUP(C:C,$4:$10,5,FALSE)+((HLOOKUP(D:D,$4:$10,5,FALSE)-HLOOKUP(C:C,$4:$10,5,FALSE))*E312/F312)</f>
        <v/>
      </c>
      <c r="P312" s="199">
        <f>HLOOKUP(C:C,$4:$10,4,FALSE)+((HLOOKUP(D:D,$4:$10,4,FALSE)-HLOOKUP(C:C,$4:$10,4,FALSE))*E312/F312)</f>
        <v/>
      </c>
      <c r="Q312" s="199">
        <f>HLOOKUP(B:B,$4:$10,6,FALSE)+((HLOOKUP(C:C,$4:$10,6,FALSE)-HLOOKUP(B:B,$4:$10,6,FALSE))*E312/F312)</f>
        <v/>
      </c>
      <c r="T312" s="198">
        <f>$G312</f>
        <v/>
      </c>
      <c r="U312" s="199">
        <f>H312/(HLOOKUP(B:B,$4:$10,3,FALSE)+((HLOOKUP(C:C,$4:$10,3,FALSE)-HLOOKUP(B:B,$4:$10,3,FALSE))*E312/F312))</f>
        <v/>
      </c>
      <c r="V312" s="969">
        <f>HLOOKUP(B:B,$4:$10,7,FALSE)+((HLOOKUP(C:C,$4:$10,7,FALSE)-HLOOKUP(B:B,$4:$10,7,FALSE))*E312/F312)</f>
        <v/>
      </c>
      <c r="AB312" s="198">
        <f>$G312</f>
        <v/>
      </c>
      <c r="AC312" s="199">
        <f>$H312</f>
        <v/>
      </c>
      <c r="AD312" s="199">
        <f>$M312*AD$34</f>
        <v/>
      </c>
      <c r="AE312" s="199">
        <f>$M312*AE$34</f>
        <v/>
      </c>
      <c r="AF312" s="199">
        <f>$M312*AF$34</f>
        <v/>
      </c>
      <c r="AG312" s="199">
        <f>$M312*AG$34</f>
        <v/>
      </c>
      <c r="AH312" s="199">
        <f>$M312*AH$34</f>
        <v/>
      </c>
      <c r="AJ312" s="198">
        <f>$G312</f>
        <v/>
      </c>
      <c r="AK312" s="199">
        <f>$H312</f>
        <v/>
      </c>
      <c r="AL312" s="199">
        <f>$N312*AL$34</f>
        <v/>
      </c>
      <c r="AM312" s="199">
        <f>$N312*AM$34</f>
        <v/>
      </c>
      <c r="AN312" s="199">
        <f>$N312*AN$34</f>
        <v/>
      </c>
      <c r="AO312" s="199">
        <f>$N312*AO$34</f>
        <v/>
      </c>
      <c r="AP312" s="199">
        <f>$N312*AP$34</f>
        <v/>
      </c>
      <c r="AR312" s="198">
        <f>$G312</f>
        <v/>
      </c>
      <c r="AS312" s="199">
        <f>$H312</f>
        <v/>
      </c>
      <c r="AT312" s="199">
        <f>$O312*AT$34-$Q312</f>
        <v/>
      </c>
      <c r="AU312" s="199">
        <f>$O312*AU$34-$Q312</f>
        <v/>
      </c>
      <c r="AV312" s="199">
        <f>$O312*AV$34-$Q312</f>
        <v/>
      </c>
      <c r="AW312" s="199">
        <f>$O312*AW$34-$Q312</f>
        <v/>
      </c>
      <c r="AX312" s="199">
        <f>$O312*AX$34-$Q312</f>
        <v/>
      </c>
      <c r="AZ312" s="198">
        <f>$G312</f>
        <v/>
      </c>
      <c r="BA312" s="199">
        <f>$H312</f>
        <v/>
      </c>
      <c r="BB312" s="199">
        <f>$P312*BB$34-$Q312</f>
        <v/>
      </c>
      <c r="BC312" s="199">
        <f>$P312*BC$34-$Q312</f>
        <v/>
      </c>
      <c r="BD312" s="199">
        <f>$P312*BD$34-$Q312</f>
        <v/>
      </c>
      <c r="BE312" s="199">
        <f>$P312*BE$34-$Q312</f>
        <v/>
      </c>
      <c r="BF312" s="199">
        <f>$P312*BF$34-$Q312</f>
        <v/>
      </c>
      <c r="BH312" s="198">
        <f>$G312</f>
        <v/>
      </c>
      <c r="BI312" s="197">
        <f>$I312</f>
        <v/>
      </c>
      <c r="BJ312" s="197">
        <f>+BJ313</f>
        <v/>
      </c>
      <c r="BK312" s="197">
        <f>+BK313</f>
        <v/>
      </c>
      <c r="BL312" s="197">
        <f>+BL313</f>
        <v/>
      </c>
      <c r="BM312" s="197">
        <f>+BM313</f>
        <v/>
      </c>
      <c r="BN312" s="197">
        <f>+BN313</f>
        <v/>
      </c>
      <c r="BP312" s="198">
        <f>$G312</f>
        <v/>
      </c>
      <c r="BQ312" s="197">
        <f>$J312</f>
        <v/>
      </c>
      <c r="BR312" s="197">
        <f>+BR313</f>
        <v/>
      </c>
      <c r="BS312" s="197">
        <f>+BS313</f>
        <v/>
      </c>
      <c r="BT312" s="197">
        <f>+BT313</f>
        <v/>
      </c>
      <c r="BU312" s="197">
        <f>+BU313</f>
        <v/>
      </c>
      <c r="BV312" s="197">
        <f>+BV313</f>
        <v/>
      </c>
      <c r="BX312" s="198">
        <f>$G312</f>
        <v/>
      </c>
      <c r="BY312" s="197">
        <f>$K312</f>
        <v/>
      </c>
      <c r="BZ312" s="197">
        <f>+BZ313</f>
        <v/>
      </c>
      <c r="CA312" s="197">
        <f>+CA313</f>
        <v/>
      </c>
      <c r="CB312" s="197">
        <f>+CB313</f>
        <v/>
      </c>
      <c r="CC312" s="197">
        <f>+CC313</f>
        <v/>
      </c>
      <c r="CD312" s="197">
        <f>+CD313</f>
        <v/>
      </c>
      <c r="CF312" s="198">
        <f>$G312</f>
        <v/>
      </c>
      <c r="CG312" s="197">
        <f>$L312</f>
        <v/>
      </c>
      <c r="CH312" s="197">
        <f>+CH313</f>
        <v/>
      </c>
      <c r="CI312" s="197">
        <f>+CI313</f>
        <v/>
      </c>
      <c r="CJ312" s="197">
        <f>+CJ313</f>
        <v/>
      </c>
      <c r="CK312" s="197">
        <f>+CK313</f>
        <v/>
      </c>
      <c r="CL312" s="197">
        <f>+CL313</f>
        <v/>
      </c>
      <c r="CO312" s="199" t="n">
        <v>10.80208309644555</v>
      </c>
      <c r="CP312" s="199" t="n">
        <v>3.79</v>
      </c>
      <c r="CR312" s="199" t="n">
        <v>9.5</v>
      </c>
      <c r="CS312" s="970" t="n">
        <v>0.87946</v>
      </c>
    </row>
    <row r="313">
      <c r="B313" s="204">
        <f>+C313-1</f>
        <v/>
      </c>
      <c r="C313" s="204">
        <f>IF('bands_A-H_Avg'!$D$9+1&gt;MONTH(G313),YEAR(G313),YEAR(G313)+1)</f>
        <v/>
      </c>
      <c r="D313" s="204">
        <f>+C313+1</f>
        <v/>
      </c>
      <c r="E313" s="203">
        <f>IF(C313&gt;C312,1,E312+1)</f>
        <v/>
      </c>
      <c r="F313" s="203">
        <f>COUNTIF(C:C,C313)</f>
        <v/>
      </c>
      <c r="G313" s="198">
        <f>+G312+7</f>
        <v/>
      </c>
      <c r="H313" s="361">
        <f>IF(ISBLANK(CO313),CP313,SUMPRODUCT(CO$32:CP$32,CO313:CP313))</f>
        <v/>
      </c>
      <c r="I313" s="968">
        <f>H313/M313</f>
        <v/>
      </c>
      <c r="J313" s="968">
        <f>H313/N313</f>
        <v/>
      </c>
      <c r="K313" s="968">
        <f>(H313+Q313)/O313</f>
        <v/>
      </c>
      <c r="L313" s="968">
        <f>(H313+Q313)/P313</f>
        <v/>
      </c>
      <c r="M313" s="199">
        <f>HLOOKUP(C:C,$4:$10,3,FALSE)+((HLOOKUP(D:D,$4:$10,3,FALSE)-HLOOKUP(C:C,$4:$10,3,FALSE))*E313/F313)</f>
        <v/>
      </c>
      <c r="N313" s="199">
        <f>HLOOKUP(C:C,$4:$10,2,FALSE)+((HLOOKUP(D:D,$4:$10,2,FALSE)-HLOOKUP(C:C,$4:$10,2,FALSE))*E313/F313)</f>
        <v/>
      </c>
      <c r="O313" s="199">
        <f>HLOOKUP(C:C,$4:$10,5,FALSE)+((HLOOKUP(D:D,$4:$10,5,FALSE)-HLOOKUP(C:C,$4:$10,5,FALSE))*E313/F313)</f>
        <v/>
      </c>
      <c r="P313" s="199">
        <f>HLOOKUP(C:C,$4:$10,4,FALSE)+((HLOOKUP(D:D,$4:$10,4,FALSE)-HLOOKUP(C:C,$4:$10,4,FALSE))*E313/F313)</f>
        <v/>
      </c>
      <c r="Q313" s="199">
        <f>HLOOKUP(B:B,$4:$10,6,FALSE)+((HLOOKUP(C:C,$4:$10,6,FALSE)-HLOOKUP(B:B,$4:$10,6,FALSE))*E313/F313)</f>
        <v/>
      </c>
      <c r="T313" s="198">
        <f>$G313</f>
        <v/>
      </c>
      <c r="U313" s="199">
        <f>H313/(HLOOKUP(B:B,$4:$10,3,FALSE)+((HLOOKUP(C:C,$4:$10,3,FALSE)-HLOOKUP(B:B,$4:$10,3,FALSE))*E313/F313))</f>
        <v/>
      </c>
      <c r="V313" s="969">
        <f>HLOOKUP(B:B,$4:$10,7,FALSE)+((HLOOKUP(C:C,$4:$10,7,FALSE)-HLOOKUP(B:B,$4:$10,7,FALSE))*E313/F313)</f>
        <v/>
      </c>
      <c r="AB313" s="198">
        <f>$G313</f>
        <v/>
      </c>
      <c r="AC313" s="199">
        <f>$H313</f>
        <v/>
      </c>
      <c r="AD313" s="199">
        <f>$M313*AD$34</f>
        <v/>
      </c>
      <c r="AE313" s="199">
        <f>$M313*AE$34</f>
        <v/>
      </c>
      <c r="AF313" s="199">
        <f>$M313*AF$34</f>
        <v/>
      </c>
      <c r="AG313" s="199">
        <f>$M313*AG$34</f>
        <v/>
      </c>
      <c r="AH313" s="199">
        <f>$M313*AH$34</f>
        <v/>
      </c>
      <c r="AJ313" s="198">
        <f>$G313</f>
        <v/>
      </c>
      <c r="AK313" s="199">
        <f>$H313</f>
        <v/>
      </c>
      <c r="AL313" s="199">
        <f>$N313*AL$34</f>
        <v/>
      </c>
      <c r="AM313" s="199">
        <f>$N313*AM$34</f>
        <v/>
      </c>
      <c r="AN313" s="199">
        <f>$N313*AN$34</f>
        <v/>
      </c>
      <c r="AO313" s="199">
        <f>$N313*AO$34</f>
        <v/>
      </c>
      <c r="AP313" s="199">
        <f>$N313*AP$34</f>
        <v/>
      </c>
      <c r="AR313" s="198">
        <f>$G313</f>
        <v/>
      </c>
      <c r="AS313" s="199">
        <f>$H313</f>
        <v/>
      </c>
      <c r="AT313" s="199">
        <f>$O313*AT$34-$Q313</f>
        <v/>
      </c>
      <c r="AU313" s="199">
        <f>$O313*AU$34-$Q313</f>
        <v/>
      </c>
      <c r="AV313" s="199">
        <f>$O313*AV$34-$Q313</f>
        <v/>
      </c>
      <c r="AW313" s="199">
        <f>$O313*AW$34-$Q313</f>
        <v/>
      </c>
      <c r="AX313" s="199">
        <f>$O313*AX$34-$Q313</f>
        <v/>
      </c>
      <c r="AZ313" s="198">
        <f>$G313</f>
        <v/>
      </c>
      <c r="BA313" s="199">
        <f>$H313</f>
        <v/>
      </c>
      <c r="BB313" s="199">
        <f>$P313*BB$34-$Q313</f>
        <v/>
      </c>
      <c r="BC313" s="199">
        <f>$P313*BC$34-$Q313</f>
        <v/>
      </c>
      <c r="BD313" s="199">
        <f>$P313*BD$34-$Q313</f>
        <v/>
      </c>
      <c r="BE313" s="199">
        <f>$P313*BE$34-$Q313</f>
        <v/>
      </c>
      <c r="BF313" s="199">
        <f>$P313*BF$34-$Q313</f>
        <v/>
      </c>
      <c r="BH313" s="198">
        <f>$G313</f>
        <v/>
      </c>
      <c r="BI313" s="197">
        <f>$I313</f>
        <v/>
      </c>
      <c r="BJ313" s="197">
        <f>+BJ314</f>
        <v/>
      </c>
      <c r="BK313" s="197">
        <f>+BK314</f>
        <v/>
      </c>
      <c r="BL313" s="197">
        <f>+BL314</f>
        <v/>
      </c>
      <c r="BM313" s="197">
        <f>+BM314</f>
        <v/>
      </c>
      <c r="BN313" s="197">
        <f>+BN314</f>
        <v/>
      </c>
      <c r="BP313" s="198">
        <f>$G313</f>
        <v/>
      </c>
      <c r="BQ313" s="197">
        <f>$J313</f>
        <v/>
      </c>
      <c r="BR313" s="197">
        <f>+BR314</f>
        <v/>
      </c>
      <c r="BS313" s="197">
        <f>+BS314</f>
        <v/>
      </c>
      <c r="BT313" s="197">
        <f>+BT314</f>
        <v/>
      </c>
      <c r="BU313" s="197">
        <f>+BU314</f>
        <v/>
      </c>
      <c r="BV313" s="197">
        <f>+BV314</f>
        <v/>
      </c>
      <c r="BX313" s="198">
        <f>$G313</f>
        <v/>
      </c>
      <c r="BY313" s="197">
        <f>$K313</f>
        <v/>
      </c>
      <c r="BZ313" s="197">
        <f>+BZ314</f>
        <v/>
      </c>
      <c r="CA313" s="197">
        <f>+CA314</f>
        <v/>
      </c>
      <c r="CB313" s="197">
        <f>+CB314</f>
        <v/>
      </c>
      <c r="CC313" s="197">
        <f>+CC314</f>
        <v/>
      </c>
      <c r="CD313" s="197">
        <f>+CD314</f>
        <v/>
      </c>
      <c r="CF313" s="198">
        <f>$G313</f>
        <v/>
      </c>
      <c r="CG313" s="197">
        <f>$L313</f>
        <v/>
      </c>
      <c r="CH313" s="197">
        <f>+CH314</f>
        <v/>
      </c>
      <c r="CI313" s="197">
        <f>+CI314</f>
        <v/>
      </c>
      <c r="CJ313" s="197">
        <f>+CJ314</f>
        <v/>
      </c>
      <c r="CK313" s="197">
        <f>+CK314</f>
        <v/>
      </c>
      <c r="CL313" s="197">
        <f>+CL314</f>
        <v/>
      </c>
      <c r="CO313" s="199" t="n">
        <v>10.50596930073906</v>
      </c>
      <c r="CP313" s="199" t="n">
        <v>3.74</v>
      </c>
      <c r="CR313" s="199" t="n">
        <v>9.24</v>
      </c>
      <c r="CS313" s="970" t="n">
        <v>0.8794999999999999</v>
      </c>
    </row>
    <row r="314">
      <c r="B314" s="204">
        <f>+C314-1</f>
        <v/>
      </c>
      <c r="C314" s="204">
        <f>IF('bands_A-H_Avg'!$D$9+1&gt;MONTH(G314),YEAR(G314),YEAR(G314)+1)</f>
        <v/>
      </c>
      <c r="D314" s="204">
        <f>+C314+1</f>
        <v/>
      </c>
      <c r="E314" s="203">
        <f>IF(C314&gt;C313,1,E313+1)</f>
        <v/>
      </c>
      <c r="F314" s="203">
        <f>COUNTIF(C:C,C314)</f>
        <v/>
      </c>
      <c r="G314" s="198">
        <f>+G313+7</f>
        <v/>
      </c>
      <c r="H314" s="361">
        <f>IF(ISBLANK(CO314),CP314,SUMPRODUCT(CO$32:CP$32,CO314:CP314))</f>
        <v/>
      </c>
      <c r="I314" s="968">
        <f>H314/M314</f>
        <v/>
      </c>
      <c r="J314" s="968">
        <f>H314/N314</f>
        <v/>
      </c>
      <c r="K314" s="968">
        <f>(H314+Q314)/O314</f>
        <v/>
      </c>
      <c r="L314" s="968">
        <f>(H314+Q314)/P314</f>
        <v/>
      </c>
      <c r="M314" s="199">
        <f>HLOOKUP(C:C,$4:$10,3,FALSE)+((HLOOKUP(D:D,$4:$10,3,FALSE)-HLOOKUP(C:C,$4:$10,3,FALSE))*E314/F314)</f>
        <v/>
      </c>
      <c r="N314" s="199">
        <f>HLOOKUP(C:C,$4:$10,2,FALSE)+((HLOOKUP(D:D,$4:$10,2,FALSE)-HLOOKUP(C:C,$4:$10,2,FALSE))*E314/F314)</f>
        <v/>
      </c>
      <c r="O314" s="199">
        <f>HLOOKUP(C:C,$4:$10,5,FALSE)+((HLOOKUP(D:D,$4:$10,5,FALSE)-HLOOKUP(C:C,$4:$10,5,FALSE))*E314/F314)</f>
        <v/>
      </c>
      <c r="P314" s="199">
        <f>HLOOKUP(C:C,$4:$10,4,FALSE)+((HLOOKUP(D:D,$4:$10,4,FALSE)-HLOOKUP(C:C,$4:$10,4,FALSE))*E314/F314)</f>
        <v/>
      </c>
      <c r="Q314" s="199">
        <f>HLOOKUP(B:B,$4:$10,6,FALSE)+((HLOOKUP(C:C,$4:$10,6,FALSE)-HLOOKUP(B:B,$4:$10,6,FALSE))*E314/F314)</f>
        <v/>
      </c>
      <c r="T314" s="198">
        <f>$G314</f>
        <v/>
      </c>
      <c r="U314" s="199">
        <f>H314/(HLOOKUP(B:B,$4:$10,3,FALSE)+((HLOOKUP(C:C,$4:$10,3,FALSE)-HLOOKUP(B:B,$4:$10,3,FALSE))*E314/F314))</f>
        <v/>
      </c>
      <c r="V314" s="969">
        <f>HLOOKUP(B:B,$4:$10,7,FALSE)+((HLOOKUP(C:C,$4:$10,7,FALSE)-HLOOKUP(B:B,$4:$10,7,FALSE))*E314/F314)</f>
        <v/>
      </c>
      <c r="AB314" s="198">
        <f>$G314</f>
        <v/>
      </c>
      <c r="AC314" s="199">
        <f>$H314</f>
        <v/>
      </c>
      <c r="AD314" s="199">
        <f>$M314*AD$34</f>
        <v/>
      </c>
      <c r="AE314" s="199">
        <f>$M314*AE$34</f>
        <v/>
      </c>
      <c r="AF314" s="199">
        <f>$M314*AF$34</f>
        <v/>
      </c>
      <c r="AG314" s="199">
        <f>$M314*AG$34</f>
        <v/>
      </c>
      <c r="AH314" s="199">
        <f>$M314*AH$34</f>
        <v/>
      </c>
      <c r="AJ314" s="198">
        <f>$G314</f>
        <v/>
      </c>
      <c r="AK314" s="199">
        <f>$H314</f>
        <v/>
      </c>
      <c r="AL314" s="199">
        <f>$N314*AL$34</f>
        <v/>
      </c>
      <c r="AM314" s="199">
        <f>$N314*AM$34</f>
        <v/>
      </c>
      <c r="AN314" s="199">
        <f>$N314*AN$34</f>
        <v/>
      </c>
      <c r="AO314" s="199">
        <f>$N314*AO$34</f>
        <v/>
      </c>
      <c r="AP314" s="199">
        <f>$N314*AP$34</f>
        <v/>
      </c>
      <c r="AR314" s="198">
        <f>$G314</f>
        <v/>
      </c>
      <c r="AS314" s="199">
        <f>$H314</f>
        <v/>
      </c>
      <c r="AT314" s="199">
        <f>$O314*AT$34-$Q314</f>
        <v/>
      </c>
      <c r="AU314" s="199">
        <f>$O314*AU$34-$Q314</f>
        <v/>
      </c>
      <c r="AV314" s="199">
        <f>$O314*AV$34-$Q314</f>
        <v/>
      </c>
      <c r="AW314" s="199">
        <f>$O314*AW$34-$Q314</f>
        <v/>
      </c>
      <c r="AX314" s="199">
        <f>$O314*AX$34-$Q314</f>
        <v/>
      </c>
      <c r="AZ314" s="198">
        <f>$G314</f>
        <v/>
      </c>
      <c r="BA314" s="199">
        <f>$H314</f>
        <v/>
      </c>
      <c r="BB314" s="199">
        <f>$P314*BB$34-$Q314</f>
        <v/>
      </c>
      <c r="BC314" s="199">
        <f>$P314*BC$34-$Q314</f>
        <v/>
      </c>
      <c r="BD314" s="199">
        <f>$P314*BD$34-$Q314</f>
        <v/>
      </c>
      <c r="BE314" s="199">
        <f>$P314*BE$34-$Q314</f>
        <v/>
      </c>
      <c r="BF314" s="199">
        <f>$P314*BF$34-$Q314</f>
        <v/>
      </c>
      <c r="BH314" s="198">
        <f>$G314</f>
        <v/>
      </c>
      <c r="BI314" s="197">
        <f>$I314</f>
        <v/>
      </c>
      <c r="BJ314" s="197">
        <f>+BJ315</f>
        <v/>
      </c>
      <c r="BK314" s="197">
        <f>+BK315</f>
        <v/>
      </c>
      <c r="BL314" s="197">
        <f>+BL315</f>
        <v/>
      </c>
      <c r="BM314" s="197">
        <f>+BM315</f>
        <v/>
      </c>
      <c r="BN314" s="197">
        <f>+BN315</f>
        <v/>
      </c>
      <c r="BP314" s="198">
        <f>$G314</f>
        <v/>
      </c>
      <c r="BQ314" s="197">
        <f>$J314</f>
        <v/>
      </c>
      <c r="BR314" s="197">
        <f>+BR315</f>
        <v/>
      </c>
      <c r="BS314" s="197">
        <f>+BS315</f>
        <v/>
      </c>
      <c r="BT314" s="197">
        <f>+BT315</f>
        <v/>
      </c>
      <c r="BU314" s="197">
        <f>+BU315</f>
        <v/>
      </c>
      <c r="BV314" s="197">
        <f>+BV315</f>
        <v/>
      </c>
      <c r="BX314" s="198">
        <f>$G314</f>
        <v/>
      </c>
      <c r="BY314" s="197">
        <f>$K314</f>
        <v/>
      </c>
      <c r="BZ314" s="197">
        <f>+BZ315</f>
        <v/>
      </c>
      <c r="CA314" s="197">
        <f>+CA315</f>
        <v/>
      </c>
      <c r="CB314" s="197">
        <f>+CB315</f>
        <v/>
      </c>
      <c r="CC314" s="197">
        <f>+CC315</f>
        <v/>
      </c>
      <c r="CD314" s="197">
        <f>+CD315</f>
        <v/>
      </c>
      <c r="CF314" s="198">
        <f>$G314</f>
        <v/>
      </c>
      <c r="CG314" s="197">
        <f>$L314</f>
        <v/>
      </c>
      <c r="CH314" s="197">
        <f>+CH315</f>
        <v/>
      </c>
      <c r="CI314" s="197">
        <f>+CI315</f>
        <v/>
      </c>
      <c r="CJ314" s="197">
        <f>+CJ315</f>
        <v/>
      </c>
      <c r="CK314" s="197">
        <f>+CK315</f>
        <v/>
      </c>
      <c r="CL314" s="197">
        <f>+CL315</f>
        <v/>
      </c>
      <c r="CO314" s="199" t="n">
        <v>10.01035161360043</v>
      </c>
      <c r="CP314" s="199" t="n">
        <v>3.75</v>
      </c>
      <c r="CR314" s="199" t="n">
        <v>8.800000000000001</v>
      </c>
      <c r="CS314" s="970" t="n">
        <v>0.87909</v>
      </c>
    </row>
    <row r="315">
      <c r="B315" s="204">
        <f>+C315-1</f>
        <v/>
      </c>
      <c r="C315" s="204">
        <f>IF('bands_A-H_Avg'!$D$9+1&gt;MONTH(G315),YEAR(G315),YEAR(G315)+1)</f>
        <v/>
      </c>
      <c r="D315" s="204">
        <f>+C315+1</f>
        <v/>
      </c>
      <c r="E315" s="203">
        <f>IF(C315&gt;C314,1,E314+1)</f>
        <v/>
      </c>
      <c r="F315" s="203">
        <f>COUNTIF(C:C,C315)</f>
        <v/>
      </c>
      <c r="G315" s="198">
        <f>+G314+7</f>
        <v/>
      </c>
      <c r="H315" s="361">
        <f>IF(ISBLANK(CO315),CP315,SUMPRODUCT(CO$32:CP$32,CO315:CP315))</f>
        <v/>
      </c>
      <c r="I315" s="968">
        <f>H315/M315</f>
        <v/>
      </c>
      <c r="J315" s="968">
        <f>H315/N315</f>
        <v/>
      </c>
      <c r="K315" s="968">
        <f>(H315+Q315)/O315</f>
        <v/>
      </c>
      <c r="L315" s="968">
        <f>(H315+Q315)/P315</f>
        <v/>
      </c>
      <c r="M315" s="199">
        <f>HLOOKUP(C:C,$4:$10,3,FALSE)+((HLOOKUP(D:D,$4:$10,3,FALSE)-HLOOKUP(C:C,$4:$10,3,FALSE))*E315/F315)</f>
        <v/>
      </c>
      <c r="N315" s="199">
        <f>HLOOKUP(C:C,$4:$10,2,FALSE)+((HLOOKUP(D:D,$4:$10,2,FALSE)-HLOOKUP(C:C,$4:$10,2,FALSE))*E315/F315)</f>
        <v/>
      </c>
      <c r="O315" s="199">
        <f>HLOOKUP(C:C,$4:$10,5,FALSE)+((HLOOKUP(D:D,$4:$10,5,FALSE)-HLOOKUP(C:C,$4:$10,5,FALSE))*E315/F315)</f>
        <v/>
      </c>
      <c r="P315" s="199">
        <f>HLOOKUP(C:C,$4:$10,4,FALSE)+((HLOOKUP(D:D,$4:$10,4,FALSE)-HLOOKUP(C:C,$4:$10,4,FALSE))*E315/F315)</f>
        <v/>
      </c>
      <c r="Q315" s="199">
        <f>HLOOKUP(B:B,$4:$10,6,FALSE)+((HLOOKUP(C:C,$4:$10,6,FALSE)-HLOOKUP(B:B,$4:$10,6,FALSE))*E315/F315)</f>
        <v/>
      </c>
      <c r="T315" s="198">
        <f>$G315</f>
        <v/>
      </c>
      <c r="U315" s="199">
        <f>H315/(HLOOKUP(B:B,$4:$10,3,FALSE)+((HLOOKUP(C:C,$4:$10,3,FALSE)-HLOOKUP(B:B,$4:$10,3,FALSE))*E315/F315))</f>
        <v/>
      </c>
      <c r="V315" s="969">
        <f>HLOOKUP(B:B,$4:$10,7,FALSE)+((HLOOKUP(C:C,$4:$10,7,FALSE)-HLOOKUP(B:B,$4:$10,7,FALSE))*E315/F315)</f>
        <v/>
      </c>
      <c r="AB315" s="198">
        <f>$G315</f>
        <v/>
      </c>
      <c r="AC315" s="199">
        <f>$H315</f>
        <v/>
      </c>
      <c r="AD315" s="199">
        <f>$M315*AD$34</f>
        <v/>
      </c>
      <c r="AE315" s="199">
        <f>$M315*AE$34</f>
        <v/>
      </c>
      <c r="AF315" s="199">
        <f>$M315*AF$34</f>
        <v/>
      </c>
      <c r="AG315" s="199">
        <f>$M315*AG$34</f>
        <v/>
      </c>
      <c r="AH315" s="199">
        <f>$M315*AH$34</f>
        <v/>
      </c>
      <c r="AJ315" s="198">
        <f>$G315</f>
        <v/>
      </c>
      <c r="AK315" s="199">
        <f>$H315</f>
        <v/>
      </c>
      <c r="AL315" s="199">
        <f>$N315*AL$34</f>
        <v/>
      </c>
      <c r="AM315" s="199">
        <f>$N315*AM$34</f>
        <v/>
      </c>
      <c r="AN315" s="199">
        <f>$N315*AN$34</f>
        <v/>
      </c>
      <c r="AO315" s="199">
        <f>$N315*AO$34</f>
        <v/>
      </c>
      <c r="AP315" s="199">
        <f>$N315*AP$34</f>
        <v/>
      </c>
      <c r="AR315" s="198">
        <f>$G315</f>
        <v/>
      </c>
      <c r="AS315" s="199">
        <f>$H315</f>
        <v/>
      </c>
      <c r="AT315" s="199">
        <f>$O315*AT$34-$Q315</f>
        <v/>
      </c>
      <c r="AU315" s="199">
        <f>$O315*AU$34-$Q315</f>
        <v/>
      </c>
      <c r="AV315" s="199">
        <f>$O315*AV$34-$Q315</f>
        <v/>
      </c>
      <c r="AW315" s="199">
        <f>$O315*AW$34-$Q315</f>
        <v/>
      </c>
      <c r="AX315" s="199">
        <f>$O315*AX$34-$Q315</f>
        <v/>
      </c>
      <c r="AZ315" s="198">
        <f>$G315</f>
        <v/>
      </c>
      <c r="BA315" s="199">
        <f>$H315</f>
        <v/>
      </c>
      <c r="BB315" s="199">
        <f>$P315*BB$34-$Q315</f>
        <v/>
      </c>
      <c r="BC315" s="199">
        <f>$P315*BC$34-$Q315</f>
        <v/>
      </c>
      <c r="BD315" s="199">
        <f>$P315*BD$34-$Q315</f>
        <v/>
      </c>
      <c r="BE315" s="199">
        <f>$P315*BE$34-$Q315</f>
        <v/>
      </c>
      <c r="BF315" s="199">
        <f>$P315*BF$34-$Q315</f>
        <v/>
      </c>
      <c r="BH315" s="198">
        <f>$G315</f>
        <v/>
      </c>
      <c r="BI315" s="197">
        <f>$I315</f>
        <v/>
      </c>
      <c r="BJ315" s="197">
        <f>+BJ316</f>
        <v/>
      </c>
      <c r="BK315" s="197">
        <f>+BK316</f>
        <v/>
      </c>
      <c r="BL315" s="197">
        <f>+BL316</f>
        <v/>
      </c>
      <c r="BM315" s="197">
        <f>+BM316</f>
        <v/>
      </c>
      <c r="BN315" s="197">
        <f>+BN316</f>
        <v/>
      </c>
      <c r="BP315" s="198">
        <f>$G315</f>
        <v/>
      </c>
      <c r="BQ315" s="197">
        <f>$J315</f>
        <v/>
      </c>
      <c r="BR315" s="197">
        <f>+BR316</f>
        <v/>
      </c>
      <c r="BS315" s="197">
        <f>+BS316</f>
        <v/>
      </c>
      <c r="BT315" s="197">
        <f>+BT316</f>
        <v/>
      </c>
      <c r="BU315" s="197">
        <f>+BU316</f>
        <v/>
      </c>
      <c r="BV315" s="197">
        <f>+BV316</f>
        <v/>
      </c>
      <c r="BX315" s="198">
        <f>$G315</f>
        <v/>
      </c>
      <c r="BY315" s="197">
        <f>$K315</f>
        <v/>
      </c>
      <c r="BZ315" s="197">
        <f>+BZ316</f>
        <v/>
      </c>
      <c r="CA315" s="197">
        <f>+CA316</f>
        <v/>
      </c>
      <c r="CB315" s="197">
        <f>+CB316</f>
        <v/>
      </c>
      <c r="CC315" s="197">
        <f>+CC316</f>
        <v/>
      </c>
      <c r="CD315" s="197">
        <f>+CD316</f>
        <v/>
      </c>
      <c r="CF315" s="198">
        <f>$G315</f>
        <v/>
      </c>
      <c r="CG315" s="197">
        <f>$L315</f>
        <v/>
      </c>
      <c r="CH315" s="197">
        <f>+CH316</f>
        <v/>
      </c>
      <c r="CI315" s="197">
        <f>+CI316</f>
        <v/>
      </c>
      <c r="CJ315" s="197">
        <f>+CJ316</f>
        <v/>
      </c>
      <c r="CK315" s="197">
        <f>+CK316</f>
        <v/>
      </c>
      <c r="CL315" s="197">
        <f>+CL316</f>
        <v/>
      </c>
      <c r="CO315" s="199" t="n">
        <v>9.417935123425119</v>
      </c>
      <c r="CP315" s="199" t="n">
        <v>3.33</v>
      </c>
      <c r="CR315" s="199" t="n">
        <v>8.26</v>
      </c>
      <c r="CS315" s="970" t="n">
        <v>0.87705</v>
      </c>
    </row>
    <row r="316">
      <c r="B316" s="204">
        <f>+C316-1</f>
        <v/>
      </c>
      <c r="C316" s="204">
        <f>IF('bands_A-H_Avg'!$D$9+1&gt;MONTH(G316),YEAR(G316),YEAR(G316)+1)</f>
        <v/>
      </c>
      <c r="D316" s="204">
        <f>+C316+1</f>
        <v/>
      </c>
      <c r="E316" s="203">
        <f>IF(C316&gt;C315,1,E315+1)</f>
        <v/>
      </c>
      <c r="F316" s="203">
        <f>COUNTIF(C:C,C316)</f>
        <v/>
      </c>
      <c r="G316" s="198">
        <f>+G315+7</f>
        <v/>
      </c>
      <c r="H316" s="361">
        <f>IF(ISBLANK(CO316),CP316,SUMPRODUCT(CO$32:CP$32,CO316:CP316))</f>
        <v/>
      </c>
      <c r="I316" s="968">
        <f>H316/M316</f>
        <v/>
      </c>
      <c r="J316" s="968">
        <f>H316/N316</f>
        <v/>
      </c>
      <c r="K316" s="968">
        <f>(H316+Q316)/O316</f>
        <v/>
      </c>
      <c r="L316" s="968">
        <f>(H316+Q316)/P316</f>
        <v/>
      </c>
      <c r="M316" s="199">
        <f>HLOOKUP(C:C,$4:$10,3,FALSE)+((HLOOKUP(D:D,$4:$10,3,FALSE)-HLOOKUP(C:C,$4:$10,3,FALSE))*E316/F316)</f>
        <v/>
      </c>
      <c r="N316" s="199">
        <f>HLOOKUP(C:C,$4:$10,2,FALSE)+((HLOOKUP(D:D,$4:$10,2,FALSE)-HLOOKUP(C:C,$4:$10,2,FALSE))*E316/F316)</f>
        <v/>
      </c>
      <c r="O316" s="199">
        <f>HLOOKUP(C:C,$4:$10,5,FALSE)+((HLOOKUP(D:D,$4:$10,5,FALSE)-HLOOKUP(C:C,$4:$10,5,FALSE))*E316/F316)</f>
        <v/>
      </c>
      <c r="P316" s="199">
        <f>HLOOKUP(C:C,$4:$10,4,FALSE)+((HLOOKUP(D:D,$4:$10,4,FALSE)-HLOOKUP(C:C,$4:$10,4,FALSE))*E316/F316)</f>
        <v/>
      </c>
      <c r="Q316" s="199">
        <f>HLOOKUP(B:B,$4:$10,6,FALSE)+((HLOOKUP(C:C,$4:$10,6,FALSE)-HLOOKUP(B:B,$4:$10,6,FALSE))*E316/F316)</f>
        <v/>
      </c>
      <c r="T316" s="198">
        <f>$G316</f>
        <v/>
      </c>
      <c r="U316" s="199">
        <f>H316/(HLOOKUP(B:B,$4:$10,3,FALSE)+((HLOOKUP(C:C,$4:$10,3,FALSE)-HLOOKUP(B:B,$4:$10,3,FALSE))*E316/F316))</f>
        <v/>
      </c>
      <c r="V316" s="969">
        <f>HLOOKUP(B:B,$4:$10,7,FALSE)+((HLOOKUP(C:C,$4:$10,7,FALSE)-HLOOKUP(B:B,$4:$10,7,FALSE))*E316/F316)</f>
        <v/>
      </c>
      <c r="AB316" s="198">
        <f>$G316</f>
        <v/>
      </c>
      <c r="AC316" s="199">
        <f>$H316</f>
        <v/>
      </c>
      <c r="AD316" s="199">
        <f>$M316*AD$34</f>
        <v/>
      </c>
      <c r="AE316" s="199">
        <f>$M316*AE$34</f>
        <v/>
      </c>
      <c r="AF316" s="199">
        <f>$M316*AF$34</f>
        <v/>
      </c>
      <c r="AG316" s="199">
        <f>$M316*AG$34</f>
        <v/>
      </c>
      <c r="AH316" s="199">
        <f>$M316*AH$34</f>
        <v/>
      </c>
      <c r="AJ316" s="198">
        <f>$G316</f>
        <v/>
      </c>
      <c r="AK316" s="199">
        <f>$H316</f>
        <v/>
      </c>
      <c r="AL316" s="199">
        <f>$N316*AL$34</f>
        <v/>
      </c>
      <c r="AM316" s="199">
        <f>$N316*AM$34</f>
        <v/>
      </c>
      <c r="AN316" s="199">
        <f>$N316*AN$34</f>
        <v/>
      </c>
      <c r="AO316" s="199">
        <f>$N316*AO$34</f>
        <v/>
      </c>
      <c r="AP316" s="199">
        <f>$N316*AP$34</f>
        <v/>
      </c>
      <c r="AR316" s="198">
        <f>$G316</f>
        <v/>
      </c>
      <c r="AS316" s="199">
        <f>$H316</f>
        <v/>
      </c>
      <c r="AT316" s="199">
        <f>$O316*AT$34-$Q316</f>
        <v/>
      </c>
      <c r="AU316" s="199">
        <f>$O316*AU$34-$Q316</f>
        <v/>
      </c>
      <c r="AV316" s="199">
        <f>$O316*AV$34-$Q316</f>
        <v/>
      </c>
      <c r="AW316" s="199">
        <f>$O316*AW$34-$Q316</f>
        <v/>
      </c>
      <c r="AX316" s="199">
        <f>$O316*AX$34-$Q316</f>
        <v/>
      </c>
      <c r="AZ316" s="198">
        <f>$G316</f>
        <v/>
      </c>
      <c r="BA316" s="199">
        <f>$H316</f>
        <v/>
      </c>
      <c r="BB316" s="199">
        <f>$P316*BB$34-$Q316</f>
        <v/>
      </c>
      <c r="BC316" s="199">
        <f>$P316*BC$34-$Q316</f>
        <v/>
      </c>
      <c r="BD316" s="199">
        <f>$P316*BD$34-$Q316</f>
        <v/>
      </c>
      <c r="BE316" s="199">
        <f>$P316*BE$34-$Q316</f>
        <v/>
      </c>
      <c r="BF316" s="199">
        <f>$P316*BF$34-$Q316</f>
        <v/>
      </c>
      <c r="BH316" s="198">
        <f>$G316</f>
        <v/>
      </c>
      <c r="BI316" s="197">
        <f>$I316</f>
        <v/>
      </c>
      <c r="BJ316" s="197">
        <f>+BJ317</f>
        <v/>
      </c>
      <c r="BK316" s="197">
        <f>+BK317</f>
        <v/>
      </c>
      <c r="BL316" s="197">
        <f>+BL317</f>
        <v/>
      </c>
      <c r="BM316" s="197">
        <f>+BM317</f>
        <v/>
      </c>
      <c r="BN316" s="197">
        <f>+BN317</f>
        <v/>
      </c>
      <c r="BP316" s="198">
        <f>$G316</f>
        <v/>
      </c>
      <c r="BQ316" s="197">
        <f>$J316</f>
        <v/>
      </c>
      <c r="BR316" s="197">
        <f>+BR317</f>
        <v/>
      </c>
      <c r="BS316" s="197">
        <f>+BS317</f>
        <v/>
      </c>
      <c r="BT316" s="197">
        <f>+BT317</f>
        <v/>
      </c>
      <c r="BU316" s="197">
        <f>+BU317</f>
        <v/>
      </c>
      <c r="BV316" s="197">
        <f>+BV317</f>
        <v/>
      </c>
      <c r="BX316" s="198">
        <f>$G316</f>
        <v/>
      </c>
      <c r="BY316" s="197">
        <f>$K316</f>
        <v/>
      </c>
      <c r="BZ316" s="197">
        <f>+BZ317</f>
        <v/>
      </c>
      <c r="CA316" s="197">
        <f>+CA317</f>
        <v/>
      </c>
      <c r="CB316" s="197">
        <f>+CB317</f>
        <v/>
      </c>
      <c r="CC316" s="197">
        <f>+CC317</f>
        <v/>
      </c>
      <c r="CD316" s="197">
        <f>+CD317</f>
        <v/>
      </c>
      <c r="CF316" s="198">
        <f>$G316</f>
        <v/>
      </c>
      <c r="CG316" s="197">
        <f>$L316</f>
        <v/>
      </c>
      <c r="CH316" s="197">
        <f>+CH317</f>
        <v/>
      </c>
      <c r="CI316" s="197">
        <f>+CI317</f>
        <v/>
      </c>
      <c r="CJ316" s="197">
        <f>+CJ317</f>
        <v/>
      </c>
      <c r="CK316" s="197">
        <f>+CK317</f>
        <v/>
      </c>
      <c r="CL316" s="197">
        <f>+CL317</f>
        <v/>
      </c>
      <c r="CO316" s="199" t="n">
        <v>9.51175283128614</v>
      </c>
      <c r="CP316" s="199" t="n">
        <v>3.49</v>
      </c>
      <c r="CR316" s="199" t="n">
        <v>8.34</v>
      </c>
      <c r="CS316" s="970" t="n">
        <v>0.87681</v>
      </c>
    </row>
    <row r="317">
      <c r="B317" s="204">
        <f>+C317-1</f>
        <v/>
      </c>
      <c r="C317" s="204">
        <f>IF('bands_A-H_Avg'!$D$9+1&gt;MONTH(G317),YEAR(G317),YEAR(G317)+1)</f>
        <v/>
      </c>
      <c r="D317" s="204">
        <f>+C317+1</f>
        <v/>
      </c>
      <c r="E317" s="203">
        <f>IF(C317&gt;C316,1,E316+1)</f>
        <v/>
      </c>
      <c r="F317" s="203">
        <f>COUNTIF(C:C,C317)</f>
        <v/>
      </c>
      <c r="G317" s="198">
        <f>+G316+7</f>
        <v/>
      </c>
      <c r="H317" s="361">
        <f>IF(ISBLANK(CO317),CP317,SUMPRODUCT(CO$32:CP$32,CO317:CP317))</f>
        <v/>
      </c>
      <c r="I317" s="968">
        <f>H317/M317</f>
        <v/>
      </c>
      <c r="J317" s="968">
        <f>H317/N317</f>
        <v/>
      </c>
      <c r="K317" s="968">
        <f>(H317+Q317)/O317</f>
        <v/>
      </c>
      <c r="L317" s="968">
        <f>(H317+Q317)/P317</f>
        <v/>
      </c>
      <c r="M317" s="199">
        <f>HLOOKUP(C:C,$4:$10,3,FALSE)+((HLOOKUP(D:D,$4:$10,3,FALSE)-HLOOKUP(C:C,$4:$10,3,FALSE))*E317/F317)</f>
        <v/>
      </c>
      <c r="N317" s="199">
        <f>HLOOKUP(C:C,$4:$10,2,FALSE)+((HLOOKUP(D:D,$4:$10,2,FALSE)-HLOOKUP(C:C,$4:$10,2,FALSE))*E317/F317)</f>
        <v/>
      </c>
      <c r="O317" s="199">
        <f>HLOOKUP(C:C,$4:$10,5,FALSE)+((HLOOKUP(D:D,$4:$10,5,FALSE)-HLOOKUP(C:C,$4:$10,5,FALSE))*E317/F317)</f>
        <v/>
      </c>
      <c r="P317" s="199">
        <f>HLOOKUP(C:C,$4:$10,4,FALSE)+((HLOOKUP(D:D,$4:$10,4,FALSE)-HLOOKUP(C:C,$4:$10,4,FALSE))*E317/F317)</f>
        <v/>
      </c>
      <c r="Q317" s="199">
        <f>HLOOKUP(B:B,$4:$10,6,FALSE)+((HLOOKUP(C:C,$4:$10,6,FALSE)-HLOOKUP(B:B,$4:$10,6,FALSE))*E317/F317)</f>
        <v/>
      </c>
      <c r="T317" s="198">
        <f>$G317</f>
        <v/>
      </c>
      <c r="U317" s="199">
        <f>H317/(HLOOKUP(B:B,$4:$10,3,FALSE)+((HLOOKUP(C:C,$4:$10,3,FALSE)-HLOOKUP(B:B,$4:$10,3,FALSE))*E317/F317))</f>
        <v/>
      </c>
      <c r="V317" s="969">
        <f>HLOOKUP(B:B,$4:$10,7,FALSE)+((HLOOKUP(C:C,$4:$10,7,FALSE)-HLOOKUP(B:B,$4:$10,7,FALSE))*E317/F317)</f>
        <v/>
      </c>
      <c r="AB317" s="198">
        <f>$G317</f>
        <v/>
      </c>
      <c r="AC317" s="199">
        <f>$H317</f>
        <v/>
      </c>
      <c r="AD317" s="199">
        <f>$M317*AD$34</f>
        <v/>
      </c>
      <c r="AE317" s="199">
        <f>$M317*AE$34</f>
        <v/>
      </c>
      <c r="AF317" s="199">
        <f>$M317*AF$34</f>
        <v/>
      </c>
      <c r="AG317" s="199">
        <f>$M317*AG$34</f>
        <v/>
      </c>
      <c r="AH317" s="199">
        <f>$M317*AH$34</f>
        <v/>
      </c>
      <c r="AJ317" s="198">
        <f>$G317</f>
        <v/>
      </c>
      <c r="AK317" s="199">
        <f>$H317</f>
        <v/>
      </c>
      <c r="AL317" s="199">
        <f>$N317*AL$34</f>
        <v/>
      </c>
      <c r="AM317" s="199">
        <f>$N317*AM$34</f>
        <v/>
      </c>
      <c r="AN317" s="199">
        <f>$N317*AN$34</f>
        <v/>
      </c>
      <c r="AO317" s="199">
        <f>$N317*AO$34</f>
        <v/>
      </c>
      <c r="AP317" s="199">
        <f>$N317*AP$34</f>
        <v/>
      </c>
      <c r="AR317" s="198">
        <f>$G317</f>
        <v/>
      </c>
      <c r="AS317" s="199">
        <f>$H317</f>
        <v/>
      </c>
      <c r="AT317" s="199">
        <f>$O317*AT$34-$Q317</f>
        <v/>
      </c>
      <c r="AU317" s="199">
        <f>$O317*AU$34-$Q317</f>
        <v/>
      </c>
      <c r="AV317" s="199">
        <f>$O317*AV$34-$Q317</f>
        <v/>
      </c>
      <c r="AW317" s="199">
        <f>$O317*AW$34-$Q317</f>
        <v/>
      </c>
      <c r="AX317" s="199">
        <f>$O317*AX$34-$Q317</f>
        <v/>
      </c>
      <c r="AZ317" s="198">
        <f>$G317</f>
        <v/>
      </c>
      <c r="BA317" s="199">
        <f>$H317</f>
        <v/>
      </c>
      <c r="BB317" s="199">
        <f>$P317*BB$34-$Q317</f>
        <v/>
      </c>
      <c r="BC317" s="199">
        <f>$P317*BC$34-$Q317</f>
        <v/>
      </c>
      <c r="BD317" s="199">
        <f>$P317*BD$34-$Q317</f>
        <v/>
      </c>
      <c r="BE317" s="199">
        <f>$P317*BE$34-$Q317</f>
        <v/>
      </c>
      <c r="BF317" s="199">
        <f>$P317*BF$34-$Q317</f>
        <v/>
      </c>
      <c r="BH317" s="198">
        <f>$G317</f>
        <v/>
      </c>
      <c r="BI317" s="197">
        <f>$I317</f>
        <v/>
      </c>
      <c r="BJ317" s="197">
        <f>+BJ318</f>
        <v/>
      </c>
      <c r="BK317" s="197">
        <f>+BK318</f>
        <v/>
      </c>
      <c r="BL317" s="197">
        <f>+BL318</f>
        <v/>
      </c>
      <c r="BM317" s="197">
        <f>+BM318</f>
        <v/>
      </c>
      <c r="BN317" s="197">
        <f>+BN318</f>
        <v/>
      </c>
      <c r="BP317" s="198">
        <f>$G317</f>
        <v/>
      </c>
      <c r="BQ317" s="197">
        <f>$J317</f>
        <v/>
      </c>
      <c r="BR317" s="197">
        <f>+BR318</f>
        <v/>
      </c>
      <c r="BS317" s="197">
        <f>+BS318</f>
        <v/>
      </c>
      <c r="BT317" s="197">
        <f>+BT318</f>
        <v/>
      </c>
      <c r="BU317" s="197">
        <f>+BU318</f>
        <v/>
      </c>
      <c r="BV317" s="197">
        <f>+BV318</f>
        <v/>
      </c>
      <c r="BX317" s="198">
        <f>$G317</f>
        <v/>
      </c>
      <c r="BY317" s="197">
        <f>$K317</f>
        <v/>
      </c>
      <c r="BZ317" s="197">
        <f>+BZ318</f>
        <v/>
      </c>
      <c r="CA317" s="197">
        <f>+CA318</f>
        <v/>
      </c>
      <c r="CB317" s="197">
        <f>+CB318</f>
        <v/>
      </c>
      <c r="CC317" s="197">
        <f>+CC318</f>
        <v/>
      </c>
      <c r="CD317" s="197">
        <f>+CD318</f>
        <v/>
      </c>
      <c r="CF317" s="198">
        <f>$G317</f>
        <v/>
      </c>
      <c r="CG317" s="197">
        <f>$L317</f>
        <v/>
      </c>
      <c r="CH317" s="197">
        <f>+CH318</f>
        <v/>
      </c>
      <c r="CI317" s="197">
        <f>+CI318</f>
        <v/>
      </c>
      <c r="CJ317" s="197">
        <f>+CJ318</f>
        <v/>
      </c>
      <c r="CK317" s="197">
        <f>+CK318</f>
        <v/>
      </c>
      <c r="CL317" s="197">
        <f>+CL318</f>
        <v/>
      </c>
      <c r="CO317" s="199" t="n">
        <v>8.559608703602121</v>
      </c>
      <c r="CP317" s="199" t="n">
        <v>3.38</v>
      </c>
      <c r="CR317" s="199" t="n">
        <v>7.49</v>
      </c>
      <c r="CS317" s="970" t="n">
        <v>0.87504</v>
      </c>
    </row>
    <row r="318">
      <c r="B318" s="204">
        <f>+C318-1</f>
        <v/>
      </c>
      <c r="C318" s="204">
        <f>IF('bands_A-H_Avg'!$D$9+1&gt;MONTH(G318),YEAR(G318),YEAR(G318)+1)</f>
        <v/>
      </c>
      <c r="D318" s="204">
        <f>+C318+1</f>
        <v/>
      </c>
      <c r="E318" s="203">
        <f>IF(C318&gt;C317,1,E317+1)</f>
        <v/>
      </c>
      <c r="F318" s="203">
        <f>COUNTIF(C:C,C318)</f>
        <v/>
      </c>
      <c r="G318" s="198">
        <f>+G317+7</f>
        <v/>
      </c>
      <c r="H318" s="361">
        <f>IF(ISBLANK(CO318),CP318,SUMPRODUCT(CO$32:CP$32,CO318:CP318))</f>
        <v/>
      </c>
      <c r="I318" s="968">
        <f>H318/M318</f>
        <v/>
      </c>
      <c r="J318" s="968">
        <f>H318/N318</f>
        <v/>
      </c>
      <c r="K318" s="968">
        <f>(H318+Q318)/O318</f>
        <v/>
      </c>
      <c r="L318" s="968">
        <f>(H318+Q318)/P318</f>
        <v/>
      </c>
      <c r="M318" s="199">
        <f>HLOOKUP(C:C,$4:$10,3,FALSE)+((HLOOKUP(D:D,$4:$10,3,FALSE)-HLOOKUP(C:C,$4:$10,3,FALSE))*E318/F318)</f>
        <v/>
      </c>
      <c r="N318" s="199">
        <f>HLOOKUP(C:C,$4:$10,2,FALSE)+((HLOOKUP(D:D,$4:$10,2,FALSE)-HLOOKUP(C:C,$4:$10,2,FALSE))*E318/F318)</f>
        <v/>
      </c>
      <c r="O318" s="199">
        <f>HLOOKUP(C:C,$4:$10,5,FALSE)+((HLOOKUP(D:D,$4:$10,5,FALSE)-HLOOKUP(C:C,$4:$10,5,FALSE))*E318/F318)</f>
        <v/>
      </c>
      <c r="P318" s="199">
        <f>HLOOKUP(C:C,$4:$10,4,FALSE)+((HLOOKUP(D:D,$4:$10,4,FALSE)-HLOOKUP(C:C,$4:$10,4,FALSE))*E318/F318)</f>
        <v/>
      </c>
      <c r="Q318" s="199">
        <f>HLOOKUP(B:B,$4:$10,6,FALSE)+((HLOOKUP(C:C,$4:$10,6,FALSE)-HLOOKUP(B:B,$4:$10,6,FALSE))*E318/F318)</f>
        <v/>
      </c>
      <c r="T318" s="198">
        <f>$G318</f>
        <v/>
      </c>
      <c r="U318" s="199">
        <f>H318/(HLOOKUP(B:B,$4:$10,3,FALSE)+((HLOOKUP(C:C,$4:$10,3,FALSE)-HLOOKUP(B:B,$4:$10,3,FALSE))*E318/F318))</f>
        <v/>
      </c>
      <c r="V318" s="969">
        <f>HLOOKUP(B:B,$4:$10,7,FALSE)+((HLOOKUP(C:C,$4:$10,7,FALSE)-HLOOKUP(B:B,$4:$10,7,FALSE))*E318/F318)</f>
        <v/>
      </c>
      <c r="AB318" s="198">
        <f>$G318</f>
        <v/>
      </c>
      <c r="AC318" s="199">
        <f>$H318</f>
        <v/>
      </c>
      <c r="AD318" s="199">
        <f>$M318*AD$34</f>
        <v/>
      </c>
      <c r="AE318" s="199">
        <f>$M318*AE$34</f>
        <v/>
      </c>
      <c r="AF318" s="199">
        <f>$M318*AF$34</f>
        <v/>
      </c>
      <c r="AG318" s="199">
        <f>$M318*AG$34</f>
        <v/>
      </c>
      <c r="AH318" s="199">
        <f>$M318*AH$34</f>
        <v/>
      </c>
      <c r="AJ318" s="198">
        <f>$G318</f>
        <v/>
      </c>
      <c r="AK318" s="199">
        <f>$H318</f>
        <v/>
      </c>
      <c r="AL318" s="199">
        <f>$N318*AL$34</f>
        <v/>
      </c>
      <c r="AM318" s="199">
        <f>$N318*AM$34</f>
        <v/>
      </c>
      <c r="AN318" s="199">
        <f>$N318*AN$34</f>
        <v/>
      </c>
      <c r="AO318" s="199">
        <f>$N318*AO$34</f>
        <v/>
      </c>
      <c r="AP318" s="199">
        <f>$N318*AP$34</f>
        <v/>
      </c>
      <c r="AR318" s="198">
        <f>$G318</f>
        <v/>
      </c>
      <c r="AS318" s="199">
        <f>$H318</f>
        <v/>
      </c>
      <c r="AT318" s="199">
        <f>$O318*AT$34-$Q318</f>
        <v/>
      </c>
      <c r="AU318" s="199">
        <f>$O318*AU$34-$Q318</f>
        <v/>
      </c>
      <c r="AV318" s="199">
        <f>$O318*AV$34-$Q318</f>
        <v/>
      </c>
      <c r="AW318" s="199">
        <f>$O318*AW$34-$Q318</f>
        <v/>
      </c>
      <c r="AX318" s="199">
        <f>$O318*AX$34-$Q318</f>
        <v/>
      </c>
      <c r="AZ318" s="198">
        <f>$G318</f>
        <v/>
      </c>
      <c r="BA318" s="199">
        <f>$H318</f>
        <v/>
      </c>
      <c r="BB318" s="199">
        <f>$P318*BB$34-$Q318</f>
        <v/>
      </c>
      <c r="BC318" s="199">
        <f>$P318*BC$34-$Q318</f>
        <v/>
      </c>
      <c r="BD318" s="199">
        <f>$P318*BD$34-$Q318</f>
        <v/>
      </c>
      <c r="BE318" s="199">
        <f>$P318*BE$34-$Q318</f>
        <v/>
      </c>
      <c r="BF318" s="199">
        <f>$P318*BF$34-$Q318</f>
        <v/>
      </c>
      <c r="BH318" s="198">
        <f>$G318</f>
        <v/>
      </c>
      <c r="BI318" s="197">
        <f>$I318</f>
        <v/>
      </c>
      <c r="BJ318" s="197">
        <f>+BJ319</f>
        <v/>
      </c>
      <c r="BK318" s="197">
        <f>+BK319</f>
        <v/>
      </c>
      <c r="BL318" s="197">
        <f>+BL319</f>
        <v/>
      </c>
      <c r="BM318" s="197">
        <f>+BM319</f>
        <v/>
      </c>
      <c r="BN318" s="197">
        <f>+BN319</f>
        <v/>
      </c>
      <c r="BP318" s="198">
        <f>$G318</f>
        <v/>
      </c>
      <c r="BQ318" s="197">
        <f>$J318</f>
        <v/>
      </c>
      <c r="BR318" s="197">
        <f>+BR319</f>
        <v/>
      </c>
      <c r="BS318" s="197">
        <f>+BS319</f>
        <v/>
      </c>
      <c r="BT318" s="197">
        <f>+BT319</f>
        <v/>
      </c>
      <c r="BU318" s="197">
        <f>+BU319</f>
        <v/>
      </c>
      <c r="BV318" s="197">
        <f>+BV319</f>
        <v/>
      </c>
      <c r="BX318" s="198">
        <f>$G318</f>
        <v/>
      </c>
      <c r="BY318" s="197">
        <f>$K318</f>
        <v/>
      </c>
      <c r="BZ318" s="197">
        <f>+BZ319</f>
        <v/>
      </c>
      <c r="CA318" s="197">
        <f>+CA319</f>
        <v/>
      </c>
      <c r="CB318" s="197">
        <f>+CB319</f>
        <v/>
      </c>
      <c r="CC318" s="197">
        <f>+CC319</f>
        <v/>
      </c>
      <c r="CD318" s="197">
        <f>+CD319</f>
        <v/>
      </c>
      <c r="CF318" s="198">
        <f>$G318</f>
        <v/>
      </c>
      <c r="CG318" s="197">
        <f>$L318</f>
        <v/>
      </c>
      <c r="CH318" s="197">
        <f>+CH319</f>
        <v/>
      </c>
      <c r="CI318" s="197">
        <f>+CI319</f>
        <v/>
      </c>
      <c r="CJ318" s="197">
        <f>+CJ319</f>
        <v/>
      </c>
      <c r="CK318" s="197">
        <f>+CK319</f>
        <v/>
      </c>
      <c r="CL318" s="197">
        <f>+CL319</f>
        <v/>
      </c>
      <c r="CO318" s="199" t="n">
        <v>9.01732786137711</v>
      </c>
      <c r="CP318" s="199" t="n">
        <v>3.61</v>
      </c>
      <c r="CR318" s="199" t="n">
        <v>7.91</v>
      </c>
      <c r="CS318" s="970" t="n">
        <v>0.8772</v>
      </c>
    </row>
    <row r="319">
      <c r="B319" s="204">
        <f>+C319-1</f>
        <v/>
      </c>
      <c r="C319" s="204">
        <f>IF('bands_A-H_Avg'!$D$9+1&gt;MONTH(G319),YEAR(G319),YEAR(G319)+1)</f>
        <v/>
      </c>
      <c r="D319" s="204">
        <f>+C319+1</f>
        <v/>
      </c>
      <c r="E319" s="203">
        <f>IF(C319&gt;C318,1,E318+1)</f>
        <v/>
      </c>
      <c r="F319" s="203">
        <f>COUNTIF(C:C,C319)</f>
        <v/>
      </c>
      <c r="G319" s="198">
        <f>+G318+7</f>
        <v/>
      </c>
      <c r="H319" s="361">
        <f>IF(ISBLANK(CO319),CP319,SUMPRODUCT(CO$32:CP$32,CO319:CP319))</f>
        <v/>
      </c>
      <c r="I319" s="968">
        <f>H319/M319</f>
        <v/>
      </c>
      <c r="J319" s="968">
        <f>H319/N319</f>
        <v/>
      </c>
      <c r="K319" s="968">
        <f>(H319+Q319)/O319</f>
        <v/>
      </c>
      <c r="L319" s="968">
        <f>(H319+Q319)/P319</f>
        <v/>
      </c>
      <c r="M319" s="199">
        <f>HLOOKUP(C:C,$4:$10,3,FALSE)+((HLOOKUP(D:D,$4:$10,3,FALSE)-HLOOKUP(C:C,$4:$10,3,FALSE))*E319/F319)</f>
        <v/>
      </c>
      <c r="N319" s="199">
        <f>HLOOKUP(C:C,$4:$10,2,FALSE)+((HLOOKUP(D:D,$4:$10,2,FALSE)-HLOOKUP(C:C,$4:$10,2,FALSE))*E319/F319)</f>
        <v/>
      </c>
      <c r="O319" s="199">
        <f>HLOOKUP(C:C,$4:$10,5,FALSE)+((HLOOKUP(D:D,$4:$10,5,FALSE)-HLOOKUP(C:C,$4:$10,5,FALSE))*E319/F319)</f>
        <v/>
      </c>
      <c r="P319" s="199">
        <f>HLOOKUP(C:C,$4:$10,4,FALSE)+((HLOOKUP(D:D,$4:$10,4,FALSE)-HLOOKUP(C:C,$4:$10,4,FALSE))*E319/F319)</f>
        <v/>
      </c>
      <c r="Q319" s="199">
        <f>HLOOKUP(B:B,$4:$10,6,FALSE)+((HLOOKUP(C:C,$4:$10,6,FALSE)-HLOOKUP(B:B,$4:$10,6,FALSE))*E319/F319)</f>
        <v/>
      </c>
      <c r="T319" s="198">
        <f>$G319</f>
        <v/>
      </c>
      <c r="U319" s="199">
        <f>H319/(HLOOKUP(B:B,$4:$10,3,FALSE)+((HLOOKUP(C:C,$4:$10,3,FALSE)-HLOOKUP(B:B,$4:$10,3,FALSE))*E319/F319))</f>
        <v/>
      </c>
      <c r="V319" s="969">
        <f>HLOOKUP(B:B,$4:$10,7,FALSE)+((HLOOKUP(C:C,$4:$10,7,FALSE)-HLOOKUP(B:B,$4:$10,7,FALSE))*E319/F319)</f>
        <v/>
      </c>
      <c r="AB319" s="198">
        <f>$G319</f>
        <v/>
      </c>
      <c r="AC319" s="199">
        <f>$H319</f>
        <v/>
      </c>
      <c r="AD319" s="199">
        <f>$M319*AD$34</f>
        <v/>
      </c>
      <c r="AE319" s="199">
        <f>$M319*AE$34</f>
        <v/>
      </c>
      <c r="AF319" s="199">
        <f>$M319*AF$34</f>
        <v/>
      </c>
      <c r="AG319" s="199">
        <f>$M319*AG$34</f>
        <v/>
      </c>
      <c r="AH319" s="199">
        <f>$M319*AH$34</f>
        <v/>
      </c>
      <c r="AJ319" s="198">
        <f>$G319</f>
        <v/>
      </c>
      <c r="AK319" s="199">
        <f>$H319</f>
        <v/>
      </c>
      <c r="AL319" s="199">
        <f>$N319*AL$34</f>
        <v/>
      </c>
      <c r="AM319" s="199">
        <f>$N319*AM$34</f>
        <v/>
      </c>
      <c r="AN319" s="199">
        <f>$N319*AN$34</f>
        <v/>
      </c>
      <c r="AO319" s="199">
        <f>$N319*AO$34</f>
        <v/>
      </c>
      <c r="AP319" s="199">
        <f>$N319*AP$34</f>
        <v/>
      </c>
      <c r="AR319" s="198">
        <f>$G319</f>
        <v/>
      </c>
      <c r="AS319" s="199">
        <f>$H319</f>
        <v/>
      </c>
      <c r="AT319" s="199">
        <f>$O319*AT$34-$Q319</f>
        <v/>
      </c>
      <c r="AU319" s="199">
        <f>$O319*AU$34-$Q319</f>
        <v/>
      </c>
      <c r="AV319" s="199">
        <f>$O319*AV$34-$Q319</f>
        <v/>
      </c>
      <c r="AW319" s="199">
        <f>$O319*AW$34-$Q319</f>
        <v/>
      </c>
      <c r="AX319" s="199">
        <f>$O319*AX$34-$Q319</f>
        <v/>
      </c>
      <c r="AZ319" s="198">
        <f>$G319</f>
        <v/>
      </c>
      <c r="BA319" s="199">
        <f>$H319</f>
        <v/>
      </c>
      <c r="BB319" s="199">
        <f>$P319*BB$34-$Q319</f>
        <v/>
      </c>
      <c r="BC319" s="199">
        <f>$P319*BC$34-$Q319</f>
        <v/>
      </c>
      <c r="BD319" s="199">
        <f>$P319*BD$34-$Q319</f>
        <v/>
      </c>
      <c r="BE319" s="199">
        <f>$P319*BE$34-$Q319</f>
        <v/>
      </c>
      <c r="BF319" s="199">
        <f>$P319*BF$34-$Q319</f>
        <v/>
      </c>
      <c r="BH319" s="198">
        <f>$G319</f>
        <v/>
      </c>
      <c r="BI319" s="197">
        <f>$I319</f>
        <v/>
      </c>
      <c r="BJ319" s="197">
        <f>+BJ320</f>
        <v/>
      </c>
      <c r="BK319" s="197">
        <f>+BK320</f>
        <v/>
      </c>
      <c r="BL319" s="197">
        <f>+BL320</f>
        <v/>
      </c>
      <c r="BM319" s="197">
        <f>+BM320</f>
        <v/>
      </c>
      <c r="BN319" s="197">
        <f>+BN320</f>
        <v/>
      </c>
      <c r="BP319" s="198">
        <f>$G319</f>
        <v/>
      </c>
      <c r="BQ319" s="197">
        <f>$J319</f>
        <v/>
      </c>
      <c r="BR319" s="197">
        <f>+BR320</f>
        <v/>
      </c>
      <c r="BS319" s="197">
        <f>+BS320</f>
        <v/>
      </c>
      <c r="BT319" s="197">
        <f>+BT320</f>
        <v/>
      </c>
      <c r="BU319" s="197">
        <f>+BU320</f>
        <v/>
      </c>
      <c r="BV319" s="197">
        <f>+BV320</f>
        <v/>
      </c>
      <c r="BX319" s="198">
        <f>$G319</f>
        <v/>
      </c>
      <c r="BY319" s="197">
        <f>$K319</f>
        <v/>
      </c>
      <c r="BZ319" s="197">
        <f>+BZ320</f>
        <v/>
      </c>
      <c r="CA319" s="197">
        <f>+CA320</f>
        <v/>
      </c>
      <c r="CB319" s="197">
        <f>+CB320</f>
        <v/>
      </c>
      <c r="CC319" s="197">
        <f>+CC320</f>
        <v/>
      </c>
      <c r="CD319" s="197">
        <f>+CD320</f>
        <v/>
      </c>
      <c r="CF319" s="198">
        <f>$G319</f>
        <v/>
      </c>
      <c r="CG319" s="197">
        <f>$L319</f>
        <v/>
      </c>
      <c r="CH319" s="197">
        <f>+CH320</f>
        <v/>
      </c>
      <c r="CI319" s="197">
        <f>+CI320</f>
        <v/>
      </c>
      <c r="CJ319" s="197">
        <f>+CJ320</f>
        <v/>
      </c>
      <c r="CK319" s="197">
        <f>+CK320</f>
        <v/>
      </c>
      <c r="CL319" s="197">
        <f>+CL320</f>
        <v/>
      </c>
      <c r="CO319" s="199" t="n">
        <v>8.538227975252838</v>
      </c>
      <c r="CP319" s="199" t="n">
        <v>3.51</v>
      </c>
      <c r="CR319" s="199" t="n">
        <v>7.48</v>
      </c>
      <c r="CS319" s="970" t="n">
        <v>0.8760599999999999</v>
      </c>
    </row>
    <row r="320">
      <c r="B320" s="204">
        <f>+C320-1</f>
        <v/>
      </c>
      <c r="C320" s="204">
        <f>IF('bands_A-H_Avg'!$D$9+1&gt;MONTH(G320),YEAR(G320),YEAR(G320)+1)</f>
        <v/>
      </c>
      <c r="D320" s="204">
        <f>+C320+1</f>
        <v/>
      </c>
      <c r="E320" s="203">
        <f>IF(C320&gt;C319,1,E319+1)</f>
        <v/>
      </c>
      <c r="F320" s="203">
        <f>COUNTIF(C:C,C320)</f>
        <v/>
      </c>
      <c r="G320" s="198">
        <f>+G319+7</f>
        <v/>
      </c>
      <c r="H320" s="361">
        <f>IF(ISBLANK(CO320),CP320,SUMPRODUCT(CO$32:CP$32,CO320:CP320))</f>
        <v/>
      </c>
      <c r="I320" s="968">
        <f>H320/M320</f>
        <v/>
      </c>
      <c r="J320" s="968">
        <f>H320/N320</f>
        <v/>
      </c>
      <c r="K320" s="968">
        <f>(H320+Q320)/O320</f>
        <v/>
      </c>
      <c r="L320" s="968">
        <f>(H320+Q320)/P320</f>
        <v/>
      </c>
      <c r="M320" s="199">
        <f>HLOOKUP(C:C,$4:$10,3,FALSE)+((HLOOKUP(D:D,$4:$10,3,FALSE)-HLOOKUP(C:C,$4:$10,3,FALSE))*E320/F320)</f>
        <v/>
      </c>
      <c r="N320" s="199">
        <f>HLOOKUP(C:C,$4:$10,2,FALSE)+((HLOOKUP(D:D,$4:$10,2,FALSE)-HLOOKUP(C:C,$4:$10,2,FALSE))*E320/F320)</f>
        <v/>
      </c>
      <c r="O320" s="199">
        <f>HLOOKUP(C:C,$4:$10,5,FALSE)+((HLOOKUP(D:D,$4:$10,5,FALSE)-HLOOKUP(C:C,$4:$10,5,FALSE))*E320/F320)</f>
        <v/>
      </c>
      <c r="P320" s="199">
        <f>HLOOKUP(C:C,$4:$10,4,FALSE)+((HLOOKUP(D:D,$4:$10,4,FALSE)-HLOOKUP(C:C,$4:$10,4,FALSE))*E320/F320)</f>
        <v/>
      </c>
      <c r="Q320" s="199">
        <f>HLOOKUP(B:B,$4:$10,6,FALSE)+((HLOOKUP(C:C,$4:$10,6,FALSE)-HLOOKUP(B:B,$4:$10,6,FALSE))*E320/F320)</f>
        <v/>
      </c>
      <c r="T320" s="198">
        <f>$G320</f>
        <v/>
      </c>
      <c r="U320" s="199">
        <f>H320/(HLOOKUP(B:B,$4:$10,3,FALSE)+((HLOOKUP(C:C,$4:$10,3,FALSE)-HLOOKUP(B:B,$4:$10,3,FALSE))*E320/F320))</f>
        <v/>
      </c>
      <c r="V320" s="969">
        <f>HLOOKUP(B:B,$4:$10,7,FALSE)+((HLOOKUP(C:C,$4:$10,7,FALSE)-HLOOKUP(B:B,$4:$10,7,FALSE))*E320/F320)</f>
        <v/>
      </c>
      <c r="AB320" s="198">
        <f>$G320</f>
        <v/>
      </c>
      <c r="AC320" s="199">
        <f>$H320</f>
        <v/>
      </c>
      <c r="AD320" s="199">
        <f>$M320*AD$34</f>
        <v/>
      </c>
      <c r="AE320" s="199">
        <f>$M320*AE$34</f>
        <v/>
      </c>
      <c r="AF320" s="199">
        <f>$M320*AF$34</f>
        <v/>
      </c>
      <c r="AG320" s="199">
        <f>$M320*AG$34</f>
        <v/>
      </c>
      <c r="AH320" s="199">
        <f>$M320*AH$34</f>
        <v/>
      </c>
      <c r="AJ320" s="198">
        <f>$G320</f>
        <v/>
      </c>
      <c r="AK320" s="199">
        <f>$H320</f>
        <v/>
      </c>
      <c r="AL320" s="199">
        <f>$N320*AL$34</f>
        <v/>
      </c>
      <c r="AM320" s="199">
        <f>$N320*AM$34</f>
        <v/>
      </c>
      <c r="AN320" s="199">
        <f>$N320*AN$34</f>
        <v/>
      </c>
      <c r="AO320" s="199">
        <f>$N320*AO$34</f>
        <v/>
      </c>
      <c r="AP320" s="199">
        <f>$N320*AP$34</f>
        <v/>
      </c>
      <c r="AR320" s="198">
        <f>$G320</f>
        <v/>
      </c>
      <c r="AS320" s="199">
        <f>$H320</f>
        <v/>
      </c>
      <c r="AT320" s="199">
        <f>$O320*AT$34-$Q320</f>
        <v/>
      </c>
      <c r="AU320" s="199">
        <f>$O320*AU$34-$Q320</f>
        <v/>
      </c>
      <c r="AV320" s="199">
        <f>$O320*AV$34-$Q320</f>
        <v/>
      </c>
      <c r="AW320" s="199">
        <f>$O320*AW$34-$Q320</f>
        <v/>
      </c>
      <c r="AX320" s="199">
        <f>$O320*AX$34-$Q320</f>
        <v/>
      </c>
      <c r="AZ320" s="198">
        <f>$G320</f>
        <v/>
      </c>
      <c r="BA320" s="199">
        <f>$H320</f>
        <v/>
      </c>
      <c r="BB320" s="199">
        <f>$P320*BB$34-$Q320</f>
        <v/>
      </c>
      <c r="BC320" s="199">
        <f>$P320*BC$34-$Q320</f>
        <v/>
      </c>
      <c r="BD320" s="199">
        <f>$P320*BD$34-$Q320</f>
        <v/>
      </c>
      <c r="BE320" s="199">
        <f>$P320*BE$34-$Q320</f>
        <v/>
      </c>
      <c r="BF320" s="199">
        <f>$P320*BF$34-$Q320</f>
        <v/>
      </c>
      <c r="BH320" s="198">
        <f>$G320</f>
        <v/>
      </c>
      <c r="BI320" s="197">
        <f>$I320</f>
        <v/>
      </c>
      <c r="BJ320" s="197">
        <f>+BJ321</f>
        <v/>
      </c>
      <c r="BK320" s="197">
        <f>+BK321</f>
        <v/>
      </c>
      <c r="BL320" s="197">
        <f>+BL321</f>
        <v/>
      </c>
      <c r="BM320" s="197">
        <f>+BM321</f>
        <v/>
      </c>
      <c r="BN320" s="197">
        <f>+BN321</f>
        <v/>
      </c>
      <c r="BP320" s="198">
        <f>$G320</f>
        <v/>
      </c>
      <c r="BQ320" s="197">
        <f>$J320</f>
        <v/>
      </c>
      <c r="BR320" s="197">
        <f>+BR321</f>
        <v/>
      </c>
      <c r="BS320" s="197">
        <f>+BS321</f>
        <v/>
      </c>
      <c r="BT320" s="197">
        <f>+BT321</f>
        <v/>
      </c>
      <c r="BU320" s="197">
        <f>+BU321</f>
        <v/>
      </c>
      <c r="BV320" s="197">
        <f>+BV321</f>
        <v/>
      </c>
      <c r="BX320" s="198">
        <f>$G320</f>
        <v/>
      </c>
      <c r="BY320" s="197">
        <f>$K320</f>
        <v/>
      </c>
      <c r="BZ320" s="197">
        <f>+BZ321</f>
        <v/>
      </c>
      <c r="CA320" s="197">
        <f>+CA321</f>
        <v/>
      </c>
      <c r="CB320" s="197">
        <f>+CB321</f>
        <v/>
      </c>
      <c r="CC320" s="197">
        <f>+CC321</f>
        <v/>
      </c>
      <c r="CD320" s="197">
        <f>+CD321</f>
        <v/>
      </c>
      <c r="CF320" s="198">
        <f>$G320</f>
        <v/>
      </c>
      <c r="CG320" s="197">
        <f>$L320</f>
        <v/>
      </c>
      <c r="CH320" s="197">
        <f>+CH321</f>
        <v/>
      </c>
      <c r="CI320" s="197">
        <f>+CI321</f>
        <v/>
      </c>
      <c r="CJ320" s="197">
        <f>+CJ321</f>
        <v/>
      </c>
      <c r="CK320" s="197">
        <f>+CK321</f>
        <v/>
      </c>
      <c r="CL320" s="197">
        <f>+CL321</f>
        <v/>
      </c>
      <c r="CO320" s="199" t="n">
        <v>8.723714820052001</v>
      </c>
      <c r="CP320" s="199" t="n">
        <v>3.44</v>
      </c>
      <c r="CR320" s="199" t="n">
        <v>7.65</v>
      </c>
      <c r="CS320" s="970" t="n">
        <v>0.87692</v>
      </c>
    </row>
    <row r="321">
      <c r="B321" s="204">
        <f>+C321-1</f>
        <v/>
      </c>
      <c r="C321" s="204">
        <f>IF('bands_A-H_Avg'!$D$9+1&gt;MONTH(G321),YEAR(G321),YEAR(G321)+1)</f>
        <v/>
      </c>
      <c r="D321" s="204">
        <f>+C321+1</f>
        <v/>
      </c>
      <c r="E321" s="203">
        <f>IF(C321&gt;C320,1,E320+1)</f>
        <v/>
      </c>
      <c r="F321" s="203">
        <f>COUNTIF(C:C,C321)</f>
        <v/>
      </c>
      <c r="G321" s="198">
        <f>+G320+7</f>
        <v/>
      </c>
      <c r="H321" s="361">
        <f>IF(ISBLANK(CO321),CP321,SUMPRODUCT(CO$32:CP$32,CO321:CP321))</f>
        <v/>
      </c>
      <c r="I321" s="968">
        <f>H321/M321</f>
        <v/>
      </c>
      <c r="J321" s="968">
        <f>H321/N321</f>
        <v/>
      </c>
      <c r="K321" s="968">
        <f>(H321+Q321)/O321</f>
        <v/>
      </c>
      <c r="L321" s="968">
        <f>(H321+Q321)/P321</f>
        <v/>
      </c>
      <c r="M321" s="199">
        <f>HLOOKUP(C:C,$4:$10,3,FALSE)+((HLOOKUP(D:D,$4:$10,3,FALSE)-HLOOKUP(C:C,$4:$10,3,FALSE))*E321/F321)</f>
        <v/>
      </c>
      <c r="N321" s="199">
        <f>HLOOKUP(C:C,$4:$10,2,FALSE)+((HLOOKUP(D:D,$4:$10,2,FALSE)-HLOOKUP(C:C,$4:$10,2,FALSE))*E321/F321)</f>
        <v/>
      </c>
      <c r="O321" s="199">
        <f>HLOOKUP(C:C,$4:$10,5,FALSE)+((HLOOKUP(D:D,$4:$10,5,FALSE)-HLOOKUP(C:C,$4:$10,5,FALSE))*E321/F321)</f>
        <v/>
      </c>
      <c r="P321" s="199">
        <f>HLOOKUP(C:C,$4:$10,4,FALSE)+((HLOOKUP(D:D,$4:$10,4,FALSE)-HLOOKUP(C:C,$4:$10,4,FALSE))*E321/F321)</f>
        <v/>
      </c>
      <c r="Q321" s="199">
        <f>HLOOKUP(B:B,$4:$10,6,FALSE)+((HLOOKUP(C:C,$4:$10,6,FALSE)-HLOOKUP(B:B,$4:$10,6,FALSE))*E321/F321)</f>
        <v/>
      </c>
      <c r="T321" s="198">
        <f>$G321</f>
        <v/>
      </c>
      <c r="U321" s="199">
        <f>H321/(HLOOKUP(B:B,$4:$10,3,FALSE)+((HLOOKUP(C:C,$4:$10,3,FALSE)-HLOOKUP(B:B,$4:$10,3,FALSE))*E321/F321))</f>
        <v/>
      </c>
      <c r="V321" s="969">
        <f>HLOOKUP(B:B,$4:$10,7,FALSE)+((HLOOKUP(C:C,$4:$10,7,FALSE)-HLOOKUP(B:B,$4:$10,7,FALSE))*E321/F321)</f>
        <v/>
      </c>
      <c r="AB321" s="198">
        <f>$G321</f>
        <v/>
      </c>
      <c r="AC321" s="199">
        <f>$H321</f>
        <v/>
      </c>
      <c r="AD321" s="199">
        <f>$M321*AD$34</f>
        <v/>
      </c>
      <c r="AE321" s="199">
        <f>$M321*AE$34</f>
        <v/>
      </c>
      <c r="AF321" s="199">
        <f>$M321*AF$34</f>
        <v/>
      </c>
      <c r="AG321" s="199">
        <f>$M321*AG$34</f>
        <v/>
      </c>
      <c r="AH321" s="199">
        <f>$M321*AH$34</f>
        <v/>
      </c>
      <c r="AJ321" s="198">
        <f>$G321</f>
        <v/>
      </c>
      <c r="AK321" s="199">
        <f>$H321</f>
        <v/>
      </c>
      <c r="AL321" s="199">
        <f>$N321*AL$34</f>
        <v/>
      </c>
      <c r="AM321" s="199">
        <f>$N321*AM$34</f>
        <v/>
      </c>
      <c r="AN321" s="199">
        <f>$N321*AN$34</f>
        <v/>
      </c>
      <c r="AO321" s="199">
        <f>$N321*AO$34</f>
        <v/>
      </c>
      <c r="AP321" s="199">
        <f>$N321*AP$34</f>
        <v/>
      </c>
      <c r="AR321" s="198">
        <f>$G321</f>
        <v/>
      </c>
      <c r="AS321" s="199">
        <f>$H321</f>
        <v/>
      </c>
      <c r="AT321" s="199">
        <f>$O321*AT$34-$Q321</f>
        <v/>
      </c>
      <c r="AU321" s="199">
        <f>$O321*AU$34-$Q321</f>
        <v/>
      </c>
      <c r="AV321" s="199">
        <f>$O321*AV$34-$Q321</f>
        <v/>
      </c>
      <c r="AW321" s="199">
        <f>$O321*AW$34-$Q321</f>
        <v/>
      </c>
      <c r="AX321" s="199">
        <f>$O321*AX$34-$Q321</f>
        <v/>
      </c>
      <c r="AZ321" s="198">
        <f>$G321</f>
        <v/>
      </c>
      <c r="BA321" s="199">
        <f>$H321</f>
        <v/>
      </c>
      <c r="BB321" s="199">
        <f>$P321*BB$34-$Q321</f>
        <v/>
      </c>
      <c r="BC321" s="199">
        <f>$P321*BC$34-$Q321</f>
        <v/>
      </c>
      <c r="BD321" s="199">
        <f>$P321*BD$34-$Q321</f>
        <v/>
      </c>
      <c r="BE321" s="199">
        <f>$P321*BE$34-$Q321</f>
        <v/>
      </c>
      <c r="BF321" s="199">
        <f>$P321*BF$34-$Q321</f>
        <v/>
      </c>
      <c r="BH321" s="198">
        <f>$G321</f>
        <v/>
      </c>
      <c r="BI321" s="197">
        <f>$I321</f>
        <v/>
      </c>
      <c r="BJ321" s="197">
        <f>+BJ322</f>
        <v/>
      </c>
      <c r="BK321" s="197">
        <f>+BK322</f>
        <v/>
      </c>
      <c r="BL321" s="197">
        <f>+BL322</f>
        <v/>
      </c>
      <c r="BM321" s="197">
        <f>+BM322</f>
        <v/>
      </c>
      <c r="BN321" s="197">
        <f>+BN322</f>
        <v/>
      </c>
      <c r="BP321" s="198">
        <f>$G321</f>
        <v/>
      </c>
      <c r="BQ321" s="197">
        <f>$J321</f>
        <v/>
      </c>
      <c r="BR321" s="197">
        <f>+BR322</f>
        <v/>
      </c>
      <c r="BS321" s="197">
        <f>+BS322</f>
        <v/>
      </c>
      <c r="BT321" s="197">
        <f>+BT322</f>
        <v/>
      </c>
      <c r="BU321" s="197">
        <f>+BU322</f>
        <v/>
      </c>
      <c r="BV321" s="197">
        <f>+BV322</f>
        <v/>
      </c>
      <c r="BX321" s="198">
        <f>$G321</f>
        <v/>
      </c>
      <c r="BY321" s="197">
        <f>$K321</f>
        <v/>
      </c>
      <c r="BZ321" s="197">
        <f>+BZ322</f>
        <v/>
      </c>
      <c r="CA321" s="197">
        <f>+CA322</f>
        <v/>
      </c>
      <c r="CB321" s="197">
        <f>+CB322</f>
        <v/>
      </c>
      <c r="CC321" s="197">
        <f>+CC322</f>
        <v/>
      </c>
      <c r="CD321" s="197">
        <f>+CD322</f>
        <v/>
      </c>
      <c r="CF321" s="198">
        <f>$G321</f>
        <v/>
      </c>
      <c r="CG321" s="197">
        <f>$L321</f>
        <v/>
      </c>
      <c r="CH321" s="197">
        <f>+CH322</f>
        <v/>
      </c>
      <c r="CI321" s="197">
        <f>+CI322</f>
        <v/>
      </c>
      <c r="CJ321" s="197">
        <f>+CJ322</f>
        <v/>
      </c>
      <c r="CK321" s="197">
        <f>+CK322</f>
        <v/>
      </c>
      <c r="CL321" s="197">
        <f>+CL322</f>
        <v/>
      </c>
      <c r="CO321" s="199" t="n">
        <v>8.345399199662536</v>
      </c>
      <c r="CP321" s="199" t="n">
        <v>3.45</v>
      </c>
      <c r="CR321" s="199" t="n">
        <v>7.32</v>
      </c>
      <c r="CS321" s="970" t="n">
        <v>0.87713</v>
      </c>
    </row>
    <row r="322">
      <c r="B322" s="204">
        <f>+C322-1</f>
        <v/>
      </c>
      <c r="C322" s="204">
        <f>IF('bands_A-H_Avg'!$D$9+1&gt;MONTH(G322),YEAR(G322),YEAR(G322)+1)</f>
        <v/>
      </c>
      <c r="D322" s="204">
        <f>+C322+1</f>
        <v/>
      </c>
      <c r="E322" s="203">
        <f>IF(C322&gt;C321,1,E321+1)</f>
        <v/>
      </c>
      <c r="F322" s="203">
        <f>COUNTIF(C:C,C322)</f>
        <v/>
      </c>
      <c r="G322" s="198">
        <f>+G321+7</f>
        <v/>
      </c>
      <c r="H322" s="361">
        <f>IF(ISBLANK(CO322),CP322,SUMPRODUCT(CO$32:CP$32,CO322:CP322))</f>
        <v/>
      </c>
      <c r="I322" s="968">
        <f>H322/M322</f>
        <v/>
      </c>
      <c r="J322" s="968">
        <f>H322/N322</f>
        <v/>
      </c>
      <c r="K322" s="968">
        <f>(H322+Q322)/O322</f>
        <v/>
      </c>
      <c r="L322" s="968">
        <f>(H322+Q322)/P322</f>
        <v/>
      </c>
      <c r="M322" s="199">
        <f>HLOOKUP(C:C,$4:$10,3,FALSE)+((HLOOKUP(D:D,$4:$10,3,FALSE)-HLOOKUP(C:C,$4:$10,3,FALSE))*E322/F322)</f>
        <v/>
      </c>
      <c r="N322" s="199">
        <f>HLOOKUP(C:C,$4:$10,2,FALSE)+((HLOOKUP(D:D,$4:$10,2,FALSE)-HLOOKUP(C:C,$4:$10,2,FALSE))*E322/F322)</f>
        <v/>
      </c>
      <c r="O322" s="199">
        <f>HLOOKUP(C:C,$4:$10,5,FALSE)+((HLOOKUP(D:D,$4:$10,5,FALSE)-HLOOKUP(C:C,$4:$10,5,FALSE))*E322/F322)</f>
        <v/>
      </c>
      <c r="P322" s="199">
        <f>HLOOKUP(C:C,$4:$10,4,FALSE)+((HLOOKUP(D:D,$4:$10,4,FALSE)-HLOOKUP(C:C,$4:$10,4,FALSE))*E322/F322)</f>
        <v/>
      </c>
      <c r="Q322" s="199">
        <f>HLOOKUP(B:B,$4:$10,6,FALSE)+((HLOOKUP(C:C,$4:$10,6,FALSE)-HLOOKUP(B:B,$4:$10,6,FALSE))*E322/F322)</f>
        <v/>
      </c>
      <c r="T322" s="198">
        <f>$G322</f>
        <v/>
      </c>
      <c r="U322" s="199">
        <f>H322/(HLOOKUP(B:B,$4:$10,3,FALSE)+((HLOOKUP(C:C,$4:$10,3,FALSE)-HLOOKUP(B:B,$4:$10,3,FALSE))*E322/F322))</f>
        <v/>
      </c>
      <c r="V322" s="969">
        <f>HLOOKUP(B:B,$4:$10,7,FALSE)+((HLOOKUP(C:C,$4:$10,7,FALSE)-HLOOKUP(B:B,$4:$10,7,FALSE))*E322/F322)</f>
        <v/>
      </c>
      <c r="AB322" s="198">
        <f>$G322</f>
        <v/>
      </c>
      <c r="AC322" s="199">
        <f>$H322</f>
        <v/>
      </c>
      <c r="AD322" s="199">
        <f>$M322*AD$34</f>
        <v/>
      </c>
      <c r="AE322" s="199">
        <f>$M322*AE$34</f>
        <v/>
      </c>
      <c r="AF322" s="199">
        <f>$M322*AF$34</f>
        <v/>
      </c>
      <c r="AG322" s="199">
        <f>$M322*AG$34</f>
        <v/>
      </c>
      <c r="AH322" s="199">
        <f>$M322*AH$34</f>
        <v/>
      </c>
      <c r="AJ322" s="198">
        <f>$G322</f>
        <v/>
      </c>
      <c r="AK322" s="199">
        <f>$H322</f>
        <v/>
      </c>
      <c r="AL322" s="199">
        <f>$N322*AL$34</f>
        <v/>
      </c>
      <c r="AM322" s="199">
        <f>$N322*AM$34</f>
        <v/>
      </c>
      <c r="AN322" s="199">
        <f>$N322*AN$34</f>
        <v/>
      </c>
      <c r="AO322" s="199">
        <f>$N322*AO$34</f>
        <v/>
      </c>
      <c r="AP322" s="199">
        <f>$N322*AP$34</f>
        <v/>
      </c>
      <c r="AR322" s="198">
        <f>$G322</f>
        <v/>
      </c>
      <c r="AS322" s="199">
        <f>$H322</f>
        <v/>
      </c>
      <c r="AT322" s="199">
        <f>$O322*AT$34-$Q322</f>
        <v/>
      </c>
      <c r="AU322" s="199">
        <f>$O322*AU$34-$Q322</f>
        <v/>
      </c>
      <c r="AV322" s="199">
        <f>$O322*AV$34-$Q322</f>
        <v/>
      </c>
      <c r="AW322" s="199">
        <f>$O322*AW$34-$Q322</f>
        <v/>
      </c>
      <c r="AX322" s="199">
        <f>$O322*AX$34-$Q322</f>
        <v/>
      </c>
      <c r="AZ322" s="198">
        <f>$G322</f>
        <v/>
      </c>
      <c r="BA322" s="199">
        <f>$H322</f>
        <v/>
      </c>
      <c r="BB322" s="199">
        <f>$P322*BB$34-$Q322</f>
        <v/>
      </c>
      <c r="BC322" s="199">
        <f>$P322*BC$34-$Q322</f>
        <v/>
      </c>
      <c r="BD322" s="199">
        <f>$P322*BD$34-$Q322</f>
        <v/>
      </c>
      <c r="BE322" s="199">
        <f>$P322*BE$34-$Q322</f>
        <v/>
      </c>
      <c r="BF322" s="199">
        <f>$P322*BF$34-$Q322</f>
        <v/>
      </c>
      <c r="BH322" s="198">
        <f>$G322</f>
        <v/>
      </c>
      <c r="BI322" s="197">
        <f>$I322</f>
        <v/>
      </c>
      <c r="BJ322" s="197">
        <f>+BJ323</f>
        <v/>
      </c>
      <c r="BK322" s="197">
        <f>+BK323</f>
        <v/>
      </c>
      <c r="BL322" s="197">
        <f>+BL323</f>
        <v/>
      </c>
      <c r="BM322" s="197">
        <f>+BM323</f>
        <v/>
      </c>
      <c r="BN322" s="197">
        <f>+BN323</f>
        <v/>
      </c>
      <c r="BP322" s="198">
        <f>$G322</f>
        <v/>
      </c>
      <c r="BQ322" s="197">
        <f>$J322</f>
        <v/>
      </c>
      <c r="BR322" s="197">
        <f>+BR323</f>
        <v/>
      </c>
      <c r="BS322" s="197">
        <f>+BS323</f>
        <v/>
      </c>
      <c r="BT322" s="197">
        <f>+BT323</f>
        <v/>
      </c>
      <c r="BU322" s="197">
        <f>+BU323</f>
        <v/>
      </c>
      <c r="BV322" s="197">
        <f>+BV323</f>
        <v/>
      </c>
      <c r="BX322" s="198">
        <f>$G322</f>
        <v/>
      </c>
      <c r="BY322" s="197">
        <f>$K322</f>
        <v/>
      </c>
      <c r="BZ322" s="197">
        <f>+BZ323</f>
        <v/>
      </c>
      <c r="CA322" s="197">
        <f>+CA323</f>
        <v/>
      </c>
      <c r="CB322" s="197">
        <f>+CB323</f>
        <v/>
      </c>
      <c r="CC322" s="197">
        <f>+CC323</f>
        <v/>
      </c>
      <c r="CD322" s="197">
        <f>+CD323</f>
        <v/>
      </c>
      <c r="CF322" s="198">
        <f>$G322</f>
        <v/>
      </c>
      <c r="CG322" s="197">
        <f>$L322</f>
        <v/>
      </c>
      <c r="CH322" s="197">
        <f>+CH323</f>
        <v/>
      </c>
      <c r="CI322" s="197">
        <f>+CI323</f>
        <v/>
      </c>
      <c r="CJ322" s="197">
        <f>+CJ323</f>
        <v/>
      </c>
      <c r="CK322" s="197">
        <f>+CK323</f>
        <v/>
      </c>
      <c r="CL322" s="197">
        <f>+CL323</f>
        <v/>
      </c>
      <c r="CO322" s="199" t="n">
        <v>8.369590107625372</v>
      </c>
      <c r="CP322" s="199" t="n">
        <v>3.48</v>
      </c>
      <c r="CR322" s="199" t="n">
        <v>7.31</v>
      </c>
      <c r="CS322" s="970" t="n">
        <v>0.8734</v>
      </c>
    </row>
    <row r="323">
      <c r="B323" s="204">
        <f>+C323-1</f>
        <v/>
      </c>
      <c r="C323" s="204">
        <f>IF('bands_A-H_Avg'!$D$9+1&gt;MONTH(G323),YEAR(G323),YEAR(G323)+1)</f>
        <v/>
      </c>
      <c r="D323" s="204">
        <f>+C323+1</f>
        <v/>
      </c>
      <c r="E323" s="203">
        <f>IF(C323&gt;C322,1,E322+1)</f>
        <v/>
      </c>
      <c r="F323" s="203">
        <f>COUNTIF(C:C,C323)</f>
        <v/>
      </c>
      <c r="G323" s="198">
        <f>+G322+7</f>
        <v/>
      </c>
      <c r="H323" s="361">
        <f>IF(ISBLANK(CO323),CP323,SUMPRODUCT(CO$32:CP$32,CO323:CP323))</f>
        <v/>
      </c>
      <c r="I323" s="968">
        <f>H323/M323</f>
        <v/>
      </c>
      <c r="J323" s="968">
        <f>H323/N323</f>
        <v/>
      </c>
      <c r="K323" s="968">
        <f>(H323+Q323)/O323</f>
        <v/>
      </c>
      <c r="L323" s="968">
        <f>(H323+Q323)/P323</f>
        <v/>
      </c>
      <c r="M323" s="199">
        <f>HLOOKUP(C:C,$4:$10,3,FALSE)+((HLOOKUP(D:D,$4:$10,3,FALSE)-HLOOKUP(C:C,$4:$10,3,FALSE))*E323/F323)</f>
        <v/>
      </c>
      <c r="N323" s="199">
        <f>HLOOKUP(C:C,$4:$10,2,FALSE)+((HLOOKUP(D:D,$4:$10,2,FALSE)-HLOOKUP(C:C,$4:$10,2,FALSE))*E323/F323)</f>
        <v/>
      </c>
      <c r="O323" s="199">
        <f>HLOOKUP(C:C,$4:$10,5,FALSE)+((HLOOKUP(D:D,$4:$10,5,FALSE)-HLOOKUP(C:C,$4:$10,5,FALSE))*E323/F323)</f>
        <v/>
      </c>
      <c r="P323" s="199">
        <f>HLOOKUP(C:C,$4:$10,4,FALSE)+((HLOOKUP(D:D,$4:$10,4,FALSE)-HLOOKUP(C:C,$4:$10,4,FALSE))*E323/F323)</f>
        <v/>
      </c>
      <c r="Q323" s="199">
        <f>HLOOKUP(B:B,$4:$10,6,FALSE)+((HLOOKUP(C:C,$4:$10,6,FALSE)-HLOOKUP(B:B,$4:$10,6,FALSE))*E323/F323)</f>
        <v/>
      </c>
      <c r="T323" s="198">
        <f>$G323</f>
        <v/>
      </c>
      <c r="U323" s="199">
        <f>H323/(HLOOKUP(B:B,$4:$10,3,FALSE)+((HLOOKUP(C:C,$4:$10,3,FALSE)-HLOOKUP(B:B,$4:$10,3,FALSE))*E323/F323))</f>
        <v/>
      </c>
      <c r="V323" s="969">
        <f>HLOOKUP(B:B,$4:$10,7,FALSE)+((HLOOKUP(C:C,$4:$10,7,FALSE)-HLOOKUP(B:B,$4:$10,7,FALSE))*E323/F323)</f>
        <v/>
      </c>
      <c r="AB323" s="198">
        <f>$G323</f>
        <v/>
      </c>
      <c r="AC323" s="199">
        <f>$H323</f>
        <v/>
      </c>
      <c r="AD323" s="199">
        <f>$M323*AD$34</f>
        <v/>
      </c>
      <c r="AE323" s="199">
        <f>$M323*AE$34</f>
        <v/>
      </c>
      <c r="AF323" s="199">
        <f>$M323*AF$34</f>
        <v/>
      </c>
      <c r="AG323" s="199">
        <f>$M323*AG$34</f>
        <v/>
      </c>
      <c r="AH323" s="199">
        <f>$M323*AH$34</f>
        <v/>
      </c>
      <c r="AJ323" s="198">
        <f>$G323</f>
        <v/>
      </c>
      <c r="AK323" s="199">
        <f>$H323</f>
        <v/>
      </c>
      <c r="AL323" s="199">
        <f>$N323*AL$34</f>
        <v/>
      </c>
      <c r="AM323" s="199">
        <f>$N323*AM$34</f>
        <v/>
      </c>
      <c r="AN323" s="199">
        <f>$N323*AN$34</f>
        <v/>
      </c>
      <c r="AO323" s="199">
        <f>$N323*AO$34</f>
        <v/>
      </c>
      <c r="AP323" s="199">
        <f>$N323*AP$34</f>
        <v/>
      </c>
      <c r="AR323" s="198">
        <f>$G323</f>
        <v/>
      </c>
      <c r="AS323" s="199">
        <f>$H323</f>
        <v/>
      </c>
      <c r="AT323" s="199">
        <f>$O323*AT$34-$Q323</f>
        <v/>
      </c>
      <c r="AU323" s="199">
        <f>$O323*AU$34-$Q323</f>
        <v/>
      </c>
      <c r="AV323" s="199">
        <f>$O323*AV$34-$Q323</f>
        <v/>
      </c>
      <c r="AW323" s="199">
        <f>$O323*AW$34-$Q323</f>
        <v/>
      </c>
      <c r="AX323" s="199">
        <f>$O323*AX$34-$Q323</f>
        <v/>
      </c>
      <c r="AZ323" s="198">
        <f>$G323</f>
        <v/>
      </c>
      <c r="BA323" s="199">
        <f>$H323</f>
        <v/>
      </c>
      <c r="BB323" s="199">
        <f>$P323*BB$34-$Q323</f>
        <v/>
      </c>
      <c r="BC323" s="199">
        <f>$P323*BC$34-$Q323</f>
        <v/>
      </c>
      <c r="BD323" s="199">
        <f>$P323*BD$34-$Q323</f>
        <v/>
      </c>
      <c r="BE323" s="199">
        <f>$P323*BE$34-$Q323</f>
        <v/>
      </c>
      <c r="BF323" s="199">
        <f>$P323*BF$34-$Q323</f>
        <v/>
      </c>
      <c r="BH323" s="198">
        <f>$G323</f>
        <v/>
      </c>
      <c r="BI323" s="197">
        <f>$I323</f>
        <v/>
      </c>
      <c r="BJ323" s="197">
        <f>+BJ324</f>
        <v/>
      </c>
      <c r="BK323" s="197">
        <f>+BK324</f>
        <v/>
      </c>
      <c r="BL323" s="197">
        <f>+BL324</f>
        <v/>
      </c>
      <c r="BM323" s="197">
        <f>+BM324</f>
        <v/>
      </c>
      <c r="BN323" s="197">
        <f>+BN324</f>
        <v/>
      </c>
      <c r="BP323" s="198">
        <f>$G323</f>
        <v/>
      </c>
      <c r="BQ323" s="197">
        <f>$J323</f>
        <v/>
      </c>
      <c r="BR323" s="197">
        <f>+BR324</f>
        <v/>
      </c>
      <c r="BS323" s="197">
        <f>+BS324</f>
        <v/>
      </c>
      <c r="BT323" s="197">
        <f>+BT324</f>
        <v/>
      </c>
      <c r="BU323" s="197">
        <f>+BU324</f>
        <v/>
      </c>
      <c r="BV323" s="197">
        <f>+BV324</f>
        <v/>
      </c>
      <c r="BX323" s="198">
        <f>$G323</f>
        <v/>
      </c>
      <c r="BY323" s="197">
        <f>$K323</f>
        <v/>
      </c>
      <c r="BZ323" s="197">
        <f>+BZ324</f>
        <v/>
      </c>
      <c r="CA323" s="197">
        <f>+CA324</f>
        <v/>
      </c>
      <c r="CB323" s="197">
        <f>+CB324</f>
        <v/>
      </c>
      <c r="CC323" s="197">
        <f>+CC324</f>
        <v/>
      </c>
      <c r="CD323" s="197">
        <f>+CD324</f>
        <v/>
      </c>
      <c r="CF323" s="198">
        <f>$G323</f>
        <v/>
      </c>
      <c r="CG323" s="197">
        <f>$L323</f>
        <v/>
      </c>
      <c r="CH323" s="197">
        <f>+CH324</f>
        <v/>
      </c>
      <c r="CI323" s="197">
        <f>+CI324</f>
        <v/>
      </c>
      <c r="CJ323" s="197">
        <f>+CJ324</f>
        <v/>
      </c>
      <c r="CK323" s="197">
        <f>+CK324</f>
        <v/>
      </c>
      <c r="CL323" s="197">
        <f>+CL324</f>
        <v/>
      </c>
      <c r="CO323" s="199" t="n">
        <v>7.471277599981581</v>
      </c>
      <c r="CP323" s="199" t="n">
        <v>3.41</v>
      </c>
      <c r="CR323" s="199" t="n">
        <v>6.49</v>
      </c>
      <c r="CS323" s="970" t="n">
        <v>0.86866</v>
      </c>
    </row>
    <row r="324">
      <c r="B324" s="204">
        <f>+C324-1</f>
        <v/>
      </c>
      <c r="C324" s="204">
        <f>IF('bands_A-H_Avg'!$D$9+1&gt;MONTH(G324),YEAR(G324),YEAR(G324)+1)</f>
        <v/>
      </c>
      <c r="D324" s="204">
        <f>+C324+1</f>
        <v/>
      </c>
      <c r="E324" s="203">
        <f>IF(C324&gt;C323,1,E323+1)</f>
        <v/>
      </c>
      <c r="F324" s="203">
        <f>COUNTIF(C:C,C324)</f>
        <v/>
      </c>
      <c r="G324" s="198">
        <f>+G323+7</f>
        <v/>
      </c>
      <c r="H324" s="361">
        <f>IF(ISBLANK(CO324),CP324,SUMPRODUCT(CO$32:CP$32,CO324:CP324))</f>
        <v/>
      </c>
      <c r="I324" s="968">
        <f>H324/M324</f>
        <v/>
      </c>
      <c r="J324" s="968">
        <f>H324/N324</f>
        <v/>
      </c>
      <c r="K324" s="968">
        <f>(H324+Q324)/O324</f>
        <v/>
      </c>
      <c r="L324" s="968">
        <f>(H324+Q324)/P324</f>
        <v/>
      </c>
      <c r="M324" s="199">
        <f>HLOOKUP(C:C,$4:$10,3,FALSE)+((HLOOKUP(D:D,$4:$10,3,FALSE)-HLOOKUP(C:C,$4:$10,3,FALSE))*E324/F324)</f>
        <v/>
      </c>
      <c r="N324" s="199">
        <f>HLOOKUP(C:C,$4:$10,2,FALSE)+((HLOOKUP(D:D,$4:$10,2,FALSE)-HLOOKUP(C:C,$4:$10,2,FALSE))*E324/F324)</f>
        <v/>
      </c>
      <c r="O324" s="199">
        <f>HLOOKUP(C:C,$4:$10,5,FALSE)+((HLOOKUP(D:D,$4:$10,5,FALSE)-HLOOKUP(C:C,$4:$10,5,FALSE))*E324/F324)</f>
        <v/>
      </c>
      <c r="P324" s="199">
        <f>HLOOKUP(C:C,$4:$10,4,FALSE)+((HLOOKUP(D:D,$4:$10,4,FALSE)-HLOOKUP(C:C,$4:$10,4,FALSE))*E324/F324)</f>
        <v/>
      </c>
      <c r="Q324" s="199">
        <f>HLOOKUP(B:B,$4:$10,6,FALSE)+((HLOOKUP(C:C,$4:$10,6,FALSE)-HLOOKUP(B:B,$4:$10,6,FALSE))*E324/F324)</f>
        <v/>
      </c>
      <c r="T324" s="198">
        <f>$G324</f>
        <v/>
      </c>
      <c r="U324" s="199">
        <f>H324/(HLOOKUP(B:B,$4:$10,3,FALSE)+((HLOOKUP(C:C,$4:$10,3,FALSE)-HLOOKUP(B:B,$4:$10,3,FALSE))*E324/F324))</f>
        <v/>
      </c>
      <c r="V324" s="969">
        <f>HLOOKUP(B:B,$4:$10,7,FALSE)+((HLOOKUP(C:C,$4:$10,7,FALSE)-HLOOKUP(B:B,$4:$10,7,FALSE))*E324/F324)</f>
        <v/>
      </c>
      <c r="AB324" s="198">
        <f>$G324</f>
        <v/>
      </c>
      <c r="AC324" s="199">
        <f>$H324</f>
        <v/>
      </c>
      <c r="AD324" s="199">
        <f>$M324*AD$34</f>
        <v/>
      </c>
      <c r="AE324" s="199">
        <f>$M324*AE$34</f>
        <v/>
      </c>
      <c r="AF324" s="199">
        <f>$M324*AF$34</f>
        <v/>
      </c>
      <c r="AG324" s="199">
        <f>$M324*AG$34</f>
        <v/>
      </c>
      <c r="AH324" s="199">
        <f>$M324*AH$34</f>
        <v/>
      </c>
      <c r="AJ324" s="198">
        <f>$G324</f>
        <v/>
      </c>
      <c r="AK324" s="199">
        <f>$H324</f>
        <v/>
      </c>
      <c r="AL324" s="199">
        <f>$N324*AL$34</f>
        <v/>
      </c>
      <c r="AM324" s="199">
        <f>$N324*AM$34</f>
        <v/>
      </c>
      <c r="AN324" s="199">
        <f>$N324*AN$34</f>
        <v/>
      </c>
      <c r="AO324" s="199">
        <f>$N324*AO$34</f>
        <v/>
      </c>
      <c r="AP324" s="199">
        <f>$N324*AP$34</f>
        <v/>
      </c>
      <c r="AR324" s="198">
        <f>$G324</f>
        <v/>
      </c>
      <c r="AS324" s="199">
        <f>$H324</f>
        <v/>
      </c>
      <c r="AT324" s="199">
        <f>$O324*AT$34-$Q324</f>
        <v/>
      </c>
      <c r="AU324" s="199">
        <f>$O324*AU$34-$Q324</f>
        <v/>
      </c>
      <c r="AV324" s="199">
        <f>$O324*AV$34-$Q324</f>
        <v/>
      </c>
      <c r="AW324" s="199">
        <f>$O324*AW$34-$Q324</f>
        <v/>
      </c>
      <c r="AX324" s="199">
        <f>$O324*AX$34-$Q324</f>
        <v/>
      </c>
      <c r="AZ324" s="198">
        <f>$G324</f>
        <v/>
      </c>
      <c r="BA324" s="199">
        <f>$H324</f>
        <v/>
      </c>
      <c r="BB324" s="199">
        <f>$P324*BB$34-$Q324</f>
        <v/>
      </c>
      <c r="BC324" s="199">
        <f>$P324*BC$34-$Q324</f>
        <v/>
      </c>
      <c r="BD324" s="199">
        <f>$P324*BD$34-$Q324</f>
        <v/>
      </c>
      <c r="BE324" s="199">
        <f>$P324*BE$34-$Q324</f>
        <v/>
      </c>
      <c r="BF324" s="199">
        <f>$P324*BF$34-$Q324</f>
        <v/>
      </c>
      <c r="BH324" s="198">
        <f>$G324</f>
        <v/>
      </c>
      <c r="BI324" s="197">
        <f>$I324</f>
        <v/>
      </c>
      <c r="BJ324" s="197">
        <f>+BJ325</f>
        <v/>
      </c>
      <c r="BK324" s="197">
        <f>+BK325</f>
        <v/>
      </c>
      <c r="BL324" s="197">
        <f>+BL325</f>
        <v/>
      </c>
      <c r="BM324" s="197">
        <f>+BM325</f>
        <v/>
      </c>
      <c r="BN324" s="197">
        <f>+BN325</f>
        <v/>
      </c>
      <c r="BP324" s="198">
        <f>$G324</f>
        <v/>
      </c>
      <c r="BQ324" s="197">
        <f>$J324</f>
        <v/>
      </c>
      <c r="BR324" s="197">
        <f>+BR325</f>
        <v/>
      </c>
      <c r="BS324" s="197">
        <f>+BS325</f>
        <v/>
      </c>
      <c r="BT324" s="197">
        <f>+BT325</f>
        <v/>
      </c>
      <c r="BU324" s="197">
        <f>+BU325</f>
        <v/>
      </c>
      <c r="BV324" s="197">
        <f>+BV325</f>
        <v/>
      </c>
      <c r="BX324" s="198">
        <f>$G324</f>
        <v/>
      </c>
      <c r="BY324" s="197">
        <f>$K324</f>
        <v/>
      </c>
      <c r="BZ324" s="197">
        <f>+BZ325</f>
        <v/>
      </c>
      <c r="CA324" s="197">
        <f>+CA325</f>
        <v/>
      </c>
      <c r="CB324" s="197">
        <f>+CB325</f>
        <v/>
      </c>
      <c r="CC324" s="197">
        <f>+CC325</f>
        <v/>
      </c>
      <c r="CD324" s="197">
        <f>+CD325</f>
        <v/>
      </c>
      <c r="CF324" s="198">
        <f>$G324</f>
        <v/>
      </c>
      <c r="CG324" s="197">
        <f>$L324</f>
        <v/>
      </c>
      <c r="CH324" s="197">
        <f>+CH325</f>
        <v/>
      </c>
      <c r="CI324" s="197">
        <f>+CI325</f>
        <v/>
      </c>
      <c r="CJ324" s="197">
        <f>+CJ325</f>
        <v/>
      </c>
      <c r="CK324" s="197">
        <f>+CK325</f>
        <v/>
      </c>
      <c r="CL324" s="197">
        <f>+CL325</f>
        <v/>
      </c>
      <c r="CO324" s="199" t="n">
        <v>7.714793374219064</v>
      </c>
      <c r="CP324" s="199" t="n">
        <v>3.49</v>
      </c>
      <c r="CR324" s="199" t="n">
        <v>6.73</v>
      </c>
      <c r="CS324" s="970" t="n">
        <v>0.87235</v>
      </c>
    </row>
    <row r="325">
      <c r="B325" s="204">
        <f>+C325-1</f>
        <v/>
      </c>
      <c r="C325" s="204">
        <f>IF('bands_A-H_Avg'!$D$9+1&gt;MONTH(G325),YEAR(G325),YEAR(G325)+1)</f>
        <v/>
      </c>
      <c r="D325" s="204">
        <f>+C325+1</f>
        <v/>
      </c>
      <c r="E325" s="203">
        <f>IF(C325&gt;C324,1,E324+1)</f>
        <v/>
      </c>
      <c r="F325" s="203">
        <f>COUNTIF(C:C,C325)</f>
        <v/>
      </c>
      <c r="G325" s="198">
        <f>+G324+7</f>
        <v/>
      </c>
      <c r="H325" s="361">
        <f>IF(ISBLANK(CO325),CP325,SUMPRODUCT(CO$32:CP$32,CO325:CP325))</f>
        <v/>
      </c>
      <c r="I325" s="968">
        <f>H325/M325</f>
        <v/>
      </c>
      <c r="J325" s="968">
        <f>H325/N325</f>
        <v/>
      </c>
      <c r="K325" s="968">
        <f>(H325+Q325)/O325</f>
        <v/>
      </c>
      <c r="L325" s="968">
        <f>(H325+Q325)/P325</f>
        <v/>
      </c>
      <c r="M325" s="199">
        <f>HLOOKUP(C:C,$4:$10,3,FALSE)+((HLOOKUP(D:D,$4:$10,3,FALSE)-HLOOKUP(C:C,$4:$10,3,FALSE))*E325/F325)</f>
        <v/>
      </c>
      <c r="N325" s="199">
        <f>HLOOKUP(C:C,$4:$10,2,FALSE)+((HLOOKUP(D:D,$4:$10,2,FALSE)-HLOOKUP(C:C,$4:$10,2,FALSE))*E325/F325)</f>
        <v/>
      </c>
      <c r="O325" s="199">
        <f>HLOOKUP(C:C,$4:$10,5,FALSE)+((HLOOKUP(D:D,$4:$10,5,FALSE)-HLOOKUP(C:C,$4:$10,5,FALSE))*E325/F325)</f>
        <v/>
      </c>
      <c r="P325" s="199">
        <f>HLOOKUP(C:C,$4:$10,4,FALSE)+((HLOOKUP(D:D,$4:$10,4,FALSE)-HLOOKUP(C:C,$4:$10,4,FALSE))*E325/F325)</f>
        <v/>
      </c>
      <c r="Q325" s="199">
        <f>HLOOKUP(B:B,$4:$10,6,FALSE)+((HLOOKUP(C:C,$4:$10,6,FALSE)-HLOOKUP(B:B,$4:$10,6,FALSE))*E325/F325)</f>
        <v/>
      </c>
      <c r="T325" s="198">
        <f>$G325</f>
        <v/>
      </c>
      <c r="U325" s="199">
        <f>H325/(HLOOKUP(B:B,$4:$10,3,FALSE)+((HLOOKUP(C:C,$4:$10,3,FALSE)-HLOOKUP(B:B,$4:$10,3,FALSE))*E325/F325))</f>
        <v/>
      </c>
      <c r="V325" s="969">
        <f>HLOOKUP(B:B,$4:$10,7,FALSE)+((HLOOKUP(C:C,$4:$10,7,FALSE)-HLOOKUP(B:B,$4:$10,7,FALSE))*E325/F325)</f>
        <v/>
      </c>
      <c r="AB325" s="198">
        <f>$G325</f>
        <v/>
      </c>
      <c r="AC325" s="199">
        <f>$H325</f>
        <v/>
      </c>
      <c r="AD325" s="199">
        <f>$M325*AD$34</f>
        <v/>
      </c>
      <c r="AE325" s="199">
        <f>$M325*AE$34</f>
        <v/>
      </c>
      <c r="AF325" s="199">
        <f>$M325*AF$34</f>
        <v/>
      </c>
      <c r="AG325" s="199">
        <f>$M325*AG$34</f>
        <v/>
      </c>
      <c r="AH325" s="199">
        <f>$M325*AH$34</f>
        <v/>
      </c>
      <c r="AJ325" s="198">
        <f>$G325</f>
        <v/>
      </c>
      <c r="AK325" s="199">
        <f>$H325</f>
        <v/>
      </c>
      <c r="AL325" s="199">
        <f>$N325*AL$34</f>
        <v/>
      </c>
      <c r="AM325" s="199">
        <f>$N325*AM$34</f>
        <v/>
      </c>
      <c r="AN325" s="199">
        <f>$N325*AN$34</f>
        <v/>
      </c>
      <c r="AO325" s="199">
        <f>$N325*AO$34</f>
        <v/>
      </c>
      <c r="AP325" s="199">
        <f>$N325*AP$34</f>
        <v/>
      </c>
      <c r="AR325" s="198">
        <f>$G325</f>
        <v/>
      </c>
      <c r="AS325" s="199">
        <f>$H325</f>
        <v/>
      </c>
      <c r="AT325" s="199">
        <f>$O325*AT$34-$Q325</f>
        <v/>
      </c>
      <c r="AU325" s="199">
        <f>$O325*AU$34-$Q325</f>
        <v/>
      </c>
      <c r="AV325" s="199">
        <f>$O325*AV$34-$Q325</f>
        <v/>
      </c>
      <c r="AW325" s="199">
        <f>$O325*AW$34-$Q325</f>
        <v/>
      </c>
      <c r="AX325" s="199">
        <f>$O325*AX$34-$Q325</f>
        <v/>
      </c>
      <c r="AZ325" s="198">
        <f>$G325</f>
        <v/>
      </c>
      <c r="BA325" s="199">
        <f>$H325</f>
        <v/>
      </c>
      <c r="BB325" s="199">
        <f>$P325*BB$34-$Q325</f>
        <v/>
      </c>
      <c r="BC325" s="199">
        <f>$P325*BC$34-$Q325</f>
        <v/>
      </c>
      <c r="BD325" s="199">
        <f>$P325*BD$34-$Q325</f>
        <v/>
      </c>
      <c r="BE325" s="199">
        <f>$P325*BE$34-$Q325</f>
        <v/>
      </c>
      <c r="BF325" s="199">
        <f>$P325*BF$34-$Q325</f>
        <v/>
      </c>
      <c r="BH325" s="198">
        <f>$G325</f>
        <v/>
      </c>
      <c r="BI325" s="197">
        <f>$I325</f>
        <v/>
      </c>
      <c r="BJ325" s="197">
        <f>+BJ326</f>
        <v/>
      </c>
      <c r="BK325" s="197">
        <f>+BK326</f>
        <v/>
      </c>
      <c r="BL325" s="197">
        <f>+BL326</f>
        <v/>
      </c>
      <c r="BM325" s="197">
        <f>+BM326</f>
        <v/>
      </c>
      <c r="BN325" s="197">
        <f>+BN326</f>
        <v/>
      </c>
      <c r="BP325" s="198">
        <f>$G325</f>
        <v/>
      </c>
      <c r="BQ325" s="197">
        <f>$J325</f>
        <v/>
      </c>
      <c r="BR325" s="197">
        <f>+BR326</f>
        <v/>
      </c>
      <c r="BS325" s="197">
        <f>+BS326</f>
        <v/>
      </c>
      <c r="BT325" s="197">
        <f>+BT326</f>
        <v/>
      </c>
      <c r="BU325" s="197">
        <f>+BU326</f>
        <v/>
      </c>
      <c r="BV325" s="197">
        <f>+BV326</f>
        <v/>
      </c>
      <c r="BX325" s="198">
        <f>$G325</f>
        <v/>
      </c>
      <c r="BY325" s="197">
        <f>$K325</f>
        <v/>
      </c>
      <c r="BZ325" s="197">
        <f>+BZ326</f>
        <v/>
      </c>
      <c r="CA325" s="197">
        <f>+CA326</f>
        <v/>
      </c>
      <c r="CB325" s="197">
        <f>+CB326</f>
        <v/>
      </c>
      <c r="CC325" s="197">
        <f>+CC326</f>
        <v/>
      </c>
      <c r="CD325" s="197">
        <f>+CD326</f>
        <v/>
      </c>
      <c r="CF325" s="198">
        <f>$G325</f>
        <v/>
      </c>
      <c r="CG325" s="197">
        <f>$L325</f>
        <v/>
      </c>
      <c r="CH325" s="197">
        <f>+CH326</f>
        <v/>
      </c>
      <c r="CI325" s="197">
        <f>+CI326</f>
        <v/>
      </c>
      <c r="CJ325" s="197">
        <f>+CJ326</f>
        <v/>
      </c>
      <c r="CK325" s="197">
        <f>+CK326</f>
        <v/>
      </c>
      <c r="CL325" s="197">
        <f>+CL326</f>
        <v/>
      </c>
      <c r="CO325" s="199" t="n">
        <v>7.838771504975267</v>
      </c>
      <c r="CP325" s="199" t="n">
        <v>3.48</v>
      </c>
      <c r="CR325" s="199" t="n">
        <v>6.83</v>
      </c>
      <c r="CS325" s="970" t="n">
        <v>0.87131</v>
      </c>
    </row>
    <row r="326">
      <c r="B326" s="204">
        <f>+C326-1</f>
        <v/>
      </c>
      <c r="C326" s="204">
        <f>IF('bands_A-H_Avg'!$D$9+1&gt;MONTH(G326),YEAR(G326),YEAR(G326)+1)</f>
        <v/>
      </c>
      <c r="D326" s="204">
        <f>+C326+1</f>
        <v/>
      </c>
      <c r="E326" s="203">
        <f>IF(C326&gt;C325,1,E325+1)</f>
        <v/>
      </c>
      <c r="F326" s="203">
        <f>COUNTIF(C:C,C326)</f>
        <v/>
      </c>
      <c r="G326" s="198">
        <f>+G325+7</f>
        <v/>
      </c>
      <c r="H326" s="361">
        <f>IF(ISBLANK(CO326),CP326,SUMPRODUCT(CO$32:CP$32,CO326:CP326))</f>
        <v/>
      </c>
      <c r="I326" s="968">
        <f>H326/M326</f>
        <v/>
      </c>
      <c r="J326" s="968">
        <f>H326/N326</f>
        <v/>
      </c>
      <c r="K326" s="968">
        <f>(H326+Q326)/O326</f>
        <v/>
      </c>
      <c r="L326" s="968">
        <f>(H326+Q326)/P326</f>
        <v/>
      </c>
      <c r="M326" s="199">
        <f>HLOOKUP(C:C,$4:$10,3,FALSE)+((HLOOKUP(D:D,$4:$10,3,FALSE)-HLOOKUP(C:C,$4:$10,3,FALSE))*E326/F326)</f>
        <v/>
      </c>
      <c r="N326" s="199">
        <f>HLOOKUP(C:C,$4:$10,2,FALSE)+((HLOOKUP(D:D,$4:$10,2,FALSE)-HLOOKUP(C:C,$4:$10,2,FALSE))*E326/F326)</f>
        <v/>
      </c>
      <c r="O326" s="199">
        <f>HLOOKUP(C:C,$4:$10,5,FALSE)+((HLOOKUP(D:D,$4:$10,5,FALSE)-HLOOKUP(C:C,$4:$10,5,FALSE))*E326/F326)</f>
        <v/>
      </c>
      <c r="P326" s="199">
        <f>HLOOKUP(C:C,$4:$10,4,FALSE)+((HLOOKUP(D:D,$4:$10,4,FALSE)-HLOOKUP(C:C,$4:$10,4,FALSE))*E326/F326)</f>
        <v/>
      </c>
      <c r="Q326" s="199">
        <f>HLOOKUP(B:B,$4:$10,6,FALSE)+((HLOOKUP(C:C,$4:$10,6,FALSE)-HLOOKUP(B:B,$4:$10,6,FALSE))*E326/F326)</f>
        <v/>
      </c>
      <c r="T326" s="198">
        <f>$G326</f>
        <v/>
      </c>
      <c r="U326" s="199">
        <f>H326/(HLOOKUP(B:B,$4:$10,3,FALSE)+((HLOOKUP(C:C,$4:$10,3,FALSE)-HLOOKUP(B:B,$4:$10,3,FALSE))*E326/F326))</f>
        <v/>
      </c>
      <c r="V326" s="969">
        <f>HLOOKUP(B:B,$4:$10,7,FALSE)+((HLOOKUP(C:C,$4:$10,7,FALSE)-HLOOKUP(B:B,$4:$10,7,FALSE))*E326/F326)</f>
        <v/>
      </c>
      <c r="AB326" s="198">
        <f>$G326</f>
        <v/>
      </c>
      <c r="AC326" s="199">
        <f>$H326</f>
        <v/>
      </c>
      <c r="AD326" s="199">
        <f>$M326*AD$34</f>
        <v/>
      </c>
      <c r="AE326" s="199">
        <f>$M326*AE$34</f>
        <v/>
      </c>
      <c r="AF326" s="199">
        <f>$M326*AF$34</f>
        <v/>
      </c>
      <c r="AG326" s="199">
        <f>$M326*AG$34</f>
        <v/>
      </c>
      <c r="AH326" s="199">
        <f>$M326*AH$34</f>
        <v/>
      </c>
      <c r="AJ326" s="198">
        <f>$G326</f>
        <v/>
      </c>
      <c r="AK326" s="199">
        <f>$H326</f>
        <v/>
      </c>
      <c r="AL326" s="199">
        <f>$N326*AL$34</f>
        <v/>
      </c>
      <c r="AM326" s="199">
        <f>$N326*AM$34</f>
        <v/>
      </c>
      <c r="AN326" s="199">
        <f>$N326*AN$34</f>
        <v/>
      </c>
      <c r="AO326" s="199">
        <f>$N326*AO$34</f>
        <v/>
      </c>
      <c r="AP326" s="199">
        <f>$N326*AP$34</f>
        <v/>
      </c>
      <c r="AR326" s="198">
        <f>$G326</f>
        <v/>
      </c>
      <c r="AS326" s="199">
        <f>$H326</f>
        <v/>
      </c>
      <c r="AT326" s="199">
        <f>$O326*AT$34-$Q326</f>
        <v/>
      </c>
      <c r="AU326" s="199">
        <f>$O326*AU$34-$Q326</f>
        <v/>
      </c>
      <c r="AV326" s="199">
        <f>$O326*AV$34-$Q326</f>
        <v/>
      </c>
      <c r="AW326" s="199">
        <f>$O326*AW$34-$Q326</f>
        <v/>
      </c>
      <c r="AX326" s="199">
        <f>$O326*AX$34-$Q326</f>
        <v/>
      </c>
      <c r="AZ326" s="198">
        <f>$G326</f>
        <v/>
      </c>
      <c r="BA326" s="199">
        <f>$H326</f>
        <v/>
      </c>
      <c r="BB326" s="199">
        <f>$P326*BB$34-$Q326</f>
        <v/>
      </c>
      <c r="BC326" s="199">
        <f>$P326*BC$34-$Q326</f>
        <v/>
      </c>
      <c r="BD326" s="199">
        <f>$P326*BD$34-$Q326</f>
        <v/>
      </c>
      <c r="BE326" s="199">
        <f>$P326*BE$34-$Q326</f>
        <v/>
      </c>
      <c r="BF326" s="199">
        <f>$P326*BF$34-$Q326</f>
        <v/>
      </c>
      <c r="BH326" s="198">
        <f>$G326</f>
        <v/>
      </c>
      <c r="BI326" s="197">
        <f>$I326</f>
        <v/>
      </c>
      <c r="BJ326" s="197">
        <f>+BJ327</f>
        <v/>
      </c>
      <c r="BK326" s="197">
        <f>+BK327</f>
        <v/>
      </c>
      <c r="BL326" s="197">
        <f>+BL327</f>
        <v/>
      </c>
      <c r="BM326" s="197">
        <f>+BM327</f>
        <v/>
      </c>
      <c r="BN326" s="197">
        <f>+BN327</f>
        <v/>
      </c>
      <c r="BP326" s="198">
        <f>$G326</f>
        <v/>
      </c>
      <c r="BQ326" s="197">
        <f>$J326</f>
        <v/>
      </c>
      <c r="BR326" s="197">
        <f>+BR327</f>
        <v/>
      </c>
      <c r="BS326" s="197">
        <f>+BS327</f>
        <v/>
      </c>
      <c r="BT326" s="197">
        <f>+BT327</f>
        <v/>
      </c>
      <c r="BU326" s="197">
        <f>+BU327</f>
        <v/>
      </c>
      <c r="BV326" s="197">
        <f>+BV327</f>
        <v/>
      </c>
      <c r="BX326" s="198">
        <f>$G326</f>
        <v/>
      </c>
      <c r="BY326" s="197">
        <f>$K326</f>
        <v/>
      </c>
      <c r="BZ326" s="197">
        <f>+BZ327</f>
        <v/>
      </c>
      <c r="CA326" s="197">
        <f>+CA327</f>
        <v/>
      </c>
      <c r="CB326" s="197">
        <f>+CB327</f>
        <v/>
      </c>
      <c r="CC326" s="197">
        <f>+CC327</f>
        <v/>
      </c>
      <c r="CD326" s="197">
        <f>+CD327</f>
        <v/>
      </c>
      <c r="CF326" s="198">
        <f>$G326</f>
        <v/>
      </c>
      <c r="CG326" s="197">
        <f>$L326</f>
        <v/>
      </c>
      <c r="CH326" s="197">
        <f>+CH327</f>
        <v/>
      </c>
      <c r="CI326" s="197">
        <f>+CI327</f>
        <v/>
      </c>
      <c r="CJ326" s="197">
        <f>+CJ327</f>
        <v/>
      </c>
      <c r="CK326" s="197">
        <f>+CK327</f>
        <v/>
      </c>
      <c r="CL326" s="197">
        <f>+CL327</f>
        <v/>
      </c>
      <c r="CO326" s="199" t="n">
        <v>8.272606443925019</v>
      </c>
      <c r="CP326" s="199" t="n">
        <v>3.56</v>
      </c>
      <c r="CR326" s="199" t="n">
        <v>7.22</v>
      </c>
      <c r="CS326" s="970" t="n">
        <v>0.87276</v>
      </c>
    </row>
    <row r="327">
      <c r="B327" s="204">
        <f>+C327-1</f>
        <v/>
      </c>
      <c r="C327" s="204">
        <f>IF('bands_A-H_Avg'!$D$9+1&gt;MONTH(G327),YEAR(G327),YEAR(G327)+1)</f>
        <v/>
      </c>
      <c r="D327" s="204">
        <f>+C327+1</f>
        <v/>
      </c>
      <c r="E327" s="203">
        <f>IF(C327&gt;C326,1,E326+1)</f>
        <v/>
      </c>
      <c r="F327" s="203">
        <f>COUNTIF(C:C,C327)</f>
        <v/>
      </c>
      <c r="G327" s="198">
        <f>+G326+7</f>
        <v/>
      </c>
      <c r="H327" s="361">
        <f>IF(ISBLANK(CO327),CP327,SUMPRODUCT(CO$32:CP$32,CO327:CP327))</f>
        <v/>
      </c>
      <c r="I327" s="968">
        <f>H327/M327</f>
        <v/>
      </c>
      <c r="J327" s="968">
        <f>H327/N327</f>
        <v/>
      </c>
      <c r="K327" s="968">
        <f>(H327+Q327)/O327</f>
        <v/>
      </c>
      <c r="L327" s="968">
        <f>(H327+Q327)/P327</f>
        <v/>
      </c>
      <c r="M327" s="199">
        <f>HLOOKUP(C:C,$4:$10,3,FALSE)+((HLOOKUP(D:D,$4:$10,3,FALSE)-HLOOKUP(C:C,$4:$10,3,FALSE))*E327/F327)</f>
        <v/>
      </c>
      <c r="N327" s="199">
        <f>HLOOKUP(C:C,$4:$10,2,FALSE)+((HLOOKUP(D:D,$4:$10,2,FALSE)-HLOOKUP(C:C,$4:$10,2,FALSE))*E327/F327)</f>
        <v/>
      </c>
      <c r="O327" s="199">
        <f>HLOOKUP(C:C,$4:$10,5,FALSE)+((HLOOKUP(D:D,$4:$10,5,FALSE)-HLOOKUP(C:C,$4:$10,5,FALSE))*E327/F327)</f>
        <v/>
      </c>
      <c r="P327" s="199">
        <f>HLOOKUP(C:C,$4:$10,4,FALSE)+((HLOOKUP(D:D,$4:$10,4,FALSE)-HLOOKUP(C:C,$4:$10,4,FALSE))*E327/F327)</f>
        <v/>
      </c>
      <c r="Q327" s="199">
        <f>HLOOKUP(B:B,$4:$10,6,FALSE)+((HLOOKUP(C:C,$4:$10,6,FALSE)-HLOOKUP(B:B,$4:$10,6,FALSE))*E327/F327)</f>
        <v/>
      </c>
      <c r="T327" s="198">
        <f>$G327</f>
        <v/>
      </c>
      <c r="U327" s="199">
        <f>H327/(HLOOKUP(B:B,$4:$10,3,FALSE)+((HLOOKUP(C:C,$4:$10,3,FALSE)-HLOOKUP(B:B,$4:$10,3,FALSE))*E327/F327))</f>
        <v/>
      </c>
      <c r="V327" s="969">
        <f>HLOOKUP(B:B,$4:$10,7,FALSE)+((HLOOKUP(C:C,$4:$10,7,FALSE)-HLOOKUP(B:B,$4:$10,7,FALSE))*E327/F327)</f>
        <v/>
      </c>
      <c r="AB327" s="198">
        <f>$G327</f>
        <v/>
      </c>
      <c r="AC327" s="199">
        <f>$H327</f>
        <v/>
      </c>
      <c r="AD327" s="199">
        <f>$M327*AD$34</f>
        <v/>
      </c>
      <c r="AE327" s="199">
        <f>$M327*AE$34</f>
        <v/>
      </c>
      <c r="AF327" s="199">
        <f>$M327*AF$34</f>
        <v/>
      </c>
      <c r="AG327" s="199">
        <f>$M327*AG$34</f>
        <v/>
      </c>
      <c r="AH327" s="199">
        <f>$M327*AH$34</f>
        <v/>
      </c>
      <c r="AJ327" s="198">
        <f>$G327</f>
        <v/>
      </c>
      <c r="AK327" s="199">
        <f>$H327</f>
        <v/>
      </c>
      <c r="AL327" s="199">
        <f>$N327*AL$34</f>
        <v/>
      </c>
      <c r="AM327" s="199">
        <f>$N327*AM$34</f>
        <v/>
      </c>
      <c r="AN327" s="199">
        <f>$N327*AN$34</f>
        <v/>
      </c>
      <c r="AO327" s="199">
        <f>$N327*AO$34</f>
        <v/>
      </c>
      <c r="AP327" s="199">
        <f>$N327*AP$34</f>
        <v/>
      </c>
      <c r="AR327" s="198">
        <f>$G327</f>
        <v/>
      </c>
      <c r="AS327" s="199">
        <f>$H327</f>
        <v/>
      </c>
      <c r="AT327" s="199">
        <f>$O327*AT$34-$Q327</f>
        <v/>
      </c>
      <c r="AU327" s="199">
        <f>$O327*AU$34-$Q327</f>
        <v/>
      </c>
      <c r="AV327" s="199">
        <f>$O327*AV$34-$Q327</f>
        <v/>
      </c>
      <c r="AW327" s="199">
        <f>$O327*AW$34-$Q327</f>
        <v/>
      </c>
      <c r="AX327" s="199">
        <f>$O327*AX$34-$Q327</f>
        <v/>
      </c>
      <c r="AZ327" s="198">
        <f>$G327</f>
        <v/>
      </c>
      <c r="BA327" s="199">
        <f>$H327</f>
        <v/>
      </c>
      <c r="BB327" s="199">
        <f>$P327*BB$34-$Q327</f>
        <v/>
      </c>
      <c r="BC327" s="199">
        <f>$P327*BC$34-$Q327</f>
        <v/>
      </c>
      <c r="BD327" s="199">
        <f>$P327*BD$34-$Q327</f>
        <v/>
      </c>
      <c r="BE327" s="199">
        <f>$P327*BE$34-$Q327</f>
        <v/>
      </c>
      <c r="BF327" s="199">
        <f>$P327*BF$34-$Q327</f>
        <v/>
      </c>
      <c r="BH327" s="198">
        <f>$G327</f>
        <v/>
      </c>
      <c r="BI327" s="197">
        <f>$I327</f>
        <v/>
      </c>
      <c r="BJ327" s="197">
        <f>+BJ328</f>
        <v/>
      </c>
      <c r="BK327" s="197">
        <f>+BK328</f>
        <v/>
      </c>
      <c r="BL327" s="197">
        <f>+BL328</f>
        <v/>
      </c>
      <c r="BM327" s="197">
        <f>+BM328</f>
        <v/>
      </c>
      <c r="BN327" s="197">
        <f>+BN328</f>
        <v/>
      </c>
      <c r="BP327" s="198">
        <f>$G327</f>
        <v/>
      </c>
      <c r="BQ327" s="197">
        <f>$J327</f>
        <v/>
      </c>
      <c r="BR327" s="197">
        <f>+BR328</f>
        <v/>
      </c>
      <c r="BS327" s="197">
        <f>+BS328</f>
        <v/>
      </c>
      <c r="BT327" s="197">
        <f>+BT328</f>
        <v/>
      </c>
      <c r="BU327" s="197">
        <f>+BU328</f>
        <v/>
      </c>
      <c r="BV327" s="197">
        <f>+BV328</f>
        <v/>
      </c>
      <c r="BX327" s="198">
        <f>$G327</f>
        <v/>
      </c>
      <c r="BY327" s="197">
        <f>$K327</f>
        <v/>
      </c>
      <c r="BZ327" s="197">
        <f>+BZ328</f>
        <v/>
      </c>
      <c r="CA327" s="197">
        <f>+CA328</f>
        <v/>
      </c>
      <c r="CB327" s="197">
        <f>+CB328</f>
        <v/>
      </c>
      <c r="CC327" s="197">
        <f>+CC328</f>
        <v/>
      </c>
      <c r="CD327" s="197">
        <f>+CD328</f>
        <v/>
      </c>
      <c r="CF327" s="198">
        <f>$G327</f>
        <v/>
      </c>
      <c r="CG327" s="197">
        <f>$L327</f>
        <v/>
      </c>
      <c r="CH327" s="197">
        <f>+CH328</f>
        <v/>
      </c>
      <c r="CI327" s="197">
        <f>+CI328</f>
        <v/>
      </c>
      <c r="CJ327" s="197">
        <f>+CJ328</f>
        <v/>
      </c>
      <c r="CK327" s="197">
        <f>+CK328</f>
        <v/>
      </c>
      <c r="CL327" s="197">
        <f>+CL328</f>
        <v/>
      </c>
      <c r="CO327" s="199" t="n">
        <v>8.518297716224891</v>
      </c>
      <c r="CP327" s="199" t="n">
        <v>3.65</v>
      </c>
      <c r="CR327" s="199" t="n">
        <v>7.43</v>
      </c>
      <c r="CS327" s="970" t="n">
        <v>0.87224</v>
      </c>
    </row>
    <row r="328">
      <c r="B328" s="204">
        <f>+C328-1</f>
        <v/>
      </c>
      <c r="C328" s="204">
        <f>IF('bands_A-H_Avg'!$D$9+1&gt;MONTH(G328),YEAR(G328),YEAR(G328)+1)</f>
        <v/>
      </c>
      <c r="D328" s="204">
        <f>+C328+1</f>
        <v/>
      </c>
      <c r="E328" s="203">
        <f>IF(C328&gt;C327,1,E327+1)</f>
        <v/>
      </c>
      <c r="F328" s="203">
        <f>COUNTIF(C:C,C328)</f>
        <v/>
      </c>
      <c r="G328" s="198">
        <f>+G327+7</f>
        <v/>
      </c>
      <c r="H328" s="361">
        <f>IF(ISBLANK(CO328),CP328,SUMPRODUCT(CO$32:CP$32,CO328:CP328))</f>
        <v/>
      </c>
      <c r="I328" s="968">
        <f>H328/M328</f>
        <v/>
      </c>
      <c r="J328" s="968">
        <f>H328/N328</f>
        <v/>
      </c>
      <c r="K328" s="968">
        <f>(H328+Q328)/O328</f>
        <v/>
      </c>
      <c r="L328" s="968">
        <f>(H328+Q328)/P328</f>
        <v/>
      </c>
      <c r="M328" s="199">
        <f>HLOOKUP(C:C,$4:$10,3,FALSE)+((HLOOKUP(D:D,$4:$10,3,FALSE)-HLOOKUP(C:C,$4:$10,3,FALSE))*E328/F328)</f>
        <v/>
      </c>
      <c r="N328" s="199">
        <f>HLOOKUP(C:C,$4:$10,2,FALSE)+((HLOOKUP(D:D,$4:$10,2,FALSE)-HLOOKUP(C:C,$4:$10,2,FALSE))*E328/F328)</f>
        <v/>
      </c>
      <c r="O328" s="199">
        <f>HLOOKUP(C:C,$4:$10,5,FALSE)+((HLOOKUP(D:D,$4:$10,5,FALSE)-HLOOKUP(C:C,$4:$10,5,FALSE))*E328/F328)</f>
        <v/>
      </c>
      <c r="P328" s="199">
        <f>HLOOKUP(C:C,$4:$10,4,FALSE)+((HLOOKUP(D:D,$4:$10,4,FALSE)-HLOOKUP(C:C,$4:$10,4,FALSE))*E328/F328)</f>
        <v/>
      </c>
      <c r="Q328" s="199">
        <f>HLOOKUP(B:B,$4:$10,6,FALSE)+((HLOOKUP(C:C,$4:$10,6,FALSE)-HLOOKUP(B:B,$4:$10,6,FALSE))*E328/F328)</f>
        <v/>
      </c>
      <c r="T328" s="198">
        <f>$G328</f>
        <v/>
      </c>
      <c r="U328" s="199">
        <f>H328/(HLOOKUP(B:B,$4:$10,3,FALSE)+((HLOOKUP(C:C,$4:$10,3,FALSE)-HLOOKUP(B:B,$4:$10,3,FALSE))*E328/F328))</f>
        <v/>
      </c>
      <c r="V328" s="969">
        <f>HLOOKUP(B:B,$4:$10,7,FALSE)+((HLOOKUP(C:C,$4:$10,7,FALSE)-HLOOKUP(B:B,$4:$10,7,FALSE))*E328/F328)</f>
        <v/>
      </c>
      <c r="AB328" s="198">
        <f>$G328</f>
        <v/>
      </c>
      <c r="AC328" s="199">
        <f>$H328</f>
        <v/>
      </c>
      <c r="AD328" s="199">
        <f>$M328*AD$34</f>
        <v/>
      </c>
      <c r="AE328" s="199">
        <f>$M328*AE$34</f>
        <v/>
      </c>
      <c r="AF328" s="199">
        <f>$M328*AF$34</f>
        <v/>
      </c>
      <c r="AG328" s="199">
        <f>$M328*AG$34</f>
        <v/>
      </c>
      <c r="AH328" s="199">
        <f>$M328*AH$34</f>
        <v/>
      </c>
      <c r="AJ328" s="198">
        <f>$G328</f>
        <v/>
      </c>
      <c r="AK328" s="199">
        <f>$H328</f>
        <v/>
      </c>
      <c r="AL328" s="199">
        <f>$N328*AL$34</f>
        <v/>
      </c>
      <c r="AM328" s="199">
        <f>$N328*AM$34</f>
        <v/>
      </c>
      <c r="AN328" s="199">
        <f>$N328*AN$34</f>
        <v/>
      </c>
      <c r="AO328" s="199">
        <f>$N328*AO$34</f>
        <v/>
      </c>
      <c r="AP328" s="199">
        <f>$N328*AP$34</f>
        <v/>
      </c>
      <c r="AR328" s="198">
        <f>$G328</f>
        <v/>
      </c>
      <c r="AS328" s="199">
        <f>$H328</f>
        <v/>
      </c>
      <c r="AT328" s="199">
        <f>$O328*AT$34-$Q328</f>
        <v/>
      </c>
      <c r="AU328" s="199">
        <f>$O328*AU$34-$Q328</f>
        <v/>
      </c>
      <c r="AV328" s="199">
        <f>$O328*AV$34-$Q328</f>
        <v/>
      </c>
      <c r="AW328" s="199">
        <f>$O328*AW$34-$Q328</f>
        <v/>
      </c>
      <c r="AX328" s="199">
        <f>$O328*AX$34-$Q328</f>
        <v/>
      </c>
      <c r="AZ328" s="198">
        <f>$G328</f>
        <v/>
      </c>
      <c r="BA328" s="199">
        <f>$H328</f>
        <v/>
      </c>
      <c r="BB328" s="199">
        <f>$P328*BB$34-$Q328</f>
        <v/>
      </c>
      <c r="BC328" s="199">
        <f>$P328*BC$34-$Q328</f>
        <v/>
      </c>
      <c r="BD328" s="199">
        <f>$P328*BD$34-$Q328</f>
        <v/>
      </c>
      <c r="BE328" s="199">
        <f>$P328*BE$34-$Q328</f>
        <v/>
      </c>
      <c r="BF328" s="199">
        <f>$P328*BF$34-$Q328</f>
        <v/>
      </c>
      <c r="BH328" s="198">
        <f>$G328</f>
        <v/>
      </c>
      <c r="BI328" s="197">
        <f>$I328</f>
        <v/>
      </c>
      <c r="BJ328" s="197">
        <f>+BJ329</f>
        <v/>
      </c>
      <c r="BK328" s="197">
        <f>+BK329</f>
        <v/>
      </c>
      <c r="BL328" s="197">
        <f>+BL329</f>
        <v/>
      </c>
      <c r="BM328" s="197">
        <f>+BM329</f>
        <v/>
      </c>
      <c r="BN328" s="197">
        <f>+BN329</f>
        <v/>
      </c>
      <c r="BP328" s="198">
        <f>$G328</f>
        <v/>
      </c>
      <c r="BQ328" s="197">
        <f>$J328</f>
        <v/>
      </c>
      <c r="BR328" s="197">
        <f>+BR329</f>
        <v/>
      </c>
      <c r="BS328" s="197">
        <f>+BS329</f>
        <v/>
      </c>
      <c r="BT328" s="197">
        <f>+BT329</f>
        <v/>
      </c>
      <c r="BU328" s="197">
        <f>+BU329</f>
        <v/>
      </c>
      <c r="BV328" s="197">
        <f>+BV329</f>
        <v/>
      </c>
      <c r="BX328" s="198">
        <f>$G328</f>
        <v/>
      </c>
      <c r="BY328" s="197">
        <f>$K328</f>
        <v/>
      </c>
      <c r="BZ328" s="197">
        <f>+BZ329</f>
        <v/>
      </c>
      <c r="CA328" s="197">
        <f>+CA329</f>
        <v/>
      </c>
      <c r="CB328" s="197">
        <f>+CB329</f>
        <v/>
      </c>
      <c r="CC328" s="197">
        <f>+CC329</f>
        <v/>
      </c>
      <c r="CD328" s="197">
        <f>+CD329</f>
        <v/>
      </c>
      <c r="CF328" s="198">
        <f>$G328</f>
        <v/>
      </c>
      <c r="CG328" s="197">
        <f>$L328</f>
        <v/>
      </c>
      <c r="CH328" s="197">
        <f>+CH329</f>
        <v/>
      </c>
      <c r="CI328" s="197">
        <f>+CI329</f>
        <v/>
      </c>
      <c r="CJ328" s="197">
        <f>+CJ329</f>
        <v/>
      </c>
      <c r="CK328" s="197">
        <f>+CK329</f>
        <v/>
      </c>
      <c r="CL328" s="197">
        <f>+CL329</f>
        <v/>
      </c>
      <c r="CO328" s="199" t="n">
        <v>8.440463766786316</v>
      </c>
      <c r="CP328" s="199" t="n">
        <v>3.79</v>
      </c>
      <c r="CR328" s="199" t="n">
        <v>7.36</v>
      </c>
      <c r="CS328" s="970" t="n">
        <v>0.87199</v>
      </c>
    </row>
    <row r="329">
      <c r="B329" s="204">
        <f>+C329-1</f>
        <v/>
      </c>
      <c r="C329" s="204">
        <f>IF('bands_A-H_Avg'!$D$9+1&gt;MONTH(G329),YEAR(G329),YEAR(G329)+1)</f>
        <v/>
      </c>
      <c r="D329" s="204">
        <f>+C329+1</f>
        <v/>
      </c>
      <c r="E329" s="203">
        <f>IF(C329&gt;C328,1,E328+1)</f>
        <v/>
      </c>
      <c r="F329" s="203">
        <f>COUNTIF(C:C,C329)</f>
        <v/>
      </c>
      <c r="G329" s="198">
        <f>+G328+7</f>
        <v/>
      </c>
      <c r="H329" s="361">
        <f>IF(ISBLANK(CO329),CP329,SUMPRODUCT(CO$32:CP$32,CO329:CP329))</f>
        <v/>
      </c>
      <c r="I329" s="968">
        <f>H329/M329</f>
        <v/>
      </c>
      <c r="J329" s="968">
        <f>H329/N329</f>
        <v/>
      </c>
      <c r="K329" s="968">
        <f>(H329+Q329)/O329</f>
        <v/>
      </c>
      <c r="L329" s="968">
        <f>(H329+Q329)/P329</f>
        <v/>
      </c>
      <c r="M329" s="199">
        <f>HLOOKUP(C:C,$4:$10,3,FALSE)+((HLOOKUP(D:D,$4:$10,3,FALSE)-HLOOKUP(C:C,$4:$10,3,FALSE))*E329/F329)</f>
        <v/>
      </c>
      <c r="N329" s="199">
        <f>HLOOKUP(C:C,$4:$10,2,FALSE)+((HLOOKUP(D:D,$4:$10,2,FALSE)-HLOOKUP(C:C,$4:$10,2,FALSE))*E329/F329)</f>
        <v/>
      </c>
      <c r="O329" s="199">
        <f>HLOOKUP(C:C,$4:$10,5,FALSE)+((HLOOKUP(D:D,$4:$10,5,FALSE)-HLOOKUP(C:C,$4:$10,5,FALSE))*E329/F329)</f>
        <v/>
      </c>
      <c r="P329" s="199">
        <f>HLOOKUP(C:C,$4:$10,4,FALSE)+((HLOOKUP(D:D,$4:$10,4,FALSE)-HLOOKUP(C:C,$4:$10,4,FALSE))*E329/F329)</f>
        <v/>
      </c>
      <c r="Q329" s="199">
        <f>HLOOKUP(B:B,$4:$10,6,FALSE)+((HLOOKUP(C:C,$4:$10,6,FALSE)-HLOOKUP(B:B,$4:$10,6,FALSE))*E329/F329)</f>
        <v/>
      </c>
      <c r="T329" s="198">
        <f>$G329</f>
        <v/>
      </c>
      <c r="U329" s="199">
        <f>H329/(HLOOKUP(B:B,$4:$10,3,FALSE)+((HLOOKUP(C:C,$4:$10,3,FALSE)-HLOOKUP(B:B,$4:$10,3,FALSE))*E329/F329))</f>
        <v/>
      </c>
      <c r="V329" s="969">
        <f>HLOOKUP(B:B,$4:$10,7,FALSE)+((HLOOKUP(C:C,$4:$10,7,FALSE)-HLOOKUP(B:B,$4:$10,7,FALSE))*E329/F329)</f>
        <v/>
      </c>
      <c r="AB329" s="198">
        <f>$G329</f>
        <v/>
      </c>
      <c r="AC329" s="199">
        <f>$H329</f>
        <v/>
      </c>
      <c r="AD329" s="199">
        <f>$M329*AD$34</f>
        <v/>
      </c>
      <c r="AE329" s="199">
        <f>$M329*AE$34</f>
        <v/>
      </c>
      <c r="AF329" s="199">
        <f>$M329*AF$34</f>
        <v/>
      </c>
      <c r="AG329" s="199">
        <f>$M329*AG$34</f>
        <v/>
      </c>
      <c r="AH329" s="199">
        <f>$M329*AH$34</f>
        <v/>
      </c>
      <c r="AJ329" s="198">
        <f>$G329</f>
        <v/>
      </c>
      <c r="AK329" s="199">
        <f>$H329</f>
        <v/>
      </c>
      <c r="AL329" s="199">
        <f>$N329*AL$34</f>
        <v/>
      </c>
      <c r="AM329" s="199">
        <f>$N329*AM$34</f>
        <v/>
      </c>
      <c r="AN329" s="199">
        <f>$N329*AN$34</f>
        <v/>
      </c>
      <c r="AO329" s="199">
        <f>$N329*AO$34</f>
        <v/>
      </c>
      <c r="AP329" s="199">
        <f>$N329*AP$34</f>
        <v/>
      </c>
      <c r="AR329" s="198">
        <f>$G329</f>
        <v/>
      </c>
      <c r="AS329" s="199">
        <f>$H329</f>
        <v/>
      </c>
      <c r="AT329" s="199">
        <f>$O329*AT$34-$Q329</f>
        <v/>
      </c>
      <c r="AU329" s="199">
        <f>$O329*AU$34-$Q329</f>
        <v/>
      </c>
      <c r="AV329" s="199">
        <f>$O329*AV$34-$Q329</f>
        <v/>
      </c>
      <c r="AW329" s="199">
        <f>$O329*AW$34-$Q329</f>
        <v/>
      </c>
      <c r="AX329" s="199">
        <f>$O329*AX$34-$Q329</f>
        <v/>
      </c>
      <c r="AZ329" s="198">
        <f>$G329</f>
        <v/>
      </c>
      <c r="BA329" s="199">
        <f>$H329</f>
        <v/>
      </c>
      <c r="BB329" s="199">
        <f>$P329*BB$34-$Q329</f>
        <v/>
      </c>
      <c r="BC329" s="199">
        <f>$P329*BC$34-$Q329</f>
        <v/>
      </c>
      <c r="BD329" s="199">
        <f>$P329*BD$34-$Q329</f>
        <v/>
      </c>
      <c r="BE329" s="199">
        <f>$P329*BE$34-$Q329</f>
        <v/>
      </c>
      <c r="BF329" s="199">
        <f>$P329*BF$34-$Q329</f>
        <v/>
      </c>
      <c r="BH329" s="198">
        <f>$G329</f>
        <v/>
      </c>
      <c r="BI329" s="197">
        <f>$I329</f>
        <v/>
      </c>
      <c r="BJ329" s="197">
        <f>+BJ330</f>
        <v/>
      </c>
      <c r="BK329" s="197">
        <f>+BK330</f>
        <v/>
      </c>
      <c r="BL329" s="197">
        <f>+BL330</f>
        <v/>
      </c>
      <c r="BM329" s="197">
        <f>+BM330</f>
        <v/>
      </c>
      <c r="BN329" s="197">
        <f>+BN330</f>
        <v/>
      </c>
      <c r="BP329" s="198">
        <f>$G329</f>
        <v/>
      </c>
      <c r="BQ329" s="197">
        <f>$J329</f>
        <v/>
      </c>
      <c r="BR329" s="197">
        <f>+BR330</f>
        <v/>
      </c>
      <c r="BS329" s="197">
        <f>+BS330</f>
        <v/>
      </c>
      <c r="BT329" s="197">
        <f>+BT330</f>
        <v/>
      </c>
      <c r="BU329" s="197">
        <f>+BU330</f>
        <v/>
      </c>
      <c r="BV329" s="197">
        <f>+BV330</f>
        <v/>
      </c>
      <c r="BX329" s="198">
        <f>$G329</f>
        <v/>
      </c>
      <c r="BY329" s="197">
        <f>$K329</f>
        <v/>
      </c>
      <c r="BZ329" s="197">
        <f>+BZ330</f>
        <v/>
      </c>
      <c r="CA329" s="197">
        <f>+CA330</f>
        <v/>
      </c>
      <c r="CB329" s="197">
        <f>+CB330</f>
        <v/>
      </c>
      <c r="CC329" s="197">
        <f>+CC330</f>
        <v/>
      </c>
      <c r="CD329" s="197">
        <f>+CD330</f>
        <v/>
      </c>
      <c r="CF329" s="198">
        <f>$G329</f>
        <v/>
      </c>
      <c r="CG329" s="197">
        <f>$L329</f>
        <v/>
      </c>
      <c r="CH329" s="197">
        <f>+CH330</f>
        <v/>
      </c>
      <c r="CI329" s="197">
        <f>+CI330</f>
        <v/>
      </c>
      <c r="CJ329" s="197">
        <f>+CJ330</f>
        <v/>
      </c>
      <c r="CK329" s="197">
        <f>+CK330</f>
        <v/>
      </c>
      <c r="CL329" s="197">
        <f>+CL330</f>
        <v/>
      </c>
      <c r="CO329" s="199" t="n">
        <v>8.840347666971638</v>
      </c>
      <c r="CP329" s="199" t="n">
        <v>3.73</v>
      </c>
      <c r="CR329" s="199" t="n">
        <v>7.73</v>
      </c>
      <c r="CS329" s="970" t="n">
        <v>0.8744</v>
      </c>
    </row>
    <row r="330">
      <c r="B330" s="204">
        <f>+C330-1</f>
        <v/>
      </c>
      <c r="C330" s="204">
        <f>IF('bands_A-H_Avg'!$D$9+1&gt;MONTH(G330),YEAR(G330),YEAR(G330)+1)</f>
        <v/>
      </c>
      <c r="D330" s="204">
        <f>+C330+1</f>
        <v/>
      </c>
      <c r="E330" s="203">
        <f>IF(C330&gt;C329,1,E329+1)</f>
        <v/>
      </c>
      <c r="F330" s="203">
        <f>COUNTIF(C:C,C330)</f>
        <v/>
      </c>
      <c r="G330" s="198">
        <f>+G329+7</f>
        <v/>
      </c>
      <c r="H330" s="361">
        <f>IF(ISBLANK(CO330),CP330,SUMPRODUCT(CO$32:CP$32,CO330:CP330))</f>
        <v/>
      </c>
      <c r="I330" s="968">
        <f>H330/M330</f>
        <v/>
      </c>
      <c r="J330" s="968">
        <f>H330/N330</f>
        <v/>
      </c>
      <c r="K330" s="968">
        <f>(H330+Q330)/O330</f>
        <v/>
      </c>
      <c r="L330" s="968">
        <f>(H330+Q330)/P330</f>
        <v/>
      </c>
      <c r="M330" s="199">
        <f>HLOOKUP(C:C,$4:$10,3,FALSE)+((HLOOKUP(D:D,$4:$10,3,FALSE)-HLOOKUP(C:C,$4:$10,3,FALSE))*E330/F330)</f>
        <v/>
      </c>
      <c r="N330" s="199">
        <f>HLOOKUP(C:C,$4:$10,2,FALSE)+((HLOOKUP(D:D,$4:$10,2,FALSE)-HLOOKUP(C:C,$4:$10,2,FALSE))*E330/F330)</f>
        <v/>
      </c>
      <c r="O330" s="199">
        <f>HLOOKUP(C:C,$4:$10,5,FALSE)+((HLOOKUP(D:D,$4:$10,5,FALSE)-HLOOKUP(C:C,$4:$10,5,FALSE))*E330/F330)</f>
        <v/>
      </c>
      <c r="P330" s="199">
        <f>HLOOKUP(C:C,$4:$10,4,FALSE)+((HLOOKUP(D:D,$4:$10,4,FALSE)-HLOOKUP(C:C,$4:$10,4,FALSE))*E330/F330)</f>
        <v/>
      </c>
      <c r="Q330" s="199">
        <f>HLOOKUP(B:B,$4:$10,6,FALSE)+((HLOOKUP(C:C,$4:$10,6,FALSE)-HLOOKUP(B:B,$4:$10,6,FALSE))*E330/F330)</f>
        <v/>
      </c>
      <c r="T330" s="198">
        <f>$G330</f>
        <v/>
      </c>
      <c r="U330" s="199">
        <f>H330/(HLOOKUP(B:B,$4:$10,3,FALSE)+((HLOOKUP(C:C,$4:$10,3,FALSE)-HLOOKUP(B:B,$4:$10,3,FALSE))*E330/F330))</f>
        <v/>
      </c>
      <c r="V330" s="969">
        <f>HLOOKUP(B:B,$4:$10,7,FALSE)+((HLOOKUP(C:C,$4:$10,7,FALSE)-HLOOKUP(B:B,$4:$10,7,FALSE))*E330/F330)</f>
        <v/>
      </c>
      <c r="AB330" s="198">
        <f>$G330</f>
        <v/>
      </c>
      <c r="AC330" s="199">
        <f>$H330</f>
        <v/>
      </c>
      <c r="AD330" s="199">
        <f>$M330*AD$34</f>
        <v/>
      </c>
      <c r="AE330" s="199">
        <f>$M330*AE$34</f>
        <v/>
      </c>
      <c r="AF330" s="199">
        <f>$M330*AF$34</f>
        <v/>
      </c>
      <c r="AG330" s="199">
        <f>$M330*AG$34</f>
        <v/>
      </c>
      <c r="AH330" s="199">
        <f>$M330*AH$34</f>
        <v/>
      </c>
      <c r="AJ330" s="198">
        <f>$G330</f>
        <v/>
      </c>
      <c r="AK330" s="199">
        <f>$H330</f>
        <v/>
      </c>
      <c r="AL330" s="199">
        <f>$N330*AL$34</f>
        <v/>
      </c>
      <c r="AM330" s="199">
        <f>$N330*AM$34</f>
        <v/>
      </c>
      <c r="AN330" s="199">
        <f>$N330*AN$34</f>
        <v/>
      </c>
      <c r="AO330" s="199">
        <f>$N330*AO$34</f>
        <v/>
      </c>
      <c r="AP330" s="199">
        <f>$N330*AP$34</f>
        <v/>
      </c>
      <c r="AR330" s="198">
        <f>$G330</f>
        <v/>
      </c>
      <c r="AS330" s="199">
        <f>$H330</f>
        <v/>
      </c>
      <c r="AT330" s="199">
        <f>$O330*AT$34-$Q330</f>
        <v/>
      </c>
      <c r="AU330" s="199">
        <f>$O330*AU$34-$Q330</f>
        <v/>
      </c>
      <c r="AV330" s="199">
        <f>$O330*AV$34-$Q330</f>
        <v/>
      </c>
      <c r="AW330" s="199">
        <f>$O330*AW$34-$Q330</f>
        <v/>
      </c>
      <c r="AX330" s="199">
        <f>$O330*AX$34-$Q330</f>
        <v/>
      </c>
      <c r="AZ330" s="198">
        <f>$G330</f>
        <v/>
      </c>
      <c r="BA330" s="199">
        <f>$H330</f>
        <v/>
      </c>
      <c r="BB330" s="199">
        <f>$P330*BB$34-$Q330</f>
        <v/>
      </c>
      <c r="BC330" s="199">
        <f>$P330*BC$34-$Q330</f>
        <v/>
      </c>
      <c r="BD330" s="199">
        <f>$P330*BD$34-$Q330</f>
        <v/>
      </c>
      <c r="BE330" s="199">
        <f>$P330*BE$34-$Q330</f>
        <v/>
      </c>
      <c r="BF330" s="199">
        <f>$P330*BF$34-$Q330</f>
        <v/>
      </c>
      <c r="BH330" s="198">
        <f>$G330</f>
        <v/>
      </c>
      <c r="BI330" s="197">
        <f>$I330</f>
        <v/>
      </c>
      <c r="BJ330" s="197">
        <f>+BJ331</f>
        <v/>
      </c>
      <c r="BK330" s="197">
        <f>+BK331</f>
        <v/>
      </c>
      <c r="BL330" s="197">
        <f>+BL331</f>
        <v/>
      </c>
      <c r="BM330" s="197">
        <f>+BM331</f>
        <v/>
      </c>
      <c r="BN330" s="197">
        <f>+BN331</f>
        <v/>
      </c>
      <c r="BP330" s="198">
        <f>$G330</f>
        <v/>
      </c>
      <c r="BQ330" s="197">
        <f>$J330</f>
        <v/>
      </c>
      <c r="BR330" s="197">
        <f>+BR331</f>
        <v/>
      </c>
      <c r="BS330" s="197">
        <f>+BS331</f>
        <v/>
      </c>
      <c r="BT330" s="197">
        <f>+BT331</f>
        <v/>
      </c>
      <c r="BU330" s="197">
        <f>+BU331</f>
        <v/>
      </c>
      <c r="BV330" s="197">
        <f>+BV331</f>
        <v/>
      </c>
      <c r="BX330" s="198">
        <f>$G330</f>
        <v/>
      </c>
      <c r="BY330" s="197">
        <f>$K330</f>
        <v/>
      </c>
      <c r="BZ330" s="197">
        <f>+BZ331</f>
        <v/>
      </c>
      <c r="CA330" s="197">
        <f>+CA331</f>
        <v/>
      </c>
      <c r="CB330" s="197">
        <f>+CB331</f>
        <v/>
      </c>
      <c r="CC330" s="197">
        <f>+CC331</f>
        <v/>
      </c>
      <c r="CD330" s="197">
        <f>+CD331</f>
        <v/>
      </c>
      <c r="CF330" s="198">
        <f>$G330</f>
        <v/>
      </c>
      <c r="CG330" s="197">
        <f>$L330</f>
        <v/>
      </c>
      <c r="CH330" s="197">
        <f>+CH331</f>
        <v/>
      </c>
      <c r="CI330" s="197">
        <f>+CI331</f>
        <v/>
      </c>
      <c r="CJ330" s="197">
        <f>+CJ331</f>
        <v/>
      </c>
      <c r="CK330" s="197">
        <f>+CK331</f>
        <v/>
      </c>
      <c r="CL330" s="197">
        <f>+CL331</f>
        <v/>
      </c>
      <c r="CO330" s="199" t="n">
        <v>8.655134120233095</v>
      </c>
      <c r="CP330" s="199" t="n">
        <v>3.71</v>
      </c>
      <c r="CR330" s="199" t="n">
        <v>7.56</v>
      </c>
      <c r="CS330" s="970" t="n">
        <v>0.87347</v>
      </c>
    </row>
    <row r="331">
      <c r="B331" s="204">
        <f>+C331-1</f>
        <v/>
      </c>
      <c r="C331" s="204">
        <f>IF('bands_A-H_Avg'!$D$9+1&gt;MONTH(G331),YEAR(G331),YEAR(G331)+1)</f>
        <v/>
      </c>
      <c r="D331" s="204">
        <f>+C331+1</f>
        <v/>
      </c>
      <c r="E331" s="203">
        <f>IF(C331&gt;C330,1,E330+1)</f>
        <v/>
      </c>
      <c r="F331" s="203">
        <f>COUNTIF(C:C,C331)</f>
        <v/>
      </c>
      <c r="G331" s="198">
        <f>+G330+7</f>
        <v/>
      </c>
      <c r="H331" s="361">
        <f>IF(ISBLANK(CO331),CP331,SUMPRODUCT(CO$32:CP$32,CO331:CP331))</f>
        <v/>
      </c>
      <c r="I331" s="968">
        <f>H331/M331</f>
        <v/>
      </c>
      <c r="J331" s="968">
        <f>H331/N331</f>
        <v/>
      </c>
      <c r="K331" s="968">
        <f>(H331+Q331)/O331</f>
        <v/>
      </c>
      <c r="L331" s="968">
        <f>(H331+Q331)/P331</f>
        <v/>
      </c>
      <c r="M331" s="199">
        <f>HLOOKUP(C:C,$4:$10,3,FALSE)+((HLOOKUP(D:D,$4:$10,3,FALSE)-HLOOKUP(C:C,$4:$10,3,FALSE))*E331/F331)</f>
        <v/>
      </c>
      <c r="N331" s="199">
        <f>HLOOKUP(C:C,$4:$10,2,FALSE)+((HLOOKUP(D:D,$4:$10,2,FALSE)-HLOOKUP(C:C,$4:$10,2,FALSE))*E331/F331)</f>
        <v/>
      </c>
      <c r="O331" s="199">
        <f>HLOOKUP(C:C,$4:$10,5,FALSE)+((HLOOKUP(D:D,$4:$10,5,FALSE)-HLOOKUP(C:C,$4:$10,5,FALSE))*E331/F331)</f>
        <v/>
      </c>
      <c r="P331" s="199">
        <f>HLOOKUP(C:C,$4:$10,4,FALSE)+((HLOOKUP(D:D,$4:$10,4,FALSE)-HLOOKUP(C:C,$4:$10,4,FALSE))*E331/F331)</f>
        <v/>
      </c>
      <c r="Q331" s="199">
        <f>HLOOKUP(B:B,$4:$10,6,FALSE)+((HLOOKUP(C:C,$4:$10,6,FALSE)-HLOOKUP(B:B,$4:$10,6,FALSE))*E331/F331)</f>
        <v/>
      </c>
      <c r="T331" s="198">
        <f>$G331</f>
        <v/>
      </c>
      <c r="U331" s="199">
        <f>H331/(HLOOKUP(B:B,$4:$10,3,FALSE)+((HLOOKUP(C:C,$4:$10,3,FALSE)-HLOOKUP(B:B,$4:$10,3,FALSE))*E331/F331))</f>
        <v/>
      </c>
      <c r="V331" s="969">
        <f>HLOOKUP(B:B,$4:$10,7,FALSE)+((HLOOKUP(C:C,$4:$10,7,FALSE)-HLOOKUP(B:B,$4:$10,7,FALSE))*E331/F331)</f>
        <v/>
      </c>
      <c r="AB331" s="198">
        <f>$G331</f>
        <v/>
      </c>
      <c r="AC331" s="199">
        <f>$H331</f>
        <v/>
      </c>
      <c r="AD331" s="199">
        <f>$M331*AD$34</f>
        <v/>
      </c>
      <c r="AE331" s="199">
        <f>$M331*AE$34</f>
        <v/>
      </c>
      <c r="AF331" s="199">
        <f>$M331*AF$34</f>
        <v/>
      </c>
      <c r="AG331" s="199">
        <f>$M331*AG$34</f>
        <v/>
      </c>
      <c r="AH331" s="199">
        <f>$M331*AH$34</f>
        <v/>
      </c>
      <c r="AJ331" s="198">
        <f>$G331</f>
        <v/>
      </c>
      <c r="AK331" s="199">
        <f>$H331</f>
        <v/>
      </c>
      <c r="AL331" s="199">
        <f>$N331*AL$34</f>
        <v/>
      </c>
      <c r="AM331" s="199">
        <f>$N331*AM$34</f>
        <v/>
      </c>
      <c r="AN331" s="199">
        <f>$N331*AN$34</f>
        <v/>
      </c>
      <c r="AO331" s="199">
        <f>$N331*AO$34</f>
        <v/>
      </c>
      <c r="AP331" s="199">
        <f>$N331*AP$34</f>
        <v/>
      </c>
      <c r="AR331" s="198">
        <f>$G331</f>
        <v/>
      </c>
      <c r="AS331" s="199">
        <f>$H331</f>
        <v/>
      </c>
      <c r="AT331" s="199">
        <f>$O331*AT$34-$Q331</f>
        <v/>
      </c>
      <c r="AU331" s="199">
        <f>$O331*AU$34-$Q331</f>
        <v/>
      </c>
      <c r="AV331" s="199">
        <f>$O331*AV$34-$Q331</f>
        <v/>
      </c>
      <c r="AW331" s="199">
        <f>$O331*AW$34-$Q331</f>
        <v/>
      </c>
      <c r="AX331" s="199">
        <f>$O331*AX$34-$Q331</f>
        <v/>
      </c>
      <c r="AZ331" s="198">
        <f>$G331</f>
        <v/>
      </c>
      <c r="BA331" s="199">
        <f>$H331</f>
        <v/>
      </c>
      <c r="BB331" s="199">
        <f>$P331*BB$34-$Q331</f>
        <v/>
      </c>
      <c r="BC331" s="199">
        <f>$P331*BC$34-$Q331</f>
        <v/>
      </c>
      <c r="BD331" s="199">
        <f>$P331*BD$34-$Q331</f>
        <v/>
      </c>
      <c r="BE331" s="199">
        <f>$P331*BE$34-$Q331</f>
        <v/>
      </c>
      <c r="BF331" s="199">
        <f>$P331*BF$34-$Q331</f>
        <v/>
      </c>
      <c r="BH331" s="198">
        <f>$G331</f>
        <v/>
      </c>
      <c r="BI331" s="197">
        <f>$I331</f>
        <v/>
      </c>
      <c r="BJ331" s="197">
        <f>+BJ332</f>
        <v/>
      </c>
      <c r="BK331" s="197">
        <f>+BK332</f>
        <v/>
      </c>
      <c r="BL331" s="197">
        <f>+BL332</f>
        <v/>
      </c>
      <c r="BM331" s="197">
        <f>+BM332</f>
        <v/>
      </c>
      <c r="BN331" s="197">
        <f>+BN332</f>
        <v/>
      </c>
      <c r="BP331" s="198">
        <f>$G331</f>
        <v/>
      </c>
      <c r="BQ331" s="197">
        <f>$J331</f>
        <v/>
      </c>
      <c r="BR331" s="197">
        <f>+BR332</f>
        <v/>
      </c>
      <c r="BS331" s="197">
        <f>+BS332</f>
        <v/>
      </c>
      <c r="BT331" s="197">
        <f>+BT332</f>
        <v/>
      </c>
      <c r="BU331" s="197">
        <f>+BU332</f>
        <v/>
      </c>
      <c r="BV331" s="197">
        <f>+BV332</f>
        <v/>
      </c>
      <c r="BX331" s="198">
        <f>$G331</f>
        <v/>
      </c>
      <c r="BY331" s="197">
        <f>$K331</f>
        <v/>
      </c>
      <c r="BZ331" s="197">
        <f>+BZ332</f>
        <v/>
      </c>
      <c r="CA331" s="197">
        <f>+CA332</f>
        <v/>
      </c>
      <c r="CB331" s="197">
        <f>+CB332</f>
        <v/>
      </c>
      <c r="CC331" s="197">
        <f>+CC332</f>
        <v/>
      </c>
      <c r="CD331" s="197">
        <f>+CD332</f>
        <v/>
      </c>
      <c r="CF331" s="198">
        <f>$G331</f>
        <v/>
      </c>
      <c r="CG331" s="197">
        <f>$L331</f>
        <v/>
      </c>
      <c r="CH331" s="197">
        <f>+CH332</f>
        <v/>
      </c>
      <c r="CI331" s="197">
        <f>+CI332</f>
        <v/>
      </c>
      <c r="CJ331" s="197">
        <f>+CJ332</f>
        <v/>
      </c>
      <c r="CK331" s="197">
        <f>+CK332</f>
        <v/>
      </c>
      <c r="CL331" s="197">
        <f>+CL332</f>
        <v/>
      </c>
      <c r="CO331" s="199" t="n">
        <v>8.501435976063251</v>
      </c>
      <c r="CP331" s="199" t="n">
        <v>3.5</v>
      </c>
      <c r="CR331" s="199" t="n">
        <v>7.43</v>
      </c>
      <c r="CS331" s="970" t="n">
        <v>0.87397</v>
      </c>
    </row>
    <row r="332">
      <c r="B332" s="204">
        <f>+C332-1</f>
        <v/>
      </c>
      <c r="C332" s="204">
        <f>IF('bands_A-H_Avg'!$D$9+1&gt;MONTH(G332),YEAR(G332),YEAR(G332)+1)</f>
        <v/>
      </c>
      <c r="D332" s="204">
        <f>+C332+1</f>
        <v/>
      </c>
      <c r="E332" s="203">
        <f>IF(C332&gt;C331,1,E331+1)</f>
        <v/>
      </c>
      <c r="F332" s="203">
        <f>COUNTIF(C:C,C332)</f>
        <v/>
      </c>
      <c r="G332" s="198">
        <f>+G331+7</f>
        <v/>
      </c>
      <c r="H332" s="361">
        <f>IF(ISBLANK(CO332),CP332,SUMPRODUCT(CO$32:CP$32,CO332:CP332))</f>
        <v/>
      </c>
      <c r="I332" s="968">
        <f>H332/M332</f>
        <v/>
      </c>
      <c r="J332" s="968">
        <f>H332/N332</f>
        <v/>
      </c>
      <c r="K332" s="968">
        <f>(H332+Q332)/O332</f>
        <v/>
      </c>
      <c r="L332" s="968">
        <f>(H332+Q332)/P332</f>
        <v/>
      </c>
      <c r="M332" s="199">
        <f>HLOOKUP(C:C,$4:$10,3,FALSE)+((HLOOKUP(D:D,$4:$10,3,FALSE)-HLOOKUP(C:C,$4:$10,3,FALSE))*E332/F332)</f>
        <v/>
      </c>
      <c r="N332" s="199">
        <f>HLOOKUP(C:C,$4:$10,2,FALSE)+((HLOOKUP(D:D,$4:$10,2,FALSE)-HLOOKUP(C:C,$4:$10,2,FALSE))*E332/F332)</f>
        <v/>
      </c>
      <c r="O332" s="199">
        <f>HLOOKUP(C:C,$4:$10,5,FALSE)+((HLOOKUP(D:D,$4:$10,5,FALSE)-HLOOKUP(C:C,$4:$10,5,FALSE))*E332/F332)</f>
        <v/>
      </c>
      <c r="P332" s="199">
        <f>HLOOKUP(C:C,$4:$10,4,FALSE)+((HLOOKUP(D:D,$4:$10,4,FALSE)-HLOOKUP(C:C,$4:$10,4,FALSE))*E332/F332)</f>
        <v/>
      </c>
      <c r="Q332" s="199">
        <f>HLOOKUP(B:B,$4:$10,6,FALSE)+((HLOOKUP(C:C,$4:$10,6,FALSE)-HLOOKUP(B:B,$4:$10,6,FALSE))*E332/F332)</f>
        <v/>
      </c>
      <c r="T332" s="198">
        <f>$G332</f>
        <v/>
      </c>
      <c r="U332" s="199">
        <f>H332/(HLOOKUP(B:B,$4:$10,3,FALSE)+((HLOOKUP(C:C,$4:$10,3,FALSE)-HLOOKUP(B:B,$4:$10,3,FALSE))*E332/F332))</f>
        <v/>
      </c>
      <c r="V332" s="969">
        <f>HLOOKUP(B:B,$4:$10,7,FALSE)+((HLOOKUP(C:C,$4:$10,7,FALSE)-HLOOKUP(B:B,$4:$10,7,FALSE))*E332/F332)</f>
        <v/>
      </c>
      <c r="AB332" s="198">
        <f>$G332</f>
        <v/>
      </c>
      <c r="AC332" s="199">
        <f>$H332</f>
        <v/>
      </c>
      <c r="AD332" s="199">
        <f>$M332*AD$34</f>
        <v/>
      </c>
      <c r="AE332" s="199">
        <f>$M332*AE$34</f>
        <v/>
      </c>
      <c r="AF332" s="199">
        <f>$M332*AF$34</f>
        <v/>
      </c>
      <c r="AG332" s="199">
        <f>$M332*AG$34</f>
        <v/>
      </c>
      <c r="AH332" s="199">
        <f>$M332*AH$34</f>
        <v/>
      </c>
      <c r="AJ332" s="198">
        <f>$G332</f>
        <v/>
      </c>
      <c r="AK332" s="199">
        <f>$H332</f>
        <v/>
      </c>
      <c r="AL332" s="199">
        <f>$N332*AL$34</f>
        <v/>
      </c>
      <c r="AM332" s="199">
        <f>$N332*AM$34</f>
        <v/>
      </c>
      <c r="AN332" s="199">
        <f>$N332*AN$34</f>
        <v/>
      </c>
      <c r="AO332" s="199">
        <f>$N332*AO$34</f>
        <v/>
      </c>
      <c r="AP332" s="199">
        <f>$N332*AP$34</f>
        <v/>
      </c>
      <c r="AR332" s="198">
        <f>$G332</f>
        <v/>
      </c>
      <c r="AS332" s="199">
        <f>$H332</f>
        <v/>
      </c>
      <c r="AT332" s="199">
        <f>$O332*AT$34-$Q332</f>
        <v/>
      </c>
      <c r="AU332" s="199">
        <f>$O332*AU$34-$Q332</f>
        <v/>
      </c>
      <c r="AV332" s="199">
        <f>$O332*AV$34-$Q332</f>
        <v/>
      </c>
      <c r="AW332" s="199">
        <f>$O332*AW$34-$Q332</f>
        <v/>
      </c>
      <c r="AX332" s="199">
        <f>$O332*AX$34-$Q332</f>
        <v/>
      </c>
      <c r="AZ332" s="198">
        <f>$G332</f>
        <v/>
      </c>
      <c r="BA332" s="199">
        <f>$H332</f>
        <v/>
      </c>
      <c r="BB332" s="199">
        <f>$P332*BB$34-$Q332</f>
        <v/>
      </c>
      <c r="BC332" s="199">
        <f>$P332*BC$34-$Q332</f>
        <v/>
      </c>
      <c r="BD332" s="199">
        <f>$P332*BD$34-$Q332</f>
        <v/>
      </c>
      <c r="BE332" s="199">
        <f>$P332*BE$34-$Q332</f>
        <v/>
      </c>
      <c r="BF332" s="199">
        <f>$P332*BF$34-$Q332</f>
        <v/>
      </c>
      <c r="BH332" s="198">
        <f>$G332</f>
        <v/>
      </c>
      <c r="BI332" s="197">
        <f>$I332</f>
        <v/>
      </c>
      <c r="BJ332" s="197">
        <f>+BJ333</f>
        <v/>
      </c>
      <c r="BK332" s="197">
        <f>+BK333</f>
        <v/>
      </c>
      <c r="BL332" s="197">
        <f>+BL333</f>
        <v/>
      </c>
      <c r="BM332" s="197">
        <f>+BM333</f>
        <v/>
      </c>
      <c r="BN332" s="197">
        <f>+BN333</f>
        <v/>
      </c>
      <c r="BP332" s="198">
        <f>$G332</f>
        <v/>
      </c>
      <c r="BQ332" s="197">
        <f>$J332</f>
        <v/>
      </c>
      <c r="BR332" s="197">
        <f>+BR333</f>
        <v/>
      </c>
      <c r="BS332" s="197">
        <f>+BS333</f>
        <v/>
      </c>
      <c r="BT332" s="197">
        <f>+BT333</f>
        <v/>
      </c>
      <c r="BU332" s="197">
        <f>+BU333</f>
        <v/>
      </c>
      <c r="BV332" s="197">
        <f>+BV333</f>
        <v/>
      </c>
      <c r="BX332" s="198">
        <f>$G332</f>
        <v/>
      </c>
      <c r="BY332" s="197">
        <f>$K332</f>
        <v/>
      </c>
      <c r="BZ332" s="197">
        <f>+BZ333</f>
        <v/>
      </c>
      <c r="CA332" s="197">
        <f>+CA333</f>
        <v/>
      </c>
      <c r="CB332" s="197">
        <f>+CB333</f>
        <v/>
      </c>
      <c r="CC332" s="197">
        <f>+CC333</f>
        <v/>
      </c>
      <c r="CD332" s="197">
        <f>+CD333</f>
        <v/>
      </c>
      <c r="CF332" s="198">
        <f>$G332</f>
        <v/>
      </c>
      <c r="CG332" s="197">
        <f>$L332</f>
        <v/>
      </c>
      <c r="CH332" s="197">
        <f>+CH333</f>
        <v/>
      </c>
      <c r="CI332" s="197">
        <f>+CI333</f>
        <v/>
      </c>
      <c r="CJ332" s="197">
        <f>+CJ333</f>
        <v/>
      </c>
      <c r="CK332" s="197">
        <f>+CK333</f>
        <v/>
      </c>
      <c r="CL332" s="197">
        <f>+CL333</f>
        <v/>
      </c>
      <c r="CO332" s="199" t="n">
        <v>9.114375128492131</v>
      </c>
      <c r="CP332" s="199" t="n">
        <v>3.67</v>
      </c>
      <c r="CR332" s="199" t="n">
        <v>7.98</v>
      </c>
      <c r="CS332" s="970" t="n">
        <v>0.87554</v>
      </c>
    </row>
    <row r="333">
      <c r="B333" s="204">
        <f>+C333-1</f>
        <v/>
      </c>
      <c r="C333" s="204">
        <f>IF('bands_A-H_Avg'!$D$9+1&gt;MONTH(G333),YEAR(G333),YEAR(G333)+1)</f>
        <v/>
      </c>
      <c r="D333" s="204">
        <f>+C333+1</f>
        <v/>
      </c>
      <c r="E333" s="203">
        <f>IF(C333&gt;C332,1,E332+1)</f>
        <v/>
      </c>
      <c r="F333" s="203">
        <f>COUNTIF(C:C,C333)</f>
        <v/>
      </c>
      <c r="G333" s="198">
        <f>+G332+7</f>
        <v/>
      </c>
      <c r="H333" s="361">
        <f>IF(ISBLANK(CO333),CP333,SUMPRODUCT(CO$32:CP$32,CO333:CP333))</f>
        <v/>
      </c>
      <c r="I333" s="968">
        <f>H333/M333</f>
        <v/>
      </c>
      <c r="J333" s="968">
        <f>H333/N333</f>
        <v/>
      </c>
      <c r="K333" s="968">
        <f>(H333+Q333)/O333</f>
        <v/>
      </c>
      <c r="L333" s="968">
        <f>(H333+Q333)/P333</f>
        <v/>
      </c>
      <c r="M333" s="199">
        <f>HLOOKUP(C:C,$4:$10,3,FALSE)+((HLOOKUP(D:D,$4:$10,3,FALSE)-HLOOKUP(C:C,$4:$10,3,FALSE))*E333/F333)</f>
        <v/>
      </c>
      <c r="N333" s="199">
        <f>HLOOKUP(C:C,$4:$10,2,FALSE)+((HLOOKUP(D:D,$4:$10,2,FALSE)-HLOOKUP(C:C,$4:$10,2,FALSE))*E333/F333)</f>
        <v/>
      </c>
      <c r="O333" s="199">
        <f>HLOOKUP(C:C,$4:$10,5,FALSE)+((HLOOKUP(D:D,$4:$10,5,FALSE)-HLOOKUP(C:C,$4:$10,5,FALSE))*E333/F333)</f>
        <v/>
      </c>
      <c r="P333" s="199">
        <f>HLOOKUP(C:C,$4:$10,4,FALSE)+((HLOOKUP(D:D,$4:$10,4,FALSE)-HLOOKUP(C:C,$4:$10,4,FALSE))*E333/F333)</f>
        <v/>
      </c>
      <c r="Q333" s="199">
        <f>HLOOKUP(B:B,$4:$10,6,FALSE)+((HLOOKUP(C:C,$4:$10,6,FALSE)-HLOOKUP(B:B,$4:$10,6,FALSE))*E333/F333)</f>
        <v/>
      </c>
      <c r="T333" s="198">
        <f>$G333</f>
        <v/>
      </c>
      <c r="U333" s="199">
        <f>H333/(HLOOKUP(B:B,$4:$10,3,FALSE)+((HLOOKUP(C:C,$4:$10,3,FALSE)-HLOOKUP(B:B,$4:$10,3,FALSE))*E333/F333))</f>
        <v/>
      </c>
      <c r="V333" s="969">
        <f>HLOOKUP(B:B,$4:$10,7,FALSE)+((HLOOKUP(C:C,$4:$10,7,FALSE)-HLOOKUP(B:B,$4:$10,7,FALSE))*E333/F333)</f>
        <v/>
      </c>
      <c r="AB333" s="198">
        <f>$G333</f>
        <v/>
      </c>
      <c r="AC333" s="199">
        <f>$H333</f>
        <v/>
      </c>
      <c r="AD333" s="199">
        <f>$M333*AD$34</f>
        <v/>
      </c>
      <c r="AE333" s="199">
        <f>$M333*AE$34</f>
        <v/>
      </c>
      <c r="AF333" s="199">
        <f>$M333*AF$34</f>
        <v/>
      </c>
      <c r="AG333" s="199">
        <f>$M333*AG$34</f>
        <v/>
      </c>
      <c r="AH333" s="199">
        <f>$M333*AH$34</f>
        <v/>
      </c>
      <c r="AJ333" s="198">
        <f>$G333</f>
        <v/>
      </c>
      <c r="AK333" s="199">
        <f>$H333</f>
        <v/>
      </c>
      <c r="AL333" s="199">
        <f>$N333*AL$34</f>
        <v/>
      </c>
      <c r="AM333" s="199">
        <f>$N333*AM$34</f>
        <v/>
      </c>
      <c r="AN333" s="199">
        <f>$N333*AN$34</f>
        <v/>
      </c>
      <c r="AO333" s="199">
        <f>$N333*AO$34</f>
        <v/>
      </c>
      <c r="AP333" s="199">
        <f>$N333*AP$34</f>
        <v/>
      </c>
      <c r="AR333" s="198">
        <f>$G333</f>
        <v/>
      </c>
      <c r="AS333" s="199">
        <f>$H333</f>
        <v/>
      </c>
      <c r="AT333" s="199">
        <f>$O333*AT$34-$Q333</f>
        <v/>
      </c>
      <c r="AU333" s="199">
        <f>$O333*AU$34-$Q333</f>
        <v/>
      </c>
      <c r="AV333" s="199">
        <f>$O333*AV$34-$Q333</f>
        <v/>
      </c>
      <c r="AW333" s="199">
        <f>$O333*AW$34-$Q333</f>
        <v/>
      </c>
      <c r="AX333" s="199">
        <f>$O333*AX$34-$Q333</f>
        <v/>
      </c>
      <c r="AZ333" s="198">
        <f>$G333</f>
        <v/>
      </c>
      <c r="BA333" s="199">
        <f>$H333</f>
        <v/>
      </c>
      <c r="BB333" s="199">
        <f>$P333*BB$34-$Q333</f>
        <v/>
      </c>
      <c r="BC333" s="199">
        <f>$P333*BC$34-$Q333</f>
        <v/>
      </c>
      <c r="BD333" s="199">
        <f>$P333*BD$34-$Q333</f>
        <v/>
      </c>
      <c r="BE333" s="199">
        <f>$P333*BE$34-$Q333</f>
        <v/>
      </c>
      <c r="BF333" s="199">
        <f>$P333*BF$34-$Q333</f>
        <v/>
      </c>
      <c r="BH333" s="198">
        <f>$G333</f>
        <v/>
      </c>
      <c r="BI333" s="197">
        <f>$I333</f>
        <v/>
      </c>
      <c r="BJ333" s="197">
        <f>+BJ334</f>
        <v/>
      </c>
      <c r="BK333" s="197">
        <f>+BK334</f>
        <v/>
      </c>
      <c r="BL333" s="197">
        <f>+BL334</f>
        <v/>
      </c>
      <c r="BM333" s="197">
        <f>+BM334</f>
        <v/>
      </c>
      <c r="BN333" s="197">
        <f>+BN334</f>
        <v/>
      </c>
      <c r="BP333" s="198">
        <f>$G333</f>
        <v/>
      </c>
      <c r="BQ333" s="197">
        <f>$J333</f>
        <v/>
      </c>
      <c r="BR333" s="197">
        <f>+BR334</f>
        <v/>
      </c>
      <c r="BS333" s="197">
        <f>+BS334</f>
        <v/>
      </c>
      <c r="BT333" s="197">
        <f>+BT334</f>
        <v/>
      </c>
      <c r="BU333" s="197">
        <f>+BU334</f>
        <v/>
      </c>
      <c r="BV333" s="197">
        <f>+BV334</f>
        <v/>
      </c>
      <c r="BX333" s="198">
        <f>$G333</f>
        <v/>
      </c>
      <c r="BY333" s="197">
        <f>$K333</f>
        <v/>
      </c>
      <c r="BZ333" s="197">
        <f>+BZ334</f>
        <v/>
      </c>
      <c r="CA333" s="197">
        <f>+CA334</f>
        <v/>
      </c>
      <c r="CB333" s="197">
        <f>+CB334</f>
        <v/>
      </c>
      <c r="CC333" s="197">
        <f>+CC334</f>
        <v/>
      </c>
      <c r="CD333" s="197">
        <f>+CD334</f>
        <v/>
      </c>
      <c r="CF333" s="198">
        <f>$G333</f>
        <v/>
      </c>
      <c r="CG333" s="197">
        <f>$L333</f>
        <v/>
      </c>
      <c r="CH333" s="197">
        <f>+CH334</f>
        <v/>
      </c>
      <c r="CI333" s="197">
        <f>+CI334</f>
        <v/>
      </c>
      <c r="CJ333" s="197">
        <f>+CJ334</f>
        <v/>
      </c>
      <c r="CK333" s="197">
        <f>+CK334</f>
        <v/>
      </c>
      <c r="CL333" s="197">
        <f>+CL334</f>
        <v/>
      </c>
      <c r="CO333" s="199" t="n">
        <v>9.283591338374855</v>
      </c>
      <c r="CP333" s="199" t="n">
        <v>3.87</v>
      </c>
      <c r="CR333" s="199" t="n">
        <v>8.09</v>
      </c>
      <c r="CS333" s="970" t="n">
        <v>0.87143</v>
      </c>
    </row>
    <row r="334">
      <c r="B334" s="204">
        <f>+C334-1</f>
        <v/>
      </c>
      <c r="C334" s="204">
        <f>IF('bands_A-H_Avg'!$D$9+1&gt;MONTH(G334),YEAR(G334),YEAR(G334)+1)</f>
        <v/>
      </c>
      <c r="D334" s="204">
        <f>+C334+1</f>
        <v/>
      </c>
      <c r="E334" s="203">
        <f>IF(C334&gt;C333,1,E333+1)</f>
        <v/>
      </c>
      <c r="F334" s="203">
        <f>COUNTIF(C:C,C334)</f>
        <v/>
      </c>
      <c r="G334" s="198">
        <f>+G333+7</f>
        <v/>
      </c>
      <c r="H334" s="361">
        <f>IF(ISBLANK(CO334),CP334,SUMPRODUCT(CO$32:CP$32,CO334:CP334))</f>
        <v/>
      </c>
      <c r="I334" s="968">
        <f>H334/M334</f>
        <v/>
      </c>
      <c r="J334" s="968">
        <f>H334/N334</f>
        <v/>
      </c>
      <c r="K334" s="968">
        <f>(H334+Q334)/O334</f>
        <v/>
      </c>
      <c r="L334" s="968">
        <f>(H334+Q334)/P334</f>
        <v/>
      </c>
      <c r="M334" s="199">
        <f>HLOOKUP(C:C,$4:$10,3,FALSE)+((HLOOKUP(D:D,$4:$10,3,FALSE)-HLOOKUP(C:C,$4:$10,3,FALSE))*E334/F334)</f>
        <v/>
      </c>
      <c r="N334" s="199">
        <f>HLOOKUP(C:C,$4:$10,2,FALSE)+((HLOOKUP(D:D,$4:$10,2,FALSE)-HLOOKUP(C:C,$4:$10,2,FALSE))*E334/F334)</f>
        <v/>
      </c>
      <c r="O334" s="199">
        <f>HLOOKUP(C:C,$4:$10,5,FALSE)+((HLOOKUP(D:D,$4:$10,5,FALSE)-HLOOKUP(C:C,$4:$10,5,FALSE))*E334/F334)</f>
        <v/>
      </c>
      <c r="P334" s="199">
        <f>HLOOKUP(C:C,$4:$10,4,FALSE)+((HLOOKUP(D:D,$4:$10,4,FALSE)-HLOOKUP(C:C,$4:$10,4,FALSE))*E334/F334)</f>
        <v/>
      </c>
      <c r="Q334" s="199">
        <f>HLOOKUP(B:B,$4:$10,6,FALSE)+((HLOOKUP(C:C,$4:$10,6,FALSE)-HLOOKUP(B:B,$4:$10,6,FALSE))*E334/F334)</f>
        <v/>
      </c>
      <c r="T334" s="198">
        <f>$G334</f>
        <v/>
      </c>
      <c r="U334" s="199">
        <f>H334/(HLOOKUP(B:B,$4:$10,3,FALSE)+((HLOOKUP(C:C,$4:$10,3,FALSE)-HLOOKUP(B:B,$4:$10,3,FALSE))*E334/F334))</f>
        <v/>
      </c>
      <c r="V334" s="969">
        <f>HLOOKUP(B:B,$4:$10,7,FALSE)+((HLOOKUP(C:C,$4:$10,7,FALSE)-HLOOKUP(B:B,$4:$10,7,FALSE))*E334/F334)</f>
        <v/>
      </c>
      <c r="AB334" s="198">
        <f>$G334</f>
        <v/>
      </c>
      <c r="AC334" s="199">
        <f>$H334</f>
        <v/>
      </c>
      <c r="AD334" s="199">
        <f>$M334*AD$34</f>
        <v/>
      </c>
      <c r="AE334" s="199">
        <f>$M334*AE$34</f>
        <v/>
      </c>
      <c r="AF334" s="199">
        <f>$M334*AF$34</f>
        <v/>
      </c>
      <c r="AG334" s="199">
        <f>$M334*AG$34</f>
        <v/>
      </c>
      <c r="AH334" s="199">
        <f>$M334*AH$34</f>
        <v/>
      </c>
      <c r="AJ334" s="198">
        <f>$G334</f>
        <v/>
      </c>
      <c r="AK334" s="199">
        <f>$H334</f>
        <v/>
      </c>
      <c r="AL334" s="199">
        <f>$N334*AL$34</f>
        <v/>
      </c>
      <c r="AM334" s="199">
        <f>$N334*AM$34</f>
        <v/>
      </c>
      <c r="AN334" s="199">
        <f>$N334*AN$34</f>
        <v/>
      </c>
      <c r="AO334" s="199">
        <f>$N334*AO$34</f>
        <v/>
      </c>
      <c r="AP334" s="199">
        <f>$N334*AP$34</f>
        <v/>
      </c>
      <c r="AR334" s="198">
        <f>$G334</f>
        <v/>
      </c>
      <c r="AS334" s="199">
        <f>$H334</f>
        <v/>
      </c>
      <c r="AT334" s="199">
        <f>$O334*AT$34-$Q334</f>
        <v/>
      </c>
      <c r="AU334" s="199">
        <f>$O334*AU$34-$Q334</f>
        <v/>
      </c>
      <c r="AV334" s="199">
        <f>$O334*AV$34-$Q334</f>
        <v/>
      </c>
      <c r="AW334" s="199">
        <f>$O334*AW$34-$Q334</f>
        <v/>
      </c>
      <c r="AX334" s="199">
        <f>$O334*AX$34-$Q334</f>
        <v/>
      </c>
      <c r="AZ334" s="198">
        <f>$G334</f>
        <v/>
      </c>
      <c r="BA334" s="199">
        <f>$H334</f>
        <v/>
      </c>
      <c r="BB334" s="199">
        <f>$P334*BB$34-$Q334</f>
        <v/>
      </c>
      <c r="BC334" s="199">
        <f>$P334*BC$34-$Q334</f>
        <v/>
      </c>
      <c r="BD334" s="199">
        <f>$P334*BD$34-$Q334</f>
        <v/>
      </c>
      <c r="BE334" s="199">
        <f>$P334*BE$34-$Q334</f>
        <v/>
      </c>
      <c r="BF334" s="199">
        <f>$P334*BF$34-$Q334</f>
        <v/>
      </c>
      <c r="BH334" s="198">
        <f>$G334</f>
        <v/>
      </c>
      <c r="BI334" s="197">
        <f>$I334</f>
        <v/>
      </c>
      <c r="BJ334" s="197">
        <f>+BJ335</f>
        <v/>
      </c>
      <c r="BK334" s="197">
        <f>+BK335</f>
        <v/>
      </c>
      <c r="BL334" s="197">
        <f>+BL335</f>
        <v/>
      </c>
      <c r="BM334" s="197">
        <f>+BM335</f>
        <v/>
      </c>
      <c r="BN334" s="197">
        <f>+BN335</f>
        <v/>
      </c>
      <c r="BP334" s="198">
        <f>$G334</f>
        <v/>
      </c>
      <c r="BQ334" s="197">
        <f>$J334</f>
        <v/>
      </c>
      <c r="BR334" s="197">
        <f>+BR335</f>
        <v/>
      </c>
      <c r="BS334" s="197">
        <f>+BS335</f>
        <v/>
      </c>
      <c r="BT334" s="197">
        <f>+BT335</f>
        <v/>
      </c>
      <c r="BU334" s="197">
        <f>+BU335</f>
        <v/>
      </c>
      <c r="BV334" s="197">
        <f>+BV335</f>
        <v/>
      </c>
      <c r="BX334" s="198">
        <f>$G334</f>
        <v/>
      </c>
      <c r="BY334" s="197">
        <f>$K334</f>
        <v/>
      </c>
      <c r="BZ334" s="197">
        <f>+BZ335</f>
        <v/>
      </c>
      <c r="CA334" s="197">
        <f>+CA335</f>
        <v/>
      </c>
      <c r="CB334" s="197">
        <f>+CB335</f>
        <v/>
      </c>
      <c r="CC334" s="197">
        <f>+CC335</f>
        <v/>
      </c>
      <c r="CD334" s="197">
        <f>+CD335</f>
        <v/>
      </c>
      <c r="CF334" s="198">
        <f>$G334</f>
        <v/>
      </c>
      <c r="CG334" s="197">
        <f>$L334</f>
        <v/>
      </c>
      <c r="CH334" s="197">
        <f>+CH335</f>
        <v/>
      </c>
      <c r="CI334" s="197">
        <f>+CI335</f>
        <v/>
      </c>
      <c r="CJ334" s="197">
        <f>+CJ335</f>
        <v/>
      </c>
      <c r="CK334" s="197">
        <f>+CK335</f>
        <v/>
      </c>
      <c r="CL334" s="197">
        <f>+CL335</f>
        <v/>
      </c>
      <c r="CO334" s="199" t="n">
        <v>9.052699644358228</v>
      </c>
      <c r="CP334" s="199" t="n">
        <v>3.81</v>
      </c>
      <c r="CR334" s="199" t="n">
        <v>7.84</v>
      </c>
      <c r="CS334" s="970" t="n">
        <v>0.86604</v>
      </c>
    </row>
    <row r="335">
      <c r="B335" s="204">
        <f>+C335-1</f>
        <v/>
      </c>
      <c r="C335" s="204">
        <f>IF('bands_A-H_Avg'!$D$9+1&gt;MONTH(G335),YEAR(G335),YEAR(G335)+1)</f>
        <v/>
      </c>
      <c r="D335" s="204">
        <f>+C335+1</f>
        <v/>
      </c>
      <c r="E335" s="203">
        <f>IF(C335&gt;C334,1,E334+1)</f>
        <v/>
      </c>
      <c r="F335" s="203">
        <f>COUNTIF(C:C,C335)</f>
        <v/>
      </c>
      <c r="G335" s="198">
        <f>+G334+7</f>
        <v/>
      </c>
      <c r="H335" s="361">
        <f>IF(ISBLANK(CO335),CP335,SUMPRODUCT(CO$32:CP$32,CO335:CP335))</f>
        <v/>
      </c>
      <c r="I335" s="968">
        <f>H335/M335</f>
        <v/>
      </c>
      <c r="J335" s="968">
        <f>H335/N335</f>
        <v/>
      </c>
      <c r="K335" s="968">
        <f>(H335+Q335)/O335</f>
        <v/>
      </c>
      <c r="L335" s="968">
        <f>(H335+Q335)/P335</f>
        <v/>
      </c>
      <c r="M335" s="199">
        <f>HLOOKUP(C:C,$4:$10,3,FALSE)+((HLOOKUP(D:D,$4:$10,3,FALSE)-HLOOKUP(C:C,$4:$10,3,FALSE))*E335/F335)</f>
        <v/>
      </c>
      <c r="N335" s="199">
        <f>HLOOKUP(C:C,$4:$10,2,FALSE)+((HLOOKUP(D:D,$4:$10,2,FALSE)-HLOOKUP(C:C,$4:$10,2,FALSE))*E335/F335)</f>
        <v/>
      </c>
      <c r="O335" s="199">
        <f>HLOOKUP(C:C,$4:$10,5,FALSE)+((HLOOKUP(D:D,$4:$10,5,FALSE)-HLOOKUP(C:C,$4:$10,5,FALSE))*E335/F335)</f>
        <v/>
      </c>
      <c r="P335" s="199">
        <f>HLOOKUP(C:C,$4:$10,4,FALSE)+((HLOOKUP(D:D,$4:$10,4,FALSE)-HLOOKUP(C:C,$4:$10,4,FALSE))*E335/F335)</f>
        <v/>
      </c>
      <c r="Q335" s="199">
        <f>HLOOKUP(B:B,$4:$10,6,FALSE)+((HLOOKUP(C:C,$4:$10,6,FALSE)-HLOOKUP(B:B,$4:$10,6,FALSE))*E335/F335)</f>
        <v/>
      </c>
      <c r="T335" s="198">
        <f>$G335</f>
        <v/>
      </c>
      <c r="U335" s="199">
        <f>H335/(HLOOKUP(B:B,$4:$10,3,FALSE)+((HLOOKUP(C:C,$4:$10,3,FALSE)-HLOOKUP(B:B,$4:$10,3,FALSE))*E335/F335))</f>
        <v/>
      </c>
      <c r="V335" s="969">
        <f>HLOOKUP(B:B,$4:$10,7,FALSE)+((HLOOKUP(C:C,$4:$10,7,FALSE)-HLOOKUP(B:B,$4:$10,7,FALSE))*E335/F335)</f>
        <v/>
      </c>
      <c r="AB335" s="198">
        <f>$G335</f>
        <v/>
      </c>
      <c r="AC335" s="199">
        <f>$H335</f>
        <v/>
      </c>
      <c r="AD335" s="199">
        <f>$M335*AD$34</f>
        <v/>
      </c>
      <c r="AE335" s="199">
        <f>$M335*AE$34</f>
        <v/>
      </c>
      <c r="AF335" s="199">
        <f>$M335*AF$34</f>
        <v/>
      </c>
      <c r="AG335" s="199">
        <f>$M335*AG$34</f>
        <v/>
      </c>
      <c r="AH335" s="199">
        <f>$M335*AH$34</f>
        <v/>
      </c>
      <c r="AJ335" s="198">
        <f>$G335</f>
        <v/>
      </c>
      <c r="AK335" s="199">
        <f>$H335</f>
        <v/>
      </c>
      <c r="AL335" s="199">
        <f>$N335*AL$34</f>
        <v/>
      </c>
      <c r="AM335" s="199">
        <f>$N335*AM$34</f>
        <v/>
      </c>
      <c r="AN335" s="199">
        <f>$N335*AN$34</f>
        <v/>
      </c>
      <c r="AO335" s="199">
        <f>$N335*AO$34</f>
        <v/>
      </c>
      <c r="AP335" s="199">
        <f>$N335*AP$34</f>
        <v/>
      </c>
      <c r="AR335" s="198">
        <f>$G335</f>
        <v/>
      </c>
      <c r="AS335" s="199">
        <f>$H335</f>
        <v/>
      </c>
      <c r="AT335" s="199">
        <f>$O335*AT$34-$Q335</f>
        <v/>
      </c>
      <c r="AU335" s="199">
        <f>$O335*AU$34-$Q335</f>
        <v/>
      </c>
      <c r="AV335" s="199">
        <f>$O335*AV$34-$Q335</f>
        <v/>
      </c>
      <c r="AW335" s="199">
        <f>$O335*AW$34-$Q335</f>
        <v/>
      </c>
      <c r="AX335" s="199">
        <f>$O335*AX$34-$Q335</f>
        <v/>
      </c>
      <c r="AZ335" s="198">
        <f>$G335</f>
        <v/>
      </c>
      <c r="BA335" s="199">
        <f>$H335</f>
        <v/>
      </c>
      <c r="BB335" s="199">
        <f>$P335*BB$34-$Q335</f>
        <v/>
      </c>
      <c r="BC335" s="199">
        <f>$P335*BC$34-$Q335</f>
        <v/>
      </c>
      <c r="BD335" s="199">
        <f>$P335*BD$34-$Q335</f>
        <v/>
      </c>
      <c r="BE335" s="199">
        <f>$P335*BE$34-$Q335</f>
        <v/>
      </c>
      <c r="BF335" s="199">
        <f>$P335*BF$34-$Q335</f>
        <v/>
      </c>
      <c r="BH335" s="198">
        <f>$G335</f>
        <v/>
      </c>
      <c r="BI335" s="197">
        <f>$I335</f>
        <v/>
      </c>
      <c r="BJ335" s="197">
        <f>+BJ336</f>
        <v/>
      </c>
      <c r="BK335" s="197">
        <f>+BK336</f>
        <v/>
      </c>
      <c r="BL335" s="197">
        <f>+BL336</f>
        <v/>
      </c>
      <c r="BM335" s="197">
        <f>+BM336</f>
        <v/>
      </c>
      <c r="BN335" s="197">
        <f>+BN336</f>
        <v/>
      </c>
      <c r="BP335" s="198">
        <f>$G335</f>
        <v/>
      </c>
      <c r="BQ335" s="197">
        <f>$J335</f>
        <v/>
      </c>
      <c r="BR335" s="197">
        <f>+BR336</f>
        <v/>
      </c>
      <c r="BS335" s="197">
        <f>+BS336</f>
        <v/>
      </c>
      <c r="BT335" s="197">
        <f>+BT336</f>
        <v/>
      </c>
      <c r="BU335" s="197">
        <f>+BU336</f>
        <v/>
      </c>
      <c r="BV335" s="197">
        <f>+BV336</f>
        <v/>
      </c>
      <c r="BX335" s="198">
        <f>$G335</f>
        <v/>
      </c>
      <c r="BY335" s="197">
        <f>$K335</f>
        <v/>
      </c>
      <c r="BZ335" s="197">
        <f>+BZ336</f>
        <v/>
      </c>
      <c r="CA335" s="197">
        <f>+CA336</f>
        <v/>
      </c>
      <c r="CB335" s="197">
        <f>+CB336</f>
        <v/>
      </c>
      <c r="CC335" s="197">
        <f>+CC336</f>
        <v/>
      </c>
      <c r="CD335" s="197">
        <f>+CD336</f>
        <v/>
      </c>
      <c r="CF335" s="198">
        <f>$G335</f>
        <v/>
      </c>
      <c r="CG335" s="197">
        <f>$L335</f>
        <v/>
      </c>
      <c r="CH335" s="197">
        <f>+CH336</f>
        <v/>
      </c>
      <c r="CI335" s="197">
        <f>+CI336</f>
        <v/>
      </c>
      <c r="CJ335" s="197">
        <f>+CJ336</f>
        <v/>
      </c>
      <c r="CK335" s="197">
        <f>+CK336</f>
        <v/>
      </c>
      <c r="CL335" s="197">
        <f>+CL336</f>
        <v/>
      </c>
      <c r="CO335" s="199" t="n">
        <v>9.182928101847022</v>
      </c>
      <c r="CP335" s="199" t="n">
        <v>3.94</v>
      </c>
      <c r="CR335" s="199" t="n">
        <v>7.92</v>
      </c>
      <c r="CS335" s="970" t="n">
        <v>0.86247</v>
      </c>
    </row>
    <row r="336">
      <c r="B336" s="204">
        <f>+C336-1</f>
        <v/>
      </c>
      <c r="C336" s="204">
        <f>IF('bands_A-H_Avg'!$D$9+1&gt;MONTH(G336),YEAR(G336),YEAR(G336)+1)</f>
        <v/>
      </c>
      <c r="D336" s="204">
        <f>+C336+1</f>
        <v/>
      </c>
      <c r="E336" s="203">
        <f>IF(C336&gt;C335,1,E335+1)</f>
        <v/>
      </c>
      <c r="F336" s="203">
        <f>COUNTIF(C:C,C336)</f>
        <v/>
      </c>
      <c r="G336" s="198">
        <f>+G335+7</f>
        <v/>
      </c>
      <c r="H336" s="361">
        <f>IF(ISBLANK(CO336),CP336,SUMPRODUCT(CO$32:CP$32,CO336:CP336))</f>
        <v/>
      </c>
      <c r="I336" s="968">
        <f>H336/M336</f>
        <v/>
      </c>
      <c r="J336" s="968">
        <f>H336/N336</f>
        <v/>
      </c>
      <c r="K336" s="968">
        <f>(H336+Q336)/O336</f>
        <v/>
      </c>
      <c r="L336" s="968">
        <f>(H336+Q336)/P336</f>
        <v/>
      </c>
      <c r="M336" s="199">
        <f>HLOOKUP(C:C,$4:$10,3,FALSE)+((HLOOKUP(D:D,$4:$10,3,FALSE)-HLOOKUP(C:C,$4:$10,3,FALSE))*E336/F336)</f>
        <v/>
      </c>
      <c r="N336" s="199">
        <f>HLOOKUP(C:C,$4:$10,2,FALSE)+((HLOOKUP(D:D,$4:$10,2,FALSE)-HLOOKUP(C:C,$4:$10,2,FALSE))*E336/F336)</f>
        <v/>
      </c>
      <c r="O336" s="199">
        <f>HLOOKUP(C:C,$4:$10,5,FALSE)+((HLOOKUP(D:D,$4:$10,5,FALSE)-HLOOKUP(C:C,$4:$10,5,FALSE))*E336/F336)</f>
        <v/>
      </c>
      <c r="P336" s="199">
        <f>HLOOKUP(C:C,$4:$10,4,FALSE)+((HLOOKUP(D:D,$4:$10,4,FALSE)-HLOOKUP(C:C,$4:$10,4,FALSE))*E336/F336)</f>
        <v/>
      </c>
      <c r="Q336" s="199">
        <f>HLOOKUP(B:B,$4:$10,6,FALSE)+((HLOOKUP(C:C,$4:$10,6,FALSE)-HLOOKUP(B:B,$4:$10,6,FALSE))*E336/F336)</f>
        <v/>
      </c>
      <c r="T336" s="198">
        <f>$G336</f>
        <v/>
      </c>
      <c r="U336" s="199">
        <f>H336/(HLOOKUP(B:B,$4:$10,3,FALSE)+((HLOOKUP(C:C,$4:$10,3,FALSE)-HLOOKUP(B:B,$4:$10,3,FALSE))*E336/F336))</f>
        <v/>
      </c>
      <c r="V336" s="969">
        <f>HLOOKUP(B:B,$4:$10,7,FALSE)+((HLOOKUP(C:C,$4:$10,7,FALSE)-HLOOKUP(B:B,$4:$10,7,FALSE))*E336/F336)</f>
        <v/>
      </c>
      <c r="AB336" s="198">
        <f>$G336</f>
        <v/>
      </c>
      <c r="AC336" s="199">
        <f>$H336</f>
        <v/>
      </c>
      <c r="AD336" s="199">
        <f>$M336*AD$34</f>
        <v/>
      </c>
      <c r="AE336" s="199">
        <f>$M336*AE$34</f>
        <v/>
      </c>
      <c r="AF336" s="199">
        <f>$M336*AF$34</f>
        <v/>
      </c>
      <c r="AG336" s="199">
        <f>$M336*AG$34</f>
        <v/>
      </c>
      <c r="AH336" s="199">
        <f>$M336*AH$34</f>
        <v/>
      </c>
      <c r="AJ336" s="198">
        <f>$G336</f>
        <v/>
      </c>
      <c r="AK336" s="199">
        <f>$H336</f>
        <v/>
      </c>
      <c r="AL336" s="199">
        <f>$N336*AL$34</f>
        <v/>
      </c>
      <c r="AM336" s="199">
        <f>$N336*AM$34</f>
        <v/>
      </c>
      <c r="AN336" s="199">
        <f>$N336*AN$34</f>
        <v/>
      </c>
      <c r="AO336" s="199">
        <f>$N336*AO$34</f>
        <v/>
      </c>
      <c r="AP336" s="199">
        <f>$N336*AP$34</f>
        <v/>
      </c>
      <c r="AR336" s="198">
        <f>$G336</f>
        <v/>
      </c>
      <c r="AS336" s="199">
        <f>$H336</f>
        <v/>
      </c>
      <c r="AT336" s="199">
        <f>$O336*AT$34-$Q336</f>
        <v/>
      </c>
      <c r="AU336" s="199">
        <f>$O336*AU$34-$Q336</f>
        <v/>
      </c>
      <c r="AV336" s="199">
        <f>$O336*AV$34-$Q336</f>
        <v/>
      </c>
      <c r="AW336" s="199">
        <f>$O336*AW$34-$Q336</f>
        <v/>
      </c>
      <c r="AX336" s="199">
        <f>$O336*AX$34-$Q336</f>
        <v/>
      </c>
      <c r="AZ336" s="198">
        <f>$G336</f>
        <v/>
      </c>
      <c r="BA336" s="199">
        <f>$H336</f>
        <v/>
      </c>
      <c r="BB336" s="199">
        <f>$P336*BB$34-$Q336</f>
        <v/>
      </c>
      <c r="BC336" s="199">
        <f>$P336*BC$34-$Q336</f>
        <v/>
      </c>
      <c r="BD336" s="199">
        <f>$P336*BD$34-$Q336</f>
        <v/>
      </c>
      <c r="BE336" s="199">
        <f>$P336*BE$34-$Q336</f>
        <v/>
      </c>
      <c r="BF336" s="199">
        <f>$P336*BF$34-$Q336</f>
        <v/>
      </c>
      <c r="BH336" s="198">
        <f>$G336</f>
        <v/>
      </c>
      <c r="BI336" s="197">
        <f>$I336</f>
        <v/>
      </c>
      <c r="BJ336" s="197">
        <f>+BJ337</f>
        <v/>
      </c>
      <c r="BK336" s="197">
        <f>+BK337</f>
        <v/>
      </c>
      <c r="BL336" s="197">
        <f>+BL337</f>
        <v/>
      </c>
      <c r="BM336" s="197">
        <f>+BM337</f>
        <v/>
      </c>
      <c r="BN336" s="197">
        <f>+BN337</f>
        <v/>
      </c>
      <c r="BP336" s="198">
        <f>$G336</f>
        <v/>
      </c>
      <c r="BQ336" s="197">
        <f>$J336</f>
        <v/>
      </c>
      <c r="BR336" s="197">
        <f>+BR337</f>
        <v/>
      </c>
      <c r="BS336" s="197">
        <f>+BS337</f>
        <v/>
      </c>
      <c r="BT336" s="197">
        <f>+BT337</f>
        <v/>
      </c>
      <c r="BU336" s="197">
        <f>+BU337</f>
        <v/>
      </c>
      <c r="BV336" s="197">
        <f>+BV337</f>
        <v/>
      </c>
      <c r="BX336" s="198">
        <f>$G336</f>
        <v/>
      </c>
      <c r="BY336" s="197">
        <f>$K336</f>
        <v/>
      </c>
      <c r="BZ336" s="197">
        <f>+BZ337</f>
        <v/>
      </c>
      <c r="CA336" s="197">
        <f>+CA337</f>
        <v/>
      </c>
      <c r="CB336" s="197">
        <f>+CB337</f>
        <v/>
      </c>
      <c r="CC336" s="197">
        <f>+CC337</f>
        <v/>
      </c>
      <c r="CD336" s="197">
        <f>+CD337</f>
        <v/>
      </c>
      <c r="CF336" s="198">
        <f>$G336</f>
        <v/>
      </c>
      <c r="CG336" s="197">
        <f>$L336</f>
        <v/>
      </c>
      <c r="CH336" s="197">
        <f>+CH337</f>
        <v/>
      </c>
      <c r="CI336" s="197">
        <f>+CI337</f>
        <v/>
      </c>
      <c r="CJ336" s="197">
        <f>+CJ337</f>
        <v/>
      </c>
      <c r="CK336" s="197">
        <f>+CK337</f>
        <v/>
      </c>
      <c r="CL336" s="197">
        <f>+CL337</f>
        <v/>
      </c>
      <c r="CO336" s="199" t="n">
        <v>9.59686216260125</v>
      </c>
      <c r="CP336" s="199" t="n">
        <v>4.31</v>
      </c>
      <c r="CR336" s="199" t="n">
        <v>8.27</v>
      </c>
      <c r="CS336" s="970" t="n">
        <v>0.86174</v>
      </c>
    </row>
    <row r="337">
      <c r="B337" s="204">
        <f>+C337-1</f>
        <v/>
      </c>
      <c r="C337" s="204">
        <f>IF('bands_A-H_Avg'!$D$9+1&gt;MONTH(G337),YEAR(G337),YEAR(G337)+1)</f>
        <v/>
      </c>
      <c r="D337" s="204">
        <f>+C337+1</f>
        <v/>
      </c>
      <c r="E337" s="203">
        <f>IF(C337&gt;C336,1,E336+1)</f>
        <v/>
      </c>
      <c r="F337" s="203">
        <f>COUNTIF(C:C,C337)</f>
        <v/>
      </c>
      <c r="G337" s="198">
        <f>+G336+7</f>
        <v/>
      </c>
      <c r="H337" s="361">
        <f>IF(ISBLANK(CO337),CP337,SUMPRODUCT(CO$32:CP$32,CO337:CP337))</f>
        <v/>
      </c>
      <c r="I337" s="968">
        <f>H337/M337</f>
        <v/>
      </c>
      <c r="J337" s="968">
        <f>H337/N337</f>
        <v/>
      </c>
      <c r="K337" s="968">
        <f>(H337+Q337)/O337</f>
        <v/>
      </c>
      <c r="L337" s="968">
        <f>(H337+Q337)/P337</f>
        <v/>
      </c>
      <c r="M337" s="199">
        <f>HLOOKUP(C:C,$4:$10,3,FALSE)+((HLOOKUP(D:D,$4:$10,3,FALSE)-HLOOKUP(C:C,$4:$10,3,FALSE))*E337/F337)</f>
        <v/>
      </c>
      <c r="N337" s="199">
        <f>HLOOKUP(C:C,$4:$10,2,FALSE)+((HLOOKUP(D:D,$4:$10,2,FALSE)-HLOOKUP(C:C,$4:$10,2,FALSE))*E337/F337)</f>
        <v/>
      </c>
      <c r="O337" s="199">
        <f>HLOOKUP(C:C,$4:$10,5,FALSE)+((HLOOKUP(D:D,$4:$10,5,FALSE)-HLOOKUP(C:C,$4:$10,5,FALSE))*E337/F337)</f>
        <v/>
      </c>
      <c r="P337" s="199">
        <f>HLOOKUP(C:C,$4:$10,4,FALSE)+((HLOOKUP(D:D,$4:$10,4,FALSE)-HLOOKUP(C:C,$4:$10,4,FALSE))*E337/F337)</f>
        <v/>
      </c>
      <c r="Q337" s="199">
        <f>HLOOKUP(B:B,$4:$10,6,FALSE)+((HLOOKUP(C:C,$4:$10,6,FALSE)-HLOOKUP(B:B,$4:$10,6,FALSE))*E337/F337)</f>
        <v/>
      </c>
      <c r="T337" s="198">
        <f>$G337</f>
        <v/>
      </c>
      <c r="U337" s="199">
        <f>H337/(HLOOKUP(B:B,$4:$10,3,FALSE)+((HLOOKUP(C:C,$4:$10,3,FALSE)-HLOOKUP(B:B,$4:$10,3,FALSE))*E337/F337))</f>
        <v/>
      </c>
      <c r="V337" s="969">
        <f>HLOOKUP(B:B,$4:$10,7,FALSE)+((HLOOKUP(C:C,$4:$10,7,FALSE)-HLOOKUP(B:B,$4:$10,7,FALSE))*E337/F337)</f>
        <v/>
      </c>
      <c r="AB337" s="198">
        <f>$G337</f>
        <v/>
      </c>
      <c r="AC337" s="199">
        <f>$H337</f>
        <v/>
      </c>
      <c r="AD337" s="199">
        <f>$M337*AD$34</f>
        <v/>
      </c>
      <c r="AE337" s="199">
        <f>$M337*AE$34</f>
        <v/>
      </c>
      <c r="AF337" s="199">
        <f>$M337*AF$34</f>
        <v/>
      </c>
      <c r="AG337" s="199">
        <f>$M337*AG$34</f>
        <v/>
      </c>
      <c r="AH337" s="199">
        <f>$M337*AH$34</f>
        <v/>
      </c>
      <c r="AJ337" s="198">
        <f>$G337</f>
        <v/>
      </c>
      <c r="AK337" s="199">
        <f>$H337</f>
        <v/>
      </c>
      <c r="AL337" s="199">
        <f>$N337*AL$34</f>
        <v/>
      </c>
      <c r="AM337" s="199">
        <f>$N337*AM$34</f>
        <v/>
      </c>
      <c r="AN337" s="199">
        <f>$N337*AN$34</f>
        <v/>
      </c>
      <c r="AO337" s="199">
        <f>$N337*AO$34</f>
        <v/>
      </c>
      <c r="AP337" s="199">
        <f>$N337*AP$34</f>
        <v/>
      </c>
      <c r="AR337" s="198">
        <f>$G337</f>
        <v/>
      </c>
      <c r="AS337" s="199">
        <f>$H337</f>
        <v/>
      </c>
      <c r="AT337" s="199">
        <f>$O337*AT$34-$Q337</f>
        <v/>
      </c>
      <c r="AU337" s="199">
        <f>$O337*AU$34-$Q337</f>
        <v/>
      </c>
      <c r="AV337" s="199">
        <f>$O337*AV$34-$Q337</f>
        <v/>
      </c>
      <c r="AW337" s="199">
        <f>$O337*AW$34-$Q337</f>
        <v/>
      </c>
      <c r="AX337" s="199">
        <f>$O337*AX$34-$Q337</f>
        <v/>
      </c>
      <c r="AZ337" s="198">
        <f>$G337</f>
        <v/>
      </c>
      <c r="BA337" s="199">
        <f>$H337</f>
        <v/>
      </c>
      <c r="BB337" s="199">
        <f>$P337*BB$34-$Q337</f>
        <v/>
      </c>
      <c r="BC337" s="199">
        <f>$P337*BC$34-$Q337</f>
        <v/>
      </c>
      <c r="BD337" s="199">
        <f>$P337*BD$34-$Q337</f>
        <v/>
      </c>
      <c r="BE337" s="199">
        <f>$P337*BE$34-$Q337</f>
        <v/>
      </c>
      <c r="BF337" s="199">
        <f>$P337*BF$34-$Q337</f>
        <v/>
      </c>
      <c r="BH337" s="198">
        <f>$G337</f>
        <v/>
      </c>
      <c r="BI337" s="197">
        <f>$I337</f>
        <v/>
      </c>
      <c r="BJ337" s="197">
        <f>+BJ338</f>
        <v/>
      </c>
      <c r="BK337" s="197">
        <f>+BK338</f>
        <v/>
      </c>
      <c r="BL337" s="197">
        <f>+BL338</f>
        <v/>
      </c>
      <c r="BM337" s="197">
        <f>+BM338</f>
        <v/>
      </c>
      <c r="BN337" s="197">
        <f>+BN338</f>
        <v/>
      </c>
      <c r="BP337" s="198">
        <f>$G337</f>
        <v/>
      </c>
      <c r="BQ337" s="197">
        <f>$J337</f>
        <v/>
      </c>
      <c r="BR337" s="197">
        <f>+BR338</f>
        <v/>
      </c>
      <c r="BS337" s="197">
        <f>+BS338</f>
        <v/>
      </c>
      <c r="BT337" s="197">
        <f>+BT338</f>
        <v/>
      </c>
      <c r="BU337" s="197">
        <f>+BU338</f>
        <v/>
      </c>
      <c r="BV337" s="197">
        <f>+BV338</f>
        <v/>
      </c>
      <c r="BX337" s="198">
        <f>$G337</f>
        <v/>
      </c>
      <c r="BY337" s="197">
        <f>$K337</f>
        <v/>
      </c>
      <c r="BZ337" s="197">
        <f>+BZ338</f>
        <v/>
      </c>
      <c r="CA337" s="197">
        <f>+CA338</f>
        <v/>
      </c>
      <c r="CB337" s="197">
        <f>+CB338</f>
        <v/>
      </c>
      <c r="CC337" s="197">
        <f>+CC338</f>
        <v/>
      </c>
      <c r="CD337" s="197">
        <f>+CD338</f>
        <v/>
      </c>
      <c r="CF337" s="198">
        <f>$G337</f>
        <v/>
      </c>
      <c r="CG337" s="197">
        <f>$L337</f>
        <v/>
      </c>
      <c r="CH337" s="197">
        <f>+CH338</f>
        <v/>
      </c>
      <c r="CI337" s="197">
        <f>+CI338</f>
        <v/>
      </c>
      <c r="CJ337" s="197">
        <f>+CJ338</f>
        <v/>
      </c>
      <c r="CK337" s="197">
        <f>+CK338</f>
        <v/>
      </c>
      <c r="CL337" s="197">
        <f>+CL338</f>
        <v/>
      </c>
      <c r="CO337" s="199" t="n">
        <v>9.989069004814288</v>
      </c>
      <c r="CP337" s="199" t="n">
        <v>4.32</v>
      </c>
      <c r="CR337" s="199" t="n">
        <v>8.59</v>
      </c>
      <c r="CS337" s="970" t="n">
        <v>0.85994</v>
      </c>
    </row>
    <row r="338">
      <c r="B338" s="204">
        <f>+C338-1</f>
        <v/>
      </c>
      <c r="C338" s="204">
        <f>IF('bands_A-H_Avg'!$D$9+1&gt;MONTH(G338),YEAR(G338),YEAR(G338)+1)</f>
        <v/>
      </c>
      <c r="D338" s="204">
        <f>+C338+1</f>
        <v/>
      </c>
      <c r="E338" s="203">
        <f>IF(C338&gt;C337,1,E337+1)</f>
        <v/>
      </c>
      <c r="F338" s="203">
        <f>COUNTIF(C:C,C338)</f>
        <v/>
      </c>
      <c r="G338" s="198">
        <f>+G337+7</f>
        <v/>
      </c>
      <c r="H338" s="361">
        <f>IF(ISBLANK(CO338),CP338,SUMPRODUCT(CO$32:CP$32,CO338:CP338))</f>
        <v/>
      </c>
      <c r="I338" s="968">
        <f>H338/M338</f>
        <v/>
      </c>
      <c r="J338" s="968">
        <f>H338/N338</f>
        <v/>
      </c>
      <c r="K338" s="968">
        <f>(H338+Q338)/O338</f>
        <v/>
      </c>
      <c r="L338" s="968">
        <f>(H338+Q338)/P338</f>
        <v/>
      </c>
      <c r="M338" s="199">
        <f>HLOOKUP(C:C,$4:$10,3,FALSE)+((HLOOKUP(D:D,$4:$10,3,FALSE)-HLOOKUP(C:C,$4:$10,3,FALSE))*E338/F338)</f>
        <v/>
      </c>
      <c r="N338" s="199">
        <f>HLOOKUP(C:C,$4:$10,2,FALSE)+((HLOOKUP(D:D,$4:$10,2,FALSE)-HLOOKUP(C:C,$4:$10,2,FALSE))*E338/F338)</f>
        <v/>
      </c>
      <c r="O338" s="199">
        <f>HLOOKUP(C:C,$4:$10,5,FALSE)+((HLOOKUP(D:D,$4:$10,5,FALSE)-HLOOKUP(C:C,$4:$10,5,FALSE))*E338/F338)</f>
        <v/>
      </c>
      <c r="P338" s="199">
        <f>HLOOKUP(C:C,$4:$10,4,FALSE)+((HLOOKUP(D:D,$4:$10,4,FALSE)-HLOOKUP(C:C,$4:$10,4,FALSE))*E338/F338)</f>
        <v/>
      </c>
      <c r="Q338" s="199">
        <f>HLOOKUP(B:B,$4:$10,6,FALSE)+((HLOOKUP(C:C,$4:$10,6,FALSE)-HLOOKUP(B:B,$4:$10,6,FALSE))*E338/F338)</f>
        <v/>
      </c>
      <c r="T338" s="198">
        <f>$G338</f>
        <v/>
      </c>
      <c r="U338" s="199">
        <f>H338/(HLOOKUP(B:B,$4:$10,3,FALSE)+((HLOOKUP(C:C,$4:$10,3,FALSE)-HLOOKUP(B:B,$4:$10,3,FALSE))*E338/F338))</f>
        <v/>
      </c>
      <c r="V338" s="969">
        <f>HLOOKUP(B:B,$4:$10,7,FALSE)+((HLOOKUP(C:C,$4:$10,7,FALSE)-HLOOKUP(B:B,$4:$10,7,FALSE))*E338/F338)</f>
        <v/>
      </c>
      <c r="AB338" s="198">
        <f>$G338</f>
        <v/>
      </c>
      <c r="AC338" s="199">
        <f>$H338</f>
        <v/>
      </c>
      <c r="AD338" s="199">
        <f>$M338*AD$34</f>
        <v/>
      </c>
      <c r="AE338" s="199">
        <f>$M338*AE$34</f>
        <v/>
      </c>
      <c r="AF338" s="199">
        <f>$M338*AF$34</f>
        <v/>
      </c>
      <c r="AG338" s="199">
        <f>$M338*AG$34</f>
        <v/>
      </c>
      <c r="AH338" s="199">
        <f>$M338*AH$34</f>
        <v/>
      </c>
      <c r="AJ338" s="198">
        <f>$G338</f>
        <v/>
      </c>
      <c r="AK338" s="199">
        <f>$H338</f>
        <v/>
      </c>
      <c r="AL338" s="199">
        <f>$N338*AL$34</f>
        <v/>
      </c>
      <c r="AM338" s="199">
        <f>$N338*AM$34</f>
        <v/>
      </c>
      <c r="AN338" s="199">
        <f>$N338*AN$34</f>
        <v/>
      </c>
      <c r="AO338" s="199">
        <f>$N338*AO$34</f>
        <v/>
      </c>
      <c r="AP338" s="199">
        <f>$N338*AP$34</f>
        <v/>
      </c>
      <c r="AR338" s="198">
        <f>$G338</f>
        <v/>
      </c>
      <c r="AS338" s="199">
        <f>$H338</f>
        <v/>
      </c>
      <c r="AT338" s="199">
        <f>$O338*AT$34-$Q338</f>
        <v/>
      </c>
      <c r="AU338" s="199">
        <f>$O338*AU$34-$Q338</f>
        <v/>
      </c>
      <c r="AV338" s="199">
        <f>$O338*AV$34-$Q338</f>
        <v/>
      </c>
      <c r="AW338" s="199">
        <f>$O338*AW$34-$Q338</f>
        <v/>
      </c>
      <c r="AX338" s="199">
        <f>$O338*AX$34-$Q338</f>
        <v/>
      </c>
      <c r="AZ338" s="198">
        <f>$G338</f>
        <v/>
      </c>
      <c r="BA338" s="199">
        <f>$H338</f>
        <v/>
      </c>
      <c r="BB338" s="199">
        <f>$P338*BB$34-$Q338</f>
        <v/>
      </c>
      <c r="BC338" s="199">
        <f>$P338*BC$34-$Q338</f>
        <v/>
      </c>
      <c r="BD338" s="199">
        <f>$P338*BD$34-$Q338</f>
        <v/>
      </c>
      <c r="BE338" s="199">
        <f>$P338*BE$34-$Q338</f>
        <v/>
      </c>
      <c r="BF338" s="199">
        <f>$P338*BF$34-$Q338</f>
        <v/>
      </c>
      <c r="BH338" s="198">
        <f>$G338</f>
        <v/>
      </c>
      <c r="BI338" s="197">
        <f>$I338</f>
        <v/>
      </c>
      <c r="BJ338" s="197">
        <f>+BJ339</f>
        <v/>
      </c>
      <c r="BK338" s="197">
        <f>+BK339</f>
        <v/>
      </c>
      <c r="BL338" s="197">
        <f>+BL339</f>
        <v/>
      </c>
      <c r="BM338" s="197">
        <f>+BM339</f>
        <v/>
      </c>
      <c r="BN338" s="197">
        <f>+BN339</f>
        <v/>
      </c>
      <c r="BP338" s="198">
        <f>$G338</f>
        <v/>
      </c>
      <c r="BQ338" s="197">
        <f>$J338</f>
        <v/>
      </c>
      <c r="BR338" s="197">
        <f>+BR339</f>
        <v/>
      </c>
      <c r="BS338" s="197">
        <f>+BS339</f>
        <v/>
      </c>
      <c r="BT338" s="197">
        <f>+BT339</f>
        <v/>
      </c>
      <c r="BU338" s="197">
        <f>+BU339</f>
        <v/>
      </c>
      <c r="BV338" s="197">
        <f>+BV339</f>
        <v/>
      </c>
      <c r="BX338" s="198">
        <f>$G338</f>
        <v/>
      </c>
      <c r="BY338" s="197">
        <f>$K338</f>
        <v/>
      </c>
      <c r="BZ338" s="197">
        <f>+BZ339</f>
        <v/>
      </c>
      <c r="CA338" s="197">
        <f>+CA339</f>
        <v/>
      </c>
      <c r="CB338" s="197">
        <f>+CB339</f>
        <v/>
      </c>
      <c r="CC338" s="197">
        <f>+CC339</f>
        <v/>
      </c>
      <c r="CD338" s="197">
        <f>+CD339</f>
        <v/>
      </c>
      <c r="CF338" s="198">
        <f>$G338</f>
        <v/>
      </c>
      <c r="CG338" s="197">
        <f>$L338</f>
        <v/>
      </c>
      <c r="CH338" s="197">
        <f>+CH339</f>
        <v/>
      </c>
      <c r="CI338" s="197">
        <f>+CI339</f>
        <v/>
      </c>
      <c r="CJ338" s="197">
        <f>+CJ339</f>
        <v/>
      </c>
      <c r="CK338" s="197">
        <f>+CK339</f>
        <v/>
      </c>
      <c r="CL338" s="197">
        <f>+CL339</f>
        <v/>
      </c>
      <c r="CO338" s="199" t="n">
        <v>10.92111103324223</v>
      </c>
      <c r="CP338" s="199" t="n">
        <v>4.86</v>
      </c>
      <c r="CR338" s="199" t="n">
        <v>9.35</v>
      </c>
      <c r="CS338" s="970" t="n">
        <v>0.85614</v>
      </c>
    </row>
    <row r="339">
      <c r="B339" s="204">
        <f>+C339-1</f>
        <v/>
      </c>
      <c r="C339" s="204">
        <f>IF('bands_A-H_Avg'!$D$9+1&gt;MONTH(G339),YEAR(G339),YEAR(G339)+1)</f>
        <v/>
      </c>
      <c r="D339" s="204">
        <f>+C339+1</f>
        <v/>
      </c>
      <c r="E339" s="203">
        <f>IF(C339&gt;C338,1,E338+1)</f>
        <v/>
      </c>
      <c r="F339" s="203">
        <f>COUNTIF(C:C,C339)</f>
        <v/>
      </c>
      <c r="G339" s="198">
        <f>+G338+7</f>
        <v/>
      </c>
      <c r="H339" s="361">
        <f>IF(ISBLANK(CO339),CP339,SUMPRODUCT(CO$32:CP$32,CO339:CP339))</f>
        <v/>
      </c>
      <c r="I339" s="968">
        <f>H339/M339</f>
        <v/>
      </c>
      <c r="J339" s="968">
        <f>H339/N339</f>
        <v/>
      </c>
      <c r="K339" s="968">
        <f>(H339+Q339)/O339</f>
        <v/>
      </c>
      <c r="L339" s="968">
        <f>(H339+Q339)/P339</f>
        <v/>
      </c>
      <c r="M339" s="199">
        <f>HLOOKUP(C:C,$4:$10,3,FALSE)+((HLOOKUP(D:D,$4:$10,3,FALSE)-HLOOKUP(C:C,$4:$10,3,FALSE))*E339/F339)</f>
        <v/>
      </c>
      <c r="N339" s="199">
        <f>HLOOKUP(C:C,$4:$10,2,FALSE)+((HLOOKUP(D:D,$4:$10,2,FALSE)-HLOOKUP(C:C,$4:$10,2,FALSE))*E339/F339)</f>
        <v/>
      </c>
      <c r="O339" s="199">
        <f>HLOOKUP(C:C,$4:$10,5,FALSE)+((HLOOKUP(D:D,$4:$10,5,FALSE)-HLOOKUP(C:C,$4:$10,5,FALSE))*E339/F339)</f>
        <v/>
      </c>
      <c r="P339" s="199">
        <f>HLOOKUP(C:C,$4:$10,4,FALSE)+((HLOOKUP(D:D,$4:$10,4,FALSE)-HLOOKUP(C:C,$4:$10,4,FALSE))*E339/F339)</f>
        <v/>
      </c>
      <c r="Q339" s="199">
        <f>HLOOKUP(B:B,$4:$10,6,FALSE)+((HLOOKUP(C:C,$4:$10,6,FALSE)-HLOOKUP(B:B,$4:$10,6,FALSE))*E339/F339)</f>
        <v/>
      </c>
      <c r="T339" s="198">
        <f>$G339</f>
        <v/>
      </c>
      <c r="U339" s="199">
        <f>H339/(HLOOKUP(B:B,$4:$10,3,FALSE)+((HLOOKUP(C:C,$4:$10,3,FALSE)-HLOOKUP(B:B,$4:$10,3,FALSE))*E339/F339))</f>
        <v/>
      </c>
      <c r="V339" s="969">
        <f>HLOOKUP(B:B,$4:$10,7,FALSE)+((HLOOKUP(C:C,$4:$10,7,FALSE)-HLOOKUP(B:B,$4:$10,7,FALSE))*E339/F339)</f>
        <v/>
      </c>
      <c r="AB339" s="198">
        <f>$G339</f>
        <v/>
      </c>
      <c r="AC339" s="199">
        <f>$H339</f>
        <v/>
      </c>
      <c r="AD339" s="199">
        <f>$M339*AD$34</f>
        <v/>
      </c>
      <c r="AE339" s="199">
        <f>$M339*AE$34</f>
        <v/>
      </c>
      <c r="AF339" s="199">
        <f>$M339*AF$34</f>
        <v/>
      </c>
      <c r="AG339" s="199">
        <f>$M339*AG$34</f>
        <v/>
      </c>
      <c r="AH339" s="199">
        <f>$M339*AH$34</f>
        <v/>
      </c>
      <c r="AJ339" s="198">
        <f>$G339</f>
        <v/>
      </c>
      <c r="AK339" s="199">
        <f>$H339</f>
        <v/>
      </c>
      <c r="AL339" s="199">
        <f>$N339*AL$34</f>
        <v/>
      </c>
      <c r="AM339" s="199">
        <f>$N339*AM$34</f>
        <v/>
      </c>
      <c r="AN339" s="199">
        <f>$N339*AN$34</f>
        <v/>
      </c>
      <c r="AO339" s="199">
        <f>$N339*AO$34</f>
        <v/>
      </c>
      <c r="AP339" s="199">
        <f>$N339*AP$34</f>
        <v/>
      </c>
      <c r="AR339" s="198">
        <f>$G339</f>
        <v/>
      </c>
      <c r="AS339" s="199">
        <f>$H339</f>
        <v/>
      </c>
      <c r="AT339" s="199">
        <f>$O339*AT$34-$Q339</f>
        <v/>
      </c>
      <c r="AU339" s="199">
        <f>$O339*AU$34-$Q339</f>
        <v/>
      </c>
      <c r="AV339" s="199">
        <f>$O339*AV$34-$Q339</f>
        <v/>
      </c>
      <c r="AW339" s="199">
        <f>$O339*AW$34-$Q339</f>
        <v/>
      </c>
      <c r="AX339" s="199">
        <f>$O339*AX$34-$Q339</f>
        <v/>
      </c>
      <c r="AZ339" s="198">
        <f>$G339</f>
        <v/>
      </c>
      <c r="BA339" s="199">
        <f>$H339</f>
        <v/>
      </c>
      <c r="BB339" s="199">
        <f>$P339*BB$34-$Q339</f>
        <v/>
      </c>
      <c r="BC339" s="199">
        <f>$P339*BC$34-$Q339</f>
        <v/>
      </c>
      <c r="BD339" s="199">
        <f>$P339*BD$34-$Q339</f>
        <v/>
      </c>
      <c r="BE339" s="199">
        <f>$P339*BE$34-$Q339</f>
        <v/>
      </c>
      <c r="BF339" s="199">
        <f>$P339*BF$34-$Q339</f>
        <v/>
      </c>
      <c r="BH339" s="198">
        <f>$G339</f>
        <v/>
      </c>
      <c r="BI339" s="197">
        <f>$I339</f>
        <v/>
      </c>
      <c r="BJ339" s="197">
        <f>+BJ340</f>
        <v/>
      </c>
      <c r="BK339" s="197">
        <f>+BK340</f>
        <v/>
      </c>
      <c r="BL339" s="197">
        <f>+BL340</f>
        <v/>
      </c>
      <c r="BM339" s="197">
        <f>+BM340</f>
        <v/>
      </c>
      <c r="BN339" s="197">
        <f>+BN340</f>
        <v/>
      </c>
      <c r="BP339" s="198">
        <f>$G339</f>
        <v/>
      </c>
      <c r="BQ339" s="197">
        <f>$J339</f>
        <v/>
      </c>
      <c r="BR339" s="197">
        <f>+BR340</f>
        <v/>
      </c>
      <c r="BS339" s="197">
        <f>+BS340</f>
        <v/>
      </c>
      <c r="BT339" s="197">
        <f>+BT340</f>
        <v/>
      </c>
      <c r="BU339" s="197">
        <f>+BU340</f>
        <v/>
      </c>
      <c r="BV339" s="197">
        <f>+BV340</f>
        <v/>
      </c>
      <c r="BX339" s="198">
        <f>$G339</f>
        <v/>
      </c>
      <c r="BY339" s="197">
        <f>$K339</f>
        <v/>
      </c>
      <c r="BZ339" s="197">
        <f>+BZ340</f>
        <v/>
      </c>
      <c r="CA339" s="197">
        <f>+CA340</f>
        <v/>
      </c>
      <c r="CB339" s="197">
        <f>+CB340</f>
        <v/>
      </c>
      <c r="CC339" s="197">
        <f>+CC340</f>
        <v/>
      </c>
      <c r="CD339" s="197">
        <f>+CD340</f>
        <v/>
      </c>
      <c r="CF339" s="198">
        <f>$G339</f>
        <v/>
      </c>
      <c r="CG339" s="197">
        <f>$L339</f>
        <v/>
      </c>
      <c r="CH339" s="197">
        <f>+CH340</f>
        <v/>
      </c>
      <c r="CI339" s="197">
        <f>+CI340</f>
        <v/>
      </c>
      <c r="CJ339" s="197">
        <f>+CJ340</f>
        <v/>
      </c>
      <c r="CK339" s="197">
        <f>+CK340</f>
        <v/>
      </c>
      <c r="CL339" s="197">
        <f>+CL340</f>
        <v/>
      </c>
      <c r="CO339" s="199" t="n">
        <v>10.99182897972981</v>
      </c>
      <c r="CP339" s="199" t="n">
        <v>4.66</v>
      </c>
      <c r="CR339" s="199" t="n">
        <v>9.43</v>
      </c>
      <c r="CS339" s="970" t="n">
        <v>0.85791</v>
      </c>
    </row>
    <row r="340">
      <c r="B340" s="204">
        <f>+C340-1</f>
        <v/>
      </c>
      <c r="C340" s="204">
        <f>IF('bands_A-H_Avg'!$D$9+1&gt;MONTH(G340),YEAR(G340),YEAR(G340)+1)</f>
        <v/>
      </c>
      <c r="D340" s="204">
        <f>+C340+1</f>
        <v/>
      </c>
      <c r="E340" s="203">
        <f>IF(C340&gt;C339,1,E339+1)</f>
        <v/>
      </c>
      <c r="F340" s="203">
        <f>COUNTIF(C:C,C340)</f>
        <v/>
      </c>
      <c r="G340" s="198">
        <f>+G339+7</f>
        <v/>
      </c>
      <c r="H340" s="361">
        <f>IF(ISBLANK(CO340),CP340,SUMPRODUCT(CO$32:CP$32,CO340:CP340))</f>
        <v/>
      </c>
      <c r="I340" s="968">
        <f>H340/M340</f>
        <v/>
      </c>
      <c r="J340" s="968">
        <f>H340/N340</f>
        <v/>
      </c>
      <c r="K340" s="968">
        <f>(H340+Q340)/O340</f>
        <v/>
      </c>
      <c r="L340" s="968">
        <f>(H340+Q340)/P340</f>
        <v/>
      </c>
      <c r="M340" s="199">
        <f>HLOOKUP(C:C,$4:$10,3,FALSE)+((HLOOKUP(D:D,$4:$10,3,FALSE)-HLOOKUP(C:C,$4:$10,3,FALSE))*E340/F340)</f>
        <v/>
      </c>
      <c r="N340" s="199">
        <f>HLOOKUP(C:C,$4:$10,2,FALSE)+((HLOOKUP(D:D,$4:$10,2,FALSE)-HLOOKUP(C:C,$4:$10,2,FALSE))*E340/F340)</f>
        <v/>
      </c>
      <c r="O340" s="199">
        <f>HLOOKUP(C:C,$4:$10,5,FALSE)+((HLOOKUP(D:D,$4:$10,5,FALSE)-HLOOKUP(C:C,$4:$10,5,FALSE))*E340/F340)</f>
        <v/>
      </c>
      <c r="P340" s="199">
        <f>HLOOKUP(C:C,$4:$10,4,FALSE)+((HLOOKUP(D:D,$4:$10,4,FALSE)-HLOOKUP(C:C,$4:$10,4,FALSE))*E340/F340)</f>
        <v/>
      </c>
      <c r="Q340" s="199">
        <f>HLOOKUP(B:B,$4:$10,6,FALSE)+((HLOOKUP(C:C,$4:$10,6,FALSE)-HLOOKUP(B:B,$4:$10,6,FALSE))*E340/F340)</f>
        <v/>
      </c>
      <c r="T340" s="198">
        <f>$G340</f>
        <v/>
      </c>
      <c r="U340" s="199">
        <f>H340/(HLOOKUP(B:B,$4:$10,3,FALSE)+((HLOOKUP(C:C,$4:$10,3,FALSE)-HLOOKUP(B:B,$4:$10,3,FALSE))*E340/F340))</f>
        <v/>
      </c>
      <c r="V340" s="969">
        <f>HLOOKUP(B:B,$4:$10,7,FALSE)+((HLOOKUP(C:C,$4:$10,7,FALSE)-HLOOKUP(B:B,$4:$10,7,FALSE))*E340/F340)</f>
        <v/>
      </c>
      <c r="AB340" s="198">
        <f>$G340</f>
        <v/>
      </c>
      <c r="AC340" s="199">
        <f>$H340</f>
        <v/>
      </c>
      <c r="AD340" s="199">
        <f>$M340*AD$34</f>
        <v/>
      </c>
      <c r="AE340" s="199">
        <f>$M340*AE$34</f>
        <v/>
      </c>
      <c r="AF340" s="199">
        <f>$M340*AF$34</f>
        <v/>
      </c>
      <c r="AG340" s="199">
        <f>$M340*AG$34</f>
        <v/>
      </c>
      <c r="AH340" s="199">
        <f>$M340*AH$34</f>
        <v/>
      </c>
      <c r="AJ340" s="198">
        <f>$G340</f>
        <v/>
      </c>
      <c r="AK340" s="199">
        <f>$H340</f>
        <v/>
      </c>
      <c r="AL340" s="199">
        <f>$N340*AL$34</f>
        <v/>
      </c>
      <c r="AM340" s="199">
        <f>$N340*AM$34</f>
        <v/>
      </c>
      <c r="AN340" s="199">
        <f>$N340*AN$34</f>
        <v/>
      </c>
      <c r="AO340" s="199">
        <f>$N340*AO$34</f>
        <v/>
      </c>
      <c r="AP340" s="199">
        <f>$N340*AP$34</f>
        <v/>
      </c>
      <c r="AR340" s="198">
        <f>$G340</f>
        <v/>
      </c>
      <c r="AS340" s="199">
        <f>$H340</f>
        <v/>
      </c>
      <c r="AT340" s="199">
        <f>$O340*AT$34-$Q340</f>
        <v/>
      </c>
      <c r="AU340" s="199">
        <f>$O340*AU$34-$Q340</f>
        <v/>
      </c>
      <c r="AV340" s="199">
        <f>$O340*AV$34-$Q340</f>
        <v/>
      </c>
      <c r="AW340" s="199">
        <f>$O340*AW$34-$Q340</f>
        <v/>
      </c>
      <c r="AX340" s="199">
        <f>$O340*AX$34-$Q340</f>
        <v/>
      </c>
      <c r="AZ340" s="198">
        <f>$G340</f>
        <v/>
      </c>
      <c r="BA340" s="199">
        <f>$H340</f>
        <v/>
      </c>
      <c r="BB340" s="199">
        <f>$P340*BB$34-$Q340</f>
        <v/>
      </c>
      <c r="BC340" s="199">
        <f>$P340*BC$34-$Q340</f>
        <v/>
      </c>
      <c r="BD340" s="199">
        <f>$P340*BD$34-$Q340</f>
        <v/>
      </c>
      <c r="BE340" s="199">
        <f>$P340*BE$34-$Q340</f>
        <v/>
      </c>
      <c r="BF340" s="199">
        <f>$P340*BF$34-$Q340</f>
        <v/>
      </c>
      <c r="BH340" s="198">
        <f>$G340</f>
        <v/>
      </c>
      <c r="BI340" s="197">
        <f>$I340</f>
        <v/>
      </c>
      <c r="BJ340" s="197">
        <f>+BJ341</f>
        <v/>
      </c>
      <c r="BK340" s="197">
        <f>+BK341</f>
        <v/>
      </c>
      <c r="BL340" s="197">
        <f>+BL341</f>
        <v/>
      </c>
      <c r="BM340" s="197">
        <f>+BM341</f>
        <v/>
      </c>
      <c r="BN340" s="197">
        <f>+BN341</f>
        <v/>
      </c>
      <c r="BP340" s="198">
        <f>$G340</f>
        <v/>
      </c>
      <c r="BQ340" s="197">
        <f>$J340</f>
        <v/>
      </c>
      <c r="BR340" s="197">
        <f>+BR341</f>
        <v/>
      </c>
      <c r="BS340" s="197">
        <f>+BS341</f>
        <v/>
      </c>
      <c r="BT340" s="197">
        <f>+BT341</f>
        <v/>
      </c>
      <c r="BU340" s="197">
        <f>+BU341</f>
        <v/>
      </c>
      <c r="BV340" s="197">
        <f>+BV341</f>
        <v/>
      </c>
      <c r="BX340" s="198">
        <f>$G340</f>
        <v/>
      </c>
      <c r="BY340" s="197">
        <f>$K340</f>
        <v/>
      </c>
      <c r="BZ340" s="197">
        <f>+BZ341</f>
        <v/>
      </c>
      <c r="CA340" s="197">
        <f>+CA341</f>
        <v/>
      </c>
      <c r="CB340" s="197">
        <f>+CB341</f>
        <v/>
      </c>
      <c r="CC340" s="197">
        <f>+CC341</f>
        <v/>
      </c>
      <c r="CD340" s="197">
        <f>+CD341</f>
        <v/>
      </c>
      <c r="CF340" s="198">
        <f>$G340</f>
        <v/>
      </c>
      <c r="CG340" s="197">
        <f>$L340</f>
        <v/>
      </c>
      <c r="CH340" s="197">
        <f>+CH341</f>
        <v/>
      </c>
      <c r="CI340" s="197">
        <f>+CI341</f>
        <v/>
      </c>
      <c r="CJ340" s="197">
        <f>+CJ341</f>
        <v/>
      </c>
      <c r="CK340" s="197">
        <f>+CK341</f>
        <v/>
      </c>
      <c r="CL340" s="197">
        <f>+CL341</f>
        <v/>
      </c>
      <c r="CO340" s="199" t="n">
        <v>11.73218102406839</v>
      </c>
      <c r="CP340" s="199" t="n">
        <v>5.19</v>
      </c>
      <c r="CR340" s="199" t="n">
        <v>10.1</v>
      </c>
      <c r="CS340" s="970" t="n">
        <v>0.86088</v>
      </c>
    </row>
    <row r="341">
      <c r="B341" s="204">
        <f>+C341-1</f>
        <v/>
      </c>
      <c r="C341" s="204">
        <f>IF('bands_A-H_Avg'!$D$9+1&gt;MONTH(G341),YEAR(G341),YEAR(G341)+1)</f>
        <v/>
      </c>
      <c r="D341" s="204">
        <f>+C341+1</f>
        <v/>
      </c>
      <c r="E341" s="203">
        <f>IF(C341&gt;C340,1,E340+1)</f>
        <v/>
      </c>
      <c r="F341" s="203">
        <f>COUNTIF(C:C,C341)</f>
        <v/>
      </c>
      <c r="G341" s="198">
        <f>+G340+7</f>
        <v/>
      </c>
      <c r="H341" s="361">
        <f>IF(ISBLANK(CO341),CP341,SUMPRODUCT(CO$32:CP$32,CO341:CP341))</f>
        <v/>
      </c>
      <c r="I341" s="968">
        <f>H341/M341</f>
        <v/>
      </c>
      <c r="J341" s="968">
        <f>H341/N341</f>
        <v/>
      </c>
      <c r="K341" s="968">
        <f>(H341+Q341)/O341</f>
        <v/>
      </c>
      <c r="L341" s="968">
        <f>(H341+Q341)/P341</f>
        <v/>
      </c>
      <c r="M341" s="199">
        <f>HLOOKUP(C:C,$4:$10,3,FALSE)+((HLOOKUP(D:D,$4:$10,3,FALSE)-HLOOKUP(C:C,$4:$10,3,FALSE))*E341/F341)</f>
        <v/>
      </c>
      <c r="N341" s="199">
        <f>HLOOKUP(C:C,$4:$10,2,FALSE)+((HLOOKUP(D:D,$4:$10,2,FALSE)-HLOOKUP(C:C,$4:$10,2,FALSE))*E341/F341)</f>
        <v/>
      </c>
      <c r="O341" s="199">
        <f>HLOOKUP(C:C,$4:$10,5,FALSE)+((HLOOKUP(D:D,$4:$10,5,FALSE)-HLOOKUP(C:C,$4:$10,5,FALSE))*E341/F341)</f>
        <v/>
      </c>
      <c r="P341" s="199">
        <f>HLOOKUP(C:C,$4:$10,4,FALSE)+((HLOOKUP(D:D,$4:$10,4,FALSE)-HLOOKUP(C:C,$4:$10,4,FALSE))*E341/F341)</f>
        <v/>
      </c>
      <c r="Q341" s="199">
        <f>HLOOKUP(B:B,$4:$10,6,FALSE)+((HLOOKUP(C:C,$4:$10,6,FALSE)-HLOOKUP(B:B,$4:$10,6,FALSE))*E341/F341)</f>
        <v/>
      </c>
      <c r="T341" s="198">
        <f>$G341</f>
        <v/>
      </c>
      <c r="U341" s="199">
        <f>H341/(HLOOKUP(B:B,$4:$10,3,FALSE)+((HLOOKUP(C:C,$4:$10,3,FALSE)-HLOOKUP(B:B,$4:$10,3,FALSE))*E341/F341))</f>
        <v/>
      </c>
      <c r="V341" s="969">
        <f>HLOOKUP(B:B,$4:$10,7,FALSE)+((HLOOKUP(C:C,$4:$10,7,FALSE)-HLOOKUP(B:B,$4:$10,7,FALSE))*E341/F341)</f>
        <v/>
      </c>
      <c r="AB341" s="198">
        <f>$G341</f>
        <v/>
      </c>
      <c r="AC341" s="199">
        <f>$H341</f>
        <v/>
      </c>
      <c r="AD341" s="199">
        <f>$M341*AD$34</f>
        <v/>
      </c>
      <c r="AE341" s="199">
        <f>$M341*AE$34</f>
        <v/>
      </c>
      <c r="AF341" s="199">
        <f>$M341*AF$34</f>
        <v/>
      </c>
      <c r="AG341" s="199">
        <f>$M341*AG$34</f>
        <v/>
      </c>
      <c r="AH341" s="199">
        <f>$M341*AH$34</f>
        <v/>
      </c>
      <c r="AJ341" s="198">
        <f>$G341</f>
        <v/>
      </c>
      <c r="AK341" s="199">
        <f>$H341</f>
        <v/>
      </c>
      <c r="AL341" s="199">
        <f>$N341*AL$34</f>
        <v/>
      </c>
      <c r="AM341" s="199">
        <f>$N341*AM$34</f>
        <v/>
      </c>
      <c r="AN341" s="199">
        <f>$N341*AN$34</f>
        <v/>
      </c>
      <c r="AO341" s="199">
        <f>$N341*AO$34</f>
        <v/>
      </c>
      <c r="AP341" s="199">
        <f>$N341*AP$34</f>
        <v/>
      </c>
      <c r="AR341" s="198">
        <f>$G341</f>
        <v/>
      </c>
      <c r="AS341" s="199">
        <f>$H341</f>
        <v/>
      </c>
      <c r="AT341" s="199">
        <f>$O341*AT$34-$Q341</f>
        <v/>
      </c>
      <c r="AU341" s="199">
        <f>$O341*AU$34-$Q341</f>
        <v/>
      </c>
      <c r="AV341" s="199">
        <f>$O341*AV$34-$Q341</f>
        <v/>
      </c>
      <c r="AW341" s="199">
        <f>$O341*AW$34-$Q341</f>
        <v/>
      </c>
      <c r="AX341" s="199">
        <f>$O341*AX$34-$Q341</f>
        <v/>
      </c>
      <c r="AZ341" s="198">
        <f>$G341</f>
        <v/>
      </c>
      <c r="BA341" s="199">
        <f>$H341</f>
        <v/>
      </c>
      <c r="BB341" s="199">
        <f>$P341*BB$34-$Q341</f>
        <v/>
      </c>
      <c r="BC341" s="199">
        <f>$P341*BC$34-$Q341</f>
        <v/>
      </c>
      <c r="BD341" s="199">
        <f>$P341*BD$34-$Q341</f>
        <v/>
      </c>
      <c r="BE341" s="199">
        <f>$P341*BE$34-$Q341</f>
        <v/>
      </c>
      <c r="BF341" s="199">
        <f>$P341*BF$34-$Q341</f>
        <v/>
      </c>
      <c r="BH341" s="198">
        <f>$G341</f>
        <v/>
      </c>
      <c r="BI341" s="197">
        <f>$I341</f>
        <v/>
      </c>
      <c r="BJ341" s="197">
        <f>+BJ342</f>
        <v/>
      </c>
      <c r="BK341" s="197">
        <f>+BK342</f>
        <v/>
      </c>
      <c r="BL341" s="197">
        <f>+BL342</f>
        <v/>
      </c>
      <c r="BM341" s="197">
        <f>+BM342</f>
        <v/>
      </c>
      <c r="BN341" s="197">
        <f>+BN342</f>
        <v/>
      </c>
      <c r="BP341" s="198">
        <f>$G341</f>
        <v/>
      </c>
      <c r="BQ341" s="197">
        <f>$J341</f>
        <v/>
      </c>
      <c r="BR341" s="197">
        <f>+BR342</f>
        <v/>
      </c>
      <c r="BS341" s="197">
        <f>+BS342</f>
        <v/>
      </c>
      <c r="BT341" s="197">
        <f>+BT342</f>
        <v/>
      </c>
      <c r="BU341" s="197">
        <f>+BU342</f>
        <v/>
      </c>
      <c r="BV341" s="197">
        <f>+BV342</f>
        <v/>
      </c>
      <c r="BX341" s="198">
        <f>$G341</f>
        <v/>
      </c>
      <c r="BY341" s="197">
        <f>$K341</f>
        <v/>
      </c>
      <c r="BZ341" s="197">
        <f>+BZ342</f>
        <v/>
      </c>
      <c r="CA341" s="197">
        <f>+CA342</f>
        <v/>
      </c>
      <c r="CB341" s="197">
        <f>+CB342</f>
        <v/>
      </c>
      <c r="CC341" s="197">
        <f>+CC342</f>
        <v/>
      </c>
      <c r="CD341" s="197">
        <f>+CD342</f>
        <v/>
      </c>
      <c r="CF341" s="198">
        <f>$G341</f>
        <v/>
      </c>
      <c r="CG341" s="197">
        <f>$L341</f>
        <v/>
      </c>
      <c r="CH341" s="197">
        <f>+CH342</f>
        <v/>
      </c>
      <c r="CI341" s="197">
        <f>+CI342</f>
        <v/>
      </c>
      <c r="CJ341" s="197">
        <f>+CJ342</f>
        <v/>
      </c>
      <c r="CK341" s="197">
        <f>+CK342</f>
        <v/>
      </c>
      <c r="CL341" s="197">
        <f>+CL342</f>
        <v/>
      </c>
      <c r="CO341" s="199" t="n">
        <v>11.63223958454624</v>
      </c>
      <c r="CP341" s="199" t="n">
        <v>5.6</v>
      </c>
      <c r="CR341" s="199" t="n">
        <v>9.99</v>
      </c>
      <c r="CS341" s="970" t="n">
        <v>0.85882</v>
      </c>
    </row>
    <row r="342">
      <c r="B342" s="204">
        <f>+C342-1</f>
        <v/>
      </c>
      <c r="C342" s="204">
        <f>IF('bands_A-H_Avg'!$D$9+1&gt;MONTH(G342),YEAR(G342),YEAR(G342)+1)</f>
        <v/>
      </c>
      <c r="D342" s="204">
        <f>+C342+1</f>
        <v/>
      </c>
      <c r="E342" s="203">
        <f>IF(C342&gt;C341,1,E341+1)</f>
        <v/>
      </c>
      <c r="F342" s="203">
        <f>COUNTIF(C:C,C342)</f>
        <v/>
      </c>
      <c r="G342" s="198">
        <f>+G341+7</f>
        <v/>
      </c>
      <c r="H342" s="361">
        <f>IF(ISBLANK(CO342),CP342,SUMPRODUCT(CO$32:CP$32,CO342:CP342))</f>
        <v/>
      </c>
      <c r="I342" s="968">
        <f>H342/M342</f>
        <v/>
      </c>
      <c r="J342" s="968">
        <f>H342/N342</f>
        <v/>
      </c>
      <c r="K342" s="968">
        <f>(H342+Q342)/O342</f>
        <v/>
      </c>
      <c r="L342" s="968">
        <f>(H342+Q342)/P342</f>
        <v/>
      </c>
      <c r="M342" s="199">
        <f>HLOOKUP(C:C,$4:$10,3,FALSE)+((HLOOKUP(D:D,$4:$10,3,FALSE)-HLOOKUP(C:C,$4:$10,3,FALSE))*E342/F342)</f>
        <v/>
      </c>
      <c r="N342" s="199">
        <f>HLOOKUP(C:C,$4:$10,2,FALSE)+((HLOOKUP(D:D,$4:$10,2,FALSE)-HLOOKUP(C:C,$4:$10,2,FALSE))*E342/F342)</f>
        <v/>
      </c>
      <c r="O342" s="199">
        <f>HLOOKUP(C:C,$4:$10,5,FALSE)+((HLOOKUP(D:D,$4:$10,5,FALSE)-HLOOKUP(C:C,$4:$10,5,FALSE))*E342/F342)</f>
        <v/>
      </c>
      <c r="P342" s="199">
        <f>HLOOKUP(C:C,$4:$10,4,FALSE)+((HLOOKUP(D:D,$4:$10,4,FALSE)-HLOOKUP(C:C,$4:$10,4,FALSE))*E342/F342)</f>
        <v/>
      </c>
      <c r="Q342" s="199">
        <f>HLOOKUP(B:B,$4:$10,6,FALSE)+((HLOOKUP(C:C,$4:$10,6,FALSE)-HLOOKUP(B:B,$4:$10,6,FALSE))*E342/F342)</f>
        <v/>
      </c>
      <c r="T342" s="198">
        <f>$G342</f>
        <v/>
      </c>
      <c r="U342" s="199">
        <f>H342/(HLOOKUP(B:B,$4:$10,3,FALSE)+((HLOOKUP(C:C,$4:$10,3,FALSE)-HLOOKUP(B:B,$4:$10,3,FALSE))*E342/F342))</f>
        <v/>
      </c>
      <c r="V342" s="969">
        <f>HLOOKUP(B:B,$4:$10,7,FALSE)+((HLOOKUP(C:C,$4:$10,7,FALSE)-HLOOKUP(B:B,$4:$10,7,FALSE))*E342/F342)</f>
        <v/>
      </c>
      <c r="AB342" s="198">
        <f>$G342</f>
        <v/>
      </c>
      <c r="AC342" s="199">
        <f>$H342</f>
        <v/>
      </c>
      <c r="AD342" s="199">
        <f>$M342*AD$34</f>
        <v/>
      </c>
      <c r="AE342" s="199">
        <f>$M342*AE$34</f>
        <v/>
      </c>
      <c r="AF342" s="199">
        <f>$M342*AF$34</f>
        <v/>
      </c>
      <c r="AG342" s="199">
        <f>$M342*AG$34</f>
        <v/>
      </c>
      <c r="AH342" s="199">
        <f>$M342*AH$34</f>
        <v/>
      </c>
      <c r="AJ342" s="198">
        <f>$G342</f>
        <v/>
      </c>
      <c r="AK342" s="199">
        <f>$H342</f>
        <v/>
      </c>
      <c r="AL342" s="199">
        <f>$N342*AL$34</f>
        <v/>
      </c>
      <c r="AM342" s="199">
        <f>$N342*AM$34</f>
        <v/>
      </c>
      <c r="AN342" s="199">
        <f>$N342*AN$34</f>
        <v/>
      </c>
      <c r="AO342" s="199">
        <f>$N342*AO$34</f>
        <v/>
      </c>
      <c r="AP342" s="199">
        <f>$N342*AP$34</f>
        <v/>
      </c>
      <c r="AR342" s="198">
        <f>$G342</f>
        <v/>
      </c>
      <c r="AS342" s="199">
        <f>$H342</f>
        <v/>
      </c>
      <c r="AT342" s="199">
        <f>$O342*AT$34-$Q342</f>
        <v/>
      </c>
      <c r="AU342" s="199">
        <f>$O342*AU$34-$Q342</f>
        <v/>
      </c>
      <c r="AV342" s="199">
        <f>$O342*AV$34-$Q342</f>
        <v/>
      </c>
      <c r="AW342" s="199">
        <f>$O342*AW$34-$Q342</f>
        <v/>
      </c>
      <c r="AX342" s="199">
        <f>$O342*AX$34-$Q342</f>
        <v/>
      </c>
      <c r="AZ342" s="198">
        <f>$G342</f>
        <v/>
      </c>
      <c r="BA342" s="199">
        <f>$H342</f>
        <v/>
      </c>
      <c r="BB342" s="199">
        <f>$P342*BB$34-$Q342</f>
        <v/>
      </c>
      <c r="BC342" s="199">
        <f>$P342*BC$34-$Q342</f>
        <v/>
      </c>
      <c r="BD342" s="199">
        <f>$P342*BD$34-$Q342</f>
        <v/>
      </c>
      <c r="BE342" s="199">
        <f>$P342*BE$34-$Q342</f>
        <v/>
      </c>
      <c r="BF342" s="199">
        <f>$P342*BF$34-$Q342</f>
        <v/>
      </c>
      <c r="BH342" s="198">
        <f>$G342</f>
        <v/>
      </c>
      <c r="BI342" s="197">
        <f>$I342</f>
        <v/>
      </c>
      <c r="BJ342" s="197">
        <f>+BJ343</f>
        <v/>
      </c>
      <c r="BK342" s="197">
        <f>+BK343</f>
        <v/>
      </c>
      <c r="BL342" s="197">
        <f>+BL343</f>
        <v/>
      </c>
      <c r="BM342" s="197">
        <f>+BM343</f>
        <v/>
      </c>
      <c r="BN342" s="197">
        <f>+BN343</f>
        <v/>
      </c>
      <c r="BP342" s="198">
        <f>$G342</f>
        <v/>
      </c>
      <c r="BQ342" s="197">
        <f>$J342</f>
        <v/>
      </c>
      <c r="BR342" s="197">
        <f>+BR343</f>
        <v/>
      </c>
      <c r="BS342" s="197">
        <f>+BS343</f>
        <v/>
      </c>
      <c r="BT342" s="197">
        <f>+BT343</f>
        <v/>
      </c>
      <c r="BU342" s="197">
        <f>+BU343</f>
        <v/>
      </c>
      <c r="BV342" s="197">
        <f>+BV343</f>
        <v/>
      </c>
      <c r="BX342" s="198">
        <f>$G342</f>
        <v/>
      </c>
      <c r="BY342" s="197">
        <f>$K342</f>
        <v/>
      </c>
      <c r="BZ342" s="197">
        <f>+BZ343</f>
        <v/>
      </c>
      <c r="CA342" s="197">
        <f>+CA343</f>
        <v/>
      </c>
      <c r="CB342" s="197">
        <f>+CB343</f>
        <v/>
      </c>
      <c r="CC342" s="197">
        <f>+CC343</f>
        <v/>
      </c>
      <c r="CD342" s="197">
        <f>+CD343</f>
        <v/>
      </c>
      <c r="CF342" s="198">
        <f>$G342</f>
        <v/>
      </c>
      <c r="CG342" s="197">
        <f>$L342</f>
        <v/>
      </c>
      <c r="CH342" s="197">
        <f>+CH343</f>
        <v/>
      </c>
      <c r="CI342" s="197">
        <f>+CI343</f>
        <v/>
      </c>
      <c r="CJ342" s="197">
        <f>+CJ343</f>
        <v/>
      </c>
      <c r="CK342" s="197">
        <f>+CK343</f>
        <v/>
      </c>
      <c r="CL342" s="197">
        <f>+CL343</f>
        <v/>
      </c>
      <c r="CO342" s="199" t="n">
        <v>10.48759124087591</v>
      </c>
      <c r="CP342" s="199" t="n">
        <v>5.24</v>
      </c>
      <c r="CR342" s="199" t="n">
        <v>8.98</v>
      </c>
      <c r="CS342" s="970" t="n">
        <v>0.85625</v>
      </c>
    </row>
    <row r="343">
      <c r="B343" s="204">
        <f>+C343-1</f>
        <v/>
      </c>
      <c r="C343" s="204">
        <f>IF('bands_A-H_Avg'!$D$9+1&gt;MONTH(G343),YEAR(G343),YEAR(G343)+1)</f>
        <v/>
      </c>
      <c r="D343" s="204">
        <f>+C343+1</f>
        <v/>
      </c>
      <c r="E343" s="203">
        <f>IF(C343&gt;C342,1,E342+1)</f>
        <v/>
      </c>
      <c r="F343" s="203">
        <f>COUNTIF(C:C,C343)</f>
        <v/>
      </c>
      <c r="G343" s="198">
        <f>+G342+7</f>
        <v/>
      </c>
      <c r="H343" s="361">
        <f>IF(ISBLANK(CO343),CP343,SUMPRODUCT(CO$32:CP$32,CO343:CP343))</f>
        <v/>
      </c>
      <c r="I343" s="968">
        <f>H343/M343</f>
        <v/>
      </c>
      <c r="J343" s="968">
        <f>H343/N343</f>
        <v/>
      </c>
      <c r="K343" s="968">
        <f>(H343+Q343)/O343</f>
        <v/>
      </c>
      <c r="L343" s="968">
        <f>(H343+Q343)/P343</f>
        <v/>
      </c>
      <c r="M343" s="199">
        <f>HLOOKUP(C:C,$4:$10,3,FALSE)+((HLOOKUP(D:D,$4:$10,3,FALSE)-HLOOKUP(C:C,$4:$10,3,FALSE))*E343/F343)</f>
        <v/>
      </c>
      <c r="N343" s="199">
        <f>HLOOKUP(C:C,$4:$10,2,FALSE)+((HLOOKUP(D:D,$4:$10,2,FALSE)-HLOOKUP(C:C,$4:$10,2,FALSE))*E343/F343)</f>
        <v/>
      </c>
      <c r="O343" s="199">
        <f>HLOOKUP(C:C,$4:$10,5,FALSE)+((HLOOKUP(D:D,$4:$10,5,FALSE)-HLOOKUP(C:C,$4:$10,5,FALSE))*E343/F343)</f>
        <v/>
      </c>
      <c r="P343" s="199">
        <f>HLOOKUP(C:C,$4:$10,4,FALSE)+((HLOOKUP(D:D,$4:$10,4,FALSE)-HLOOKUP(C:C,$4:$10,4,FALSE))*E343/F343)</f>
        <v/>
      </c>
      <c r="Q343" s="199">
        <f>HLOOKUP(B:B,$4:$10,6,FALSE)+((HLOOKUP(C:C,$4:$10,6,FALSE)-HLOOKUP(B:B,$4:$10,6,FALSE))*E343/F343)</f>
        <v/>
      </c>
      <c r="T343" s="198">
        <f>$G343</f>
        <v/>
      </c>
      <c r="U343" s="199">
        <f>H343/(HLOOKUP(B:B,$4:$10,3,FALSE)+((HLOOKUP(C:C,$4:$10,3,FALSE)-HLOOKUP(B:B,$4:$10,3,FALSE))*E343/F343))</f>
        <v/>
      </c>
      <c r="V343" s="969">
        <f>HLOOKUP(B:B,$4:$10,7,FALSE)+((HLOOKUP(C:C,$4:$10,7,FALSE)-HLOOKUP(B:B,$4:$10,7,FALSE))*E343/F343)</f>
        <v/>
      </c>
      <c r="AB343" s="198">
        <f>$G343</f>
        <v/>
      </c>
      <c r="AC343" s="199">
        <f>$H343</f>
        <v/>
      </c>
      <c r="AD343" s="199">
        <f>$M343*AD$34</f>
        <v/>
      </c>
      <c r="AE343" s="199">
        <f>$M343*AE$34</f>
        <v/>
      </c>
      <c r="AF343" s="199">
        <f>$M343*AF$34</f>
        <v/>
      </c>
      <c r="AG343" s="199">
        <f>$M343*AG$34</f>
        <v/>
      </c>
      <c r="AH343" s="199">
        <f>$M343*AH$34</f>
        <v/>
      </c>
      <c r="AJ343" s="198">
        <f>$G343</f>
        <v/>
      </c>
      <c r="AK343" s="199">
        <f>$H343</f>
        <v/>
      </c>
      <c r="AL343" s="199">
        <f>$N343*AL$34</f>
        <v/>
      </c>
      <c r="AM343" s="199">
        <f>$N343*AM$34</f>
        <v/>
      </c>
      <c r="AN343" s="199">
        <f>$N343*AN$34</f>
        <v/>
      </c>
      <c r="AO343" s="199">
        <f>$N343*AO$34</f>
        <v/>
      </c>
      <c r="AP343" s="199">
        <f>$N343*AP$34</f>
        <v/>
      </c>
      <c r="AR343" s="198">
        <f>$G343</f>
        <v/>
      </c>
      <c r="AS343" s="199">
        <f>$H343</f>
        <v/>
      </c>
      <c r="AT343" s="199">
        <f>$O343*AT$34-$Q343</f>
        <v/>
      </c>
      <c r="AU343" s="199">
        <f>$O343*AU$34-$Q343</f>
        <v/>
      </c>
      <c r="AV343" s="199">
        <f>$O343*AV$34-$Q343</f>
        <v/>
      </c>
      <c r="AW343" s="199">
        <f>$O343*AW$34-$Q343</f>
        <v/>
      </c>
      <c r="AX343" s="199">
        <f>$O343*AX$34-$Q343</f>
        <v/>
      </c>
      <c r="AZ343" s="198">
        <f>$G343</f>
        <v/>
      </c>
      <c r="BA343" s="199">
        <f>$H343</f>
        <v/>
      </c>
      <c r="BB343" s="199">
        <f>$P343*BB$34-$Q343</f>
        <v/>
      </c>
      <c r="BC343" s="199">
        <f>$P343*BC$34-$Q343</f>
        <v/>
      </c>
      <c r="BD343" s="199">
        <f>$P343*BD$34-$Q343</f>
        <v/>
      </c>
      <c r="BE343" s="199">
        <f>$P343*BE$34-$Q343</f>
        <v/>
      </c>
      <c r="BF343" s="199">
        <f>$P343*BF$34-$Q343</f>
        <v/>
      </c>
      <c r="BH343" s="198">
        <f>$G343</f>
        <v/>
      </c>
      <c r="BI343" s="197">
        <f>$I343</f>
        <v/>
      </c>
      <c r="BJ343" s="197">
        <f>+BJ344</f>
        <v/>
      </c>
      <c r="BK343" s="197">
        <f>+BK344</f>
        <v/>
      </c>
      <c r="BL343" s="197">
        <f>+BL344</f>
        <v/>
      </c>
      <c r="BM343" s="197">
        <f>+BM344</f>
        <v/>
      </c>
      <c r="BN343" s="197">
        <f>+BN344</f>
        <v/>
      </c>
      <c r="BP343" s="198">
        <f>$G343</f>
        <v/>
      </c>
      <c r="BQ343" s="197">
        <f>$J343</f>
        <v/>
      </c>
      <c r="BR343" s="197">
        <f>+BR344</f>
        <v/>
      </c>
      <c r="BS343" s="197">
        <f>+BS344</f>
        <v/>
      </c>
      <c r="BT343" s="197">
        <f>+BT344</f>
        <v/>
      </c>
      <c r="BU343" s="197">
        <f>+BU344</f>
        <v/>
      </c>
      <c r="BV343" s="197">
        <f>+BV344</f>
        <v/>
      </c>
      <c r="BX343" s="198">
        <f>$G343</f>
        <v/>
      </c>
      <c r="BY343" s="197">
        <f>$K343</f>
        <v/>
      </c>
      <c r="BZ343" s="197">
        <f>+BZ344</f>
        <v/>
      </c>
      <c r="CA343" s="197">
        <f>+CA344</f>
        <v/>
      </c>
      <c r="CB343" s="197">
        <f>+CB344</f>
        <v/>
      </c>
      <c r="CC343" s="197">
        <f>+CC344</f>
        <v/>
      </c>
      <c r="CD343" s="197">
        <f>+CD344</f>
        <v/>
      </c>
      <c r="CF343" s="198">
        <f>$G343</f>
        <v/>
      </c>
      <c r="CG343" s="197">
        <f>$L343</f>
        <v/>
      </c>
      <c r="CH343" s="197">
        <f>+CH344</f>
        <v/>
      </c>
      <c r="CI343" s="197">
        <f>+CI344</f>
        <v/>
      </c>
      <c r="CJ343" s="197">
        <f>+CJ344</f>
        <v/>
      </c>
      <c r="CK343" s="197">
        <f>+CK344</f>
        <v/>
      </c>
      <c r="CL343" s="197">
        <f>+CL344</f>
        <v/>
      </c>
      <c r="CO343" s="199" t="n">
        <v>9.939150442064447</v>
      </c>
      <c r="CP343" s="199" t="n">
        <v>5.22</v>
      </c>
      <c r="CR343" s="199" t="n">
        <v>8.51</v>
      </c>
      <c r="CS343" s="970" t="n">
        <v>0.85621</v>
      </c>
    </row>
    <row r="344">
      <c r="B344" s="204">
        <f>+C344-1</f>
        <v/>
      </c>
      <c r="C344" s="204">
        <f>IF('bands_A-H_Avg'!$D$9+1&gt;MONTH(G344),YEAR(G344),YEAR(G344)+1)</f>
        <v/>
      </c>
      <c r="D344" s="204">
        <f>+C344+1</f>
        <v/>
      </c>
      <c r="E344" s="203">
        <f>IF(C344&gt;C343,1,E343+1)</f>
        <v/>
      </c>
      <c r="F344" s="203">
        <f>COUNTIF(C:C,C344)</f>
        <v/>
      </c>
      <c r="G344" s="198">
        <f>+G343+7</f>
        <v/>
      </c>
      <c r="H344" s="361">
        <f>IF(ISBLANK(CO344),CP344,SUMPRODUCT(CO$32:CP$32,CO344:CP344))</f>
        <v/>
      </c>
      <c r="I344" s="968">
        <f>H344/M344</f>
        <v/>
      </c>
      <c r="J344" s="968">
        <f>H344/N344</f>
        <v/>
      </c>
      <c r="K344" s="968">
        <f>(H344+Q344)/O344</f>
        <v/>
      </c>
      <c r="L344" s="968">
        <f>(H344+Q344)/P344</f>
        <v/>
      </c>
      <c r="M344" s="199">
        <f>HLOOKUP(C:C,$4:$10,3,FALSE)+((HLOOKUP(D:D,$4:$10,3,FALSE)-HLOOKUP(C:C,$4:$10,3,FALSE))*E344/F344)</f>
        <v/>
      </c>
      <c r="N344" s="199">
        <f>HLOOKUP(C:C,$4:$10,2,FALSE)+((HLOOKUP(D:D,$4:$10,2,FALSE)-HLOOKUP(C:C,$4:$10,2,FALSE))*E344/F344)</f>
        <v/>
      </c>
      <c r="O344" s="199">
        <f>HLOOKUP(C:C,$4:$10,5,FALSE)+((HLOOKUP(D:D,$4:$10,5,FALSE)-HLOOKUP(C:C,$4:$10,5,FALSE))*E344/F344)</f>
        <v/>
      </c>
      <c r="P344" s="199">
        <f>HLOOKUP(C:C,$4:$10,4,FALSE)+((HLOOKUP(D:D,$4:$10,4,FALSE)-HLOOKUP(C:C,$4:$10,4,FALSE))*E344/F344)</f>
        <v/>
      </c>
      <c r="Q344" s="199">
        <f>HLOOKUP(B:B,$4:$10,6,FALSE)+((HLOOKUP(C:C,$4:$10,6,FALSE)-HLOOKUP(B:B,$4:$10,6,FALSE))*E344/F344)</f>
        <v/>
      </c>
      <c r="T344" s="198">
        <f>$G344</f>
        <v/>
      </c>
      <c r="U344" s="199">
        <f>H344/(HLOOKUP(B:B,$4:$10,3,FALSE)+((HLOOKUP(C:C,$4:$10,3,FALSE)-HLOOKUP(B:B,$4:$10,3,FALSE))*E344/F344))</f>
        <v/>
      </c>
      <c r="V344" s="969">
        <f>HLOOKUP(B:B,$4:$10,7,FALSE)+((HLOOKUP(C:C,$4:$10,7,FALSE)-HLOOKUP(B:B,$4:$10,7,FALSE))*E344/F344)</f>
        <v/>
      </c>
      <c r="AB344" s="198">
        <f>$G344</f>
        <v/>
      </c>
      <c r="AC344" s="199">
        <f>$H344</f>
        <v/>
      </c>
      <c r="AD344" s="199">
        <f>$M344*AD$34</f>
        <v/>
      </c>
      <c r="AE344" s="199">
        <f>$M344*AE$34</f>
        <v/>
      </c>
      <c r="AF344" s="199">
        <f>$M344*AF$34</f>
        <v/>
      </c>
      <c r="AG344" s="199">
        <f>$M344*AG$34</f>
        <v/>
      </c>
      <c r="AH344" s="199">
        <f>$M344*AH$34</f>
        <v/>
      </c>
      <c r="AJ344" s="198">
        <f>$G344</f>
        <v/>
      </c>
      <c r="AK344" s="199">
        <f>$H344</f>
        <v/>
      </c>
      <c r="AL344" s="199">
        <f>$N344*AL$34</f>
        <v/>
      </c>
      <c r="AM344" s="199">
        <f>$N344*AM$34</f>
        <v/>
      </c>
      <c r="AN344" s="199">
        <f>$N344*AN$34</f>
        <v/>
      </c>
      <c r="AO344" s="199">
        <f>$N344*AO$34</f>
        <v/>
      </c>
      <c r="AP344" s="199">
        <f>$N344*AP$34</f>
        <v/>
      </c>
      <c r="AR344" s="198">
        <f>$G344</f>
        <v/>
      </c>
      <c r="AS344" s="199">
        <f>$H344</f>
        <v/>
      </c>
      <c r="AT344" s="199">
        <f>$O344*AT$34-$Q344</f>
        <v/>
      </c>
      <c r="AU344" s="199">
        <f>$O344*AU$34-$Q344</f>
        <v/>
      </c>
      <c r="AV344" s="199">
        <f>$O344*AV$34-$Q344</f>
        <v/>
      </c>
      <c r="AW344" s="199">
        <f>$O344*AW$34-$Q344</f>
        <v/>
      </c>
      <c r="AX344" s="199">
        <f>$O344*AX$34-$Q344</f>
        <v/>
      </c>
      <c r="AZ344" s="198">
        <f>$G344</f>
        <v/>
      </c>
      <c r="BA344" s="199">
        <f>$H344</f>
        <v/>
      </c>
      <c r="BB344" s="199">
        <f>$P344*BB$34-$Q344</f>
        <v/>
      </c>
      <c r="BC344" s="199">
        <f>$P344*BC$34-$Q344</f>
        <v/>
      </c>
      <c r="BD344" s="199">
        <f>$P344*BD$34-$Q344</f>
        <v/>
      </c>
      <c r="BE344" s="199">
        <f>$P344*BE$34-$Q344</f>
        <v/>
      </c>
      <c r="BF344" s="199">
        <f>$P344*BF$34-$Q344</f>
        <v/>
      </c>
      <c r="BH344" s="198">
        <f>$G344</f>
        <v/>
      </c>
      <c r="BI344" s="197">
        <f>$I344</f>
        <v/>
      </c>
      <c r="BJ344" s="197">
        <f>+BJ345</f>
        <v/>
      </c>
      <c r="BK344" s="197">
        <f>+BK345</f>
        <v/>
      </c>
      <c r="BL344" s="197">
        <f>+BL345</f>
        <v/>
      </c>
      <c r="BM344" s="197">
        <f>+BM345</f>
        <v/>
      </c>
      <c r="BN344" s="197">
        <f>+BN345</f>
        <v/>
      </c>
      <c r="BP344" s="198">
        <f>$G344</f>
        <v/>
      </c>
      <c r="BQ344" s="197">
        <f>$J344</f>
        <v/>
      </c>
      <c r="BR344" s="197">
        <f>+BR345</f>
        <v/>
      </c>
      <c r="BS344" s="197">
        <f>+BS345</f>
        <v/>
      </c>
      <c r="BT344" s="197">
        <f>+BT345</f>
        <v/>
      </c>
      <c r="BU344" s="197">
        <f>+BU345</f>
        <v/>
      </c>
      <c r="BV344" s="197">
        <f>+BV345</f>
        <v/>
      </c>
      <c r="BX344" s="198">
        <f>$G344</f>
        <v/>
      </c>
      <c r="BY344" s="197">
        <f>$K344</f>
        <v/>
      </c>
      <c r="BZ344" s="197">
        <f>+BZ345</f>
        <v/>
      </c>
      <c r="CA344" s="197">
        <f>+CA345</f>
        <v/>
      </c>
      <c r="CB344" s="197">
        <f>+CB345</f>
        <v/>
      </c>
      <c r="CC344" s="197">
        <f>+CC345</f>
        <v/>
      </c>
      <c r="CD344" s="197">
        <f>+CD345</f>
        <v/>
      </c>
      <c r="CF344" s="198">
        <f>$G344</f>
        <v/>
      </c>
      <c r="CG344" s="197">
        <f>$L344</f>
        <v/>
      </c>
      <c r="CH344" s="197">
        <f>+CH345</f>
        <v/>
      </c>
      <c r="CI344" s="197">
        <f>+CI345</f>
        <v/>
      </c>
      <c r="CJ344" s="197">
        <f>+CJ345</f>
        <v/>
      </c>
      <c r="CK344" s="197">
        <f>+CK345</f>
        <v/>
      </c>
      <c r="CL344" s="197">
        <f>+CL345</f>
        <v/>
      </c>
      <c r="CO344" s="199" t="n">
        <v>9.897300947812115</v>
      </c>
      <c r="CP344" s="199" t="n">
        <v>5.28</v>
      </c>
      <c r="CR344" s="199" t="n">
        <v>8.5</v>
      </c>
      <c r="CS344" s="970" t="n">
        <v>0.85882</v>
      </c>
    </row>
    <row r="345">
      <c r="B345" s="204">
        <f>+C345-1</f>
        <v/>
      </c>
      <c r="C345" s="204">
        <f>IF('bands_A-H_Avg'!$D$9+1&gt;MONTH(G345),YEAR(G345),YEAR(G345)+1)</f>
        <v/>
      </c>
      <c r="D345" s="204">
        <f>+C345+1</f>
        <v/>
      </c>
      <c r="E345" s="203">
        <f>IF(C345&gt;C344,1,E344+1)</f>
        <v/>
      </c>
      <c r="F345" s="203">
        <f>COUNTIF(C:C,C345)</f>
        <v/>
      </c>
      <c r="G345" s="198">
        <f>+G344+7</f>
        <v/>
      </c>
      <c r="H345" s="361">
        <f>IF(ISBLANK(CO345),CP345,SUMPRODUCT(CO$32:CP$32,CO345:CP345))</f>
        <v/>
      </c>
      <c r="I345" s="968">
        <f>H345/M345</f>
        <v/>
      </c>
      <c r="J345" s="968">
        <f>H345/N345</f>
        <v/>
      </c>
      <c r="K345" s="968">
        <f>(H345+Q345)/O345</f>
        <v/>
      </c>
      <c r="L345" s="968">
        <f>(H345+Q345)/P345</f>
        <v/>
      </c>
      <c r="M345" s="199">
        <f>HLOOKUP(C:C,$4:$10,3,FALSE)+((HLOOKUP(D:D,$4:$10,3,FALSE)-HLOOKUP(C:C,$4:$10,3,FALSE))*E345/F345)</f>
        <v/>
      </c>
      <c r="N345" s="199">
        <f>HLOOKUP(C:C,$4:$10,2,FALSE)+((HLOOKUP(D:D,$4:$10,2,FALSE)-HLOOKUP(C:C,$4:$10,2,FALSE))*E345/F345)</f>
        <v/>
      </c>
      <c r="O345" s="199">
        <f>HLOOKUP(C:C,$4:$10,5,FALSE)+((HLOOKUP(D:D,$4:$10,5,FALSE)-HLOOKUP(C:C,$4:$10,5,FALSE))*E345/F345)</f>
        <v/>
      </c>
      <c r="P345" s="199">
        <f>HLOOKUP(C:C,$4:$10,4,FALSE)+((HLOOKUP(D:D,$4:$10,4,FALSE)-HLOOKUP(C:C,$4:$10,4,FALSE))*E345/F345)</f>
        <v/>
      </c>
      <c r="Q345" s="199">
        <f>HLOOKUP(B:B,$4:$10,6,FALSE)+((HLOOKUP(C:C,$4:$10,6,FALSE)-HLOOKUP(B:B,$4:$10,6,FALSE))*E345/F345)</f>
        <v/>
      </c>
      <c r="T345" s="198">
        <f>$G345</f>
        <v/>
      </c>
      <c r="U345" s="199">
        <f>H345/(HLOOKUP(B:B,$4:$10,3,FALSE)+((HLOOKUP(C:C,$4:$10,3,FALSE)-HLOOKUP(B:B,$4:$10,3,FALSE))*E345/F345))</f>
        <v/>
      </c>
      <c r="V345" s="969">
        <f>HLOOKUP(B:B,$4:$10,7,FALSE)+((HLOOKUP(C:C,$4:$10,7,FALSE)-HLOOKUP(B:B,$4:$10,7,FALSE))*E345/F345)</f>
        <v/>
      </c>
      <c r="AB345" s="198">
        <f>$G345</f>
        <v/>
      </c>
      <c r="AC345" s="199">
        <f>$H345</f>
        <v/>
      </c>
      <c r="AD345" s="199">
        <f>$M345*AD$34</f>
        <v/>
      </c>
      <c r="AE345" s="199">
        <f>$M345*AE$34</f>
        <v/>
      </c>
      <c r="AF345" s="199">
        <f>$M345*AF$34</f>
        <v/>
      </c>
      <c r="AG345" s="199">
        <f>$M345*AG$34</f>
        <v/>
      </c>
      <c r="AH345" s="199">
        <f>$M345*AH$34</f>
        <v/>
      </c>
      <c r="AJ345" s="198">
        <f>$G345</f>
        <v/>
      </c>
      <c r="AK345" s="199">
        <f>$H345</f>
        <v/>
      </c>
      <c r="AL345" s="199">
        <f>$N345*AL$34</f>
        <v/>
      </c>
      <c r="AM345" s="199">
        <f>$N345*AM$34</f>
        <v/>
      </c>
      <c r="AN345" s="199">
        <f>$N345*AN$34</f>
        <v/>
      </c>
      <c r="AO345" s="199">
        <f>$N345*AO$34</f>
        <v/>
      </c>
      <c r="AP345" s="199">
        <f>$N345*AP$34</f>
        <v/>
      </c>
      <c r="AR345" s="198">
        <f>$G345</f>
        <v/>
      </c>
      <c r="AS345" s="199">
        <f>$H345</f>
        <v/>
      </c>
      <c r="AT345" s="199">
        <f>$O345*AT$34-$Q345</f>
        <v/>
      </c>
      <c r="AU345" s="199">
        <f>$O345*AU$34-$Q345</f>
        <v/>
      </c>
      <c r="AV345" s="199">
        <f>$O345*AV$34-$Q345</f>
        <v/>
      </c>
      <c r="AW345" s="199">
        <f>$O345*AW$34-$Q345</f>
        <v/>
      </c>
      <c r="AX345" s="199">
        <f>$O345*AX$34-$Q345</f>
        <v/>
      </c>
      <c r="AZ345" s="198">
        <f>$G345</f>
        <v/>
      </c>
      <c r="BA345" s="199">
        <f>$H345</f>
        <v/>
      </c>
      <c r="BB345" s="199">
        <f>$P345*BB$34-$Q345</f>
        <v/>
      </c>
      <c r="BC345" s="199">
        <f>$P345*BC$34-$Q345</f>
        <v/>
      </c>
      <c r="BD345" s="199">
        <f>$P345*BD$34-$Q345</f>
        <v/>
      </c>
      <c r="BE345" s="199">
        <f>$P345*BE$34-$Q345</f>
        <v/>
      </c>
      <c r="BF345" s="199">
        <f>$P345*BF$34-$Q345</f>
        <v/>
      </c>
      <c r="BH345" s="198">
        <f>$G345</f>
        <v/>
      </c>
      <c r="BI345" s="197">
        <f>$I345</f>
        <v/>
      </c>
      <c r="BJ345" s="197">
        <f>+BJ346</f>
        <v/>
      </c>
      <c r="BK345" s="197">
        <f>+BK346</f>
        <v/>
      </c>
      <c r="BL345" s="197">
        <f>+BL346</f>
        <v/>
      </c>
      <c r="BM345" s="197">
        <f>+BM346</f>
        <v/>
      </c>
      <c r="BN345" s="197">
        <f>+BN346</f>
        <v/>
      </c>
      <c r="BP345" s="198">
        <f>$G345</f>
        <v/>
      </c>
      <c r="BQ345" s="197">
        <f>$J345</f>
        <v/>
      </c>
      <c r="BR345" s="197">
        <f>+BR346</f>
        <v/>
      </c>
      <c r="BS345" s="197">
        <f>+BS346</f>
        <v/>
      </c>
      <c r="BT345" s="197">
        <f>+BT346</f>
        <v/>
      </c>
      <c r="BU345" s="197">
        <f>+BU346</f>
        <v/>
      </c>
      <c r="BV345" s="197">
        <f>+BV346</f>
        <v/>
      </c>
      <c r="BX345" s="198">
        <f>$G345</f>
        <v/>
      </c>
      <c r="BY345" s="197">
        <f>$K345</f>
        <v/>
      </c>
      <c r="BZ345" s="197">
        <f>+BZ346</f>
        <v/>
      </c>
      <c r="CA345" s="197">
        <f>+CA346</f>
        <v/>
      </c>
      <c r="CB345" s="197">
        <f>+CB346</f>
        <v/>
      </c>
      <c r="CC345" s="197">
        <f>+CC346</f>
        <v/>
      </c>
      <c r="CD345" s="197">
        <f>+CD346</f>
        <v/>
      </c>
      <c r="CF345" s="198">
        <f>$G345</f>
        <v/>
      </c>
      <c r="CG345" s="197">
        <f>$L345</f>
        <v/>
      </c>
      <c r="CH345" s="197">
        <f>+CH346</f>
        <v/>
      </c>
      <c r="CI345" s="197">
        <f>+CI346</f>
        <v/>
      </c>
      <c r="CJ345" s="197">
        <f>+CJ346</f>
        <v/>
      </c>
      <c r="CK345" s="197">
        <f>+CK346</f>
        <v/>
      </c>
      <c r="CL345" s="197">
        <f>+CL346</f>
        <v/>
      </c>
      <c r="CO345" s="199" t="n">
        <v>9.65046212659821</v>
      </c>
      <c r="CP345" s="199" t="n">
        <v>5.54</v>
      </c>
      <c r="CR345" s="199" t="n">
        <v>8.279999999999999</v>
      </c>
      <c r="CS345" s="970" t="n">
        <v>0.85799</v>
      </c>
    </row>
    <row r="346">
      <c r="B346" s="204">
        <f>+C346-1</f>
        <v/>
      </c>
      <c r="C346" s="204">
        <f>IF('bands_A-H_Avg'!$D$9+1&gt;MONTH(G346),YEAR(G346),YEAR(G346)+1)</f>
        <v/>
      </c>
      <c r="D346" s="204">
        <f>+C346+1</f>
        <v/>
      </c>
      <c r="E346" s="203">
        <f>IF(C346&gt;C345,1,E345+1)</f>
        <v/>
      </c>
      <c r="F346" s="203">
        <f>COUNTIF(C:C,C346)</f>
        <v/>
      </c>
      <c r="G346" s="198">
        <f>+G345+7</f>
        <v/>
      </c>
      <c r="H346" s="361">
        <f>IF(ISBLANK(CO346),CP346,SUMPRODUCT(CO$32:CP$32,CO346:CP346))</f>
        <v/>
      </c>
      <c r="I346" s="968">
        <f>H346/M346</f>
        <v/>
      </c>
      <c r="J346" s="968">
        <f>H346/N346</f>
        <v/>
      </c>
      <c r="K346" s="968">
        <f>(H346+Q346)/O346</f>
        <v/>
      </c>
      <c r="L346" s="968">
        <f>(H346+Q346)/P346</f>
        <v/>
      </c>
      <c r="M346" s="199">
        <f>HLOOKUP(C:C,$4:$10,3,FALSE)+((HLOOKUP(D:D,$4:$10,3,FALSE)-HLOOKUP(C:C,$4:$10,3,FALSE))*E346/F346)</f>
        <v/>
      </c>
      <c r="N346" s="199">
        <f>HLOOKUP(C:C,$4:$10,2,FALSE)+((HLOOKUP(D:D,$4:$10,2,FALSE)-HLOOKUP(C:C,$4:$10,2,FALSE))*E346/F346)</f>
        <v/>
      </c>
      <c r="O346" s="199">
        <f>HLOOKUP(C:C,$4:$10,5,FALSE)+((HLOOKUP(D:D,$4:$10,5,FALSE)-HLOOKUP(C:C,$4:$10,5,FALSE))*E346/F346)</f>
        <v/>
      </c>
      <c r="P346" s="199">
        <f>HLOOKUP(C:C,$4:$10,4,FALSE)+((HLOOKUP(D:D,$4:$10,4,FALSE)-HLOOKUP(C:C,$4:$10,4,FALSE))*E346/F346)</f>
        <v/>
      </c>
      <c r="Q346" s="199">
        <f>HLOOKUP(B:B,$4:$10,6,FALSE)+((HLOOKUP(C:C,$4:$10,6,FALSE)-HLOOKUP(B:B,$4:$10,6,FALSE))*E346/F346)</f>
        <v/>
      </c>
      <c r="T346" s="198">
        <f>$G346</f>
        <v/>
      </c>
      <c r="U346" s="199">
        <f>H346/(HLOOKUP(B:B,$4:$10,3,FALSE)+((HLOOKUP(C:C,$4:$10,3,FALSE)-HLOOKUP(B:B,$4:$10,3,FALSE))*E346/F346))</f>
        <v/>
      </c>
      <c r="V346" s="969">
        <f>HLOOKUP(B:B,$4:$10,7,FALSE)+((HLOOKUP(C:C,$4:$10,7,FALSE)-HLOOKUP(B:B,$4:$10,7,FALSE))*E346/F346)</f>
        <v/>
      </c>
      <c r="AB346" s="198">
        <f>$G346</f>
        <v/>
      </c>
      <c r="AC346" s="199">
        <f>$H346</f>
        <v/>
      </c>
      <c r="AD346" s="199">
        <f>$M346*AD$34</f>
        <v/>
      </c>
      <c r="AE346" s="199">
        <f>$M346*AE$34</f>
        <v/>
      </c>
      <c r="AF346" s="199">
        <f>$M346*AF$34</f>
        <v/>
      </c>
      <c r="AG346" s="199">
        <f>$M346*AG$34</f>
        <v/>
      </c>
      <c r="AH346" s="199">
        <f>$M346*AH$34</f>
        <v/>
      </c>
      <c r="AJ346" s="198">
        <f>$G346</f>
        <v/>
      </c>
      <c r="AK346" s="199">
        <f>$H346</f>
        <v/>
      </c>
      <c r="AL346" s="199">
        <f>$N346*AL$34</f>
        <v/>
      </c>
      <c r="AM346" s="199">
        <f>$N346*AM$34</f>
        <v/>
      </c>
      <c r="AN346" s="199">
        <f>$N346*AN$34</f>
        <v/>
      </c>
      <c r="AO346" s="199">
        <f>$N346*AO$34</f>
        <v/>
      </c>
      <c r="AP346" s="199">
        <f>$N346*AP$34</f>
        <v/>
      </c>
      <c r="AR346" s="198">
        <f>$G346</f>
        <v/>
      </c>
      <c r="AS346" s="199">
        <f>$H346</f>
        <v/>
      </c>
      <c r="AT346" s="199">
        <f>$O346*AT$34-$Q346</f>
        <v/>
      </c>
      <c r="AU346" s="199">
        <f>$O346*AU$34-$Q346</f>
        <v/>
      </c>
      <c r="AV346" s="199">
        <f>$O346*AV$34-$Q346</f>
        <v/>
      </c>
      <c r="AW346" s="199">
        <f>$O346*AW$34-$Q346</f>
        <v/>
      </c>
      <c r="AX346" s="199">
        <f>$O346*AX$34-$Q346</f>
        <v/>
      </c>
      <c r="AZ346" s="198">
        <f>$G346</f>
        <v/>
      </c>
      <c r="BA346" s="199">
        <f>$H346</f>
        <v/>
      </c>
      <c r="BB346" s="199">
        <f>$P346*BB$34-$Q346</f>
        <v/>
      </c>
      <c r="BC346" s="199">
        <f>$P346*BC$34-$Q346</f>
        <v/>
      </c>
      <c r="BD346" s="199">
        <f>$P346*BD$34-$Q346</f>
        <v/>
      </c>
      <c r="BE346" s="199">
        <f>$P346*BE$34-$Q346</f>
        <v/>
      </c>
      <c r="BF346" s="199">
        <f>$P346*BF$34-$Q346</f>
        <v/>
      </c>
      <c r="BH346" s="198">
        <f>$G346</f>
        <v/>
      </c>
      <c r="BI346" s="197">
        <f>$I346</f>
        <v/>
      </c>
      <c r="BJ346" s="197">
        <f>+BJ347</f>
        <v/>
      </c>
      <c r="BK346" s="197">
        <f>+BK347</f>
        <v/>
      </c>
      <c r="BL346" s="197">
        <f>+BL347</f>
        <v/>
      </c>
      <c r="BM346" s="197">
        <f>+BM347</f>
        <v/>
      </c>
      <c r="BN346" s="197">
        <f>+BN347</f>
        <v/>
      </c>
      <c r="BP346" s="198">
        <f>$G346</f>
        <v/>
      </c>
      <c r="BQ346" s="197">
        <f>$J346</f>
        <v/>
      </c>
      <c r="BR346" s="197">
        <f>+BR347</f>
        <v/>
      </c>
      <c r="BS346" s="197">
        <f>+BS347</f>
        <v/>
      </c>
      <c r="BT346" s="197">
        <f>+BT347</f>
        <v/>
      </c>
      <c r="BU346" s="197">
        <f>+BU347</f>
        <v/>
      </c>
      <c r="BV346" s="197">
        <f>+BV347</f>
        <v/>
      </c>
      <c r="BX346" s="198">
        <f>$G346</f>
        <v/>
      </c>
      <c r="BY346" s="197">
        <f>$K346</f>
        <v/>
      </c>
      <c r="BZ346" s="197">
        <f>+BZ347</f>
        <v/>
      </c>
      <c r="CA346" s="197">
        <f>+CA347</f>
        <v/>
      </c>
      <c r="CB346" s="197">
        <f>+CB347</f>
        <v/>
      </c>
      <c r="CC346" s="197">
        <f>+CC347</f>
        <v/>
      </c>
      <c r="CD346" s="197">
        <f>+CD347</f>
        <v/>
      </c>
      <c r="CF346" s="198">
        <f>$G346</f>
        <v/>
      </c>
      <c r="CG346" s="197">
        <f>$L346</f>
        <v/>
      </c>
      <c r="CH346" s="197">
        <f>+CH347</f>
        <v/>
      </c>
      <c r="CI346" s="197">
        <f>+CI347</f>
        <v/>
      </c>
      <c r="CJ346" s="197">
        <f>+CJ347</f>
        <v/>
      </c>
      <c r="CK346" s="197">
        <f>+CK347</f>
        <v/>
      </c>
      <c r="CL346" s="197">
        <f>+CL347</f>
        <v/>
      </c>
      <c r="CO346" s="199" t="n">
        <v>9.878792124991243</v>
      </c>
      <c r="CP346" s="199" t="n">
        <v>5.59</v>
      </c>
      <c r="CR346" s="199" t="n">
        <v>8.460000000000001</v>
      </c>
      <c r="CS346" s="970" t="n">
        <v>0.85638</v>
      </c>
    </row>
    <row r="347">
      <c r="B347" s="204">
        <f>+C347-1</f>
        <v/>
      </c>
      <c r="C347" s="204">
        <f>IF('bands_A-H_Avg'!$D$9+1&gt;MONTH(G347),YEAR(G347),YEAR(G347)+1)</f>
        <v/>
      </c>
      <c r="D347" s="204">
        <f>+C347+1</f>
        <v/>
      </c>
      <c r="E347" s="203">
        <f>IF(C347&gt;C346,1,E346+1)</f>
        <v/>
      </c>
      <c r="F347" s="203">
        <f>COUNTIF(C:C,C347)</f>
        <v/>
      </c>
      <c r="G347" s="198">
        <f>+G346+7</f>
        <v/>
      </c>
      <c r="H347" s="361">
        <f>IF(ISBLANK(CO347),CP347,SUMPRODUCT(CO$32:CP$32,CO347:CP347))</f>
        <v/>
      </c>
      <c r="I347" s="968">
        <f>H347/M347</f>
        <v/>
      </c>
      <c r="J347" s="968">
        <f>H347/N347</f>
        <v/>
      </c>
      <c r="K347" s="968">
        <f>(H347+Q347)/O347</f>
        <v/>
      </c>
      <c r="L347" s="968">
        <f>(H347+Q347)/P347</f>
        <v/>
      </c>
      <c r="M347" s="199">
        <f>HLOOKUP(C:C,$4:$10,3,FALSE)+((HLOOKUP(D:D,$4:$10,3,FALSE)-HLOOKUP(C:C,$4:$10,3,FALSE))*E347/F347)</f>
        <v/>
      </c>
      <c r="N347" s="199">
        <f>HLOOKUP(C:C,$4:$10,2,FALSE)+((HLOOKUP(D:D,$4:$10,2,FALSE)-HLOOKUP(C:C,$4:$10,2,FALSE))*E347/F347)</f>
        <v/>
      </c>
      <c r="O347" s="199">
        <f>HLOOKUP(C:C,$4:$10,5,FALSE)+((HLOOKUP(D:D,$4:$10,5,FALSE)-HLOOKUP(C:C,$4:$10,5,FALSE))*E347/F347)</f>
        <v/>
      </c>
      <c r="P347" s="199">
        <f>HLOOKUP(C:C,$4:$10,4,FALSE)+((HLOOKUP(D:D,$4:$10,4,FALSE)-HLOOKUP(C:C,$4:$10,4,FALSE))*E347/F347)</f>
        <v/>
      </c>
      <c r="Q347" s="199">
        <f>HLOOKUP(B:B,$4:$10,6,FALSE)+((HLOOKUP(C:C,$4:$10,6,FALSE)-HLOOKUP(B:B,$4:$10,6,FALSE))*E347/F347)</f>
        <v/>
      </c>
      <c r="T347" s="198">
        <f>$G347</f>
        <v/>
      </c>
      <c r="U347" s="199">
        <f>H347/(HLOOKUP(B:B,$4:$10,3,FALSE)+((HLOOKUP(C:C,$4:$10,3,FALSE)-HLOOKUP(B:B,$4:$10,3,FALSE))*E347/F347))</f>
        <v/>
      </c>
      <c r="V347" s="969">
        <f>HLOOKUP(B:B,$4:$10,7,FALSE)+((HLOOKUP(C:C,$4:$10,7,FALSE)-HLOOKUP(B:B,$4:$10,7,FALSE))*E347/F347)</f>
        <v/>
      </c>
      <c r="AB347" s="198">
        <f>$G347</f>
        <v/>
      </c>
      <c r="AC347" s="199">
        <f>$H347</f>
        <v/>
      </c>
      <c r="AD347" s="199">
        <f>$M347*AD$34</f>
        <v/>
      </c>
      <c r="AE347" s="199">
        <f>$M347*AE$34</f>
        <v/>
      </c>
      <c r="AF347" s="199">
        <f>$M347*AF$34</f>
        <v/>
      </c>
      <c r="AG347" s="199">
        <f>$M347*AG$34</f>
        <v/>
      </c>
      <c r="AH347" s="199">
        <f>$M347*AH$34</f>
        <v/>
      </c>
      <c r="AJ347" s="198">
        <f>$G347</f>
        <v/>
      </c>
      <c r="AK347" s="199">
        <f>$H347</f>
        <v/>
      </c>
      <c r="AL347" s="199">
        <f>$N347*AL$34</f>
        <v/>
      </c>
      <c r="AM347" s="199">
        <f>$N347*AM$34</f>
        <v/>
      </c>
      <c r="AN347" s="199">
        <f>$N347*AN$34</f>
        <v/>
      </c>
      <c r="AO347" s="199">
        <f>$N347*AO$34</f>
        <v/>
      </c>
      <c r="AP347" s="199">
        <f>$N347*AP$34</f>
        <v/>
      </c>
      <c r="AR347" s="198">
        <f>$G347</f>
        <v/>
      </c>
      <c r="AS347" s="199">
        <f>$H347</f>
        <v/>
      </c>
      <c r="AT347" s="199">
        <f>$O347*AT$34-$Q347</f>
        <v/>
      </c>
      <c r="AU347" s="199">
        <f>$O347*AU$34-$Q347</f>
        <v/>
      </c>
      <c r="AV347" s="199">
        <f>$O347*AV$34-$Q347</f>
        <v/>
      </c>
      <c r="AW347" s="199">
        <f>$O347*AW$34-$Q347</f>
        <v/>
      </c>
      <c r="AX347" s="199">
        <f>$O347*AX$34-$Q347</f>
        <v/>
      </c>
      <c r="AZ347" s="198">
        <f>$G347</f>
        <v/>
      </c>
      <c r="BA347" s="199">
        <f>$H347</f>
        <v/>
      </c>
      <c r="BB347" s="199">
        <f>$P347*BB$34-$Q347</f>
        <v/>
      </c>
      <c r="BC347" s="199">
        <f>$P347*BC$34-$Q347</f>
        <v/>
      </c>
      <c r="BD347" s="199">
        <f>$P347*BD$34-$Q347</f>
        <v/>
      </c>
      <c r="BE347" s="199">
        <f>$P347*BE$34-$Q347</f>
        <v/>
      </c>
      <c r="BF347" s="199">
        <f>$P347*BF$34-$Q347</f>
        <v/>
      </c>
      <c r="BH347" s="198">
        <f>$G347</f>
        <v/>
      </c>
      <c r="BI347" s="197">
        <f>$I347</f>
        <v/>
      </c>
      <c r="BJ347" s="197">
        <f>+BJ348</f>
        <v/>
      </c>
      <c r="BK347" s="197">
        <f>+BK348</f>
        <v/>
      </c>
      <c r="BL347" s="197">
        <f>+BL348</f>
        <v/>
      </c>
      <c r="BM347" s="197">
        <f>+BM348</f>
        <v/>
      </c>
      <c r="BN347" s="197">
        <f>+BN348</f>
        <v/>
      </c>
      <c r="BP347" s="198">
        <f>$G347</f>
        <v/>
      </c>
      <c r="BQ347" s="197">
        <f>$J347</f>
        <v/>
      </c>
      <c r="BR347" s="197">
        <f>+BR348</f>
        <v/>
      </c>
      <c r="BS347" s="197">
        <f>+BS348</f>
        <v/>
      </c>
      <c r="BT347" s="197">
        <f>+BT348</f>
        <v/>
      </c>
      <c r="BU347" s="197">
        <f>+BU348</f>
        <v/>
      </c>
      <c r="BV347" s="197">
        <f>+BV348</f>
        <v/>
      </c>
      <c r="BX347" s="198">
        <f>$G347</f>
        <v/>
      </c>
      <c r="BY347" s="197">
        <f>$K347</f>
        <v/>
      </c>
      <c r="BZ347" s="197">
        <f>+BZ348</f>
        <v/>
      </c>
      <c r="CA347" s="197">
        <f>+CA348</f>
        <v/>
      </c>
      <c r="CB347" s="197">
        <f>+CB348</f>
        <v/>
      </c>
      <c r="CC347" s="197">
        <f>+CC348</f>
        <v/>
      </c>
      <c r="CD347" s="197">
        <f>+CD348</f>
        <v/>
      </c>
      <c r="CF347" s="198">
        <f>$G347</f>
        <v/>
      </c>
      <c r="CG347" s="197">
        <f>$L347</f>
        <v/>
      </c>
      <c r="CH347" s="197">
        <f>+CH348</f>
        <v/>
      </c>
      <c r="CI347" s="197">
        <f>+CI348</f>
        <v/>
      </c>
      <c r="CJ347" s="197">
        <f>+CJ348</f>
        <v/>
      </c>
      <c r="CK347" s="197">
        <f>+CK348</f>
        <v/>
      </c>
      <c r="CL347" s="197">
        <f>+CL348</f>
        <v/>
      </c>
      <c r="CO347" s="199" t="n">
        <v>10.15560250738324</v>
      </c>
      <c r="CP347" s="199" t="n">
        <v>5.13</v>
      </c>
      <c r="CR347" s="199" t="n">
        <v>8.699999999999999</v>
      </c>
      <c r="CS347" s="970" t="n">
        <v>0.85667</v>
      </c>
    </row>
    <row r="348">
      <c r="B348" s="204">
        <f>+C348-1</f>
        <v/>
      </c>
      <c r="C348" s="204">
        <f>IF('bands_A-H_Avg'!$D$9+1&gt;MONTH(G348),YEAR(G348),YEAR(G348)+1)</f>
        <v/>
      </c>
      <c r="D348" s="204">
        <f>+C348+1</f>
        <v/>
      </c>
      <c r="E348" s="203">
        <f>IF(C348&gt;C347,1,E347+1)</f>
        <v/>
      </c>
      <c r="F348" s="203">
        <f>COUNTIF(C:C,C348)</f>
        <v/>
      </c>
      <c r="G348" s="198">
        <f>+G347+7</f>
        <v/>
      </c>
      <c r="H348" s="361">
        <f>IF(ISBLANK(CO348),CP348,SUMPRODUCT(CO$32:CP$32,CO348:CP348))</f>
        <v/>
      </c>
      <c r="I348" s="968">
        <f>H348/M348</f>
        <v/>
      </c>
      <c r="J348" s="968">
        <f>H348/N348</f>
        <v/>
      </c>
      <c r="K348" s="968">
        <f>(H348+Q348)/O348</f>
        <v/>
      </c>
      <c r="L348" s="968">
        <f>(H348+Q348)/P348</f>
        <v/>
      </c>
      <c r="M348" s="199">
        <f>HLOOKUP(C:C,$4:$10,3,FALSE)+((HLOOKUP(D:D,$4:$10,3,FALSE)-HLOOKUP(C:C,$4:$10,3,FALSE))*E348/F348)</f>
        <v/>
      </c>
      <c r="N348" s="199">
        <f>HLOOKUP(C:C,$4:$10,2,FALSE)+((HLOOKUP(D:D,$4:$10,2,FALSE)-HLOOKUP(C:C,$4:$10,2,FALSE))*E348/F348)</f>
        <v/>
      </c>
      <c r="O348" s="199">
        <f>HLOOKUP(C:C,$4:$10,5,FALSE)+((HLOOKUP(D:D,$4:$10,5,FALSE)-HLOOKUP(C:C,$4:$10,5,FALSE))*E348/F348)</f>
        <v/>
      </c>
      <c r="P348" s="199">
        <f>HLOOKUP(C:C,$4:$10,4,FALSE)+((HLOOKUP(D:D,$4:$10,4,FALSE)-HLOOKUP(C:C,$4:$10,4,FALSE))*E348/F348)</f>
        <v/>
      </c>
      <c r="Q348" s="199">
        <f>HLOOKUP(B:B,$4:$10,6,FALSE)+((HLOOKUP(C:C,$4:$10,6,FALSE)-HLOOKUP(B:B,$4:$10,6,FALSE))*E348/F348)</f>
        <v/>
      </c>
      <c r="T348" s="198">
        <f>$G348</f>
        <v/>
      </c>
      <c r="U348" s="199">
        <f>H348/(HLOOKUP(B:B,$4:$10,3,FALSE)+((HLOOKUP(C:C,$4:$10,3,FALSE)-HLOOKUP(B:B,$4:$10,3,FALSE))*E348/F348))</f>
        <v/>
      </c>
      <c r="V348" s="969">
        <f>HLOOKUP(B:B,$4:$10,7,FALSE)+((HLOOKUP(C:C,$4:$10,7,FALSE)-HLOOKUP(B:B,$4:$10,7,FALSE))*E348/F348)</f>
        <v/>
      </c>
      <c r="AB348" s="198">
        <f>$G348</f>
        <v/>
      </c>
      <c r="AC348" s="199">
        <f>$H348</f>
        <v/>
      </c>
      <c r="AD348" s="199">
        <f>$M348*AD$34</f>
        <v/>
      </c>
      <c r="AE348" s="199">
        <f>$M348*AE$34</f>
        <v/>
      </c>
      <c r="AF348" s="199">
        <f>$M348*AF$34</f>
        <v/>
      </c>
      <c r="AG348" s="199">
        <f>$M348*AG$34</f>
        <v/>
      </c>
      <c r="AH348" s="199">
        <f>$M348*AH$34</f>
        <v/>
      </c>
      <c r="AJ348" s="198">
        <f>$G348</f>
        <v/>
      </c>
      <c r="AK348" s="199">
        <f>$H348</f>
        <v/>
      </c>
      <c r="AL348" s="199">
        <f>$N348*AL$34</f>
        <v/>
      </c>
      <c r="AM348" s="199">
        <f>$N348*AM$34</f>
        <v/>
      </c>
      <c r="AN348" s="199">
        <f>$N348*AN$34</f>
        <v/>
      </c>
      <c r="AO348" s="199">
        <f>$N348*AO$34</f>
        <v/>
      </c>
      <c r="AP348" s="199">
        <f>$N348*AP$34</f>
        <v/>
      </c>
      <c r="AR348" s="198">
        <f>$G348</f>
        <v/>
      </c>
      <c r="AS348" s="199">
        <f>$H348</f>
        <v/>
      </c>
      <c r="AT348" s="199">
        <f>$O348*AT$34-$Q348</f>
        <v/>
      </c>
      <c r="AU348" s="199">
        <f>$O348*AU$34-$Q348</f>
        <v/>
      </c>
      <c r="AV348" s="199">
        <f>$O348*AV$34-$Q348</f>
        <v/>
      </c>
      <c r="AW348" s="199">
        <f>$O348*AW$34-$Q348</f>
        <v/>
      </c>
      <c r="AX348" s="199">
        <f>$O348*AX$34-$Q348</f>
        <v/>
      </c>
      <c r="AZ348" s="198">
        <f>$G348</f>
        <v/>
      </c>
      <c r="BA348" s="199">
        <f>$H348</f>
        <v/>
      </c>
      <c r="BB348" s="199">
        <f>$P348*BB$34-$Q348</f>
        <v/>
      </c>
      <c r="BC348" s="199">
        <f>$P348*BC$34-$Q348</f>
        <v/>
      </c>
      <c r="BD348" s="199">
        <f>$P348*BD$34-$Q348</f>
        <v/>
      </c>
      <c r="BE348" s="199">
        <f>$P348*BE$34-$Q348</f>
        <v/>
      </c>
      <c r="BF348" s="199">
        <f>$P348*BF$34-$Q348</f>
        <v/>
      </c>
      <c r="BH348" s="198">
        <f>$G348</f>
        <v/>
      </c>
      <c r="BI348" s="197">
        <f>$I348</f>
        <v/>
      </c>
      <c r="BJ348" s="197">
        <f>+BJ349</f>
        <v/>
      </c>
      <c r="BK348" s="197">
        <f>+BK349</f>
        <v/>
      </c>
      <c r="BL348" s="197">
        <f>+BL349</f>
        <v/>
      </c>
      <c r="BM348" s="197">
        <f>+BM349</f>
        <v/>
      </c>
      <c r="BN348" s="197">
        <f>+BN349</f>
        <v/>
      </c>
      <c r="BP348" s="198">
        <f>$G348</f>
        <v/>
      </c>
      <c r="BQ348" s="197">
        <f>$J348</f>
        <v/>
      </c>
      <c r="BR348" s="197">
        <f>+BR349</f>
        <v/>
      </c>
      <c r="BS348" s="197">
        <f>+BS349</f>
        <v/>
      </c>
      <c r="BT348" s="197">
        <f>+BT349</f>
        <v/>
      </c>
      <c r="BU348" s="197">
        <f>+BU349</f>
        <v/>
      </c>
      <c r="BV348" s="197">
        <f>+BV349</f>
        <v/>
      </c>
      <c r="BX348" s="198">
        <f>$G348</f>
        <v/>
      </c>
      <c r="BY348" s="197">
        <f>$K348</f>
        <v/>
      </c>
      <c r="BZ348" s="197">
        <f>+BZ349</f>
        <v/>
      </c>
      <c r="CA348" s="197">
        <f>+CA349</f>
        <v/>
      </c>
      <c r="CB348" s="197">
        <f>+CB349</f>
        <v/>
      </c>
      <c r="CC348" s="197">
        <f>+CC349</f>
        <v/>
      </c>
      <c r="CD348" s="197">
        <f>+CD349</f>
        <v/>
      </c>
      <c r="CF348" s="198">
        <f>$G348</f>
        <v/>
      </c>
      <c r="CG348" s="197">
        <f>$L348</f>
        <v/>
      </c>
      <c r="CH348" s="197">
        <f>+CH349</f>
        <v/>
      </c>
      <c r="CI348" s="197">
        <f>+CI349</f>
        <v/>
      </c>
      <c r="CJ348" s="197">
        <f>+CJ349</f>
        <v/>
      </c>
      <c r="CK348" s="197">
        <f>+CK349</f>
        <v/>
      </c>
      <c r="CL348" s="197">
        <f>+CL349</f>
        <v/>
      </c>
      <c r="CO348" s="199" t="n">
        <v>9.703042320282526</v>
      </c>
      <c r="CP348" s="199" t="n">
        <v>5.09</v>
      </c>
      <c r="CR348" s="199" t="n">
        <v>8.27</v>
      </c>
      <c r="CS348" s="970" t="n">
        <v>0.85231</v>
      </c>
    </row>
    <row r="349">
      <c r="B349" s="204">
        <f>+C349-1</f>
        <v/>
      </c>
      <c r="C349" s="204">
        <f>IF('bands_A-H_Avg'!$D$9+1&gt;MONTH(G349),YEAR(G349),YEAR(G349)+1)</f>
        <v/>
      </c>
      <c r="D349" s="204">
        <f>+C349+1</f>
        <v/>
      </c>
      <c r="E349" s="203">
        <f>IF(C349&gt;C348,1,E348+1)</f>
        <v/>
      </c>
      <c r="F349" s="203">
        <f>COUNTIF(C:C,C349)</f>
        <v/>
      </c>
      <c r="G349" s="198">
        <f>+G348+7</f>
        <v/>
      </c>
      <c r="H349" s="361">
        <f>IF(ISBLANK(CO349),CP349,SUMPRODUCT(CO$32:CP$32,CO349:CP349))</f>
        <v/>
      </c>
      <c r="I349" s="968">
        <f>H349/M349</f>
        <v/>
      </c>
      <c r="J349" s="968">
        <f>H349/N349</f>
        <v/>
      </c>
      <c r="K349" s="968">
        <f>(H349+Q349)/O349</f>
        <v/>
      </c>
      <c r="L349" s="968">
        <f>(H349+Q349)/P349</f>
        <v/>
      </c>
      <c r="M349" s="199">
        <f>HLOOKUP(C:C,$4:$10,3,FALSE)+((HLOOKUP(D:D,$4:$10,3,FALSE)-HLOOKUP(C:C,$4:$10,3,FALSE))*E349/F349)</f>
        <v/>
      </c>
      <c r="N349" s="199">
        <f>HLOOKUP(C:C,$4:$10,2,FALSE)+((HLOOKUP(D:D,$4:$10,2,FALSE)-HLOOKUP(C:C,$4:$10,2,FALSE))*E349/F349)</f>
        <v/>
      </c>
      <c r="O349" s="199">
        <f>HLOOKUP(C:C,$4:$10,5,FALSE)+((HLOOKUP(D:D,$4:$10,5,FALSE)-HLOOKUP(C:C,$4:$10,5,FALSE))*E349/F349)</f>
        <v/>
      </c>
      <c r="P349" s="199">
        <f>HLOOKUP(C:C,$4:$10,4,FALSE)+((HLOOKUP(D:D,$4:$10,4,FALSE)-HLOOKUP(C:C,$4:$10,4,FALSE))*E349/F349)</f>
        <v/>
      </c>
      <c r="Q349" s="199">
        <f>HLOOKUP(B:B,$4:$10,6,FALSE)+((HLOOKUP(C:C,$4:$10,6,FALSE)-HLOOKUP(B:B,$4:$10,6,FALSE))*E349/F349)</f>
        <v/>
      </c>
      <c r="T349" s="198">
        <f>$G349</f>
        <v/>
      </c>
      <c r="U349" s="199">
        <f>H349/(HLOOKUP(B:B,$4:$10,3,FALSE)+((HLOOKUP(C:C,$4:$10,3,FALSE)-HLOOKUP(B:B,$4:$10,3,FALSE))*E349/F349))</f>
        <v/>
      </c>
      <c r="V349" s="969">
        <f>HLOOKUP(B:B,$4:$10,7,FALSE)+((HLOOKUP(C:C,$4:$10,7,FALSE)-HLOOKUP(B:B,$4:$10,7,FALSE))*E349/F349)</f>
        <v/>
      </c>
      <c r="AB349" s="198">
        <f>$G349</f>
        <v/>
      </c>
      <c r="AC349" s="199">
        <f>$H349</f>
        <v/>
      </c>
      <c r="AD349" s="199">
        <f>$M349*AD$34</f>
        <v/>
      </c>
      <c r="AE349" s="199">
        <f>$M349*AE$34</f>
        <v/>
      </c>
      <c r="AF349" s="199">
        <f>$M349*AF$34</f>
        <v/>
      </c>
      <c r="AG349" s="199">
        <f>$M349*AG$34</f>
        <v/>
      </c>
      <c r="AH349" s="199">
        <f>$M349*AH$34</f>
        <v/>
      </c>
      <c r="AJ349" s="198">
        <f>$G349</f>
        <v/>
      </c>
      <c r="AK349" s="199">
        <f>$H349</f>
        <v/>
      </c>
      <c r="AL349" s="199">
        <f>$N349*AL$34</f>
        <v/>
      </c>
      <c r="AM349" s="199">
        <f>$N349*AM$34</f>
        <v/>
      </c>
      <c r="AN349" s="199">
        <f>$N349*AN$34</f>
        <v/>
      </c>
      <c r="AO349" s="199">
        <f>$N349*AO$34</f>
        <v/>
      </c>
      <c r="AP349" s="199">
        <f>$N349*AP$34</f>
        <v/>
      </c>
      <c r="AR349" s="198">
        <f>$G349</f>
        <v/>
      </c>
      <c r="AS349" s="199">
        <f>$H349</f>
        <v/>
      </c>
      <c r="AT349" s="199">
        <f>$O349*AT$34-$Q349</f>
        <v/>
      </c>
      <c r="AU349" s="199">
        <f>$O349*AU$34-$Q349</f>
        <v/>
      </c>
      <c r="AV349" s="199">
        <f>$O349*AV$34-$Q349</f>
        <v/>
      </c>
      <c r="AW349" s="199">
        <f>$O349*AW$34-$Q349</f>
        <v/>
      </c>
      <c r="AX349" s="199">
        <f>$O349*AX$34-$Q349</f>
        <v/>
      </c>
      <c r="AZ349" s="198">
        <f>$G349</f>
        <v/>
      </c>
      <c r="BA349" s="199">
        <f>$H349</f>
        <v/>
      </c>
      <c r="BB349" s="199">
        <f>$P349*BB$34-$Q349</f>
        <v/>
      </c>
      <c r="BC349" s="199">
        <f>$P349*BC$34-$Q349</f>
        <v/>
      </c>
      <c r="BD349" s="199">
        <f>$P349*BD$34-$Q349</f>
        <v/>
      </c>
      <c r="BE349" s="199">
        <f>$P349*BE$34-$Q349</f>
        <v/>
      </c>
      <c r="BF349" s="199">
        <f>$P349*BF$34-$Q349</f>
        <v/>
      </c>
      <c r="BH349" s="198">
        <f>$G349</f>
        <v/>
      </c>
      <c r="BI349" s="197">
        <f>$I349</f>
        <v/>
      </c>
      <c r="BJ349" s="197">
        <f>+BJ350</f>
        <v/>
      </c>
      <c r="BK349" s="197">
        <f>+BK350</f>
        <v/>
      </c>
      <c r="BL349" s="197">
        <f>+BL350</f>
        <v/>
      </c>
      <c r="BM349" s="197">
        <f>+BM350</f>
        <v/>
      </c>
      <c r="BN349" s="197">
        <f>+BN350</f>
        <v/>
      </c>
      <c r="BP349" s="198">
        <f>$G349</f>
        <v/>
      </c>
      <c r="BQ349" s="197">
        <f>$J349</f>
        <v/>
      </c>
      <c r="BR349" s="197">
        <f>+BR350</f>
        <v/>
      </c>
      <c r="BS349" s="197">
        <f>+BS350</f>
        <v/>
      </c>
      <c r="BT349" s="197">
        <f>+BT350</f>
        <v/>
      </c>
      <c r="BU349" s="197">
        <f>+BU350</f>
        <v/>
      </c>
      <c r="BV349" s="197">
        <f>+BV350</f>
        <v/>
      </c>
      <c r="BX349" s="198">
        <f>$G349</f>
        <v/>
      </c>
      <c r="BY349" s="197">
        <f>$K349</f>
        <v/>
      </c>
      <c r="BZ349" s="197">
        <f>+BZ350</f>
        <v/>
      </c>
      <c r="CA349" s="197">
        <f>+CA350</f>
        <v/>
      </c>
      <c r="CB349" s="197">
        <f>+CB350</f>
        <v/>
      </c>
      <c r="CC349" s="197">
        <f>+CC350</f>
        <v/>
      </c>
      <c r="CD349" s="197">
        <f>+CD350</f>
        <v/>
      </c>
      <c r="CF349" s="198">
        <f>$G349</f>
        <v/>
      </c>
      <c r="CG349" s="197">
        <f>$L349</f>
        <v/>
      </c>
      <c r="CH349" s="197">
        <f>+CH350</f>
        <v/>
      </c>
      <c r="CI349" s="197">
        <f>+CI350</f>
        <v/>
      </c>
      <c r="CJ349" s="197">
        <f>+CJ350</f>
        <v/>
      </c>
      <c r="CK349" s="197">
        <f>+CK350</f>
        <v/>
      </c>
      <c r="CL349" s="197">
        <f>+CL350</f>
        <v/>
      </c>
      <c r="CO349" s="199" t="n">
        <v>10.0027129999882</v>
      </c>
      <c r="CP349" s="199" t="n">
        <v>5.13</v>
      </c>
      <c r="CR349" s="199" t="n">
        <v>8.48</v>
      </c>
      <c r="CS349" s="970" t="n">
        <v>0.84777</v>
      </c>
    </row>
    <row r="350">
      <c r="B350" s="204">
        <f>+C350-1</f>
        <v/>
      </c>
      <c r="C350" s="204">
        <f>IF('bands_A-H_Avg'!$D$9+1&gt;MONTH(G350),YEAR(G350),YEAR(G350)+1)</f>
        <v/>
      </c>
      <c r="D350" s="204">
        <f>+C350+1</f>
        <v/>
      </c>
      <c r="E350" s="203">
        <f>IF(C350&gt;C349,1,E349+1)</f>
        <v/>
      </c>
      <c r="F350" s="203">
        <f>COUNTIF(C:C,C350)</f>
        <v/>
      </c>
      <c r="G350" s="198">
        <f>+G349+7</f>
        <v/>
      </c>
      <c r="H350" s="361">
        <f>IF(ISBLANK(CO350),CP350,SUMPRODUCT(CO$32:CP$32,CO350:CP350))</f>
        <v/>
      </c>
      <c r="I350" s="968">
        <f>H350/M350</f>
        <v/>
      </c>
      <c r="J350" s="968">
        <f>H350/N350</f>
        <v/>
      </c>
      <c r="K350" s="968">
        <f>(H350+Q350)/O350</f>
        <v/>
      </c>
      <c r="L350" s="968">
        <f>(H350+Q350)/P350</f>
        <v/>
      </c>
      <c r="M350" s="199">
        <f>HLOOKUP(C:C,$4:$10,3,FALSE)+((HLOOKUP(D:D,$4:$10,3,FALSE)-HLOOKUP(C:C,$4:$10,3,FALSE))*E350/F350)</f>
        <v/>
      </c>
      <c r="N350" s="199">
        <f>HLOOKUP(C:C,$4:$10,2,FALSE)+((HLOOKUP(D:D,$4:$10,2,FALSE)-HLOOKUP(C:C,$4:$10,2,FALSE))*E350/F350)</f>
        <v/>
      </c>
      <c r="O350" s="199">
        <f>HLOOKUP(C:C,$4:$10,5,FALSE)+((HLOOKUP(D:D,$4:$10,5,FALSE)-HLOOKUP(C:C,$4:$10,5,FALSE))*E350/F350)</f>
        <v/>
      </c>
      <c r="P350" s="199">
        <f>HLOOKUP(C:C,$4:$10,4,FALSE)+((HLOOKUP(D:D,$4:$10,4,FALSE)-HLOOKUP(C:C,$4:$10,4,FALSE))*E350/F350)</f>
        <v/>
      </c>
      <c r="Q350" s="199">
        <f>HLOOKUP(B:B,$4:$10,6,FALSE)+((HLOOKUP(C:C,$4:$10,6,FALSE)-HLOOKUP(B:B,$4:$10,6,FALSE))*E350/F350)</f>
        <v/>
      </c>
      <c r="T350" s="198">
        <f>$G350</f>
        <v/>
      </c>
      <c r="U350" s="199">
        <f>H350/(HLOOKUP(B:B,$4:$10,3,FALSE)+((HLOOKUP(C:C,$4:$10,3,FALSE)-HLOOKUP(B:B,$4:$10,3,FALSE))*E350/F350))</f>
        <v/>
      </c>
      <c r="V350" s="969">
        <f>HLOOKUP(B:B,$4:$10,7,FALSE)+((HLOOKUP(C:C,$4:$10,7,FALSE)-HLOOKUP(B:B,$4:$10,7,FALSE))*E350/F350)</f>
        <v/>
      </c>
      <c r="AB350" s="198">
        <f>$G350</f>
        <v/>
      </c>
      <c r="AC350" s="199">
        <f>$H350</f>
        <v/>
      </c>
      <c r="AD350" s="199">
        <f>$M350*AD$34</f>
        <v/>
      </c>
      <c r="AE350" s="199">
        <f>$M350*AE$34</f>
        <v/>
      </c>
      <c r="AF350" s="199">
        <f>$M350*AF$34</f>
        <v/>
      </c>
      <c r="AG350" s="199">
        <f>$M350*AG$34</f>
        <v/>
      </c>
      <c r="AH350" s="199">
        <f>$M350*AH$34</f>
        <v/>
      </c>
      <c r="AJ350" s="198">
        <f>$G350</f>
        <v/>
      </c>
      <c r="AK350" s="199">
        <f>$H350</f>
        <v/>
      </c>
      <c r="AL350" s="199">
        <f>$N350*AL$34</f>
        <v/>
      </c>
      <c r="AM350" s="199">
        <f>$N350*AM$34</f>
        <v/>
      </c>
      <c r="AN350" s="199">
        <f>$N350*AN$34</f>
        <v/>
      </c>
      <c r="AO350" s="199">
        <f>$N350*AO$34</f>
        <v/>
      </c>
      <c r="AP350" s="199">
        <f>$N350*AP$34</f>
        <v/>
      </c>
      <c r="AR350" s="198">
        <f>$G350</f>
        <v/>
      </c>
      <c r="AS350" s="199">
        <f>$H350</f>
        <v/>
      </c>
      <c r="AT350" s="199">
        <f>$O350*AT$34-$Q350</f>
        <v/>
      </c>
      <c r="AU350" s="199">
        <f>$O350*AU$34-$Q350</f>
        <v/>
      </c>
      <c r="AV350" s="199">
        <f>$O350*AV$34-$Q350</f>
        <v/>
      </c>
      <c r="AW350" s="199">
        <f>$O350*AW$34-$Q350</f>
        <v/>
      </c>
      <c r="AX350" s="199">
        <f>$O350*AX$34-$Q350</f>
        <v/>
      </c>
      <c r="AZ350" s="198">
        <f>$G350</f>
        <v/>
      </c>
      <c r="BA350" s="199">
        <f>$H350</f>
        <v/>
      </c>
      <c r="BB350" s="199">
        <f>$P350*BB$34-$Q350</f>
        <v/>
      </c>
      <c r="BC350" s="199">
        <f>$P350*BC$34-$Q350</f>
        <v/>
      </c>
      <c r="BD350" s="199">
        <f>$P350*BD$34-$Q350</f>
        <v/>
      </c>
      <c r="BE350" s="199">
        <f>$P350*BE$34-$Q350</f>
        <v/>
      </c>
      <c r="BF350" s="199">
        <f>$P350*BF$34-$Q350</f>
        <v/>
      </c>
      <c r="BH350" s="198">
        <f>$G350</f>
        <v/>
      </c>
      <c r="BI350" s="197">
        <f>$I350</f>
        <v/>
      </c>
      <c r="BJ350" s="197">
        <f>+BJ351</f>
        <v/>
      </c>
      <c r="BK350" s="197">
        <f>+BK351</f>
        <v/>
      </c>
      <c r="BL350" s="197">
        <f>+BL351</f>
        <v/>
      </c>
      <c r="BM350" s="197">
        <f>+BM351</f>
        <v/>
      </c>
      <c r="BN350" s="197">
        <f>+BN351</f>
        <v/>
      </c>
      <c r="BP350" s="198">
        <f>$G350</f>
        <v/>
      </c>
      <c r="BQ350" s="197">
        <f>$J350</f>
        <v/>
      </c>
      <c r="BR350" s="197">
        <f>+BR351</f>
        <v/>
      </c>
      <c r="BS350" s="197">
        <f>+BS351</f>
        <v/>
      </c>
      <c r="BT350" s="197">
        <f>+BT351</f>
        <v/>
      </c>
      <c r="BU350" s="197">
        <f>+BU351</f>
        <v/>
      </c>
      <c r="BV350" s="197">
        <f>+BV351</f>
        <v/>
      </c>
      <c r="BX350" s="198">
        <f>$G350</f>
        <v/>
      </c>
      <c r="BY350" s="197">
        <f>$K350</f>
        <v/>
      </c>
      <c r="BZ350" s="197">
        <f>+BZ351</f>
        <v/>
      </c>
      <c r="CA350" s="197">
        <f>+CA351</f>
        <v/>
      </c>
      <c r="CB350" s="197">
        <f>+CB351</f>
        <v/>
      </c>
      <c r="CC350" s="197">
        <f>+CC351</f>
        <v/>
      </c>
      <c r="CD350" s="197">
        <f>+CD351</f>
        <v/>
      </c>
      <c r="CF350" s="198">
        <f>$G350</f>
        <v/>
      </c>
      <c r="CG350" s="197">
        <f>$L350</f>
        <v/>
      </c>
      <c r="CH350" s="197">
        <f>+CH351</f>
        <v/>
      </c>
      <c r="CI350" s="197">
        <f>+CI351</f>
        <v/>
      </c>
      <c r="CJ350" s="197">
        <f>+CJ351</f>
        <v/>
      </c>
      <c r="CK350" s="197">
        <f>+CK351</f>
        <v/>
      </c>
      <c r="CL350" s="197">
        <f>+CL351</f>
        <v/>
      </c>
      <c r="CO350" s="199" t="n">
        <v>9.999413867885821</v>
      </c>
      <c r="CP350" s="199" t="n">
        <v>5.36</v>
      </c>
      <c r="CR350" s="199" t="n">
        <v>8.529999999999999</v>
      </c>
      <c r="CS350" s="970" t="n">
        <v>0.85305</v>
      </c>
    </row>
    <row r="351">
      <c r="B351" s="204">
        <f>+C351-1</f>
        <v/>
      </c>
      <c r="C351" s="204">
        <f>IF('bands_A-H_Avg'!$D$9+1&gt;MONTH(G351),YEAR(G351),YEAR(G351)+1)</f>
        <v/>
      </c>
      <c r="D351" s="204">
        <f>+C351+1</f>
        <v/>
      </c>
      <c r="E351" s="203">
        <f>IF(C351&gt;C350,1,E350+1)</f>
        <v/>
      </c>
      <c r="F351" s="203">
        <f>COUNTIF(C:C,C351)</f>
        <v/>
      </c>
      <c r="G351" s="198">
        <f>+G350+7</f>
        <v/>
      </c>
      <c r="H351" s="361">
        <f>IF(ISBLANK(CO351),CP351,SUMPRODUCT(CO$32:CP$32,CO351:CP351))</f>
        <v/>
      </c>
      <c r="I351" s="968">
        <f>H351/M351</f>
        <v/>
      </c>
      <c r="J351" s="968">
        <f>H351/N351</f>
        <v/>
      </c>
      <c r="K351" s="968">
        <f>(H351+Q351)/O351</f>
        <v/>
      </c>
      <c r="L351" s="968">
        <f>(H351+Q351)/P351</f>
        <v/>
      </c>
      <c r="M351" s="199">
        <f>HLOOKUP(C:C,$4:$10,3,FALSE)+((HLOOKUP(D:D,$4:$10,3,FALSE)-HLOOKUP(C:C,$4:$10,3,FALSE))*E351/F351)</f>
        <v/>
      </c>
      <c r="N351" s="199">
        <f>HLOOKUP(C:C,$4:$10,2,FALSE)+((HLOOKUP(D:D,$4:$10,2,FALSE)-HLOOKUP(C:C,$4:$10,2,FALSE))*E351/F351)</f>
        <v/>
      </c>
      <c r="O351" s="199">
        <f>HLOOKUP(C:C,$4:$10,5,FALSE)+((HLOOKUP(D:D,$4:$10,5,FALSE)-HLOOKUP(C:C,$4:$10,5,FALSE))*E351/F351)</f>
        <v/>
      </c>
      <c r="P351" s="199">
        <f>HLOOKUP(C:C,$4:$10,4,FALSE)+((HLOOKUP(D:D,$4:$10,4,FALSE)-HLOOKUP(C:C,$4:$10,4,FALSE))*E351/F351)</f>
        <v/>
      </c>
      <c r="Q351" s="199">
        <f>HLOOKUP(B:B,$4:$10,6,FALSE)+((HLOOKUP(C:C,$4:$10,6,FALSE)-HLOOKUP(B:B,$4:$10,6,FALSE))*E351/F351)</f>
        <v/>
      </c>
      <c r="T351" s="198">
        <f>$G351</f>
        <v/>
      </c>
      <c r="U351" s="199">
        <f>H351/(HLOOKUP(B:B,$4:$10,3,FALSE)+((HLOOKUP(C:C,$4:$10,3,FALSE)-HLOOKUP(B:B,$4:$10,3,FALSE))*E351/F351))</f>
        <v/>
      </c>
      <c r="V351" s="969">
        <f>HLOOKUP(B:B,$4:$10,7,FALSE)+((HLOOKUP(C:C,$4:$10,7,FALSE)-HLOOKUP(B:B,$4:$10,7,FALSE))*E351/F351)</f>
        <v/>
      </c>
      <c r="AB351" s="198">
        <f>$G351</f>
        <v/>
      </c>
      <c r="AC351" s="199">
        <f>$H351</f>
        <v/>
      </c>
      <c r="AD351" s="199">
        <f>$M351*AD$34</f>
        <v/>
      </c>
      <c r="AE351" s="199">
        <f>$M351*AE$34</f>
        <v/>
      </c>
      <c r="AF351" s="199">
        <f>$M351*AF$34</f>
        <v/>
      </c>
      <c r="AG351" s="199">
        <f>$M351*AG$34</f>
        <v/>
      </c>
      <c r="AH351" s="199">
        <f>$M351*AH$34</f>
        <v/>
      </c>
      <c r="AJ351" s="198">
        <f>$G351</f>
        <v/>
      </c>
      <c r="AK351" s="199">
        <f>$H351</f>
        <v/>
      </c>
      <c r="AL351" s="199">
        <f>$N351*AL$34</f>
        <v/>
      </c>
      <c r="AM351" s="199">
        <f>$N351*AM$34</f>
        <v/>
      </c>
      <c r="AN351" s="199">
        <f>$N351*AN$34</f>
        <v/>
      </c>
      <c r="AO351" s="199">
        <f>$N351*AO$34</f>
        <v/>
      </c>
      <c r="AP351" s="199">
        <f>$N351*AP$34</f>
        <v/>
      </c>
      <c r="AR351" s="198">
        <f>$G351</f>
        <v/>
      </c>
      <c r="AS351" s="199">
        <f>$H351</f>
        <v/>
      </c>
      <c r="AT351" s="199">
        <f>$O351*AT$34-$Q351</f>
        <v/>
      </c>
      <c r="AU351" s="199">
        <f>$O351*AU$34-$Q351</f>
        <v/>
      </c>
      <c r="AV351" s="199">
        <f>$O351*AV$34-$Q351</f>
        <v/>
      </c>
      <c r="AW351" s="199">
        <f>$O351*AW$34-$Q351</f>
        <v/>
      </c>
      <c r="AX351" s="199">
        <f>$O351*AX$34-$Q351</f>
        <v/>
      </c>
      <c r="AZ351" s="198">
        <f>$G351</f>
        <v/>
      </c>
      <c r="BA351" s="199">
        <f>$H351</f>
        <v/>
      </c>
      <c r="BB351" s="199">
        <f>$P351*BB$34-$Q351</f>
        <v/>
      </c>
      <c r="BC351" s="199">
        <f>$P351*BC$34-$Q351</f>
        <v/>
      </c>
      <c r="BD351" s="199">
        <f>$P351*BD$34-$Q351</f>
        <v/>
      </c>
      <c r="BE351" s="199">
        <f>$P351*BE$34-$Q351</f>
        <v/>
      </c>
      <c r="BF351" s="199">
        <f>$P351*BF$34-$Q351</f>
        <v/>
      </c>
      <c r="BH351" s="198">
        <f>$G351</f>
        <v/>
      </c>
      <c r="BI351" s="197">
        <f>$I351</f>
        <v/>
      </c>
      <c r="BJ351" s="197">
        <f>+BJ352</f>
        <v/>
      </c>
      <c r="BK351" s="197">
        <f>+BK352</f>
        <v/>
      </c>
      <c r="BL351" s="197">
        <f>+BL352</f>
        <v/>
      </c>
      <c r="BM351" s="197">
        <f>+BM352</f>
        <v/>
      </c>
      <c r="BN351" s="197">
        <f>+BN352</f>
        <v/>
      </c>
      <c r="BP351" s="198">
        <f>$G351</f>
        <v/>
      </c>
      <c r="BQ351" s="197">
        <f>$J351</f>
        <v/>
      </c>
      <c r="BR351" s="197">
        <f>+BR352</f>
        <v/>
      </c>
      <c r="BS351" s="197">
        <f>+BS352</f>
        <v/>
      </c>
      <c r="BT351" s="197">
        <f>+BT352</f>
        <v/>
      </c>
      <c r="BU351" s="197">
        <f>+BU352</f>
        <v/>
      </c>
      <c r="BV351" s="197">
        <f>+BV352</f>
        <v/>
      </c>
      <c r="BX351" s="198">
        <f>$G351</f>
        <v/>
      </c>
      <c r="BY351" s="197">
        <f>$K351</f>
        <v/>
      </c>
      <c r="BZ351" s="197">
        <f>+BZ352</f>
        <v/>
      </c>
      <c r="CA351" s="197">
        <f>+CA352</f>
        <v/>
      </c>
      <c r="CB351" s="197">
        <f>+CB352</f>
        <v/>
      </c>
      <c r="CC351" s="197">
        <f>+CC352</f>
        <v/>
      </c>
      <c r="CD351" s="197">
        <f>+CD352</f>
        <v/>
      </c>
      <c r="CF351" s="198">
        <f>$G351</f>
        <v/>
      </c>
      <c r="CG351" s="197">
        <f>$L351</f>
        <v/>
      </c>
      <c r="CH351" s="197">
        <f>+CH352</f>
        <v/>
      </c>
      <c r="CI351" s="197">
        <f>+CI352</f>
        <v/>
      </c>
      <c r="CJ351" s="197">
        <f>+CJ352</f>
        <v/>
      </c>
      <c r="CK351" s="197">
        <f>+CK352</f>
        <v/>
      </c>
      <c r="CL351" s="197">
        <f>+CL352</f>
        <v/>
      </c>
      <c r="CO351" s="199" t="n">
        <v>9.685715633995565</v>
      </c>
      <c r="CP351" s="199" t="n">
        <v>5.29</v>
      </c>
      <c r="CR351" s="199" t="n">
        <v>8.210000000000001</v>
      </c>
      <c r="CS351" s="970" t="n">
        <v>0.8476399999999999</v>
      </c>
    </row>
    <row r="352">
      <c r="B352" s="204">
        <f>+C352-1</f>
        <v/>
      </c>
      <c r="C352" s="204">
        <f>IF('bands_A-H_Avg'!$D$9+1&gt;MONTH(G352),YEAR(G352),YEAR(G352)+1)</f>
        <v/>
      </c>
      <c r="D352" s="204">
        <f>+C352+1</f>
        <v/>
      </c>
      <c r="E352" s="203">
        <f>IF(C352&gt;C351,1,E351+1)</f>
        <v/>
      </c>
      <c r="F352" s="203">
        <f>COUNTIF(C:C,C352)</f>
        <v/>
      </c>
      <c r="G352" s="198">
        <f>+G351+7</f>
        <v/>
      </c>
      <c r="H352" s="361">
        <f>IF(ISBLANK(CO352),CP352,SUMPRODUCT(CO$32:CP$32,CO352:CP352))</f>
        <v/>
      </c>
      <c r="I352" s="968">
        <f>H352/M352</f>
        <v/>
      </c>
      <c r="J352" s="968">
        <f>H352/N352</f>
        <v/>
      </c>
      <c r="K352" s="968">
        <f>(H352+Q352)/O352</f>
        <v/>
      </c>
      <c r="L352" s="968">
        <f>(H352+Q352)/P352</f>
        <v/>
      </c>
      <c r="M352" s="199">
        <f>HLOOKUP(C:C,$4:$10,3,FALSE)+((HLOOKUP(D:D,$4:$10,3,FALSE)-HLOOKUP(C:C,$4:$10,3,FALSE))*E352/F352)</f>
        <v/>
      </c>
      <c r="N352" s="199">
        <f>HLOOKUP(C:C,$4:$10,2,FALSE)+((HLOOKUP(D:D,$4:$10,2,FALSE)-HLOOKUP(C:C,$4:$10,2,FALSE))*E352/F352)</f>
        <v/>
      </c>
      <c r="O352" s="199">
        <f>HLOOKUP(C:C,$4:$10,5,FALSE)+((HLOOKUP(D:D,$4:$10,5,FALSE)-HLOOKUP(C:C,$4:$10,5,FALSE))*E352/F352)</f>
        <v/>
      </c>
      <c r="P352" s="199">
        <f>HLOOKUP(C:C,$4:$10,4,FALSE)+((HLOOKUP(D:D,$4:$10,4,FALSE)-HLOOKUP(C:C,$4:$10,4,FALSE))*E352/F352)</f>
        <v/>
      </c>
      <c r="Q352" s="199">
        <f>HLOOKUP(B:B,$4:$10,6,FALSE)+((HLOOKUP(C:C,$4:$10,6,FALSE)-HLOOKUP(B:B,$4:$10,6,FALSE))*E352/F352)</f>
        <v/>
      </c>
      <c r="T352" s="198">
        <f>$G352</f>
        <v/>
      </c>
      <c r="U352" s="199">
        <f>H352/(HLOOKUP(B:B,$4:$10,3,FALSE)+((HLOOKUP(C:C,$4:$10,3,FALSE)-HLOOKUP(B:B,$4:$10,3,FALSE))*E352/F352))</f>
        <v/>
      </c>
      <c r="V352" s="969">
        <f>HLOOKUP(B:B,$4:$10,7,FALSE)+((HLOOKUP(C:C,$4:$10,7,FALSE)-HLOOKUP(B:B,$4:$10,7,FALSE))*E352/F352)</f>
        <v/>
      </c>
      <c r="AB352" s="198">
        <f>$G352</f>
        <v/>
      </c>
      <c r="AC352" s="199">
        <f>$H352</f>
        <v/>
      </c>
      <c r="AD352" s="199">
        <f>$M352*AD$34</f>
        <v/>
      </c>
      <c r="AE352" s="199">
        <f>$M352*AE$34</f>
        <v/>
      </c>
      <c r="AF352" s="199">
        <f>$M352*AF$34</f>
        <v/>
      </c>
      <c r="AG352" s="199">
        <f>$M352*AG$34</f>
        <v/>
      </c>
      <c r="AH352" s="199">
        <f>$M352*AH$34</f>
        <v/>
      </c>
      <c r="AJ352" s="198">
        <f>$G352</f>
        <v/>
      </c>
      <c r="AK352" s="199">
        <f>$H352</f>
        <v/>
      </c>
      <c r="AL352" s="199">
        <f>$N352*AL$34</f>
        <v/>
      </c>
      <c r="AM352" s="199">
        <f>$N352*AM$34</f>
        <v/>
      </c>
      <c r="AN352" s="199">
        <f>$N352*AN$34</f>
        <v/>
      </c>
      <c r="AO352" s="199">
        <f>$N352*AO$34</f>
        <v/>
      </c>
      <c r="AP352" s="199">
        <f>$N352*AP$34</f>
        <v/>
      </c>
      <c r="AR352" s="198">
        <f>$G352</f>
        <v/>
      </c>
      <c r="AS352" s="199">
        <f>$H352</f>
        <v/>
      </c>
      <c r="AT352" s="199">
        <f>$O352*AT$34-$Q352</f>
        <v/>
      </c>
      <c r="AU352" s="199">
        <f>$O352*AU$34-$Q352</f>
        <v/>
      </c>
      <c r="AV352" s="199">
        <f>$O352*AV$34-$Q352</f>
        <v/>
      </c>
      <c r="AW352" s="199">
        <f>$O352*AW$34-$Q352</f>
        <v/>
      </c>
      <c r="AX352" s="199">
        <f>$O352*AX$34-$Q352</f>
        <v/>
      </c>
      <c r="AZ352" s="198">
        <f>$G352</f>
        <v/>
      </c>
      <c r="BA352" s="199">
        <f>$H352</f>
        <v/>
      </c>
      <c r="BB352" s="199">
        <f>$P352*BB$34-$Q352</f>
        <v/>
      </c>
      <c r="BC352" s="199">
        <f>$P352*BC$34-$Q352</f>
        <v/>
      </c>
      <c r="BD352" s="199">
        <f>$P352*BD$34-$Q352</f>
        <v/>
      </c>
      <c r="BE352" s="199">
        <f>$P352*BE$34-$Q352</f>
        <v/>
      </c>
      <c r="BF352" s="199">
        <f>$P352*BF$34-$Q352</f>
        <v/>
      </c>
      <c r="BH352" s="198">
        <f>$G352</f>
        <v/>
      </c>
      <c r="BI352" s="197">
        <f>$I352</f>
        <v/>
      </c>
      <c r="BJ352" s="197">
        <f>+BJ353</f>
        <v/>
      </c>
      <c r="BK352" s="197">
        <f>+BK353</f>
        <v/>
      </c>
      <c r="BL352" s="197">
        <f>+BL353</f>
        <v/>
      </c>
      <c r="BM352" s="197">
        <f>+BM353</f>
        <v/>
      </c>
      <c r="BN352" s="197">
        <f>+BN353</f>
        <v/>
      </c>
      <c r="BP352" s="198">
        <f>$G352</f>
        <v/>
      </c>
      <c r="BQ352" s="197">
        <f>$J352</f>
        <v/>
      </c>
      <c r="BR352" s="197">
        <f>+BR353</f>
        <v/>
      </c>
      <c r="BS352" s="197">
        <f>+BS353</f>
        <v/>
      </c>
      <c r="BT352" s="197">
        <f>+BT353</f>
        <v/>
      </c>
      <c r="BU352" s="197">
        <f>+BU353</f>
        <v/>
      </c>
      <c r="BV352" s="197">
        <f>+BV353</f>
        <v/>
      </c>
      <c r="BX352" s="198">
        <f>$G352</f>
        <v/>
      </c>
      <c r="BY352" s="197">
        <f>$K352</f>
        <v/>
      </c>
      <c r="BZ352" s="197">
        <f>+BZ353</f>
        <v/>
      </c>
      <c r="CA352" s="197">
        <f>+CA353</f>
        <v/>
      </c>
      <c r="CB352" s="197">
        <f>+CB353</f>
        <v/>
      </c>
      <c r="CC352" s="197">
        <f>+CC353</f>
        <v/>
      </c>
      <c r="CD352" s="197">
        <f>+CD353</f>
        <v/>
      </c>
      <c r="CF352" s="198">
        <f>$G352</f>
        <v/>
      </c>
      <c r="CG352" s="197">
        <f>$L352</f>
        <v/>
      </c>
      <c r="CH352" s="197">
        <f>+CH353</f>
        <v/>
      </c>
      <c r="CI352" s="197">
        <f>+CI353</f>
        <v/>
      </c>
      <c r="CJ352" s="197">
        <f>+CJ353</f>
        <v/>
      </c>
      <c r="CK352" s="197">
        <f>+CK353</f>
        <v/>
      </c>
      <c r="CL352" s="197">
        <f>+CL353</f>
        <v/>
      </c>
      <c r="CO352" s="199" t="n">
        <v>9.607079897303628</v>
      </c>
      <c r="CP352" s="199" t="n">
        <v>4.91</v>
      </c>
      <c r="CR352" s="199" t="n">
        <v>8.119999999999999</v>
      </c>
      <c r="CS352" s="970" t="n">
        <v>0.84521</v>
      </c>
    </row>
    <row r="353">
      <c r="B353" s="204">
        <f>+C353-1</f>
        <v/>
      </c>
      <c r="C353" s="204">
        <f>IF('bands_A-H_Avg'!$D$9+1&gt;MONTH(G353),YEAR(G353),YEAR(G353)+1)</f>
        <v/>
      </c>
      <c r="D353" s="204">
        <f>+C353+1</f>
        <v/>
      </c>
      <c r="E353" s="203">
        <f>IF(C353&gt;C352,1,E352+1)</f>
        <v/>
      </c>
      <c r="F353" s="203">
        <f>COUNTIF(C:C,C353)</f>
        <v/>
      </c>
      <c r="G353" s="198">
        <f>+G352+7</f>
        <v/>
      </c>
      <c r="H353" s="361">
        <f>IF(ISBLANK(CO353),CP353,SUMPRODUCT(CO$32:CP$32,CO353:CP353))</f>
        <v/>
      </c>
      <c r="I353" s="968">
        <f>H353/M353</f>
        <v/>
      </c>
      <c r="J353" s="968">
        <f>H353/N353</f>
        <v/>
      </c>
      <c r="K353" s="968">
        <f>(H353+Q353)/O353</f>
        <v/>
      </c>
      <c r="L353" s="968">
        <f>(H353+Q353)/P353</f>
        <v/>
      </c>
      <c r="M353" s="199">
        <f>HLOOKUP(C:C,$4:$10,3,FALSE)+((HLOOKUP(D:D,$4:$10,3,FALSE)-HLOOKUP(C:C,$4:$10,3,FALSE))*E353/F353)</f>
        <v/>
      </c>
      <c r="N353" s="199">
        <f>HLOOKUP(C:C,$4:$10,2,FALSE)+((HLOOKUP(D:D,$4:$10,2,FALSE)-HLOOKUP(C:C,$4:$10,2,FALSE))*E353/F353)</f>
        <v/>
      </c>
      <c r="O353" s="199">
        <f>HLOOKUP(C:C,$4:$10,5,FALSE)+((HLOOKUP(D:D,$4:$10,5,FALSE)-HLOOKUP(C:C,$4:$10,5,FALSE))*E353/F353)</f>
        <v/>
      </c>
      <c r="P353" s="199">
        <f>HLOOKUP(C:C,$4:$10,4,FALSE)+((HLOOKUP(D:D,$4:$10,4,FALSE)-HLOOKUP(C:C,$4:$10,4,FALSE))*E353/F353)</f>
        <v/>
      </c>
      <c r="Q353" s="199">
        <f>HLOOKUP(B:B,$4:$10,6,FALSE)+((HLOOKUP(C:C,$4:$10,6,FALSE)-HLOOKUP(B:B,$4:$10,6,FALSE))*E353/F353)</f>
        <v/>
      </c>
      <c r="T353" s="198">
        <f>$G353</f>
        <v/>
      </c>
      <c r="U353" s="199">
        <f>H353/(HLOOKUP(B:B,$4:$10,3,FALSE)+((HLOOKUP(C:C,$4:$10,3,FALSE)-HLOOKUP(B:B,$4:$10,3,FALSE))*E353/F353))</f>
        <v/>
      </c>
      <c r="V353" s="969">
        <f>HLOOKUP(B:B,$4:$10,7,FALSE)+((HLOOKUP(C:C,$4:$10,7,FALSE)-HLOOKUP(B:B,$4:$10,7,FALSE))*E353/F353)</f>
        <v/>
      </c>
      <c r="AB353" s="198">
        <f>$G353</f>
        <v/>
      </c>
      <c r="AC353" s="199">
        <f>$H353</f>
        <v/>
      </c>
      <c r="AD353" s="199">
        <f>$M353*AD$34</f>
        <v/>
      </c>
      <c r="AE353" s="199">
        <f>$M353*AE$34</f>
        <v/>
      </c>
      <c r="AF353" s="199">
        <f>$M353*AF$34</f>
        <v/>
      </c>
      <c r="AG353" s="199">
        <f>$M353*AG$34</f>
        <v/>
      </c>
      <c r="AH353" s="199">
        <f>$M353*AH$34</f>
        <v/>
      </c>
      <c r="AJ353" s="198">
        <f>$G353</f>
        <v/>
      </c>
      <c r="AK353" s="199">
        <f>$H353</f>
        <v/>
      </c>
      <c r="AL353" s="199">
        <f>$N353*AL$34</f>
        <v/>
      </c>
      <c r="AM353" s="199">
        <f>$N353*AM$34</f>
        <v/>
      </c>
      <c r="AN353" s="199">
        <f>$N353*AN$34</f>
        <v/>
      </c>
      <c r="AO353" s="199">
        <f>$N353*AO$34</f>
        <v/>
      </c>
      <c r="AP353" s="199">
        <f>$N353*AP$34</f>
        <v/>
      </c>
      <c r="AR353" s="198">
        <f>$G353</f>
        <v/>
      </c>
      <c r="AS353" s="199">
        <f>$H353</f>
        <v/>
      </c>
      <c r="AT353" s="199">
        <f>$O353*AT$34-$Q353</f>
        <v/>
      </c>
      <c r="AU353" s="199">
        <f>$O353*AU$34-$Q353</f>
        <v/>
      </c>
      <c r="AV353" s="199">
        <f>$O353*AV$34-$Q353</f>
        <v/>
      </c>
      <c r="AW353" s="199">
        <f>$O353*AW$34-$Q353</f>
        <v/>
      </c>
      <c r="AX353" s="199">
        <f>$O353*AX$34-$Q353</f>
        <v/>
      </c>
      <c r="AZ353" s="198">
        <f>$G353</f>
        <v/>
      </c>
      <c r="BA353" s="199">
        <f>$H353</f>
        <v/>
      </c>
      <c r="BB353" s="199">
        <f>$P353*BB$34-$Q353</f>
        <v/>
      </c>
      <c r="BC353" s="199">
        <f>$P353*BC$34-$Q353</f>
        <v/>
      </c>
      <c r="BD353" s="199">
        <f>$P353*BD$34-$Q353</f>
        <v/>
      </c>
      <c r="BE353" s="199">
        <f>$P353*BE$34-$Q353</f>
        <v/>
      </c>
      <c r="BF353" s="199">
        <f>$P353*BF$34-$Q353</f>
        <v/>
      </c>
      <c r="BH353" s="198">
        <f>$G353</f>
        <v/>
      </c>
      <c r="BI353" s="197">
        <f>$I353</f>
        <v/>
      </c>
      <c r="BJ353" s="197">
        <f>+BJ354</f>
        <v/>
      </c>
      <c r="BK353" s="197">
        <f>+BK354</f>
        <v/>
      </c>
      <c r="BL353" s="197">
        <f>+BL354</f>
        <v/>
      </c>
      <c r="BM353" s="197">
        <f>+BM354</f>
        <v/>
      </c>
      <c r="BN353" s="197">
        <f>+BN354</f>
        <v/>
      </c>
      <c r="BP353" s="198">
        <f>$G353</f>
        <v/>
      </c>
      <c r="BQ353" s="197">
        <f>$J353</f>
        <v/>
      </c>
      <c r="BR353" s="197">
        <f>+BR354</f>
        <v/>
      </c>
      <c r="BS353" s="197">
        <f>+BS354</f>
        <v/>
      </c>
      <c r="BT353" s="197">
        <f>+BT354</f>
        <v/>
      </c>
      <c r="BU353" s="197">
        <f>+BU354</f>
        <v/>
      </c>
      <c r="BV353" s="197">
        <f>+BV354</f>
        <v/>
      </c>
      <c r="BX353" s="198">
        <f>$G353</f>
        <v/>
      </c>
      <c r="BY353" s="197">
        <f>$K353</f>
        <v/>
      </c>
      <c r="BZ353" s="197">
        <f>+BZ354</f>
        <v/>
      </c>
      <c r="CA353" s="197">
        <f>+CA354</f>
        <v/>
      </c>
      <c r="CB353" s="197">
        <f>+CB354</f>
        <v/>
      </c>
      <c r="CC353" s="197">
        <f>+CC354</f>
        <v/>
      </c>
      <c r="CD353" s="197">
        <f>+CD354</f>
        <v/>
      </c>
      <c r="CF353" s="198">
        <f>$G353</f>
        <v/>
      </c>
      <c r="CG353" s="197">
        <f>$L353</f>
        <v/>
      </c>
      <c r="CH353" s="197">
        <f>+CH354</f>
        <v/>
      </c>
      <c r="CI353" s="197">
        <f>+CI354</f>
        <v/>
      </c>
      <c r="CJ353" s="197">
        <f>+CJ354</f>
        <v/>
      </c>
      <c r="CK353" s="197">
        <f>+CK354</f>
        <v/>
      </c>
      <c r="CL353" s="197">
        <f>+CL354</f>
        <v/>
      </c>
      <c r="CO353" s="199" t="n">
        <v>10.44164373206081</v>
      </c>
      <c r="CP353" s="199" t="n">
        <v>4.9</v>
      </c>
      <c r="CR353" s="199" t="n">
        <v>8.84</v>
      </c>
      <c r="CS353" s="970" t="n">
        <v>0.84661</v>
      </c>
    </row>
    <row r="354">
      <c r="B354" s="204">
        <f>+C354-1</f>
        <v/>
      </c>
      <c r="C354" s="204">
        <f>IF('bands_A-H_Avg'!$D$9+1&gt;MONTH(G354),YEAR(G354),YEAR(G354)+1)</f>
        <v/>
      </c>
      <c r="D354" s="204">
        <f>+C354+1</f>
        <v/>
      </c>
      <c r="E354" s="203">
        <f>IF(C354&gt;C353,1,E353+1)</f>
        <v/>
      </c>
      <c r="F354" s="203">
        <f>COUNTIF(C:C,C354)</f>
        <v/>
      </c>
      <c r="G354" s="198">
        <f>+G353+7</f>
        <v/>
      </c>
      <c r="H354" s="361">
        <f>IF(ISBLANK(CO354),CP354,SUMPRODUCT(CO$32:CP$32,CO354:CP354))</f>
        <v/>
      </c>
      <c r="I354" s="968">
        <f>H354/M354</f>
        <v/>
      </c>
      <c r="J354" s="968">
        <f>H354/N354</f>
        <v/>
      </c>
      <c r="K354" s="968">
        <f>(H354+Q354)/O354</f>
        <v/>
      </c>
      <c r="L354" s="968">
        <f>(H354+Q354)/P354</f>
        <v/>
      </c>
      <c r="M354" s="199">
        <f>HLOOKUP(C:C,$4:$10,3,FALSE)+((HLOOKUP(D:D,$4:$10,3,FALSE)-HLOOKUP(C:C,$4:$10,3,FALSE))*E354/F354)</f>
        <v/>
      </c>
      <c r="N354" s="199">
        <f>HLOOKUP(C:C,$4:$10,2,FALSE)+((HLOOKUP(D:D,$4:$10,2,FALSE)-HLOOKUP(C:C,$4:$10,2,FALSE))*E354/F354)</f>
        <v/>
      </c>
      <c r="O354" s="199">
        <f>HLOOKUP(C:C,$4:$10,5,FALSE)+((HLOOKUP(D:D,$4:$10,5,FALSE)-HLOOKUP(C:C,$4:$10,5,FALSE))*E354/F354)</f>
        <v/>
      </c>
      <c r="P354" s="199">
        <f>HLOOKUP(C:C,$4:$10,4,FALSE)+((HLOOKUP(D:D,$4:$10,4,FALSE)-HLOOKUP(C:C,$4:$10,4,FALSE))*E354/F354)</f>
        <v/>
      </c>
      <c r="Q354" s="199">
        <f>HLOOKUP(B:B,$4:$10,6,FALSE)+((HLOOKUP(C:C,$4:$10,6,FALSE)-HLOOKUP(B:B,$4:$10,6,FALSE))*E354/F354)</f>
        <v/>
      </c>
      <c r="T354" s="198">
        <f>$G354</f>
        <v/>
      </c>
      <c r="U354" s="199">
        <f>H354/(HLOOKUP(B:B,$4:$10,3,FALSE)+((HLOOKUP(C:C,$4:$10,3,FALSE)-HLOOKUP(B:B,$4:$10,3,FALSE))*E354/F354))</f>
        <v/>
      </c>
      <c r="V354" s="969">
        <f>HLOOKUP(B:B,$4:$10,7,FALSE)+((HLOOKUP(C:C,$4:$10,7,FALSE)-HLOOKUP(B:B,$4:$10,7,FALSE))*E354/F354)</f>
        <v/>
      </c>
      <c r="AB354" s="198">
        <f>$G354</f>
        <v/>
      </c>
      <c r="AC354" s="199">
        <f>$H354</f>
        <v/>
      </c>
      <c r="AD354" s="199">
        <f>$M354*AD$34</f>
        <v/>
      </c>
      <c r="AE354" s="199">
        <f>$M354*AE$34</f>
        <v/>
      </c>
      <c r="AF354" s="199">
        <f>$M354*AF$34</f>
        <v/>
      </c>
      <c r="AG354" s="199">
        <f>$M354*AG$34</f>
        <v/>
      </c>
      <c r="AH354" s="199">
        <f>$M354*AH$34</f>
        <v/>
      </c>
      <c r="AJ354" s="198">
        <f>$G354</f>
        <v/>
      </c>
      <c r="AK354" s="199">
        <f>$H354</f>
        <v/>
      </c>
      <c r="AL354" s="199">
        <f>$N354*AL$34</f>
        <v/>
      </c>
      <c r="AM354" s="199">
        <f>$N354*AM$34</f>
        <v/>
      </c>
      <c r="AN354" s="199">
        <f>$N354*AN$34</f>
        <v/>
      </c>
      <c r="AO354" s="199">
        <f>$N354*AO$34</f>
        <v/>
      </c>
      <c r="AP354" s="199">
        <f>$N354*AP$34</f>
        <v/>
      </c>
      <c r="AR354" s="198">
        <f>$G354</f>
        <v/>
      </c>
      <c r="AS354" s="199">
        <f>$H354</f>
        <v/>
      </c>
      <c r="AT354" s="199">
        <f>$O354*AT$34-$Q354</f>
        <v/>
      </c>
      <c r="AU354" s="199">
        <f>$O354*AU$34-$Q354</f>
        <v/>
      </c>
      <c r="AV354" s="199">
        <f>$O354*AV$34-$Q354</f>
        <v/>
      </c>
      <c r="AW354" s="199">
        <f>$O354*AW$34-$Q354</f>
        <v/>
      </c>
      <c r="AX354" s="199">
        <f>$O354*AX$34-$Q354</f>
        <v/>
      </c>
      <c r="AZ354" s="198">
        <f>$G354</f>
        <v/>
      </c>
      <c r="BA354" s="199">
        <f>$H354</f>
        <v/>
      </c>
      <c r="BB354" s="199">
        <f>$P354*BB$34-$Q354</f>
        <v/>
      </c>
      <c r="BC354" s="199">
        <f>$P354*BC$34-$Q354</f>
        <v/>
      </c>
      <c r="BD354" s="199">
        <f>$P354*BD$34-$Q354</f>
        <v/>
      </c>
      <c r="BE354" s="199">
        <f>$P354*BE$34-$Q354</f>
        <v/>
      </c>
      <c r="BF354" s="199">
        <f>$P354*BF$34-$Q354</f>
        <v/>
      </c>
      <c r="BH354" s="198">
        <f>$G354</f>
        <v/>
      </c>
      <c r="BI354" s="197">
        <f>$I354</f>
        <v/>
      </c>
      <c r="BJ354" s="197">
        <f>+BJ355</f>
        <v/>
      </c>
      <c r="BK354" s="197">
        <f>+BK355</f>
        <v/>
      </c>
      <c r="BL354" s="197">
        <f>+BL355</f>
        <v/>
      </c>
      <c r="BM354" s="197">
        <f>+BM355</f>
        <v/>
      </c>
      <c r="BN354" s="197">
        <f>+BN355</f>
        <v/>
      </c>
      <c r="BP354" s="198">
        <f>$G354</f>
        <v/>
      </c>
      <c r="BQ354" s="197">
        <f>$J354</f>
        <v/>
      </c>
      <c r="BR354" s="197">
        <f>+BR355</f>
        <v/>
      </c>
      <c r="BS354" s="197">
        <f>+BS355</f>
        <v/>
      </c>
      <c r="BT354" s="197">
        <f>+BT355</f>
        <v/>
      </c>
      <c r="BU354" s="197">
        <f>+BU355</f>
        <v/>
      </c>
      <c r="BV354" s="197">
        <f>+BV355</f>
        <v/>
      </c>
      <c r="BX354" s="198">
        <f>$G354</f>
        <v/>
      </c>
      <c r="BY354" s="197">
        <f>$K354</f>
        <v/>
      </c>
      <c r="BZ354" s="197">
        <f>+BZ355</f>
        <v/>
      </c>
      <c r="CA354" s="197">
        <f>+CA355</f>
        <v/>
      </c>
      <c r="CB354" s="197">
        <f>+CB355</f>
        <v/>
      </c>
      <c r="CC354" s="197">
        <f>+CC355</f>
        <v/>
      </c>
      <c r="CD354" s="197">
        <f>+CD355</f>
        <v/>
      </c>
      <c r="CF354" s="198">
        <f>$G354</f>
        <v/>
      </c>
      <c r="CG354" s="197">
        <f>$L354</f>
        <v/>
      </c>
      <c r="CH354" s="197">
        <f>+CH355</f>
        <v/>
      </c>
      <c r="CI354" s="197">
        <f>+CI355</f>
        <v/>
      </c>
      <c r="CJ354" s="197">
        <f>+CJ355</f>
        <v/>
      </c>
      <c r="CK354" s="197">
        <f>+CK355</f>
        <v/>
      </c>
      <c r="CL354" s="197">
        <f>+CL355</f>
        <v/>
      </c>
      <c r="CO354" s="199" t="n">
        <v>10.48773278155483</v>
      </c>
      <c r="CP354" s="199" t="n">
        <v>4.78</v>
      </c>
      <c r="CR354" s="199" t="n">
        <v>8.869999999999999</v>
      </c>
      <c r="CS354" s="970" t="n">
        <v>0.84575</v>
      </c>
    </row>
    <row r="355">
      <c r="B355" s="204">
        <f>+C355-1</f>
        <v/>
      </c>
      <c r="C355" s="204">
        <f>IF('bands_A-H_Avg'!$D$9+1&gt;MONTH(G355),YEAR(G355),YEAR(G355)+1)</f>
        <v/>
      </c>
      <c r="D355" s="204">
        <f>+C355+1</f>
        <v/>
      </c>
      <c r="E355" s="203">
        <f>IF(C355&gt;C354,1,E354+1)</f>
        <v/>
      </c>
      <c r="F355" s="203">
        <f>COUNTIF(C:C,C355)</f>
        <v/>
      </c>
      <c r="G355" s="198">
        <f>+G354+7</f>
        <v/>
      </c>
      <c r="H355" s="361">
        <f>IF(ISBLANK(CO355),CP355,SUMPRODUCT(CO$32:CP$32,CO355:CP355))</f>
        <v/>
      </c>
      <c r="I355" s="968">
        <f>H355/M355</f>
        <v/>
      </c>
      <c r="J355" s="968">
        <f>H355/N355</f>
        <v/>
      </c>
      <c r="K355" s="968">
        <f>(H355+Q355)/O355</f>
        <v/>
      </c>
      <c r="L355" s="968">
        <f>(H355+Q355)/P355</f>
        <v/>
      </c>
      <c r="M355" s="199">
        <f>HLOOKUP(C:C,$4:$10,3,FALSE)+((HLOOKUP(D:D,$4:$10,3,FALSE)-HLOOKUP(C:C,$4:$10,3,FALSE))*E355/F355)</f>
        <v/>
      </c>
      <c r="N355" s="199">
        <f>HLOOKUP(C:C,$4:$10,2,FALSE)+((HLOOKUP(D:D,$4:$10,2,FALSE)-HLOOKUP(C:C,$4:$10,2,FALSE))*E355/F355)</f>
        <v/>
      </c>
      <c r="O355" s="199">
        <f>HLOOKUP(C:C,$4:$10,5,FALSE)+((HLOOKUP(D:D,$4:$10,5,FALSE)-HLOOKUP(C:C,$4:$10,5,FALSE))*E355/F355)</f>
        <v/>
      </c>
      <c r="P355" s="199">
        <f>HLOOKUP(C:C,$4:$10,4,FALSE)+((HLOOKUP(D:D,$4:$10,4,FALSE)-HLOOKUP(C:C,$4:$10,4,FALSE))*E355/F355)</f>
        <v/>
      </c>
      <c r="Q355" s="199">
        <f>HLOOKUP(B:B,$4:$10,6,FALSE)+((HLOOKUP(C:C,$4:$10,6,FALSE)-HLOOKUP(B:B,$4:$10,6,FALSE))*E355/F355)</f>
        <v/>
      </c>
      <c r="T355" s="198">
        <f>$G355</f>
        <v/>
      </c>
      <c r="U355" s="199">
        <f>H355/(HLOOKUP(B:B,$4:$10,3,FALSE)+((HLOOKUP(C:C,$4:$10,3,FALSE)-HLOOKUP(B:B,$4:$10,3,FALSE))*E355/F355))</f>
        <v/>
      </c>
      <c r="V355" s="969">
        <f>HLOOKUP(B:B,$4:$10,7,FALSE)+((HLOOKUP(C:C,$4:$10,7,FALSE)-HLOOKUP(B:B,$4:$10,7,FALSE))*E355/F355)</f>
        <v/>
      </c>
      <c r="AB355" s="198">
        <f>$G355</f>
        <v/>
      </c>
      <c r="AC355" s="199">
        <f>$H355</f>
        <v/>
      </c>
      <c r="AD355" s="199">
        <f>$M355*AD$34</f>
        <v/>
      </c>
      <c r="AE355" s="199">
        <f>$M355*AE$34</f>
        <v/>
      </c>
      <c r="AF355" s="199">
        <f>$M355*AF$34</f>
        <v/>
      </c>
      <c r="AG355" s="199">
        <f>$M355*AG$34</f>
        <v/>
      </c>
      <c r="AH355" s="199">
        <f>$M355*AH$34</f>
        <v/>
      </c>
      <c r="AJ355" s="198">
        <f>$G355</f>
        <v/>
      </c>
      <c r="AK355" s="199">
        <f>$H355</f>
        <v/>
      </c>
      <c r="AL355" s="199">
        <f>$N355*AL$34</f>
        <v/>
      </c>
      <c r="AM355" s="199">
        <f>$N355*AM$34</f>
        <v/>
      </c>
      <c r="AN355" s="199">
        <f>$N355*AN$34</f>
        <v/>
      </c>
      <c r="AO355" s="199">
        <f>$N355*AO$34</f>
        <v/>
      </c>
      <c r="AP355" s="199">
        <f>$N355*AP$34</f>
        <v/>
      </c>
      <c r="AR355" s="198">
        <f>$G355</f>
        <v/>
      </c>
      <c r="AS355" s="199">
        <f>$H355</f>
        <v/>
      </c>
      <c r="AT355" s="199">
        <f>$O355*AT$34-$Q355</f>
        <v/>
      </c>
      <c r="AU355" s="199">
        <f>$O355*AU$34-$Q355</f>
        <v/>
      </c>
      <c r="AV355" s="199">
        <f>$O355*AV$34-$Q355</f>
        <v/>
      </c>
      <c r="AW355" s="199">
        <f>$O355*AW$34-$Q355</f>
        <v/>
      </c>
      <c r="AX355" s="199">
        <f>$O355*AX$34-$Q355</f>
        <v/>
      </c>
      <c r="AZ355" s="198">
        <f>$G355</f>
        <v/>
      </c>
      <c r="BA355" s="199">
        <f>$H355</f>
        <v/>
      </c>
      <c r="BB355" s="199">
        <f>$P355*BB$34-$Q355</f>
        <v/>
      </c>
      <c r="BC355" s="199">
        <f>$P355*BC$34-$Q355</f>
        <v/>
      </c>
      <c r="BD355" s="199">
        <f>$P355*BD$34-$Q355</f>
        <v/>
      </c>
      <c r="BE355" s="199">
        <f>$P355*BE$34-$Q355</f>
        <v/>
      </c>
      <c r="BF355" s="199">
        <f>$P355*BF$34-$Q355</f>
        <v/>
      </c>
      <c r="BH355" s="198">
        <f>$G355</f>
        <v/>
      </c>
      <c r="BI355" s="197">
        <f>$I355</f>
        <v/>
      </c>
      <c r="BJ355" s="197">
        <f>+BJ356</f>
        <v/>
      </c>
      <c r="BK355" s="197">
        <f>+BK356</f>
        <v/>
      </c>
      <c r="BL355" s="197">
        <f>+BL356</f>
        <v/>
      </c>
      <c r="BM355" s="197">
        <f>+BM356</f>
        <v/>
      </c>
      <c r="BN355" s="197">
        <f>+BN356</f>
        <v/>
      </c>
      <c r="BP355" s="198">
        <f>$G355</f>
        <v/>
      </c>
      <c r="BQ355" s="197">
        <f>$J355</f>
        <v/>
      </c>
      <c r="BR355" s="197">
        <f>+BR356</f>
        <v/>
      </c>
      <c r="BS355" s="197">
        <f>+BS356</f>
        <v/>
      </c>
      <c r="BT355" s="197">
        <f>+BT356</f>
        <v/>
      </c>
      <c r="BU355" s="197">
        <f>+BU356</f>
        <v/>
      </c>
      <c r="BV355" s="197">
        <f>+BV356</f>
        <v/>
      </c>
      <c r="BX355" s="198">
        <f>$G355</f>
        <v/>
      </c>
      <c r="BY355" s="197">
        <f>$K355</f>
        <v/>
      </c>
      <c r="BZ355" s="197">
        <f>+BZ356</f>
        <v/>
      </c>
      <c r="CA355" s="197">
        <f>+CA356</f>
        <v/>
      </c>
      <c r="CB355" s="197">
        <f>+CB356</f>
        <v/>
      </c>
      <c r="CC355" s="197">
        <f>+CC356</f>
        <v/>
      </c>
      <c r="CD355" s="197">
        <f>+CD356</f>
        <v/>
      </c>
      <c r="CF355" s="198">
        <f>$G355</f>
        <v/>
      </c>
      <c r="CG355" s="197">
        <f>$L355</f>
        <v/>
      </c>
      <c r="CH355" s="197">
        <f>+CH356</f>
        <v/>
      </c>
      <c r="CI355" s="197">
        <f>+CI356</f>
        <v/>
      </c>
      <c r="CJ355" s="197">
        <f>+CJ356</f>
        <v/>
      </c>
      <c r="CK355" s="197">
        <f>+CK356</f>
        <v/>
      </c>
      <c r="CL355" s="197">
        <f>+CL356</f>
        <v/>
      </c>
      <c r="CO355" s="199" t="n">
        <v>10.59615179933538</v>
      </c>
      <c r="CP355" s="199" t="n">
        <v>4.62</v>
      </c>
      <c r="CR355" s="199" t="n">
        <v>8.960000000000001</v>
      </c>
      <c r="CS355" s="970" t="n">
        <v>0.84559</v>
      </c>
    </row>
    <row r="356">
      <c r="B356" s="204">
        <f>+C356-1</f>
        <v/>
      </c>
      <c r="C356" s="204">
        <f>IF('bands_A-H_Avg'!$D$9+1&gt;MONTH(G356),YEAR(G356),YEAR(G356)+1)</f>
        <v/>
      </c>
      <c r="D356" s="204">
        <f>+C356+1</f>
        <v/>
      </c>
      <c r="E356" s="203">
        <f>IF(C356&gt;C355,1,E355+1)</f>
        <v/>
      </c>
      <c r="F356" s="203">
        <f>COUNTIF(C:C,C356)</f>
        <v/>
      </c>
      <c r="G356" s="198">
        <f>+G355+7</f>
        <v/>
      </c>
      <c r="H356" s="361">
        <f>IF(ISBLANK(CO356),CP356,SUMPRODUCT(CO$32:CP$32,CO356:CP356))</f>
        <v/>
      </c>
      <c r="I356" s="968">
        <f>H356/M356</f>
        <v/>
      </c>
      <c r="J356" s="968">
        <f>H356/N356</f>
        <v/>
      </c>
      <c r="K356" s="968">
        <f>(H356+Q356)/O356</f>
        <v/>
      </c>
      <c r="L356" s="968">
        <f>(H356+Q356)/P356</f>
        <v/>
      </c>
      <c r="M356" s="199">
        <f>HLOOKUP(C:C,$4:$10,3,FALSE)+((HLOOKUP(D:D,$4:$10,3,FALSE)-HLOOKUP(C:C,$4:$10,3,FALSE))*E356/F356)</f>
        <v/>
      </c>
      <c r="N356" s="199">
        <f>HLOOKUP(C:C,$4:$10,2,FALSE)+((HLOOKUP(D:D,$4:$10,2,FALSE)-HLOOKUP(C:C,$4:$10,2,FALSE))*E356/F356)</f>
        <v/>
      </c>
      <c r="O356" s="199">
        <f>HLOOKUP(C:C,$4:$10,5,FALSE)+((HLOOKUP(D:D,$4:$10,5,FALSE)-HLOOKUP(C:C,$4:$10,5,FALSE))*E356/F356)</f>
        <v/>
      </c>
      <c r="P356" s="199">
        <f>HLOOKUP(C:C,$4:$10,4,FALSE)+((HLOOKUP(D:D,$4:$10,4,FALSE)-HLOOKUP(C:C,$4:$10,4,FALSE))*E356/F356)</f>
        <v/>
      </c>
      <c r="Q356" s="199">
        <f>HLOOKUP(B:B,$4:$10,6,FALSE)+((HLOOKUP(C:C,$4:$10,6,FALSE)-HLOOKUP(B:B,$4:$10,6,FALSE))*E356/F356)</f>
        <v/>
      </c>
      <c r="T356" s="198">
        <f>$G356</f>
        <v/>
      </c>
      <c r="U356" s="199">
        <f>H356/(HLOOKUP(B:B,$4:$10,3,FALSE)+((HLOOKUP(C:C,$4:$10,3,FALSE)-HLOOKUP(B:B,$4:$10,3,FALSE))*E356/F356))</f>
        <v/>
      </c>
      <c r="V356" s="969">
        <f>HLOOKUP(B:B,$4:$10,7,FALSE)+((HLOOKUP(C:C,$4:$10,7,FALSE)-HLOOKUP(B:B,$4:$10,7,FALSE))*E356/F356)</f>
        <v/>
      </c>
      <c r="AB356" s="198">
        <f>$G356</f>
        <v/>
      </c>
      <c r="AC356" s="199">
        <f>$H356</f>
        <v/>
      </c>
      <c r="AD356" s="199">
        <f>$M356*AD$34</f>
        <v/>
      </c>
      <c r="AE356" s="199">
        <f>$M356*AE$34</f>
        <v/>
      </c>
      <c r="AF356" s="199">
        <f>$M356*AF$34</f>
        <v/>
      </c>
      <c r="AG356" s="199">
        <f>$M356*AG$34</f>
        <v/>
      </c>
      <c r="AH356" s="199">
        <f>$M356*AH$34</f>
        <v/>
      </c>
      <c r="AJ356" s="198">
        <f>$G356</f>
        <v/>
      </c>
      <c r="AK356" s="199">
        <f>$H356</f>
        <v/>
      </c>
      <c r="AL356" s="199">
        <f>$N356*AL$34</f>
        <v/>
      </c>
      <c r="AM356" s="199">
        <f>$N356*AM$34</f>
        <v/>
      </c>
      <c r="AN356" s="199">
        <f>$N356*AN$34</f>
        <v/>
      </c>
      <c r="AO356" s="199">
        <f>$N356*AO$34</f>
        <v/>
      </c>
      <c r="AP356" s="199">
        <f>$N356*AP$34</f>
        <v/>
      </c>
      <c r="AR356" s="198">
        <f>$G356</f>
        <v/>
      </c>
      <c r="AS356" s="199">
        <f>$H356</f>
        <v/>
      </c>
      <c r="AT356" s="199">
        <f>$O356*AT$34-$Q356</f>
        <v/>
      </c>
      <c r="AU356" s="199">
        <f>$O356*AU$34-$Q356</f>
        <v/>
      </c>
      <c r="AV356" s="199">
        <f>$O356*AV$34-$Q356</f>
        <v/>
      </c>
      <c r="AW356" s="199">
        <f>$O356*AW$34-$Q356</f>
        <v/>
      </c>
      <c r="AX356" s="199">
        <f>$O356*AX$34-$Q356</f>
        <v/>
      </c>
      <c r="AZ356" s="198">
        <f>$G356</f>
        <v/>
      </c>
      <c r="BA356" s="199">
        <f>$H356</f>
        <v/>
      </c>
      <c r="BB356" s="199">
        <f>$P356*BB$34-$Q356</f>
        <v/>
      </c>
      <c r="BC356" s="199">
        <f>$P356*BC$34-$Q356</f>
        <v/>
      </c>
      <c r="BD356" s="199">
        <f>$P356*BD$34-$Q356</f>
        <v/>
      </c>
      <c r="BE356" s="199">
        <f>$P356*BE$34-$Q356</f>
        <v/>
      </c>
      <c r="BF356" s="199">
        <f>$P356*BF$34-$Q356</f>
        <v/>
      </c>
      <c r="BH356" s="198">
        <f>$G356</f>
        <v/>
      </c>
      <c r="BI356" s="197">
        <f>$I356</f>
        <v/>
      </c>
      <c r="BJ356" s="197">
        <f>+BJ357</f>
        <v/>
      </c>
      <c r="BK356" s="197">
        <f>+BK357</f>
        <v/>
      </c>
      <c r="BL356" s="197">
        <f>+BL357</f>
        <v/>
      </c>
      <c r="BM356" s="197">
        <f>+BM357</f>
        <v/>
      </c>
      <c r="BN356" s="197">
        <f>+BN357</f>
        <v/>
      </c>
      <c r="BP356" s="198">
        <f>$G356</f>
        <v/>
      </c>
      <c r="BQ356" s="197">
        <f>$J356</f>
        <v/>
      </c>
      <c r="BR356" s="197">
        <f>+BR357</f>
        <v/>
      </c>
      <c r="BS356" s="197">
        <f>+BS357</f>
        <v/>
      </c>
      <c r="BT356" s="197">
        <f>+BT357</f>
        <v/>
      </c>
      <c r="BU356" s="197">
        <f>+BU357</f>
        <v/>
      </c>
      <c r="BV356" s="197">
        <f>+BV357</f>
        <v/>
      </c>
      <c r="BX356" s="198">
        <f>$G356</f>
        <v/>
      </c>
      <c r="BY356" s="197">
        <f>$K356</f>
        <v/>
      </c>
      <c r="BZ356" s="197">
        <f>+BZ357</f>
        <v/>
      </c>
      <c r="CA356" s="197">
        <f>+CA357</f>
        <v/>
      </c>
      <c r="CB356" s="197">
        <f>+CB357</f>
        <v/>
      </c>
      <c r="CC356" s="197">
        <f>+CC357</f>
        <v/>
      </c>
      <c r="CD356" s="197">
        <f>+CD357</f>
        <v/>
      </c>
      <c r="CF356" s="198">
        <f>$G356</f>
        <v/>
      </c>
      <c r="CG356" s="197">
        <f>$L356</f>
        <v/>
      </c>
      <c r="CH356" s="197">
        <f>+CH357</f>
        <v/>
      </c>
      <c r="CI356" s="197">
        <f>+CI357</f>
        <v/>
      </c>
      <c r="CJ356" s="197">
        <f>+CJ357</f>
        <v/>
      </c>
      <c r="CK356" s="197">
        <f>+CK357</f>
        <v/>
      </c>
      <c r="CL356" s="197">
        <f>+CL357</f>
        <v/>
      </c>
      <c r="CO356" s="199" t="n">
        <v>10.74466320752482</v>
      </c>
      <c r="CP356" s="199" t="n">
        <v>4.93</v>
      </c>
      <c r="CR356" s="199" t="n">
        <v>9.07</v>
      </c>
      <c r="CS356" s="970" t="n">
        <v>0.84414</v>
      </c>
    </row>
    <row r="357">
      <c r="B357" s="204">
        <f>+C357-1</f>
        <v/>
      </c>
      <c r="C357" s="204">
        <f>IF('bands_A-H_Avg'!$D$9+1&gt;MONTH(G357),YEAR(G357),YEAR(G357)+1)</f>
        <v/>
      </c>
      <c r="D357" s="204">
        <f>+C357+1</f>
        <v/>
      </c>
      <c r="E357" s="203">
        <f>IF(C357&gt;C356,1,E356+1)</f>
        <v/>
      </c>
      <c r="F357" s="203">
        <f>COUNTIF(C:C,C357)</f>
        <v/>
      </c>
      <c r="G357" s="198">
        <f>+G356+7</f>
        <v/>
      </c>
      <c r="H357" s="361">
        <f>IF(ISBLANK(CO357),CP357,SUMPRODUCT(CO$32:CP$32,CO357:CP357))</f>
        <v/>
      </c>
      <c r="I357" s="968">
        <f>H357/M357</f>
        <v/>
      </c>
      <c r="J357" s="968">
        <f>H357/N357</f>
        <v/>
      </c>
      <c r="K357" s="968">
        <f>(H357+Q357)/O357</f>
        <v/>
      </c>
      <c r="L357" s="968">
        <f>(H357+Q357)/P357</f>
        <v/>
      </c>
      <c r="M357" s="199">
        <f>HLOOKUP(C:C,$4:$10,3,FALSE)+((HLOOKUP(D:D,$4:$10,3,FALSE)-HLOOKUP(C:C,$4:$10,3,FALSE))*E357/F357)</f>
        <v/>
      </c>
      <c r="N357" s="199">
        <f>HLOOKUP(C:C,$4:$10,2,FALSE)+((HLOOKUP(D:D,$4:$10,2,FALSE)-HLOOKUP(C:C,$4:$10,2,FALSE))*E357/F357)</f>
        <v/>
      </c>
      <c r="O357" s="199">
        <f>HLOOKUP(C:C,$4:$10,5,FALSE)+((HLOOKUP(D:D,$4:$10,5,FALSE)-HLOOKUP(C:C,$4:$10,5,FALSE))*E357/F357)</f>
        <v/>
      </c>
      <c r="P357" s="199">
        <f>HLOOKUP(C:C,$4:$10,4,FALSE)+((HLOOKUP(D:D,$4:$10,4,FALSE)-HLOOKUP(C:C,$4:$10,4,FALSE))*E357/F357)</f>
        <v/>
      </c>
      <c r="Q357" s="199">
        <f>HLOOKUP(B:B,$4:$10,6,FALSE)+((HLOOKUP(C:C,$4:$10,6,FALSE)-HLOOKUP(B:B,$4:$10,6,FALSE))*E357/F357)</f>
        <v/>
      </c>
      <c r="T357" s="198">
        <f>$G357</f>
        <v/>
      </c>
      <c r="U357" s="199">
        <f>H357/(HLOOKUP(B:B,$4:$10,3,FALSE)+((HLOOKUP(C:C,$4:$10,3,FALSE)-HLOOKUP(B:B,$4:$10,3,FALSE))*E357/F357))</f>
        <v/>
      </c>
      <c r="V357" s="969">
        <f>HLOOKUP(B:B,$4:$10,7,FALSE)+((HLOOKUP(C:C,$4:$10,7,FALSE)-HLOOKUP(B:B,$4:$10,7,FALSE))*E357/F357)</f>
        <v/>
      </c>
      <c r="AB357" s="198">
        <f>$G357</f>
        <v/>
      </c>
      <c r="AC357" s="199">
        <f>$H357</f>
        <v/>
      </c>
      <c r="AD357" s="199">
        <f>$M357*AD$34</f>
        <v/>
      </c>
      <c r="AE357" s="199">
        <f>$M357*AE$34</f>
        <v/>
      </c>
      <c r="AF357" s="199">
        <f>$M357*AF$34</f>
        <v/>
      </c>
      <c r="AG357" s="199">
        <f>$M357*AG$34</f>
        <v/>
      </c>
      <c r="AH357" s="199">
        <f>$M357*AH$34</f>
        <v/>
      </c>
      <c r="AJ357" s="198">
        <f>$G357</f>
        <v/>
      </c>
      <c r="AK357" s="199">
        <f>$H357</f>
        <v/>
      </c>
      <c r="AL357" s="199">
        <f>$N357*AL$34</f>
        <v/>
      </c>
      <c r="AM357" s="199">
        <f>$N357*AM$34</f>
        <v/>
      </c>
      <c r="AN357" s="199">
        <f>$N357*AN$34</f>
        <v/>
      </c>
      <c r="AO357" s="199">
        <f>$N357*AO$34</f>
        <v/>
      </c>
      <c r="AP357" s="199">
        <f>$N357*AP$34</f>
        <v/>
      </c>
      <c r="AR357" s="198">
        <f>$G357</f>
        <v/>
      </c>
      <c r="AS357" s="199">
        <f>$H357</f>
        <v/>
      </c>
      <c r="AT357" s="199">
        <f>$O357*AT$34-$Q357</f>
        <v/>
      </c>
      <c r="AU357" s="199">
        <f>$O357*AU$34-$Q357</f>
        <v/>
      </c>
      <c r="AV357" s="199">
        <f>$O357*AV$34-$Q357</f>
        <v/>
      </c>
      <c r="AW357" s="199">
        <f>$O357*AW$34-$Q357</f>
        <v/>
      </c>
      <c r="AX357" s="199">
        <f>$O357*AX$34-$Q357</f>
        <v/>
      </c>
      <c r="AZ357" s="198">
        <f>$G357</f>
        <v/>
      </c>
      <c r="BA357" s="199">
        <f>$H357</f>
        <v/>
      </c>
      <c r="BB357" s="199">
        <f>$P357*BB$34-$Q357</f>
        <v/>
      </c>
      <c r="BC357" s="199">
        <f>$P357*BC$34-$Q357</f>
        <v/>
      </c>
      <c r="BD357" s="199">
        <f>$P357*BD$34-$Q357</f>
        <v/>
      </c>
      <c r="BE357" s="199">
        <f>$P357*BE$34-$Q357</f>
        <v/>
      </c>
      <c r="BF357" s="199">
        <f>$P357*BF$34-$Q357</f>
        <v/>
      </c>
      <c r="BH357" s="198">
        <f>$G357</f>
        <v/>
      </c>
      <c r="BI357" s="197">
        <f>$I357</f>
        <v/>
      </c>
      <c r="BJ357" s="197">
        <f>+BJ358</f>
        <v/>
      </c>
      <c r="BK357" s="197">
        <f>+BK358</f>
        <v/>
      </c>
      <c r="BL357" s="197">
        <f>+BL358</f>
        <v/>
      </c>
      <c r="BM357" s="197">
        <f>+BM358</f>
        <v/>
      </c>
      <c r="BN357" s="197">
        <f>+BN358</f>
        <v/>
      </c>
      <c r="BP357" s="198">
        <f>$G357</f>
        <v/>
      </c>
      <c r="BQ357" s="197">
        <f>$J357</f>
        <v/>
      </c>
      <c r="BR357" s="197">
        <f>+BR358</f>
        <v/>
      </c>
      <c r="BS357" s="197">
        <f>+BS358</f>
        <v/>
      </c>
      <c r="BT357" s="197">
        <f>+BT358</f>
        <v/>
      </c>
      <c r="BU357" s="197">
        <f>+BU358</f>
        <v/>
      </c>
      <c r="BV357" s="197">
        <f>+BV358</f>
        <v/>
      </c>
      <c r="BX357" s="198">
        <f>$G357</f>
        <v/>
      </c>
      <c r="BY357" s="197">
        <f>$K357</f>
        <v/>
      </c>
      <c r="BZ357" s="197">
        <f>+BZ358</f>
        <v/>
      </c>
      <c r="CA357" s="197">
        <f>+CA358</f>
        <v/>
      </c>
      <c r="CB357" s="197">
        <f>+CB358</f>
        <v/>
      </c>
      <c r="CC357" s="197">
        <f>+CC358</f>
        <v/>
      </c>
      <c r="CD357" s="197">
        <f>+CD358</f>
        <v/>
      </c>
      <c r="CF357" s="198">
        <f>$G357</f>
        <v/>
      </c>
      <c r="CG357" s="197">
        <f>$L357</f>
        <v/>
      </c>
      <c r="CH357" s="197">
        <f>+CH358</f>
        <v/>
      </c>
      <c r="CI357" s="197">
        <f>+CI358</f>
        <v/>
      </c>
      <c r="CJ357" s="197">
        <f>+CJ358</f>
        <v/>
      </c>
      <c r="CK357" s="197">
        <f>+CK358</f>
        <v/>
      </c>
      <c r="CL357" s="197">
        <f>+CL358</f>
        <v/>
      </c>
      <c r="CO357" s="199" t="n">
        <v>10.68809024445155</v>
      </c>
      <c r="CP357" s="199" t="n">
        <v>4.46</v>
      </c>
      <c r="CR357" s="199" t="n">
        <v>9.02</v>
      </c>
      <c r="CS357" s="970" t="n">
        <v>0.84393</v>
      </c>
    </row>
    <row r="358">
      <c r="B358" s="204">
        <f>+C358-1</f>
        <v/>
      </c>
      <c r="C358" s="204">
        <f>IF('bands_A-H_Avg'!$D$9+1&gt;MONTH(G358),YEAR(G358),YEAR(G358)+1)</f>
        <v/>
      </c>
      <c r="D358" s="204">
        <f>+C358+1</f>
        <v/>
      </c>
      <c r="E358" s="203">
        <f>IF(C358&gt;C357,1,E357+1)</f>
        <v/>
      </c>
      <c r="F358" s="203">
        <f>COUNTIF(C:C,C358)</f>
        <v/>
      </c>
      <c r="G358" s="198">
        <f>+G357+7</f>
        <v/>
      </c>
      <c r="H358" s="361">
        <f>IF(ISBLANK(CO358),CP358,SUMPRODUCT(CO$32:CP$32,CO358:CP358))</f>
        <v/>
      </c>
      <c r="I358" s="968">
        <f>H358/M358</f>
        <v/>
      </c>
      <c r="J358" s="968">
        <f>H358/N358</f>
        <v/>
      </c>
      <c r="K358" s="968">
        <f>(H358+Q358)/O358</f>
        <v/>
      </c>
      <c r="L358" s="968">
        <f>(H358+Q358)/P358</f>
        <v/>
      </c>
      <c r="M358" s="199">
        <f>HLOOKUP(C:C,$4:$10,3,FALSE)+((HLOOKUP(D:D,$4:$10,3,FALSE)-HLOOKUP(C:C,$4:$10,3,FALSE))*E358/F358)</f>
        <v/>
      </c>
      <c r="N358" s="199">
        <f>HLOOKUP(C:C,$4:$10,2,FALSE)+((HLOOKUP(D:D,$4:$10,2,FALSE)-HLOOKUP(C:C,$4:$10,2,FALSE))*E358/F358)</f>
        <v/>
      </c>
      <c r="O358" s="199">
        <f>HLOOKUP(C:C,$4:$10,5,FALSE)+((HLOOKUP(D:D,$4:$10,5,FALSE)-HLOOKUP(C:C,$4:$10,5,FALSE))*E358/F358)</f>
        <v/>
      </c>
      <c r="P358" s="199">
        <f>HLOOKUP(C:C,$4:$10,4,FALSE)+((HLOOKUP(D:D,$4:$10,4,FALSE)-HLOOKUP(C:C,$4:$10,4,FALSE))*E358/F358)</f>
        <v/>
      </c>
      <c r="Q358" s="199">
        <f>HLOOKUP(B:B,$4:$10,6,FALSE)+((HLOOKUP(C:C,$4:$10,6,FALSE)-HLOOKUP(B:B,$4:$10,6,FALSE))*E358/F358)</f>
        <v/>
      </c>
      <c r="T358" s="198">
        <f>$G358</f>
        <v/>
      </c>
      <c r="U358" s="199">
        <f>H358/(HLOOKUP(B:B,$4:$10,3,FALSE)+((HLOOKUP(C:C,$4:$10,3,FALSE)-HLOOKUP(B:B,$4:$10,3,FALSE))*E358/F358))</f>
        <v/>
      </c>
      <c r="V358" s="969">
        <f>HLOOKUP(B:B,$4:$10,7,FALSE)+((HLOOKUP(C:C,$4:$10,7,FALSE)-HLOOKUP(B:B,$4:$10,7,FALSE))*E358/F358)</f>
        <v/>
      </c>
      <c r="AB358" s="198">
        <f>$G358</f>
        <v/>
      </c>
      <c r="AC358" s="199">
        <f>$H358</f>
        <v/>
      </c>
      <c r="AD358" s="199">
        <f>$M358*AD$34</f>
        <v/>
      </c>
      <c r="AE358" s="199">
        <f>$M358*AE$34</f>
        <v/>
      </c>
      <c r="AF358" s="199">
        <f>$M358*AF$34</f>
        <v/>
      </c>
      <c r="AG358" s="199">
        <f>$M358*AG$34</f>
        <v/>
      </c>
      <c r="AH358" s="199">
        <f>$M358*AH$34</f>
        <v/>
      </c>
      <c r="AJ358" s="198">
        <f>$G358</f>
        <v/>
      </c>
      <c r="AK358" s="199">
        <f>$H358</f>
        <v/>
      </c>
      <c r="AL358" s="199">
        <f>$N358*AL$34</f>
        <v/>
      </c>
      <c r="AM358" s="199">
        <f>$N358*AM$34</f>
        <v/>
      </c>
      <c r="AN358" s="199">
        <f>$N358*AN$34</f>
        <v/>
      </c>
      <c r="AO358" s="199">
        <f>$N358*AO$34</f>
        <v/>
      </c>
      <c r="AP358" s="199">
        <f>$N358*AP$34</f>
        <v/>
      </c>
      <c r="AR358" s="198">
        <f>$G358</f>
        <v/>
      </c>
      <c r="AS358" s="199">
        <f>$H358</f>
        <v/>
      </c>
      <c r="AT358" s="199">
        <f>$O358*AT$34-$Q358</f>
        <v/>
      </c>
      <c r="AU358" s="199">
        <f>$O358*AU$34-$Q358</f>
        <v/>
      </c>
      <c r="AV358" s="199">
        <f>$O358*AV$34-$Q358</f>
        <v/>
      </c>
      <c r="AW358" s="199">
        <f>$O358*AW$34-$Q358</f>
        <v/>
      </c>
      <c r="AX358" s="199">
        <f>$O358*AX$34-$Q358</f>
        <v/>
      </c>
      <c r="AZ358" s="198">
        <f>$G358</f>
        <v/>
      </c>
      <c r="BA358" s="199">
        <f>$H358</f>
        <v/>
      </c>
      <c r="BB358" s="199">
        <f>$P358*BB$34-$Q358</f>
        <v/>
      </c>
      <c r="BC358" s="199">
        <f>$P358*BC$34-$Q358</f>
        <v/>
      </c>
      <c r="BD358" s="199">
        <f>$P358*BD$34-$Q358</f>
        <v/>
      </c>
      <c r="BE358" s="199">
        <f>$P358*BE$34-$Q358</f>
        <v/>
      </c>
      <c r="BF358" s="199">
        <f>$P358*BF$34-$Q358</f>
        <v/>
      </c>
      <c r="BH358" s="198">
        <f>$G358</f>
        <v/>
      </c>
      <c r="BI358" s="197">
        <f>$I358</f>
        <v/>
      </c>
      <c r="BJ358" s="197">
        <f>+BJ359</f>
        <v/>
      </c>
      <c r="BK358" s="197">
        <f>+BK359</f>
        <v/>
      </c>
      <c r="BL358" s="197">
        <f>+BL359</f>
        <v/>
      </c>
      <c r="BM358" s="197">
        <f>+BM359</f>
        <v/>
      </c>
      <c r="BN358" s="197">
        <f>+BN359</f>
        <v/>
      </c>
      <c r="BP358" s="198">
        <f>$G358</f>
        <v/>
      </c>
      <c r="BQ358" s="197">
        <f>$J358</f>
        <v/>
      </c>
      <c r="BR358" s="197">
        <f>+BR359</f>
        <v/>
      </c>
      <c r="BS358" s="197">
        <f>+BS359</f>
        <v/>
      </c>
      <c r="BT358" s="197">
        <f>+BT359</f>
        <v/>
      </c>
      <c r="BU358" s="197">
        <f>+BU359</f>
        <v/>
      </c>
      <c r="BV358" s="197">
        <f>+BV359</f>
        <v/>
      </c>
      <c r="BX358" s="198">
        <f>$G358</f>
        <v/>
      </c>
      <c r="BY358" s="197">
        <f>$K358</f>
        <v/>
      </c>
      <c r="BZ358" s="197">
        <f>+BZ359</f>
        <v/>
      </c>
      <c r="CA358" s="197">
        <f>+CA359</f>
        <v/>
      </c>
      <c r="CB358" s="197">
        <f>+CB359</f>
        <v/>
      </c>
      <c r="CC358" s="197">
        <f>+CC359</f>
        <v/>
      </c>
      <c r="CD358" s="197">
        <f>+CD359</f>
        <v/>
      </c>
      <c r="CF358" s="198">
        <f>$G358</f>
        <v/>
      </c>
      <c r="CG358" s="197">
        <f>$L358</f>
        <v/>
      </c>
      <c r="CH358" s="197">
        <f>+CH359</f>
        <v/>
      </c>
      <c r="CI358" s="197">
        <f>+CI359</f>
        <v/>
      </c>
      <c r="CJ358" s="197">
        <f>+CJ359</f>
        <v/>
      </c>
      <c r="CK358" s="197">
        <f>+CK359</f>
        <v/>
      </c>
      <c r="CL358" s="197">
        <f>+CL359</f>
        <v/>
      </c>
      <c r="CO358" s="199" t="n">
        <v>10.51645641657972</v>
      </c>
      <c r="CP358" s="199" t="n">
        <v>4.67</v>
      </c>
      <c r="CR358" s="199" t="n">
        <v>8.869999999999999</v>
      </c>
      <c r="CS358" s="970" t="n">
        <v>0.84344</v>
      </c>
    </row>
    <row r="359">
      <c r="B359" s="204">
        <f>+C359-1</f>
        <v/>
      </c>
      <c r="C359" s="204">
        <f>IF('bands_A-H_Avg'!$D$9+1&gt;MONTH(G359),YEAR(G359),YEAR(G359)+1)</f>
        <v/>
      </c>
      <c r="D359" s="204">
        <f>+C359+1</f>
        <v/>
      </c>
      <c r="E359" s="203">
        <f>IF(C359&gt;C358,1,E358+1)</f>
        <v/>
      </c>
      <c r="F359" s="203">
        <f>COUNTIF(C:C,C359)</f>
        <v/>
      </c>
      <c r="G359" s="198">
        <f>+G358+7</f>
        <v/>
      </c>
      <c r="H359" s="361">
        <f>IF(ISBLANK(CO359),CP359,SUMPRODUCT(CO$32:CP$32,CO359:CP359))</f>
        <v/>
      </c>
      <c r="I359" s="968">
        <f>H359/M359</f>
        <v/>
      </c>
      <c r="J359" s="968">
        <f>H359/N359</f>
        <v/>
      </c>
      <c r="K359" s="968">
        <f>(H359+Q359)/O359</f>
        <v/>
      </c>
      <c r="L359" s="968">
        <f>(H359+Q359)/P359</f>
        <v/>
      </c>
      <c r="M359" s="199">
        <f>HLOOKUP(C:C,$4:$10,3,FALSE)+((HLOOKUP(D:D,$4:$10,3,FALSE)-HLOOKUP(C:C,$4:$10,3,FALSE))*E359/F359)</f>
        <v/>
      </c>
      <c r="N359" s="199">
        <f>HLOOKUP(C:C,$4:$10,2,FALSE)+((HLOOKUP(D:D,$4:$10,2,FALSE)-HLOOKUP(C:C,$4:$10,2,FALSE))*E359/F359)</f>
        <v/>
      </c>
      <c r="O359" s="199">
        <f>HLOOKUP(C:C,$4:$10,5,FALSE)+((HLOOKUP(D:D,$4:$10,5,FALSE)-HLOOKUP(C:C,$4:$10,5,FALSE))*E359/F359)</f>
        <v/>
      </c>
      <c r="P359" s="199">
        <f>HLOOKUP(C:C,$4:$10,4,FALSE)+((HLOOKUP(D:D,$4:$10,4,FALSE)-HLOOKUP(C:C,$4:$10,4,FALSE))*E359/F359)</f>
        <v/>
      </c>
      <c r="Q359" s="199">
        <f>HLOOKUP(B:B,$4:$10,6,FALSE)+((HLOOKUP(C:C,$4:$10,6,FALSE)-HLOOKUP(B:B,$4:$10,6,FALSE))*E359/F359)</f>
        <v/>
      </c>
      <c r="T359" s="198">
        <f>$G359</f>
        <v/>
      </c>
      <c r="U359" s="199">
        <f>H359/(HLOOKUP(B:B,$4:$10,3,FALSE)+((HLOOKUP(C:C,$4:$10,3,FALSE)-HLOOKUP(B:B,$4:$10,3,FALSE))*E359/F359))</f>
        <v/>
      </c>
      <c r="V359" s="969">
        <f>HLOOKUP(B:B,$4:$10,7,FALSE)+((HLOOKUP(C:C,$4:$10,7,FALSE)-HLOOKUP(B:B,$4:$10,7,FALSE))*E359/F359)</f>
        <v/>
      </c>
      <c r="AB359" s="198">
        <f>$G359</f>
        <v/>
      </c>
      <c r="AC359" s="199">
        <f>$H359</f>
        <v/>
      </c>
      <c r="AD359" s="199">
        <f>$M359*AD$34</f>
        <v/>
      </c>
      <c r="AE359" s="199">
        <f>$M359*AE$34</f>
        <v/>
      </c>
      <c r="AF359" s="199">
        <f>$M359*AF$34</f>
        <v/>
      </c>
      <c r="AG359" s="199">
        <f>$M359*AG$34</f>
        <v/>
      </c>
      <c r="AH359" s="199">
        <f>$M359*AH$34</f>
        <v/>
      </c>
      <c r="AJ359" s="198">
        <f>$G359</f>
        <v/>
      </c>
      <c r="AK359" s="199">
        <f>$H359</f>
        <v/>
      </c>
      <c r="AL359" s="199">
        <f>$N359*AL$34</f>
        <v/>
      </c>
      <c r="AM359" s="199">
        <f>$N359*AM$34</f>
        <v/>
      </c>
      <c r="AN359" s="199">
        <f>$N359*AN$34</f>
        <v/>
      </c>
      <c r="AO359" s="199">
        <f>$N359*AO$34</f>
        <v/>
      </c>
      <c r="AP359" s="199">
        <f>$N359*AP$34</f>
        <v/>
      </c>
      <c r="AR359" s="198">
        <f>$G359</f>
        <v/>
      </c>
      <c r="AS359" s="199">
        <f>$H359</f>
        <v/>
      </c>
      <c r="AT359" s="199">
        <f>$O359*AT$34-$Q359</f>
        <v/>
      </c>
      <c r="AU359" s="199">
        <f>$O359*AU$34-$Q359</f>
        <v/>
      </c>
      <c r="AV359" s="199">
        <f>$O359*AV$34-$Q359</f>
        <v/>
      </c>
      <c r="AW359" s="199">
        <f>$O359*AW$34-$Q359</f>
        <v/>
      </c>
      <c r="AX359" s="199">
        <f>$O359*AX$34-$Q359</f>
        <v/>
      </c>
      <c r="AZ359" s="198">
        <f>$G359</f>
        <v/>
      </c>
      <c r="BA359" s="199">
        <f>$H359</f>
        <v/>
      </c>
      <c r="BB359" s="199">
        <f>$P359*BB$34-$Q359</f>
        <v/>
      </c>
      <c r="BC359" s="199">
        <f>$P359*BC$34-$Q359</f>
        <v/>
      </c>
      <c r="BD359" s="199">
        <f>$P359*BD$34-$Q359</f>
        <v/>
      </c>
      <c r="BE359" s="199">
        <f>$P359*BE$34-$Q359</f>
        <v/>
      </c>
      <c r="BF359" s="199">
        <f>$P359*BF$34-$Q359</f>
        <v/>
      </c>
      <c r="BH359" s="198">
        <f>$G359</f>
        <v/>
      </c>
      <c r="BI359" s="197">
        <f>$I359</f>
        <v/>
      </c>
      <c r="BJ359" s="197">
        <f>+BJ360</f>
        <v/>
      </c>
      <c r="BK359" s="197">
        <f>+BK360</f>
        <v/>
      </c>
      <c r="BL359" s="197">
        <f>+BL360</f>
        <v/>
      </c>
      <c r="BM359" s="197">
        <f>+BM360</f>
        <v/>
      </c>
      <c r="BN359" s="197">
        <f>+BN360</f>
        <v/>
      </c>
      <c r="BP359" s="198">
        <f>$G359</f>
        <v/>
      </c>
      <c r="BQ359" s="197">
        <f>$J359</f>
        <v/>
      </c>
      <c r="BR359" s="197">
        <f>+BR360</f>
        <v/>
      </c>
      <c r="BS359" s="197">
        <f>+BS360</f>
        <v/>
      </c>
      <c r="BT359" s="197">
        <f>+BT360</f>
        <v/>
      </c>
      <c r="BU359" s="197">
        <f>+BU360</f>
        <v/>
      </c>
      <c r="BV359" s="197">
        <f>+BV360</f>
        <v/>
      </c>
      <c r="BX359" s="198">
        <f>$G359</f>
        <v/>
      </c>
      <c r="BY359" s="197">
        <f>$K359</f>
        <v/>
      </c>
      <c r="BZ359" s="197">
        <f>+BZ360</f>
        <v/>
      </c>
      <c r="CA359" s="197">
        <f>+CA360</f>
        <v/>
      </c>
      <c r="CB359" s="197">
        <f>+CB360</f>
        <v/>
      </c>
      <c r="CC359" s="197">
        <f>+CC360</f>
        <v/>
      </c>
      <c r="CD359" s="197">
        <f>+CD360</f>
        <v/>
      </c>
      <c r="CF359" s="198">
        <f>$G359</f>
        <v/>
      </c>
      <c r="CG359" s="197">
        <f>$L359</f>
        <v/>
      </c>
      <c r="CH359" s="197">
        <f>+CH360</f>
        <v/>
      </c>
      <c r="CI359" s="197">
        <f>+CI360</f>
        <v/>
      </c>
      <c r="CJ359" s="197">
        <f>+CJ360</f>
        <v/>
      </c>
      <c r="CK359" s="197">
        <f>+CK360</f>
        <v/>
      </c>
      <c r="CL359" s="197">
        <f>+CL360</f>
        <v/>
      </c>
      <c r="CO359" s="199" t="n">
        <v>10.47120418848167</v>
      </c>
      <c r="CP359" s="199" t="n">
        <v>4.46</v>
      </c>
      <c r="CR359" s="199" t="n">
        <v>8.84</v>
      </c>
      <c r="CS359" s="970" t="n">
        <v>0.84422</v>
      </c>
    </row>
    <row r="360">
      <c r="B360" s="204">
        <f>+C360-1</f>
        <v/>
      </c>
      <c r="C360" s="204">
        <f>IF('bands_A-H_Avg'!$D$9+1&gt;MONTH(G360),YEAR(G360),YEAR(G360)+1)</f>
        <v/>
      </c>
      <c r="D360" s="204">
        <f>+C360+1</f>
        <v/>
      </c>
      <c r="E360" s="203">
        <f>IF(C360&gt;C359,1,E359+1)</f>
        <v/>
      </c>
      <c r="F360" s="203">
        <f>COUNTIF(C:C,C360)</f>
        <v/>
      </c>
      <c r="G360" s="198">
        <f>+G359+7</f>
        <v/>
      </c>
      <c r="H360" s="361">
        <f>IF(ISBLANK(CO360),CP360,SUMPRODUCT(CO$32:CP$32,CO360:CP360))</f>
        <v/>
      </c>
      <c r="I360" s="968">
        <f>H360/M360</f>
        <v/>
      </c>
      <c r="J360" s="968">
        <f>H360/N360</f>
        <v/>
      </c>
      <c r="K360" s="968">
        <f>(H360+Q360)/O360</f>
        <v/>
      </c>
      <c r="L360" s="968">
        <f>(H360+Q360)/P360</f>
        <v/>
      </c>
      <c r="M360" s="199">
        <f>HLOOKUP(C:C,$4:$10,3,FALSE)+((HLOOKUP(D:D,$4:$10,3,FALSE)-HLOOKUP(C:C,$4:$10,3,FALSE))*E360/F360)</f>
        <v/>
      </c>
      <c r="N360" s="199">
        <f>HLOOKUP(C:C,$4:$10,2,FALSE)+((HLOOKUP(D:D,$4:$10,2,FALSE)-HLOOKUP(C:C,$4:$10,2,FALSE))*E360/F360)</f>
        <v/>
      </c>
      <c r="O360" s="199">
        <f>HLOOKUP(C:C,$4:$10,5,FALSE)+((HLOOKUP(D:D,$4:$10,5,FALSE)-HLOOKUP(C:C,$4:$10,5,FALSE))*E360/F360)</f>
        <v/>
      </c>
      <c r="P360" s="199">
        <f>HLOOKUP(C:C,$4:$10,4,FALSE)+((HLOOKUP(D:D,$4:$10,4,FALSE)-HLOOKUP(C:C,$4:$10,4,FALSE))*E360/F360)</f>
        <v/>
      </c>
      <c r="Q360" s="199">
        <f>HLOOKUP(B:B,$4:$10,6,FALSE)+((HLOOKUP(C:C,$4:$10,6,FALSE)-HLOOKUP(B:B,$4:$10,6,FALSE))*E360/F360)</f>
        <v/>
      </c>
      <c r="T360" s="198">
        <f>$G360</f>
        <v/>
      </c>
      <c r="U360" s="199">
        <f>H360/(HLOOKUP(B:B,$4:$10,3,FALSE)+((HLOOKUP(C:C,$4:$10,3,FALSE)-HLOOKUP(B:B,$4:$10,3,FALSE))*E360/F360))</f>
        <v/>
      </c>
      <c r="V360" s="969">
        <f>HLOOKUP(B:B,$4:$10,7,FALSE)+((HLOOKUP(C:C,$4:$10,7,FALSE)-HLOOKUP(B:B,$4:$10,7,FALSE))*E360/F360)</f>
        <v/>
      </c>
      <c r="AB360" s="198">
        <f>$G360</f>
        <v/>
      </c>
      <c r="AC360" s="199">
        <f>$H360</f>
        <v/>
      </c>
      <c r="AD360" s="199">
        <f>$M360*AD$34</f>
        <v/>
      </c>
      <c r="AE360" s="199">
        <f>$M360*AE$34</f>
        <v/>
      </c>
      <c r="AF360" s="199">
        <f>$M360*AF$34</f>
        <v/>
      </c>
      <c r="AG360" s="199">
        <f>$M360*AG$34</f>
        <v/>
      </c>
      <c r="AH360" s="199">
        <f>$M360*AH$34</f>
        <v/>
      </c>
      <c r="AJ360" s="198">
        <f>$G360</f>
        <v/>
      </c>
      <c r="AK360" s="199">
        <f>$H360</f>
        <v/>
      </c>
      <c r="AL360" s="199">
        <f>$N360*AL$34</f>
        <v/>
      </c>
      <c r="AM360" s="199">
        <f>$N360*AM$34</f>
        <v/>
      </c>
      <c r="AN360" s="199">
        <f>$N360*AN$34</f>
        <v/>
      </c>
      <c r="AO360" s="199">
        <f>$N360*AO$34</f>
        <v/>
      </c>
      <c r="AP360" s="199">
        <f>$N360*AP$34</f>
        <v/>
      </c>
      <c r="AR360" s="198">
        <f>$G360</f>
        <v/>
      </c>
      <c r="AS360" s="199">
        <f>$H360</f>
        <v/>
      </c>
      <c r="AT360" s="199">
        <f>$O360*AT$34-$Q360</f>
        <v/>
      </c>
      <c r="AU360" s="199">
        <f>$O360*AU$34-$Q360</f>
        <v/>
      </c>
      <c r="AV360" s="199">
        <f>$O360*AV$34-$Q360</f>
        <v/>
      </c>
      <c r="AW360" s="199">
        <f>$O360*AW$34-$Q360</f>
        <v/>
      </c>
      <c r="AX360" s="199">
        <f>$O360*AX$34-$Q360</f>
        <v/>
      </c>
      <c r="AZ360" s="198">
        <f>$G360</f>
        <v/>
      </c>
      <c r="BA360" s="199">
        <f>$H360</f>
        <v/>
      </c>
      <c r="BB360" s="199">
        <f>$P360*BB$34-$Q360</f>
        <v/>
      </c>
      <c r="BC360" s="199">
        <f>$P360*BC$34-$Q360</f>
        <v/>
      </c>
      <c r="BD360" s="199">
        <f>$P360*BD$34-$Q360</f>
        <v/>
      </c>
      <c r="BE360" s="199">
        <f>$P360*BE$34-$Q360</f>
        <v/>
      </c>
      <c r="BF360" s="199">
        <f>$P360*BF$34-$Q360</f>
        <v/>
      </c>
      <c r="BH360" s="198">
        <f>$G360</f>
        <v/>
      </c>
      <c r="BI360" s="197">
        <f>$I360</f>
        <v/>
      </c>
      <c r="BJ360" s="197">
        <f>+BJ361</f>
        <v/>
      </c>
      <c r="BK360" s="197">
        <f>+BK361</f>
        <v/>
      </c>
      <c r="BL360" s="197">
        <f>+BL361</f>
        <v/>
      </c>
      <c r="BM360" s="197">
        <f>+BM361</f>
        <v/>
      </c>
      <c r="BN360" s="197">
        <f>+BN361</f>
        <v/>
      </c>
      <c r="BP360" s="198">
        <f>$G360</f>
        <v/>
      </c>
      <c r="BQ360" s="197">
        <f>$J360</f>
        <v/>
      </c>
      <c r="BR360" s="197">
        <f>+BR361</f>
        <v/>
      </c>
      <c r="BS360" s="197">
        <f>+BS361</f>
        <v/>
      </c>
      <c r="BT360" s="197">
        <f>+BT361</f>
        <v/>
      </c>
      <c r="BU360" s="197">
        <f>+BU361</f>
        <v/>
      </c>
      <c r="BV360" s="197">
        <f>+BV361</f>
        <v/>
      </c>
      <c r="BX360" s="198">
        <f>$G360</f>
        <v/>
      </c>
      <c r="BY360" s="197">
        <f>$K360</f>
        <v/>
      </c>
      <c r="BZ360" s="197">
        <f>+BZ361</f>
        <v/>
      </c>
      <c r="CA360" s="197">
        <f>+CA361</f>
        <v/>
      </c>
      <c r="CB360" s="197">
        <f>+CB361</f>
        <v/>
      </c>
      <c r="CC360" s="197">
        <f>+CC361</f>
        <v/>
      </c>
      <c r="CD360" s="197">
        <f>+CD361</f>
        <v/>
      </c>
      <c r="CF360" s="198">
        <f>$G360</f>
        <v/>
      </c>
      <c r="CG360" s="197">
        <f>$L360</f>
        <v/>
      </c>
      <c r="CH360" s="197">
        <f>+CH361</f>
        <v/>
      </c>
      <c r="CI360" s="197">
        <f>+CI361</f>
        <v/>
      </c>
      <c r="CJ360" s="197">
        <f>+CJ361</f>
        <v/>
      </c>
      <c r="CK360" s="197">
        <f>+CK361</f>
        <v/>
      </c>
      <c r="CL360" s="197">
        <f>+CL361</f>
        <v/>
      </c>
      <c r="CO360" s="199" t="n">
        <v>9.511030896007979</v>
      </c>
      <c r="CP360" s="199" t="n">
        <v>3.83</v>
      </c>
      <c r="CR360" s="199" t="n">
        <v>8.01</v>
      </c>
      <c r="CS360" s="970" t="n">
        <v>0.84218</v>
      </c>
    </row>
    <row r="361">
      <c r="B361" s="204">
        <f>+C361-1</f>
        <v/>
      </c>
      <c r="C361" s="204">
        <f>IF('bands_A-H_Avg'!$D$9+1&gt;MONTH(G361),YEAR(G361),YEAR(G361)+1)</f>
        <v/>
      </c>
      <c r="D361" s="204">
        <f>+C361+1</f>
        <v/>
      </c>
      <c r="E361" s="203">
        <f>IF(C361&gt;C360,1,E360+1)</f>
        <v/>
      </c>
      <c r="F361" s="203">
        <f>COUNTIF(C:C,C361)</f>
        <v/>
      </c>
      <c r="G361" s="198">
        <f>+G360+7</f>
        <v/>
      </c>
      <c r="H361" s="361">
        <f>IF(ISBLANK(CO361),CP361,SUMPRODUCT(CO$32:CP$32,CO361:CP361))</f>
        <v/>
      </c>
      <c r="I361" s="968">
        <f>H361/M361</f>
        <v/>
      </c>
      <c r="J361" s="968">
        <f>H361/N361</f>
        <v/>
      </c>
      <c r="K361" s="968">
        <f>(H361+Q361)/O361</f>
        <v/>
      </c>
      <c r="L361" s="968">
        <f>(H361+Q361)/P361</f>
        <v/>
      </c>
      <c r="M361" s="199">
        <f>HLOOKUP(C:C,$4:$10,3,FALSE)+((HLOOKUP(D:D,$4:$10,3,FALSE)-HLOOKUP(C:C,$4:$10,3,FALSE))*E361/F361)</f>
        <v/>
      </c>
      <c r="N361" s="199">
        <f>HLOOKUP(C:C,$4:$10,2,FALSE)+((HLOOKUP(D:D,$4:$10,2,FALSE)-HLOOKUP(C:C,$4:$10,2,FALSE))*E361/F361)</f>
        <v/>
      </c>
      <c r="O361" s="199">
        <f>HLOOKUP(C:C,$4:$10,5,FALSE)+((HLOOKUP(D:D,$4:$10,5,FALSE)-HLOOKUP(C:C,$4:$10,5,FALSE))*E361/F361)</f>
        <v/>
      </c>
      <c r="P361" s="199">
        <f>HLOOKUP(C:C,$4:$10,4,FALSE)+((HLOOKUP(D:D,$4:$10,4,FALSE)-HLOOKUP(C:C,$4:$10,4,FALSE))*E361/F361)</f>
        <v/>
      </c>
      <c r="Q361" s="199">
        <f>HLOOKUP(B:B,$4:$10,6,FALSE)+((HLOOKUP(C:C,$4:$10,6,FALSE)-HLOOKUP(B:B,$4:$10,6,FALSE))*E361/F361)</f>
        <v/>
      </c>
      <c r="T361" s="198">
        <f>$G361</f>
        <v/>
      </c>
      <c r="U361" s="199">
        <f>H361/(HLOOKUP(B:B,$4:$10,3,FALSE)+((HLOOKUP(C:C,$4:$10,3,FALSE)-HLOOKUP(B:B,$4:$10,3,FALSE))*E361/F361))</f>
        <v/>
      </c>
      <c r="V361" s="969">
        <f>HLOOKUP(B:B,$4:$10,7,FALSE)+((HLOOKUP(C:C,$4:$10,7,FALSE)-HLOOKUP(B:B,$4:$10,7,FALSE))*E361/F361)</f>
        <v/>
      </c>
      <c r="AB361" s="198">
        <f>$G361</f>
        <v/>
      </c>
      <c r="AC361" s="199">
        <f>$H361</f>
        <v/>
      </c>
      <c r="AD361" s="199">
        <f>$M361*AD$34</f>
        <v/>
      </c>
      <c r="AE361" s="199">
        <f>$M361*AE$34</f>
        <v/>
      </c>
      <c r="AF361" s="199">
        <f>$M361*AF$34</f>
        <v/>
      </c>
      <c r="AG361" s="199">
        <f>$M361*AG$34</f>
        <v/>
      </c>
      <c r="AH361" s="199">
        <f>$M361*AH$34</f>
        <v/>
      </c>
      <c r="AJ361" s="198">
        <f>$G361</f>
        <v/>
      </c>
      <c r="AK361" s="199">
        <f>$H361</f>
        <v/>
      </c>
      <c r="AL361" s="199">
        <f>$N361*AL$34</f>
        <v/>
      </c>
      <c r="AM361" s="199">
        <f>$N361*AM$34</f>
        <v/>
      </c>
      <c r="AN361" s="199">
        <f>$N361*AN$34</f>
        <v/>
      </c>
      <c r="AO361" s="199">
        <f>$N361*AO$34</f>
        <v/>
      </c>
      <c r="AP361" s="199">
        <f>$N361*AP$34</f>
        <v/>
      </c>
      <c r="AR361" s="198">
        <f>$G361</f>
        <v/>
      </c>
      <c r="AS361" s="199">
        <f>$H361</f>
        <v/>
      </c>
      <c r="AT361" s="199">
        <f>$O361*AT$34-$Q361</f>
        <v/>
      </c>
      <c r="AU361" s="199">
        <f>$O361*AU$34-$Q361</f>
        <v/>
      </c>
      <c r="AV361" s="199">
        <f>$O361*AV$34-$Q361</f>
        <v/>
      </c>
      <c r="AW361" s="199">
        <f>$O361*AW$34-$Q361</f>
        <v/>
      </c>
      <c r="AX361" s="199">
        <f>$O361*AX$34-$Q361</f>
        <v/>
      </c>
      <c r="AZ361" s="198">
        <f>$G361</f>
        <v/>
      </c>
      <c r="BA361" s="199">
        <f>$H361</f>
        <v/>
      </c>
      <c r="BB361" s="199">
        <f>$P361*BB$34-$Q361</f>
        <v/>
      </c>
      <c r="BC361" s="199">
        <f>$P361*BC$34-$Q361</f>
        <v/>
      </c>
      <c r="BD361" s="199">
        <f>$P361*BD$34-$Q361</f>
        <v/>
      </c>
      <c r="BE361" s="199">
        <f>$P361*BE$34-$Q361</f>
        <v/>
      </c>
      <c r="BF361" s="199">
        <f>$P361*BF$34-$Q361</f>
        <v/>
      </c>
      <c r="BH361" s="198">
        <f>$G361</f>
        <v/>
      </c>
      <c r="BI361" s="197">
        <f>$I361</f>
        <v/>
      </c>
      <c r="BJ361" s="197">
        <f>+BJ362</f>
        <v/>
      </c>
      <c r="BK361" s="197">
        <f>+BK362</f>
        <v/>
      </c>
      <c r="BL361" s="197">
        <f>+BL362</f>
        <v/>
      </c>
      <c r="BM361" s="197">
        <f>+BM362</f>
        <v/>
      </c>
      <c r="BN361" s="197">
        <f>+BN362</f>
        <v/>
      </c>
      <c r="BP361" s="198">
        <f>$G361</f>
        <v/>
      </c>
      <c r="BQ361" s="197">
        <f>$J361</f>
        <v/>
      </c>
      <c r="BR361" s="197">
        <f>+BR362</f>
        <v/>
      </c>
      <c r="BS361" s="197">
        <f>+BS362</f>
        <v/>
      </c>
      <c r="BT361" s="197">
        <f>+BT362</f>
        <v/>
      </c>
      <c r="BU361" s="197">
        <f>+BU362</f>
        <v/>
      </c>
      <c r="BV361" s="197">
        <f>+BV362</f>
        <v/>
      </c>
      <c r="BX361" s="198">
        <f>$G361</f>
        <v/>
      </c>
      <c r="BY361" s="197">
        <f>$K361</f>
        <v/>
      </c>
      <c r="BZ361" s="197">
        <f>+BZ362</f>
        <v/>
      </c>
      <c r="CA361" s="197">
        <f>+CA362</f>
        <v/>
      </c>
      <c r="CB361" s="197">
        <f>+CB362</f>
        <v/>
      </c>
      <c r="CC361" s="197">
        <f>+CC362</f>
        <v/>
      </c>
      <c r="CD361" s="197">
        <f>+CD362</f>
        <v/>
      </c>
      <c r="CF361" s="198">
        <f>$G361</f>
        <v/>
      </c>
      <c r="CG361" s="197">
        <f>$L361</f>
        <v/>
      </c>
      <c r="CH361" s="197">
        <f>+CH362</f>
        <v/>
      </c>
      <c r="CI361" s="197">
        <f>+CI362</f>
        <v/>
      </c>
      <c r="CJ361" s="197">
        <f>+CJ362</f>
        <v/>
      </c>
      <c r="CK361" s="197">
        <f>+CK362</f>
        <v/>
      </c>
      <c r="CL361" s="197">
        <f>+CL362</f>
        <v/>
      </c>
      <c r="CO361" s="199" t="n">
        <v>9.598801041951639</v>
      </c>
      <c r="CP361" s="199" t="n">
        <v>4.13</v>
      </c>
      <c r="CR361" s="199" t="n">
        <v>8.07</v>
      </c>
      <c r="CS361" s="970" t="n">
        <v>0.84073</v>
      </c>
    </row>
    <row r="362">
      <c r="B362" s="204">
        <f>+C362-1</f>
        <v/>
      </c>
      <c r="C362" s="204">
        <f>IF('bands_A-H_Avg'!$D$9+1&gt;MONTH(G362),YEAR(G362),YEAR(G362)+1)</f>
        <v/>
      </c>
      <c r="D362" s="204">
        <f>+C362+1</f>
        <v/>
      </c>
      <c r="E362" s="203">
        <f>IF(C362&gt;C361,1,E361+1)</f>
        <v/>
      </c>
      <c r="F362" s="203">
        <f>COUNTIF(C:C,C362)</f>
        <v/>
      </c>
      <c r="G362" s="198">
        <f>+G361+7</f>
        <v/>
      </c>
      <c r="H362" s="361">
        <f>IF(ISBLANK(CO362),CP362,SUMPRODUCT(CO$32:CP$32,CO362:CP362))</f>
        <v/>
      </c>
      <c r="I362" s="968">
        <f>H362/M362</f>
        <v/>
      </c>
      <c r="J362" s="968">
        <f>H362/N362</f>
        <v/>
      </c>
      <c r="K362" s="968">
        <f>(H362+Q362)/O362</f>
        <v/>
      </c>
      <c r="L362" s="968">
        <f>(H362+Q362)/P362</f>
        <v/>
      </c>
      <c r="M362" s="199">
        <f>HLOOKUP(C:C,$4:$10,3,FALSE)+((HLOOKUP(D:D,$4:$10,3,FALSE)-HLOOKUP(C:C,$4:$10,3,FALSE))*E362/F362)</f>
        <v/>
      </c>
      <c r="N362" s="199">
        <f>HLOOKUP(C:C,$4:$10,2,FALSE)+((HLOOKUP(D:D,$4:$10,2,FALSE)-HLOOKUP(C:C,$4:$10,2,FALSE))*E362/F362)</f>
        <v/>
      </c>
      <c r="O362" s="199">
        <f>HLOOKUP(C:C,$4:$10,5,FALSE)+((HLOOKUP(D:D,$4:$10,5,FALSE)-HLOOKUP(C:C,$4:$10,5,FALSE))*E362/F362)</f>
        <v/>
      </c>
      <c r="P362" s="199">
        <f>HLOOKUP(C:C,$4:$10,4,FALSE)+((HLOOKUP(D:D,$4:$10,4,FALSE)-HLOOKUP(C:C,$4:$10,4,FALSE))*E362/F362)</f>
        <v/>
      </c>
      <c r="Q362" s="199">
        <f>HLOOKUP(B:B,$4:$10,6,FALSE)+((HLOOKUP(C:C,$4:$10,6,FALSE)-HLOOKUP(B:B,$4:$10,6,FALSE))*E362/F362)</f>
        <v/>
      </c>
      <c r="T362" s="198">
        <f>$G362</f>
        <v/>
      </c>
      <c r="U362" s="199">
        <f>H362/(HLOOKUP(B:B,$4:$10,3,FALSE)+((HLOOKUP(C:C,$4:$10,3,FALSE)-HLOOKUP(B:B,$4:$10,3,FALSE))*E362/F362))</f>
        <v/>
      </c>
      <c r="V362" s="969">
        <f>HLOOKUP(B:B,$4:$10,7,FALSE)+((HLOOKUP(C:C,$4:$10,7,FALSE)-HLOOKUP(B:B,$4:$10,7,FALSE))*E362/F362)</f>
        <v/>
      </c>
      <c r="AB362" s="198">
        <f>$G362</f>
        <v/>
      </c>
      <c r="AC362" s="199">
        <f>$H362</f>
        <v/>
      </c>
      <c r="AD362" s="199">
        <f>$M362*AD$34</f>
        <v/>
      </c>
      <c r="AE362" s="199">
        <f>$M362*AE$34</f>
        <v/>
      </c>
      <c r="AF362" s="199">
        <f>$M362*AF$34</f>
        <v/>
      </c>
      <c r="AG362" s="199">
        <f>$M362*AG$34</f>
        <v/>
      </c>
      <c r="AH362" s="199">
        <f>$M362*AH$34</f>
        <v/>
      </c>
      <c r="AJ362" s="198">
        <f>$G362</f>
        <v/>
      </c>
      <c r="AK362" s="199">
        <f>$H362</f>
        <v/>
      </c>
      <c r="AL362" s="199">
        <f>$N362*AL$34</f>
        <v/>
      </c>
      <c r="AM362" s="199">
        <f>$N362*AM$34</f>
        <v/>
      </c>
      <c r="AN362" s="199">
        <f>$N362*AN$34</f>
        <v/>
      </c>
      <c r="AO362" s="199">
        <f>$N362*AO$34</f>
        <v/>
      </c>
      <c r="AP362" s="199">
        <f>$N362*AP$34</f>
        <v/>
      </c>
      <c r="AR362" s="198">
        <f>$G362</f>
        <v/>
      </c>
      <c r="AS362" s="199">
        <f>$H362</f>
        <v/>
      </c>
      <c r="AT362" s="199">
        <f>$O362*AT$34-$Q362</f>
        <v/>
      </c>
      <c r="AU362" s="199">
        <f>$O362*AU$34-$Q362</f>
        <v/>
      </c>
      <c r="AV362" s="199">
        <f>$O362*AV$34-$Q362</f>
        <v/>
      </c>
      <c r="AW362" s="199">
        <f>$O362*AW$34-$Q362</f>
        <v/>
      </c>
      <c r="AX362" s="199">
        <f>$O362*AX$34-$Q362</f>
        <v/>
      </c>
      <c r="AZ362" s="198">
        <f>$G362</f>
        <v/>
      </c>
      <c r="BA362" s="199">
        <f>$H362</f>
        <v/>
      </c>
      <c r="BB362" s="199">
        <f>$P362*BB$34-$Q362</f>
        <v/>
      </c>
      <c r="BC362" s="199">
        <f>$P362*BC$34-$Q362</f>
        <v/>
      </c>
      <c r="BD362" s="199">
        <f>$P362*BD$34-$Q362</f>
        <v/>
      </c>
      <c r="BE362" s="199">
        <f>$P362*BE$34-$Q362</f>
        <v/>
      </c>
      <c r="BF362" s="199">
        <f>$P362*BF$34-$Q362</f>
        <v/>
      </c>
      <c r="BH362" s="198">
        <f>$G362</f>
        <v/>
      </c>
      <c r="BI362" s="197">
        <f>$I362</f>
        <v/>
      </c>
      <c r="BJ362" s="197">
        <f>+BJ363</f>
        <v/>
      </c>
      <c r="BK362" s="197">
        <f>+BK363</f>
        <v/>
      </c>
      <c r="BL362" s="197">
        <f>+BL363</f>
        <v/>
      </c>
      <c r="BM362" s="197">
        <f>+BM363</f>
        <v/>
      </c>
      <c r="BN362" s="197">
        <f>+BN363</f>
        <v/>
      </c>
      <c r="BP362" s="198">
        <f>$G362</f>
        <v/>
      </c>
      <c r="BQ362" s="197">
        <f>$J362</f>
        <v/>
      </c>
      <c r="BR362" s="197">
        <f>+BR363</f>
        <v/>
      </c>
      <c r="BS362" s="197">
        <f>+BS363</f>
        <v/>
      </c>
      <c r="BT362" s="197">
        <f>+BT363</f>
        <v/>
      </c>
      <c r="BU362" s="197">
        <f>+BU363</f>
        <v/>
      </c>
      <c r="BV362" s="197">
        <f>+BV363</f>
        <v/>
      </c>
      <c r="BX362" s="198">
        <f>$G362</f>
        <v/>
      </c>
      <c r="BY362" s="197">
        <f>$K362</f>
        <v/>
      </c>
      <c r="BZ362" s="197">
        <f>+BZ363</f>
        <v/>
      </c>
      <c r="CA362" s="197">
        <f>+CA363</f>
        <v/>
      </c>
      <c r="CB362" s="197">
        <f>+CB363</f>
        <v/>
      </c>
      <c r="CC362" s="197">
        <f>+CC363</f>
        <v/>
      </c>
      <c r="CD362" s="197">
        <f>+CD363</f>
        <v/>
      </c>
      <c r="CF362" s="198">
        <f>$G362</f>
        <v/>
      </c>
      <c r="CG362" s="197">
        <f>$L362</f>
        <v/>
      </c>
      <c r="CH362" s="197">
        <f>+CH363</f>
        <v/>
      </c>
      <c r="CI362" s="197">
        <f>+CI363</f>
        <v/>
      </c>
      <c r="CJ362" s="197">
        <f>+CJ363</f>
        <v/>
      </c>
      <c r="CK362" s="197">
        <f>+CK363</f>
        <v/>
      </c>
      <c r="CL362" s="197">
        <f>+CL363</f>
        <v/>
      </c>
      <c r="CO362" s="199" t="n">
        <v>9.349458277893937</v>
      </c>
      <c r="CP362" s="199" t="n">
        <v>3.96</v>
      </c>
      <c r="CR362" s="199" t="n">
        <v>7.87</v>
      </c>
      <c r="CS362" s="970" t="n">
        <v>0.84176</v>
      </c>
    </row>
    <row r="363">
      <c r="B363" s="204">
        <f>+C363-1</f>
        <v/>
      </c>
      <c r="C363" s="204">
        <f>IF('bands_A-H_Avg'!$D$9+1&gt;MONTH(G363),YEAR(G363),YEAR(G363)+1)</f>
        <v/>
      </c>
      <c r="D363" s="204">
        <f>+C363+1</f>
        <v/>
      </c>
      <c r="E363" s="203">
        <f>IF(C363&gt;C362,1,E362+1)</f>
        <v/>
      </c>
      <c r="F363" s="203">
        <f>COUNTIF(C:C,C363)</f>
        <v/>
      </c>
      <c r="G363" s="198">
        <f>+G362+7</f>
        <v/>
      </c>
      <c r="H363" s="361">
        <f>IF(ISBLANK(CO363),CP363,SUMPRODUCT(CO$32:CP$32,CO363:CP363))</f>
        <v/>
      </c>
      <c r="I363" s="968">
        <f>H363/M363</f>
        <v/>
      </c>
      <c r="J363" s="968">
        <f>H363/N363</f>
        <v/>
      </c>
      <c r="K363" s="968">
        <f>(H363+Q363)/O363</f>
        <v/>
      </c>
      <c r="L363" s="968">
        <f>(H363+Q363)/P363</f>
        <v/>
      </c>
      <c r="M363" s="199">
        <f>HLOOKUP(C:C,$4:$10,3,FALSE)+((HLOOKUP(D:D,$4:$10,3,FALSE)-HLOOKUP(C:C,$4:$10,3,FALSE))*E363/F363)</f>
        <v/>
      </c>
      <c r="N363" s="199">
        <f>HLOOKUP(C:C,$4:$10,2,FALSE)+((HLOOKUP(D:D,$4:$10,2,FALSE)-HLOOKUP(C:C,$4:$10,2,FALSE))*E363/F363)</f>
        <v/>
      </c>
      <c r="O363" s="199">
        <f>HLOOKUP(C:C,$4:$10,5,FALSE)+((HLOOKUP(D:D,$4:$10,5,FALSE)-HLOOKUP(C:C,$4:$10,5,FALSE))*E363/F363)</f>
        <v/>
      </c>
      <c r="P363" s="199">
        <f>HLOOKUP(C:C,$4:$10,4,FALSE)+((HLOOKUP(D:D,$4:$10,4,FALSE)-HLOOKUP(C:C,$4:$10,4,FALSE))*E363/F363)</f>
        <v/>
      </c>
      <c r="Q363" s="199">
        <f>HLOOKUP(B:B,$4:$10,6,FALSE)+((HLOOKUP(C:C,$4:$10,6,FALSE)-HLOOKUP(B:B,$4:$10,6,FALSE))*E363/F363)</f>
        <v/>
      </c>
      <c r="T363" s="198">
        <f>$G363</f>
        <v/>
      </c>
      <c r="U363" s="199">
        <f>H363/(HLOOKUP(B:B,$4:$10,3,FALSE)+((HLOOKUP(C:C,$4:$10,3,FALSE)-HLOOKUP(B:B,$4:$10,3,FALSE))*E363/F363))</f>
        <v/>
      </c>
      <c r="V363" s="969">
        <f>HLOOKUP(B:B,$4:$10,7,FALSE)+((HLOOKUP(C:C,$4:$10,7,FALSE)-HLOOKUP(B:B,$4:$10,7,FALSE))*E363/F363)</f>
        <v/>
      </c>
      <c r="AB363" s="198">
        <f>$G363</f>
        <v/>
      </c>
      <c r="AC363" s="199">
        <f>$H363</f>
        <v/>
      </c>
      <c r="AD363" s="199">
        <f>$M363*AD$34</f>
        <v/>
      </c>
      <c r="AE363" s="199">
        <f>$M363*AE$34</f>
        <v/>
      </c>
      <c r="AF363" s="199">
        <f>$M363*AF$34</f>
        <v/>
      </c>
      <c r="AG363" s="199">
        <f>$M363*AG$34</f>
        <v/>
      </c>
      <c r="AH363" s="199">
        <f>$M363*AH$34</f>
        <v/>
      </c>
      <c r="AJ363" s="198">
        <f>$G363</f>
        <v/>
      </c>
      <c r="AK363" s="199">
        <f>$H363</f>
        <v/>
      </c>
      <c r="AL363" s="199">
        <f>$N363*AL$34</f>
        <v/>
      </c>
      <c r="AM363" s="199">
        <f>$N363*AM$34</f>
        <v/>
      </c>
      <c r="AN363" s="199">
        <f>$N363*AN$34</f>
        <v/>
      </c>
      <c r="AO363" s="199">
        <f>$N363*AO$34</f>
        <v/>
      </c>
      <c r="AP363" s="199">
        <f>$N363*AP$34</f>
        <v/>
      </c>
      <c r="AR363" s="198">
        <f>$G363</f>
        <v/>
      </c>
      <c r="AS363" s="199">
        <f>$H363</f>
        <v/>
      </c>
      <c r="AT363" s="199">
        <f>$O363*AT$34-$Q363</f>
        <v/>
      </c>
      <c r="AU363" s="199">
        <f>$O363*AU$34-$Q363</f>
        <v/>
      </c>
      <c r="AV363" s="199">
        <f>$O363*AV$34-$Q363</f>
        <v/>
      </c>
      <c r="AW363" s="199">
        <f>$O363*AW$34-$Q363</f>
        <v/>
      </c>
      <c r="AX363" s="199">
        <f>$O363*AX$34-$Q363</f>
        <v/>
      </c>
      <c r="AZ363" s="198">
        <f>$G363</f>
        <v/>
      </c>
      <c r="BA363" s="199">
        <f>$H363</f>
        <v/>
      </c>
      <c r="BB363" s="199">
        <f>$P363*BB$34-$Q363</f>
        <v/>
      </c>
      <c r="BC363" s="199">
        <f>$P363*BC$34-$Q363</f>
        <v/>
      </c>
      <c r="BD363" s="199">
        <f>$P363*BD$34-$Q363</f>
        <v/>
      </c>
      <c r="BE363" s="199">
        <f>$P363*BE$34-$Q363</f>
        <v/>
      </c>
      <c r="BF363" s="199">
        <f>$P363*BF$34-$Q363</f>
        <v/>
      </c>
      <c r="BH363" s="198">
        <f>$G363</f>
        <v/>
      </c>
      <c r="BI363" s="197">
        <f>$I363</f>
        <v/>
      </c>
      <c r="BJ363" s="197">
        <f>+BJ364</f>
        <v/>
      </c>
      <c r="BK363" s="197">
        <f>+BK364</f>
        <v/>
      </c>
      <c r="BL363" s="197">
        <f>+BL364</f>
        <v/>
      </c>
      <c r="BM363" s="197">
        <f>+BM364</f>
        <v/>
      </c>
      <c r="BN363" s="197">
        <f>+BN364</f>
        <v/>
      </c>
      <c r="BP363" s="198">
        <f>$G363</f>
        <v/>
      </c>
      <c r="BQ363" s="197">
        <f>$J363</f>
        <v/>
      </c>
      <c r="BR363" s="197">
        <f>+BR364</f>
        <v/>
      </c>
      <c r="BS363" s="197">
        <f>+BS364</f>
        <v/>
      </c>
      <c r="BT363" s="197">
        <f>+BT364</f>
        <v/>
      </c>
      <c r="BU363" s="197">
        <f>+BU364</f>
        <v/>
      </c>
      <c r="BV363" s="197">
        <f>+BV364</f>
        <v/>
      </c>
      <c r="BX363" s="198">
        <f>$G363</f>
        <v/>
      </c>
      <c r="BY363" s="197">
        <f>$K363</f>
        <v/>
      </c>
      <c r="BZ363" s="197">
        <f>+BZ364</f>
        <v/>
      </c>
      <c r="CA363" s="197">
        <f>+CA364</f>
        <v/>
      </c>
      <c r="CB363" s="197">
        <f>+CB364</f>
        <v/>
      </c>
      <c r="CC363" s="197">
        <f>+CC364</f>
        <v/>
      </c>
      <c r="CD363" s="197">
        <f>+CD364</f>
        <v/>
      </c>
      <c r="CF363" s="198">
        <f>$G363</f>
        <v/>
      </c>
      <c r="CG363" s="197">
        <f>$L363</f>
        <v/>
      </c>
      <c r="CH363" s="197">
        <f>+CH364</f>
        <v/>
      </c>
      <c r="CI363" s="197">
        <f>+CI364</f>
        <v/>
      </c>
      <c r="CJ363" s="197">
        <f>+CJ364</f>
        <v/>
      </c>
      <c r="CK363" s="197">
        <f>+CK364</f>
        <v/>
      </c>
      <c r="CL363" s="197">
        <f>+CL364</f>
        <v/>
      </c>
      <c r="CO363" s="199" t="n">
        <v>9.513842641042718</v>
      </c>
      <c r="CP363" s="199" t="n">
        <v>4.42</v>
      </c>
      <c r="CR363" s="199" t="n">
        <v>8</v>
      </c>
      <c r="CS363" s="970" t="n">
        <v>0.84088</v>
      </c>
    </row>
    <row r="364">
      <c r="B364" s="204">
        <f>+C364-1</f>
        <v/>
      </c>
      <c r="C364" s="204">
        <f>IF('bands_A-H_Avg'!$D$9+1&gt;MONTH(G364),YEAR(G364),YEAR(G364)+1)</f>
        <v/>
      </c>
      <c r="D364" s="204">
        <f>+C364+1</f>
        <v/>
      </c>
      <c r="E364" s="203">
        <f>IF(C364&gt;C363,1,E363+1)</f>
        <v/>
      </c>
      <c r="F364" s="203">
        <f>COUNTIF(C:C,C364)</f>
        <v/>
      </c>
      <c r="G364" s="198">
        <f>+G363+7</f>
        <v/>
      </c>
      <c r="H364" s="361">
        <f>IF(ISBLANK(CO364),CP364,SUMPRODUCT(CO$32:CP$32,CO364:CP364))</f>
        <v/>
      </c>
      <c r="I364" s="968">
        <f>H364/M364</f>
        <v/>
      </c>
      <c r="J364" s="968">
        <f>H364/N364</f>
        <v/>
      </c>
      <c r="K364" s="968">
        <f>(H364+Q364)/O364</f>
        <v/>
      </c>
      <c r="L364" s="968">
        <f>(H364+Q364)/P364</f>
        <v/>
      </c>
      <c r="M364" s="199">
        <f>HLOOKUP(C:C,$4:$10,3,FALSE)+((HLOOKUP(D:D,$4:$10,3,FALSE)-HLOOKUP(C:C,$4:$10,3,FALSE))*E364/F364)</f>
        <v/>
      </c>
      <c r="N364" s="199">
        <f>HLOOKUP(C:C,$4:$10,2,FALSE)+((HLOOKUP(D:D,$4:$10,2,FALSE)-HLOOKUP(C:C,$4:$10,2,FALSE))*E364/F364)</f>
        <v/>
      </c>
      <c r="O364" s="199">
        <f>HLOOKUP(C:C,$4:$10,5,FALSE)+((HLOOKUP(D:D,$4:$10,5,FALSE)-HLOOKUP(C:C,$4:$10,5,FALSE))*E364/F364)</f>
        <v/>
      </c>
      <c r="P364" s="199">
        <f>HLOOKUP(C:C,$4:$10,4,FALSE)+((HLOOKUP(D:D,$4:$10,4,FALSE)-HLOOKUP(C:C,$4:$10,4,FALSE))*E364/F364)</f>
        <v/>
      </c>
      <c r="Q364" s="199">
        <f>HLOOKUP(B:B,$4:$10,6,FALSE)+((HLOOKUP(C:C,$4:$10,6,FALSE)-HLOOKUP(B:B,$4:$10,6,FALSE))*E364/F364)</f>
        <v/>
      </c>
      <c r="T364" s="198">
        <f>$G364</f>
        <v/>
      </c>
      <c r="U364" s="199">
        <f>H364/(HLOOKUP(B:B,$4:$10,3,FALSE)+((HLOOKUP(C:C,$4:$10,3,FALSE)-HLOOKUP(B:B,$4:$10,3,FALSE))*E364/F364))</f>
        <v/>
      </c>
      <c r="V364" s="969">
        <f>HLOOKUP(B:B,$4:$10,7,FALSE)+((HLOOKUP(C:C,$4:$10,7,FALSE)-HLOOKUP(B:B,$4:$10,7,FALSE))*E364/F364)</f>
        <v/>
      </c>
      <c r="AB364" s="198">
        <f>$G364</f>
        <v/>
      </c>
      <c r="AC364" s="199">
        <f>$H364</f>
        <v/>
      </c>
      <c r="AD364" s="199">
        <f>$M364*AD$34</f>
        <v/>
      </c>
      <c r="AE364" s="199">
        <f>$M364*AE$34</f>
        <v/>
      </c>
      <c r="AF364" s="199">
        <f>$M364*AF$34</f>
        <v/>
      </c>
      <c r="AG364" s="199">
        <f>$M364*AG$34</f>
        <v/>
      </c>
      <c r="AH364" s="199">
        <f>$M364*AH$34</f>
        <v/>
      </c>
      <c r="AJ364" s="198">
        <f>$G364</f>
        <v/>
      </c>
      <c r="AK364" s="199">
        <f>$H364</f>
        <v/>
      </c>
      <c r="AL364" s="199">
        <f>$N364*AL$34</f>
        <v/>
      </c>
      <c r="AM364" s="199">
        <f>$N364*AM$34</f>
        <v/>
      </c>
      <c r="AN364" s="199">
        <f>$N364*AN$34</f>
        <v/>
      </c>
      <c r="AO364" s="199">
        <f>$N364*AO$34</f>
        <v/>
      </c>
      <c r="AP364" s="199">
        <f>$N364*AP$34</f>
        <v/>
      </c>
      <c r="AR364" s="198">
        <f>$G364</f>
        <v/>
      </c>
      <c r="AS364" s="199">
        <f>$H364</f>
        <v/>
      </c>
      <c r="AT364" s="199">
        <f>$O364*AT$34-$Q364</f>
        <v/>
      </c>
      <c r="AU364" s="199">
        <f>$O364*AU$34-$Q364</f>
        <v/>
      </c>
      <c r="AV364" s="199">
        <f>$O364*AV$34-$Q364</f>
        <v/>
      </c>
      <c r="AW364" s="199">
        <f>$O364*AW$34-$Q364</f>
        <v/>
      </c>
      <c r="AX364" s="199">
        <f>$O364*AX$34-$Q364</f>
        <v/>
      </c>
      <c r="AZ364" s="198">
        <f>$G364</f>
        <v/>
      </c>
      <c r="BA364" s="199">
        <f>$H364</f>
        <v/>
      </c>
      <c r="BB364" s="199">
        <f>$P364*BB$34-$Q364</f>
        <v/>
      </c>
      <c r="BC364" s="199">
        <f>$P364*BC$34-$Q364</f>
        <v/>
      </c>
      <c r="BD364" s="199">
        <f>$P364*BD$34-$Q364</f>
        <v/>
      </c>
      <c r="BE364" s="199">
        <f>$P364*BE$34-$Q364</f>
        <v/>
      </c>
      <c r="BF364" s="199">
        <f>$P364*BF$34-$Q364</f>
        <v/>
      </c>
      <c r="BH364" s="198">
        <f>$G364</f>
        <v/>
      </c>
      <c r="BI364" s="197">
        <f>$I364</f>
        <v/>
      </c>
      <c r="BJ364" s="197">
        <f>+BJ365</f>
        <v/>
      </c>
      <c r="BK364" s="197">
        <f>+BK365</f>
        <v/>
      </c>
      <c r="BL364" s="197">
        <f>+BL365</f>
        <v/>
      </c>
      <c r="BM364" s="197">
        <f>+BM365</f>
        <v/>
      </c>
      <c r="BN364" s="197">
        <f>+BN365</f>
        <v/>
      </c>
      <c r="BP364" s="198">
        <f>$G364</f>
        <v/>
      </c>
      <c r="BQ364" s="197">
        <f>$J364</f>
        <v/>
      </c>
      <c r="BR364" s="197">
        <f>+BR365</f>
        <v/>
      </c>
      <c r="BS364" s="197">
        <f>+BS365</f>
        <v/>
      </c>
      <c r="BT364" s="197">
        <f>+BT365</f>
        <v/>
      </c>
      <c r="BU364" s="197">
        <f>+BU365</f>
        <v/>
      </c>
      <c r="BV364" s="197">
        <f>+BV365</f>
        <v/>
      </c>
      <c r="BX364" s="198">
        <f>$G364</f>
        <v/>
      </c>
      <c r="BY364" s="197">
        <f>$K364</f>
        <v/>
      </c>
      <c r="BZ364" s="197">
        <f>+BZ365</f>
        <v/>
      </c>
      <c r="CA364" s="197">
        <f>+CA365</f>
        <v/>
      </c>
      <c r="CB364" s="197">
        <f>+CB365</f>
        <v/>
      </c>
      <c r="CC364" s="197">
        <f>+CC365</f>
        <v/>
      </c>
      <c r="CD364" s="197">
        <f>+CD365</f>
        <v/>
      </c>
      <c r="CF364" s="198">
        <f>$G364</f>
        <v/>
      </c>
      <c r="CG364" s="197">
        <f>$L364</f>
        <v/>
      </c>
      <c r="CH364" s="197">
        <f>+CH365</f>
        <v/>
      </c>
      <c r="CI364" s="197">
        <f>+CI365</f>
        <v/>
      </c>
      <c r="CJ364" s="197">
        <f>+CJ365</f>
        <v/>
      </c>
      <c r="CK364" s="197">
        <f>+CK365</f>
        <v/>
      </c>
      <c r="CL364" s="197">
        <f>+CL365</f>
        <v/>
      </c>
      <c r="CO364" s="199" t="n">
        <v>9.461920234227158</v>
      </c>
      <c r="CP364" s="199" t="n">
        <v>4.23</v>
      </c>
      <c r="CR364" s="199" t="n">
        <v>7.95</v>
      </c>
      <c r="CS364" s="970" t="n">
        <v>0.84021</v>
      </c>
    </row>
    <row r="365">
      <c r="B365" s="204">
        <f>+C365-1</f>
        <v/>
      </c>
      <c r="C365" s="204">
        <f>IF('bands_A-H_Avg'!$D$9+1&gt;MONTH(G365),YEAR(G365),YEAR(G365)+1)</f>
        <v/>
      </c>
      <c r="D365" s="204">
        <f>+C365+1</f>
        <v/>
      </c>
      <c r="E365" s="203">
        <f>IF(C365&gt;C364,1,E364+1)</f>
        <v/>
      </c>
      <c r="F365" s="203">
        <f>COUNTIF(C:C,C365)</f>
        <v/>
      </c>
      <c r="G365" s="198">
        <f>+G364+7</f>
        <v/>
      </c>
      <c r="H365" s="361">
        <f>IF(ISBLANK(CO365),CP365,SUMPRODUCT(CO$32:CP$32,CO365:CP365))</f>
        <v/>
      </c>
      <c r="I365" s="968">
        <f>H365/M365</f>
        <v/>
      </c>
      <c r="J365" s="968">
        <f>H365/N365</f>
        <v/>
      </c>
      <c r="K365" s="968">
        <f>(H365+Q365)/O365</f>
        <v/>
      </c>
      <c r="L365" s="968">
        <f>(H365+Q365)/P365</f>
        <v/>
      </c>
      <c r="M365" s="199">
        <f>HLOOKUP(C:C,$4:$10,3,FALSE)+((HLOOKUP(D:D,$4:$10,3,FALSE)-HLOOKUP(C:C,$4:$10,3,FALSE))*E365/F365)</f>
        <v/>
      </c>
      <c r="N365" s="199">
        <f>HLOOKUP(C:C,$4:$10,2,FALSE)+((HLOOKUP(D:D,$4:$10,2,FALSE)-HLOOKUP(C:C,$4:$10,2,FALSE))*E365/F365)</f>
        <v/>
      </c>
      <c r="O365" s="199">
        <f>HLOOKUP(C:C,$4:$10,5,FALSE)+((HLOOKUP(D:D,$4:$10,5,FALSE)-HLOOKUP(C:C,$4:$10,5,FALSE))*E365/F365)</f>
        <v/>
      </c>
      <c r="P365" s="199">
        <f>HLOOKUP(C:C,$4:$10,4,FALSE)+((HLOOKUP(D:D,$4:$10,4,FALSE)-HLOOKUP(C:C,$4:$10,4,FALSE))*E365/F365)</f>
        <v/>
      </c>
      <c r="Q365" s="199">
        <f>HLOOKUP(B:B,$4:$10,6,FALSE)+((HLOOKUP(C:C,$4:$10,6,FALSE)-HLOOKUP(B:B,$4:$10,6,FALSE))*E365/F365)</f>
        <v/>
      </c>
      <c r="T365" s="198">
        <f>$G365</f>
        <v/>
      </c>
      <c r="U365" s="199">
        <f>H365/(HLOOKUP(B:B,$4:$10,3,FALSE)+((HLOOKUP(C:C,$4:$10,3,FALSE)-HLOOKUP(B:B,$4:$10,3,FALSE))*E365/F365))</f>
        <v/>
      </c>
      <c r="V365" s="969">
        <f>HLOOKUP(B:B,$4:$10,7,FALSE)+((HLOOKUP(C:C,$4:$10,7,FALSE)-HLOOKUP(B:B,$4:$10,7,FALSE))*E365/F365)</f>
        <v/>
      </c>
      <c r="AB365" s="198">
        <f>$G365</f>
        <v/>
      </c>
      <c r="AC365" s="199">
        <f>$H365</f>
        <v/>
      </c>
      <c r="AD365" s="199">
        <f>$M365*AD$34</f>
        <v/>
      </c>
      <c r="AE365" s="199">
        <f>$M365*AE$34</f>
        <v/>
      </c>
      <c r="AF365" s="199">
        <f>$M365*AF$34</f>
        <v/>
      </c>
      <c r="AG365" s="199">
        <f>$M365*AG$34</f>
        <v/>
      </c>
      <c r="AH365" s="199">
        <f>$M365*AH$34</f>
        <v/>
      </c>
      <c r="AJ365" s="198">
        <f>$G365</f>
        <v/>
      </c>
      <c r="AK365" s="199">
        <f>$H365</f>
        <v/>
      </c>
      <c r="AL365" s="199">
        <f>$N365*AL$34</f>
        <v/>
      </c>
      <c r="AM365" s="199">
        <f>$N365*AM$34</f>
        <v/>
      </c>
      <c r="AN365" s="199">
        <f>$N365*AN$34</f>
        <v/>
      </c>
      <c r="AO365" s="199">
        <f>$N365*AO$34</f>
        <v/>
      </c>
      <c r="AP365" s="199">
        <f>$N365*AP$34</f>
        <v/>
      </c>
      <c r="AR365" s="198">
        <f>$G365</f>
        <v/>
      </c>
      <c r="AS365" s="199">
        <f>$H365</f>
        <v/>
      </c>
      <c r="AT365" s="199">
        <f>$O365*AT$34-$Q365</f>
        <v/>
      </c>
      <c r="AU365" s="199">
        <f>$O365*AU$34-$Q365</f>
        <v/>
      </c>
      <c r="AV365" s="199">
        <f>$O365*AV$34-$Q365</f>
        <v/>
      </c>
      <c r="AW365" s="199">
        <f>$O365*AW$34-$Q365</f>
        <v/>
      </c>
      <c r="AX365" s="199">
        <f>$O365*AX$34-$Q365</f>
        <v/>
      </c>
      <c r="AZ365" s="198">
        <f>$G365</f>
        <v/>
      </c>
      <c r="BA365" s="199">
        <f>$H365</f>
        <v/>
      </c>
      <c r="BB365" s="199">
        <f>$P365*BB$34-$Q365</f>
        <v/>
      </c>
      <c r="BC365" s="199">
        <f>$P365*BC$34-$Q365</f>
        <v/>
      </c>
      <c r="BD365" s="199">
        <f>$P365*BD$34-$Q365</f>
        <v/>
      </c>
      <c r="BE365" s="199">
        <f>$P365*BE$34-$Q365</f>
        <v/>
      </c>
      <c r="BF365" s="199">
        <f>$P365*BF$34-$Q365</f>
        <v/>
      </c>
      <c r="BH365" s="198">
        <f>$G365</f>
        <v/>
      </c>
      <c r="BI365" s="197">
        <f>$I365</f>
        <v/>
      </c>
      <c r="BJ365" s="197">
        <f>+BJ366</f>
        <v/>
      </c>
      <c r="BK365" s="197">
        <f>+BK366</f>
        <v/>
      </c>
      <c r="BL365" s="197">
        <f>+BL366</f>
        <v/>
      </c>
      <c r="BM365" s="197">
        <f>+BM366</f>
        <v/>
      </c>
      <c r="BN365" s="197">
        <f>+BN366</f>
        <v/>
      </c>
      <c r="BP365" s="198">
        <f>$G365</f>
        <v/>
      </c>
      <c r="BQ365" s="197">
        <f>$J365</f>
        <v/>
      </c>
      <c r="BR365" s="197">
        <f>+BR366</f>
        <v/>
      </c>
      <c r="BS365" s="197">
        <f>+BS366</f>
        <v/>
      </c>
      <c r="BT365" s="197">
        <f>+BT366</f>
        <v/>
      </c>
      <c r="BU365" s="197">
        <f>+BU366</f>
        <v/>
      </c>
      <c r="BV365" s="197">
        <f>+BV366</f>
        <v/>
      </c>
      <c r="BX365" s="198">
        <f>$G365</f>
        <v/>
      </c>
      <c r="BY365" s="197">
        <f>$K365</f>
        <v/>
      </c>
      <c r="BZ365" s="197">
        <f>+BZ366</f>
        <v/>
      </c>
      <c r="CA365" s="197">
        <f>+CA366</f>
        <v/>
      </c>
      <c r="CB365" s="197">
        <f>+CB366</f>
        <v/>
      </c>
      <c r="CC365" s="197">
        <f>+CC366</f>
        <v/>
      </c>
      <c r="CD365" s="197">
        <f>+CD366</f>
        <v/>
      </c>
      <c r="CF365" s="198">
        <f>$G365</f>
        <v/>
      </c>
      <c r="CG365" s="197">
        <f>$L365</f>
        <v/>
      </c>
      <c r="CH365" s="197">
        <f>+CH366</f>
        <v/>
      </c>
      <c r="CI365" s="197">
        <f>+CI366</f>
        <v/>
      </c>
      <c r="CJ365" s="197">
        <f>+CJ366</f>
        <v/>
      </c>
      <c r="CK365" s="197">
        <f>+CK366</f>
        <v/>
      </c>
      <c r="CL365" s="197">
        <f>+CL366</f>
        <v/>
      </c>
      <c r="CO365" s="199" t="n">
        <v>9.529268467435696</v>
      </c>
      <c r="CP365" s="199" t="n">
        <v>4.1</v>
      </c>
      <c r="CR365" s="199" t="n">
        <v>7.98</v>
      </c>
      <c r="CS365" s="970" t="n">
        <v>0.8374200000000001</v>
      </c>
    </row>
    <row r="366">
      <c r="B366" s="204">
        <f>+C366-1</f>
        <v/>
      </c>
      <c r="C366" s="204">
        <f>IF('bands_A-H_Avg'!$D$9+1&gt;MONTH(G366),YEAR(G366),YEAR(G366)+1)</f>
        <v/>
      </c>
      <c r="D366" s="204">
        <f>+C366+1</f>
        <v/>
      </c>
      <c r="E366" s="203">
        <f>IF(C366&gt;C365,1,E365+1)</f>
        <v/>
      </c>
      <c r="F366" s="203">
        <f>COUNTIF(C:C,C366)</f>
        <v/>
      </c>
      <c r="G366" s="198">
        <f>+G365+7</f>
        <v/>
      </c>
      <c r="H366" s="361">
        <f>IF(ISBLANK(CO366),CP366,SUMPRODUCT(CO$32:CP$32,CO366:CP366))</f>
        <v/>
      </c>
      <c r="I366" s="968">
        <f>H366/M366</f>
        <v/>
      </c>
      <c r="J366" s="968">
        <f>H366/N366</f>
        <v/>
      </c>
      <c r="K366" s="968">
        <f>(H366+Q366)/O366</f>
        <v/>
      </c>
      <c r="L366" s="968">
        <f>(H366+Q366)/P366</f>
        <v/>
      </c>
      <c r="M366" s="199">
        <f>HLOOKUP(C:C,$4:$10,3,FALSE)+((HLOOKUP(D:D,$4:$10,3,FALSE)-HLOOKUP(C:C,$4:$10,3,FALSE))*E366/F366)</f>
        <v/>
      </c>
      <c r="N366" s="199">
        <f>HLOOKUP(C:C,$4:$10,2,FALSE)+((HLOOKUP(D:D,$4:$10,2,FALSE)-HLOOKUP(C:C,$4:$10,2,FALSE))*E366/F366)</f>
        <v/>
      </c>
      <c r="O366" s="199">
        <f>HLOOKUP(C:C,$4:$10,5,FALSE)+((HLOOKUP(D:D,$4:$10,5,FALSE)-HLOOKUP(C:C,$4:$10,5,FALSE))*E366/F366)</f>
        <v/>
      </c>
      <c r="P366" s="199">
        <f>HLOOKUP(C:C,$4:$10,4,FALSE)+((HLOOKUP(D:D,$4:$10,4,FALSE)-HLOOKUP(C:C,$4:$10,4,FALSE))*E366/F366)</f>
        <v/>
      </c>
      <c r="Q366" s="199">
        <f>HLOOKUP(B:B,$4:$10,6,FALSE)+((HLOOKUP(C:C,$4:$10,6,FALSE)-HLOOKUP(B:B,$4:$10,6,FALSE))*E366/F366)</f>
        <v/>
      </c>
      <c r="T366" s="198">
        <f>$G366</f>
        <v/>
      </c>
      <c r="U366" s="199">
        <f>H366/(HLOOKUP(B:B,$4:$10,3,FALSE)+((HLOOKUP(C:C,$4:$10,3,FALSE)-HLOOKUP(B:B,$4:$10,3,FALSE))*E366/F366))</f>
        <v/>
      </c>
      <c r="V366" s="969">
        <f>HLOOKUP(B:B,$4:$10,7,FALSE)+((HLOOKUP(C:C,$4:$10,7,FALSE)-HLOOKUP(B:B,$4:$10,7,FALSE))*E366/F366)</f>
        <v/>
      </c>
      <c r="AB366" s="198">
        <f>$G366</f>
        <v/>
      </c>
      <c r="AC366" s="199">
        <f>$H366</f>
        <v/>
      </c>
      <c r="AD366" s="199">
        <f>$M366*AD$34</f>
        <v/>
      </c>
      <c r="AE366" s="199">
        <f>$M366*AE$34</f>
        <v/>
      </c>
      <c r="AF366" s="199">
        <f>$M366*AF$34</f>
        <v/>
      </c>
      <c r="AG366" s="199">
        <f>$M366*AG$34</f>
        <v/>
      </c>
      <c r="AH366" s="199">
        <f>$M366*AH$34</f>
        <v/>
      </c>
      <c r="AJ366" s="198">
        <f>$G366</f>
        <v/>
      </c>
      <c r="AK366" s="199">
        <f>$H366</f>
        <v/>
      </c>
      <c r="AL366" s="199">
        <f>$N366*AL$34</f>
        <v/>
      </c>
      <c r="AM366" s="199">
        <f>$N366*AM$34</f>
        <v/>
      </c>
      <c r="AN366" s="199">
        <f>$N366*AN$34</f>
        <v/>
      </c>
      <c r="AO366" s="199">
        <f>$N366*AO$34</f>
        <v/>
      </c>
      <c r="AP366" s="199">
        <f>$N366*AP$34</f>
        <v/>
      </c>
      <c r="AR366" s="198">
        <f>$G366</f>
        <v/>
      </c>
      <c r="AS366" s="199">
        <f>$H366</f>
        <v/>
      </c>
      <c r="AT366" s="199">
        <f>$O366*AT$34-$Q366</f>
        <v/>
      </c>
      <c r="AU366" s="199">
        <f>$O366*AU$34-$Q366</f>
        <v/>
      </c>
      <c r="AV366" s="199">
        <f>$O366*AV$34-$Q366</f>
        <v/>
      </c>
      <c r="AW366" s="199">
        <f>$O366*AW$34-$Q366</f>
        <v/>
      </c>
      <c r="AX366" s="199">
        <f>$O366*AX$34-$Q366</f>
        <v/>
      </c>
      <c r="AZ366" s="198">
        <f>$G366</f>
        <v/>
      </c>
      <c r="BA366" s="199">
        <f>$H366</f>
        <v/>
      </c>
      <c r="BB366" s="199">
        <f>$P366*BB$34-$Q366</f>
        <v/>
      </c>
      <c r="BC366" s="199">
        <f>$P366*BC$34-$Q366</f>
        <v/>
      </c>
      <c r="BD366" s="199">
        <f>$P366*BD$34-$Q366</f>
        <v/>
      </c>
      <c r="BE366" s="199">
        <f>$P366*BE$34-$Q366</f>
        <v/>
      </c>
      <c r="BF366" s="199">
        <f>$P366*BF$34-$Q366</f>
        <v/>
      </c>
      <c r="BH366" s="198">
        <f>$G366</f>
        <v/>
      </c>
      <c r="BI366" s="197">
        <f>$I366</f>
        <v/>
      </c>
      <c r="BJ366" s="197">
        <f>+BJ367</f>
        <v/>
      </c>
      <c r="BK366" s="197">
        <f>+BK367</f>
        <v/>
      </c>
      <c r="BL366" s="197">
        <f>+BL367</f>
        <v/>
      </c>
      <c r="BM366" s="197">
        <f>+BM367</f>
        <v/>
      </c>
      <c r="BN366" s="197">
        <f>+BN367</f>
        <v/>
      </c>
      <c r="BP366" s="198">
        <f>$G366</f>
        <v/>
      </c>
      <c r="BQ366" s="197">
        <f>$J366</f>
        <v/>
      </c>
      <c r="BR366" s="197">
        <f>+BR367</f>
        <v/>
      </c>
      <c r="BS366" s="197">
        <f>+BS367</f>
        <v/>
      </c>
      <c r="BT366" s="197">
        <f>+BT367</f>
        <v/>
      </c>
      <c r="BU366" s="197">
        <f>+BU367</f>
        <v/>
      </c>
      <c r="BV366" s="197">
        <f>+BV367</f>
        <v/>
      </c>
      <c r="BX366" s="198">
        <f>$G366</f>
        <v/>
      </c>
      <c r="BY366" s="197">
        <f>$K366</f>
        <v/>
      </c>
      <c r="BZ366" s="197">
        <f>+BZ367</f>
        <v/>
      </c>
      <c r="CA366" s="197">
        <f>+CA367</f>
        <v/>
      </c>
      <c r="CB366" s="197">
        <f>+CB367</f>
        <v/>
      </c>
      <c r="CC366" s="197">
        <f>+CC367</f>
        <v/>
      </c>
      <c r="CD366" s="197">
        <f>+CD367</f>
        <v/>
      </c>
      <c r="CF366" s="198">
        <f>$G366</f>
        <v/>
      </c>
      <c r="CG366" s="197">
        <f>$L366</f>
        <v/>
      </c>
      <c r="CH366" s="197">
        <f>+CH367</f>
        <v/>
      </c>
      <c r="CI366" s="197">
        <f>+CI367</f>
        <v/>
      </c>
      <c r="CJ366" s="197">
        <f>+CJ367</f>
        <v/>
      </c>
      <c r="CK366" s="197">
        <f>+CK367</f>
        <v/>
      </c>
      <c r="CL366" s="197">
        <f>+CL367</f>
        <v/>
      </c>
      <c r="CO366" s="199" t="n">
        <v>9.129633618110896</v>
      </c>
      <c r="CP366" s="199" t="n">
        <v>3.86</v>
      </c>
      <c r="CR366" s="199" t="n">
        <v>7.63</v>
      </c>
      <c r="CS366" s="970" t="n">
        <v>0.83574</v>
      </c>
    </row>
    <row r="367">
      <c r="B367" s="204">
        <f>+C367-1</f>
        <v/>
      </c>
      <c r="C367" s="204">
        <f>IF('bands_A-H_Avg'!$D$9+1&gt;MONTH(G367),YEAR(G367),YEAR(G367)+1)</f>
        <v/>
      </c>
      <c r="D367" s="204">
        <f>+C367+1</f>
        <v/>
      </c>
      <c r="E367" s="203">
        <f>IF(C367&gt;C366,1,E366+1)</f>
        <v/>
      </c>
      <c r="F367" s="203">
        <f>COUNTIF(C:C,C367)</f>
        <v/>
      </c>
      <c r="G367" s="198">
        <f>+G366+7</f>
        <v/>
      </c>
      <c r="H367" s="361">
        <f>IF(ISBLANK(CO367),CP367,SUMPRODUCT(CO$32:CP$32,CO367:CP367))</f>
        <v/>
      </c>
      <c r="I367" s="968">
        <f>H367/M367</f>
        <v/>
      </c>
      <c r="J367" s="968">
        <f>H367/N367</f>
        <v/>
      </c>
      <c r="K367" s="968">
        <f>(H367+Q367)/O367</f>
        <v/>
      </c>
      <c r="L367" s="968">
        <f>(H367+Q367)/P367</f>
        <v/>
      </c>
      <c r="M367" s="199">
        <f>HLOOKUP(C:C,$4:$10,3,FALSE)+((HLOOKUP(D:D,$4:$10,3,FALSE)-HLOOKUP(C:C,$4:$10,3,FALSE))*E367/F367)</f>
        <v/>
      </c>
      <c r="N367" s="199">
        <f>HLOOKUP(C:C,$4:$10,2,FALSE)+((HLOOKUP(D:D,$4:$10,2,FALSE)-HLOOKUP(C:C,$4:$10,2,FALSE))*E367/F367)</f>
        <v/>
      </c>
      <c r="O367" s="199">
        <f>HLOOKUP(C:C,$4:$10,5,FALSE)+((HLOOKUP(D:D,$4:$10,5,FALSE)-HLOOKUP(C:C,$4:$10,5,FALSE))*E367/F367)</f>
        <v/>
      </c>
      <c r="P367" s="199">
        <f>HLOOKUP(C:C,$4:$10,4,FALSE)+((HLOOKUP(D:D,$4:$10,4,FALSE)-HLOOKUP(C:C,$4:$10,4,FALSE))*E367/F367)</f>
        <v/>
      </c>
      <c r="Q367" s="199">
        <f>HLOOKUP(B:B,$4:$10,6,FALSE)+((HLOOKUP(C:C,$4:$10,6,FALSE)-HLOOKUP(B:B,$4:$10,6,FALSE))*E367/F367)</f>
        <v/>
      </c>
      <c r="T367" s="198">
        <f>$G367</f>
        <v/>
      </c>
      <c r="U367" s="199">
        <f>H367/(HLOOKUP(B:B,$4:$10,3,FALSE)+((HLOOKUP(C:C,$4:$10,3,FALSE)-HLOOKUP(B:B,$4:$10,3,FALSE))*E367/F367))</f>
        <v/>
      </c>
      <c r="V367" s="969">
        <f>HLOOKUP(B:B,$4:$10,7,FALSE)+((HLOOKUP(C:C,$4:$10,7,FALSE)-HLOOKUP(B:B,$4:$10,7,FALSE))*E367/F367)</f>
        <v/>
      </c>
      <c r="AB367" s="198">
        <f>$G367</f>
        <v/>
      </c>
      <c r="AC367" s="199">
        <f>$H367</f>
        <v/>
      </c>
      <c r="AD367" s="199">
        <f>$M367*AD$34</f>
        <v/>
      </c>
      <c r="AE367" s="199">
        <f>$M367*AE$34</f>
        <v/>
      </c>
      <c r="AF367" s="199">
        <f>$M367*AF$34</f>
        <v/>
      </c>
      <c r="AG367" s="199">
        <f>$M367*AG$34</f>
        <v/>
      </c>
      <c r="AH367" s="199">
        <f>$M367*AH$34</f>
        <v/>
      </c>
      <c r="AJ367" s="198">
        <f>$G367</f>
        <v/>
      </c>
      <c r="AK367" s="199">
        <f>$H367</f>
        <v/>
      </c>
      <c r="AL367" s="199">
        <f>$N367*AL$34</f>
        <v/>
      </c>
      <c r="AM367" s="199">
        <f>$N367*AM$34</f>
        <v/>
      </c>
      <c r="AN367" s="199">
        <f>$N367*AN$34</f>
        <v/>
      </c>
      <c r="AO367" s="199">
        <f>$N367*AO$34</f>
        <v/>
      </c>
      <c r="AP367" s="199">
        <f>$N367*AP$34</f>
        <v/>
      </c>
      <c r="AR367" s="198">
        <f>$G367</f>
        <v/>
      </c>
      <c r="AS367" s="199">
        <f>$H367</f>
        <v/>
      </c>
      <c r="AT367" s="199">
        <f>$O367*AT$34-$Q367</f>
        <v/>
      </c>
      <c r="AU367" s="199">
        <f>$O367*AU$34-$Q367</f>
        <v/>
      </c>
      <c r="AV367" s="199">
        <f>$O367*AV$34-$Q367</f>
        <v/>
      </c>
      <c r="AW367" s="199">
        <f>$O367*AW$34-$Q367</f>
        <v/>
      </c>
      <c r="AX367" s="199">
        <f>$O367*AX$34-$Q367</f>
        <v/>
      </c>
      <c r="AZ367" s="198">
        <f>$G367</f>
        <v/>
      </c>
      <c r="BA367" s="199">
        <f>$H367</f>
        <v/>
      </c>
      <c r="BB367" s="199">
        <f>$P367*BB$34-$Q367</f>
        <v/>
      </c>
      <c r="BC367" s="199">
        <f>$P367*BC$34-$Q367</f>
        <v/>
      </c>
      <c r="BD367" s="199">
        <f>$P367*BD$34-$Q367</f>
        <v/>
      </c>
      <c r="BE367" s="199">
        <f>$P367*BE$34-$Q367</f>
        <v/>
      </c>
      <c r="BF367" s="199">
        <f>$P367*BF$34-$Q367</f>
        <v/>
      </c>
      <c r="BH367" s="198">
        <f>$G367</f>
        <v/>
      </c>
      <c r="BI367" s="197">
        <f>$I367</f>
        <v/>
      </c>
      <c r="BJ367" s="197">
        <f>+BJ368</f>
        <v/>
      </c>
      <c r="BK367" s="197">
        <f>+BK368</f>
        <v/>
      </c>
      <c r="BL367" s="197">
        <f>+BL368</f>
        <v/>
      </c>
      <c r="BM367" s="197">
        <f>+BM368</f>
        <v/>
      </c>
      <c r="BN367" s="197">
        <f>+BN368</f>
        <v/>
      </c>
      <c r="BP367" s="198">
        <f>$G367</f>
        <v/>
      </c>
      <c r="BQ367" s="197">
        <f>$J367</f>
        <v/>
      </c>
      <c r="BR367" s="197">
        <f>+BR368</f>
        <v/>
      </c>
      <c r="BS367" s="197">
        <f>+BS368</f>
        <v/>
      </c>
      <c r="BT367" s="197">
        <f>+BT368</f>
        <v/>
      </c>
      <c r="BU367" s="197">
        <f>+BU368</f>
        <v/>
      </c>
      <c r="BV367" s="197">
        <f>+BV368</f>
        <v/>
      </c>
      <c r="BX367" s="198">
        <f>$G367</f>
        <v/>
      </c>
      <c r="BY367" s="197">
        <f>$K367</f>
        <v/>
      </c>
      <c r="BZ367" s="197">
        <f>+BZ368</f>
        <v/>
      </c>
      <c r="CA367" s="197">
        <f>+CA368</f>
        <v/>
      </c>
      <c r="CB367" s="197">
        <f>+CB368</f>
        <v/>
      </c>
      <c r="CC367" s="197">
        <f>+CC368</f>
        <v/>
      </c>
      <c r="CD367" s="197">
        <f>+CD368</f>
        <v/>
      </c>
      <c r="CF367" s="198">
        <f>$G367</f>
        <v/>
      </c>
      <c r="CG367" s="197">
        <f>$L367</f>
        <v/>
      </c>
      <c r="CH367" s="197">
        <f>+CH368</f>
        <v/>
      </c>
      <c r="CI367" s="197">
        <f>+CI368</f>
        <v/>
      </c>
      <c r="CJ367" s="197">
        <f>+CJ368</f>
        <v/>
      </c>
      <c r="CK367" s="197">
        <f>+CK368</f>
        <v/>
      </c>
      <c r="CL367" s="197">
        <f>+CL368</f>
        <v/>
      </c>
      <c r="CO367" s="199" t="n">
        <v>9.31223517583128</v>
      </c>
      <c r="CP367" s="199" t="n">
        <v>4.14</v>
      </c>
      <c r="CR367" s="199" t="n">
        <v>7.78</v>
      </c>
      <c r="CS367" s="970" t="n">
        <v>0.83546</v>
      </c>
    </row>
    <row r="368">
      <c r="B368" s="204">
        <f>+C368-1</f>
        <v/>
      </c>
      <c r="C368" s="204">
        <f>IF('bands_A-H_Avg'!$D$9+1&gt;MONTH(G368),YEAR(G368),YEAR(G368)+1)</f>
        <v/>
      </c>
      <c r="D368" s="204">
        <f>+C368+1</f>
        <v/>
      </c>
      <c r="E368" s="203">
        <f>IF(C368&gt;C367,1,E367+1)</f>
        <v/>
      </c>
      <c r="F368" s="203">
        <f>COUNTIF(C:C,C368)</f>
        <v/>
      </c>
      <c r="G368" s="198">
        <f>+G367+7</f>
        <v/>
      </c>
      <c r="H368" s="361">
        <f>IF(ISBLANK(CO368),CP368,SUMPRODUCT(CO$32:CP$32,CO368:CP368))</f>
        <v/>
      </c>
      <c r="I368" s="968">
        <f>H368/M368</f>
        <v/>
      </c>
      <c r="J368" s="968">
        <f>H368/N368</f>
        <v/>
      </c>
      <c r="K368" s="968">
        <f>(H368+Q368)/O368</f>
        <v/>
      </c>
      <c r="L368" s="968">
        <f>(H368+Q368)/P368</f>
        <v/>
      </c>
      <c r="M368" s="199">
        <f>HLOOKUP(C:C,$4:$10,3,FALSE)+((HLOOKUP(D:D,$4:$10,3,FALSE)-HLOOKUP(C:C,$4:$10,3,FALSE))*E368/F368)</f>
        <v/>
      </c>
      <c r="N368" s="199">
        <f>HLOOKUP(C:C,$4:$10,2,FALSE)+((HLOOKUP(D:D,$4:$10,2,FALSE)-HLOOKUP(C:C,$4:$10,2,FALSE))*E368/F368)</f>
        <v/>
      </c>
      <c r="O368" s="199">
        <f>HLOOKUP(C:C,$4:$10,5,FALSE)+((HLOOKUP(D:D,$4:$10,5,FALSE)-HLOOKUP(C:C,$4:$10,5,FALSE))*E368/F368)</f>
        <v/>
      </c>
      <c r="P368" s="199">
        <f>HLOOKUP(C:C,$4:$10,4,FALSE)+((HLOOKUP(D:D,$4:$10,4,FALSE)-HLOOKUP(C:C,$4:$10,4,FALSE))*E368/F368)</f>
        <v/>
      </c>
      <c r="Q368" s="199">
        <f>HLOOKUP(B:B,$4:$10,6,FALSE)+((HLOOKUP(C:C,$4:$10,6,FALSE)-HLOOKUP(B:B,$4:$10,6,FALSE))*E368/F368)</f>
        <v/>
      </c>
      <c r="T368" s="198">
        <f>$G368</f>
        <v/>
      </c>
      <c r="U368" s="199">
        <f>H368/(HLOOKUP(B:B,$4:$10,3,FALSE)+((HLOOKUP(C:C,$4:$10,3,FALSE)-HLOOKUP(B:B,$4:$10,3,FALSE))*E368/F368))</f>
        <v/>
      </c>
      <c r="V368" s="969">
        <f>HLOOKUP(B:B,$4:$10,7,FALSE)+((HLOOKUP(C:C,$4:$10,7,FALSE)-HLOOKUP(B:B,$4:$10,7,FALSE))*E368/F368)</f>
        <v/>
      </c>
      <c r="AB368" s="198">
        <f>$G368</f>
        <v/>
      </c>
      <c r="AC368" s="199">
        <f>$H368</f>
        <v/>
      </c>
      <c r="AD368" s="199">
        <f>$M368*AD$34</f>
        <v/>
      </c>
      <c r="AE368" s="199">
        <f>$M368*AE$34</f>
        <v/>
      </c>
      <c r="AF368" s="199">
        <f>$M368*AF$34</f>
        <v/>
      </c>
      <c r="AG368" s="199">
        <f>$M368*AG$34</f>
        <v/>
      </c>
      <c r="AH368" s="199">
        <f>$M368*AH$34</f>
        <v/>
      </c>
      <c r="AJ368" s="198">
        <f>$G368</f>
        <v/>
      </c>
      <c r="AK368" s="199">
        <f>$H368</f>
        <v/>
      </c>
      <c r="AL368" s="199">
        <f>$N368*AL$34</f>
        <v/>
      </c>
      <c r="AM368" s="199">
        <f>$N368*AM$34</f>
        <v/>
      </c>
      <c r="AN368" s="199">
        <f>$N368*AN$34</f>
        <v/>
      </c>
      <c r="AO368" s="199">
        <f>$N368*AO$34</f>
        <v/>
      </c>
      <c r="AP368" s="199">
        <f>$N368*AP$34</f>
        <v/>
      </c>
      <c r="AR368" s="198">
        <f>$G368</f>
        <v/>
      </c>
      <c r="AS368" s="199">
        <f>$H368</f>
        <v/>
      </c>
      <c r="AT368" s="199">
        <f>$O368*AT$34-$Q368</f>
        <v/>
      </c>
      <c r="AU368" s="199">
        <f>$O368*AU$34-$Q368</f>
        <v/>
      </c>
      <c r="AV368" s="199">
        <f>$O368*AV$34-$Q368</f>
        <v/>
      </c>
      <c r="AW368" s="199">
        <f>$O368*AW$34-$Q368</f>
        <v/>
      </c>
      <c r="AX368" s="199">
        <f>$O368*AX$34-$Q368</f>
        <v/>
      </c>
      <c r="AZ368" s="198">
        <f>$G368</f>
        <v/>
      </c>
      <c r="BA368" s="199">
        <f>$H368</f>
        <v/>
      </c>
      <c r="BB368" s="199">
        <f>$P368*BB$34-$Q368</f>
        <v/>
      </c>
      <c r="BC368" s="199">
        <f>$P368*BC$34-$Q368</f>
        <v/>
      </c>
      <c r="BD368" s="199">
        <f>$P368*BD$34-$Q368</f>
        <v/>
      </c>
      <c r="BE368" s="199">
        <f>$P368*BE$34-$Q368</f>
        <v/>
      </c>
      <c r="BF368" s="199">
        <f>$P368*BF$34-$Q368</f>
        <v/>
      </c>
      <c r="BH368" s="198">
        <f>$G368</f>
        <v/>
      </c>
      <c r="BI368" s="197">
        <f>$I368</f>
        <v/>
      </c>
      <c r="BJ368" s="197">
        <f>+BJ369</f>
        <v/>
      </c>
      <c r="BK368" s="197">
        <f>+BK369</f>
        <v/>
      </c>
      <c r="BL368" s="197">
        <f>+BL369</f>
        <v/>
      </c>
      <c r="BM368" s="197">
        <f>+BM369</f>
        <v/>
      </c>
      <c r="BN368" s="197">
        <f>+BN369</f>
        <v/>
      </c>
      <c r="BP368" s="198">
        <f>$G368</f>
        <v/>
      </c>
      <c r="BQ368" s="197">
        <f>$J368</f>
        <v/>
      </c>
      <c r="BR368" s="197">
        <f>+BR369</f>
        <v/>
      </c>
      <c r="BS368" s="197">
        <f>+BS369</f>
        <v/>
      </c>
      <c r="BT368" s="197">
        <f>+BT369</f>
        <v/>
      </c>
      <c r="BU368" s="197">
        <f>+BU369</f>
        <v/>
      </c>
      <c r="BV368" s="197">
        <f>+BV369</f>
        <v/>
      </c>
      <c r="BX368" s="198">
        <f>$G368</f>
        <v/>
      </c>
      <c r="BY368" s="197">
        <f>$K368</f>
        <v/>
      </c>
      <c r="BZ368" s="197">
        <f>+BZ369</f>
        <v/>
      </c>
      <c r="CA368" s="197">
        <f>+CA369</f>
        <v/>
      </c>
      <c r="CB368" s="197">
        <f>+CB369</f>
        <v/>
      </c>
      <c r="CC368" s="197">
        <f>+CC369</f>
        <v/>
      </c>
      <c r="CD368" s="197">
        <f>+CD369</f>
        <v/>
      </c>
      <c r="CF368" s="198">
        <f>$G368</f>
        <v/>
      </c>
      <c r="CG368" s="197">
        <f>$L368</f>
        <v/>
      </c>
      <c r="CH368" s="197">
        <f>+CH369</f>
        <v/>
      </c>
      <c r="CI368" s="197">
        <f>+CI369</f>
        <v/>
      </c>
      <c r="CJ368" s="197">
        <f>+CJ369</f>
        <v/>
      </c>
      <c r="CK368" s="197">
        <f>+CK369</f>
        <v/>
      </c>
      <c r="CL368" s="197">
        <f>+CL369</f>
        <v/>
      </c>
      <c r="CO368" s="199" t="n">
        <v>9.223480996758024</v>
      </c>
      <c r="CP368" s="199" t="n">
        <v>4.14</v>
      </c>
      <c r="CR368" s="199" t="n">
        <v>7.71</v>
      </c>
      <c r="CS368" s="970" t="n">
        <v>0.83591</v>
      </c>
    </row>
    <row r="369">
      <c r="B369" s="204">
        <f>+C369-1</f>
        <v/>
      </c>
      <c r="C369" s="204">
        <f>IF('bands_A-H_Avg'!$D$9+1&gt;MONTH(G369),YEAR(G369),YEAR(G369)+1)</f>
        <v/>
      </c>
      <c r="D369" s="204">
        <f>+C369+1</f>
        <v/>
      </c>
      <c r="E369" s="203">
        <f>IF(C369&gt;C368,1,E368+1)</f>
        <v/>
      </c>
      <c r="F369" s="203">
        <f>COUNTIF(C:C,C369)</f>
        <v/>
      </c>
      <c r="G369" s="198">
        <f>+G368+7</f>
        <v/>
      </c>
      <c r="H369" s="361">
        <f>IF(ISBLANK(CO369),CP369,SUMPRODUCT(CO$32:CP$32,CO369:CP369))</f>
        <v/>
      </c>
      <c r="I369" s="968">
        <f>H369/M369</f>
        <v/>
      </c>
      <c r="J369" s="968">
        <f>H369/N369</f>
        <v/>
      </c>
      <c r="K369" s="968">
        <f>(H369+Q369)/O369</f>
        <v/>
      </c>
      <c r="L369" s="968">
        <f>(H369+Q369)/P369</f>
        <v/>
      </c>
      <c r="M369" s="199">
        <f>HLOOKUP(C:C,$4:$10,3,FALSE)+((HLOOKUP(D:D,$4:$10,3,FALSE)-HLOOKUP(C:C,$4:$10,3,FALSE))*E369/F369)</f>
        <v/>
      </c>
      <c r="N369" s="199">
        <f>HLOOKUP(C:C,$4:$10,2,FALSE)+((HLOOKUP(D:D,$4:$10,2,FALSE)-HLOOKUP(C:C,$4:$10,2,FALSE))*E369/F369)</f>
        <v/>
      </c>
      <c r="O369" s="199">
        <f>HLOOKUP(C:C,$4:$10,5,FALSE)+((HLOOKUP(D:D,$4:$10,5,FALSE)-HLOOKUP(C:C,$4:$10,5,FALSE))*E369/F369)</f>
        <v/>
      </c>
      <c r="P369" s="199">
        <f>HLOOKUP(C:C,$4:$10,4,FALSE)+((HLOOKUP(D:D,$4:$10,4,FALSE)-HLOOKUP(C:C,$4:$10,4,FALSE))*E369/F369)</f>
        <v/>
      </c>
      <c r="Q369" s="199">
        <f>HLOOKUP(B:B,$4:$10,6,FALSE)+((HLOOKUP(C:C,$4:$10,6,FALSE)-HLOOKUP(B:B,$4:$10,6,FALSE))*E369/F369)</f>
        <v/>
      </c>
      <c r="T369" s="198">
        <f>$G369</f>
        <v/>
      </c>
      <c r="U369" s="199">
        <f>H369/(HLOOKUP(B:B,$4:$10,3,FALSE)+((HLOOKUP(C:C,$4:$10,3,FALSE)-HLOOKUP(B:B,$4:$10,3,FALSE))*E369/F369))</f>
        <v/>
      </c>
      <c r="V369" s="969">
        <f>HLOOKUP(B:B,$4:$10,7,FALSE)+((HLOOKUP(C:C,$4:$10,7,FALSE)-HLOOKUP(B:B,$4:$10,7,FALSE))*E369/F369)</f>
        <v/>
      </c>
      <c r="AB369" s="198">
        <f>$G369</f>
        <v/>
      </c>
      <c r="AC369" s="199">
        <f>$H369</f>
        <v/>
      </c>
      <c r="AD369" s="199">
        <f>$M369*AD$34</f>
        <v/>
      </c>
      <c r="AE369" s="199">
        <f>$M369*AE$34</f>
        <v/>
      </c>
      <c r="AF369" s="199">
        <f>$M369*AF$34</f>
        <v/>
      </c>
      <c r="AG369" s="199">
        <f>$M369*AG$34</f>
        <v/>
      </c>
      <c r="AH369" s="199">
        <f>$M369*AH$34</f>
        <v/>
      </c>
      <c r="AJ369" s="198">
        <f>$G369</f>
        <v/>
      </c>
      <c r="AK369" s="199">
        <f>$H369</f>
        <v/>
      </c>
      <c r="AL369" s="199">
        <f>$N369*AL$34</f>
        <v/>
      </c>
      <c r="AM369" s="199">
        <f>$N369*AM$34</f>
        <v/>
      </c>
      <c r="AN369" s="199">
        <f>$N369*AN$34</f>
        <v/>
      </c>
      <c r="AO369" s="199">
        <f>$N369*AO$34</f>
        <v/>
      </c>
      <c r="AP369" s="199">
        <f>$N369*AP$34</f>
        <v/>
      </c>
      <c r="AR369" s="198">
        <f>$G369</f>
        <v/>
      </c>
      <c r="AS369" s="199">
        <f>$H369</f>
        <v/>
      </c>
      <c r="AT369" s="199">
        <f>$O369*AT$34-$Q369</f>
        <v/>
      </c>
      <c r="AU369" s="199">
        <f>$O369*AU$34-$Q369</f>
        <v/>
      </c>
      <c r="AV369" s="199">
        <f>$O369*AV$34-$Q369</f>
        <v/>
      </c>
      <c r="AW369" s="199">
        <f>$O369*AW$34-$Q369</f>
        <v/>
      </c>
      <c r="AX369" s="199">
        <f>$O369*AX$34-$Q369</f>
        <v/>
      </c>
      <c r="AZ369" s="198">
        <f>$G369</f>
        <v/>
      </c>
      <c r="BA369" s="199">
        <f>$H369</f>
        <v/>
      </c>
      <c r="BB369" s="199">
        <f>$P369*BB$34-$Q369</f>
        <v/>
      </c>
      <c r="BC369" s="199">
        <f>$P369*BC$34-$Q369</f>
        <v/>
      </c>
      <c r="BD369" s="199">
        <f>$P369*BD$34-$Q369</f>
        <v/>
      </c>
      <c r="BE369" s="199">
        <f>$P369*BE$34-$Q369</f>
        <v/>
      </c>
      <c r="BF369" s="199">
        <f>$P369*BF$34-$Q369</f>
        <v/>
      </c>
      <c r="BH369" s="198">
        <f>$G369</f>
        <v/>
      </c>
      <c r="BI369" s="197">
        <f>$I369</f>
        <v/>
      </c>
      <c r="BJ369" s="197">
        <f>+BJ370</f>
        <v/>
      </c>
      <c r="BK369" s="197">
        <f>+BK370</f>
        <v/>
      </c>
      <c r="BL369" s="197">
        <f>+BL370</f>
        <v/>
      </c>
      <c r="BM369" s="197">
        <f>+BM370</f>
        <v/>
      </c>
      <c r="BN369" s="197">
        <f>+BN370</f>
        <v/>
      </c>
      <c r="BP369" s="198">
        <f>$G369</f>
        <v/>
      </c>
      <c r="BQ369" s="197">
        <f>$J369</f>
        <v/>
      </c>
      <c r="BR369" s="197">
        <f>+BR370</f>
        <v/>
      </c>
      <c r="BS369" s="197">
        <f>+BS370</f>
        <v/>
      </c>
      <c r="BT369" s="197">
        <f>+BT370</f>
        <v/>
      </c>
      <c r="BU369" s="197">
        <f>+BU370</f>
        <v/>
      </c>
      <c r="BV369" s="197">
        <f>+BV370</f>
        <v/>
      </c>
      <c r="BX369" s="198">
        <f>$G369</f>
        <v/>
      </c>
      <c r="BY369" s="197">
        <f>$K369</f>
        <v/>
      </c>
      <c r="BZ369" s="197">
        <f>+BZ370</f>
        <v/>
      </c>
      <c r="CA369" s="197">
        <f>+CA370</f>
        <v/>
      </c>
      <c r="CB369" s="197">
        <f>+CB370</f>
        <v/>
      </c>
      <c r="CC369" s="197">
        <f>+CC370</f>
        <v/>
      </c>
      <c r="CD369" s="197">
        <f>+CD370</f>
        <v/>
      </c>
      <c r="CF369" s="198">
        <f>$G369</f>
        <v/>
      </c>
      <c r="CG369" s="197">
        <f>$L369</f>
        <v/>
      </c>
      <c r="CH369" s="197">
        <f>+CH370</f>
        <v/>
      </c>
      <c r="CI369" s="197">
        <f>+CI370</f>
        <v/>
      </c>
      <c r="CJ369" s="197">
        <f>+CJ370</f>
        <v/>
      </c>
      <c r="CK369" s="197">
        <f>+CK370</f>
        <v/>
      </c>
      <c r="CL369" s="197">
        <f>+CL370</f>
        <v/>
      </c>
      <c r="CO369" s="199" t="n">
        <v>9.232206150014369</v>
      </c>
      <c r="CP369" s="199" t="n">
        <v>4.26</v>
      </c>
      <c r="CR369" s="199" t="n">
        <v>7.71</v>
      </c>
      <c r="CS369" s="970" t="n">
        <v>0.83512</v>
      </c>
    </row>
    <row r="370">
      <c r="B370" s="204">
        <f>+C370-1</f>
        <v/>
      </c>
      <c r="C370" s="204">
        <f>IF('bands_A-H_Avg'!$D$9+1&gt;MONTH(G370),YEAR(G370),YEAR(G370)+1)</f>
        <v/>
      </c>
      <c r="D370" s="204">
        <f>+C370+1</f>
        <v/>
      </c>
      <c r="E370" s="203">
        <f>IF(C370&gt;C369,1,E369+1)</f>
        <v/>
      </c>
      <c r="F370" s="203">
        <f>COUNTIF(C:C,C370)</f>
        <v/>
      </c>
      <c r="G370" s="198">
        <f>+G369+7</f>
        <v/>
      </c>
      <c r="H370" s="361">
        <f>IF(ISBLANK(CO370),CP370,SUMPRODUCT(CO$32:CP$32,CO370:CP370))</f>
        <v/>
      </c>
      <c r="I370" s="968">
        <f>H370/M370</f>
        <v/>
      </c>
      <c r="J370" s="968">
        <f>H370/N370</f>
        <v/>
      </c>
      <c r="K370" s="968">
        <f>(H370+Q370)/O370</f>
        <v/>
      </c>
      <c r="L370" s="968">
        <f>(H370+Q370)/P370</f>
        <v/>
      </c>
      <c r="M370" s="199">
        <f>HLOOKUP(C:C,$4:$10,3,FALSE)+((HLOOKUP(D:D,$4:$10,3,FALSE)-HLOOKUP(C:C,$4:$10,3,FALSE))*E370/F370)</f>
        <v/>
      </c>
      <c r="N370" s="199">
        <f>HLOOKUP(C:C,$4:$10,2,FALSE)+((HLOOKUP(D:D,$4:$10,2,FALSE)-HLOOKUP(C:C,$4:$10,2,FALSE))*E370/F370)</f>
        <v/>
      </c>
      <c r="O370" s="199">
        <f>HLOOKUP(C:C,$4:$10,5,FALSE)+((HLOOKUP(D:D,$4:$10,5,FALSE)-HLOOKUP(C:C,$4:$10,5,FALSE))*E370/F370)</f>
        <v/>
      </c>
      <c r="P370" s="199">
        <f>HLOOKUP(C:C,$4:$10,4,FALSE)+((HLOOKUP(D:D,$4:$10,4,FALSE)-HLOOKUP(C:C,$4:$10,4,FALSE))*E370/F370)</f>
        <v/>
      </c>
      <c r="Q370" s="199">
        <f>HLOOKUP(B:B,$4:$10,6,FALSE)+((HLOOKUP(C:C,$4:$10,6,FALSE)-HLOOKUP(B:B,$4:$10,6,FALSE))*E370/F370)</f>
        <v/>
      </c>
      <c r="T370" s="198">
        <f>$G370</f>
        <v/>
      </c>
      <c r="U370" s="199">
        <f>H370/(HLOOKUP(B:B,$4:$10,3,FALSE)+((HLOOKUP(C:C,$4:$10,3,FALSE)-HLOOKUP(B:B,$4:$10,3,FALSE))*E370/F370))</f>
        <v/>
      </c>
      <c r="V370" s="969">
        <f>HLOOKUP(B:B,$4:$10,7,FALSE)+((HLOOKUP(C:C,$4:$10,7,FALSE)-HLOOKUP(B:B,$4:$10,7,FALSE))*E370/F370)</f>
        <v/>
      </c>
      <c r="AB370" s="198">
        <f>$G370</f>
        <v/>
      </c>
      <c r="AC370" s="199">
        <f>$H370</f>
        <v/>
      </c>
      <c r="AD370" s="199">
        <f>$M370*AD$34</f>
        <v/>
      </c>
      <c r="AE370" s="199">
        <f>$M370*AE$34</f>
        <v/>
      </c>
      <c r="AF370" s="199">
        <f>$M370*AF$34</f>
        <v/>
      </c>
      <c r="AG370" s="199">
        <f>$M370*AG$34</f>
        <v/>
      </c>
      <c r="AH370" s="199">
        <f>$M370*AH$34</f>
        <v/>
      </c>
      <c r="AJ370" s="198">
        <f>$G370</f>
        <v/>
      </c>
      <c r="AK370" s="199">
        <f>$H370</f>
        <v/>
      </c>
      <c r="AL370" s="199">
        <f>$N370*AL$34</f>
        <v/>
      </c>
      <c r="AM370" s="199">
        <f>$N370*AM$34</f>
        <v/>
      </c>
      <c r="AN370" s="199">
        <f>$N370*AN$34</f>
        <v/>
      </c>
      <c r="AO370" s="199">
        <f>$N370*AO$34</f>
        <v/>
      </c>
      <c r="AP370" s="199">
        <f>$N370*AP$34</f>
        <v/>
      </c>
      <c r="AR370" s="198">
        <f>$G370</f>
        <v/>
      </c>
      <c r="AS370" s="199">
        <f>$H370</f>
        <v/>
      </c>
      <c r="AT370" s="199">
        <f>$O370*AT$34-$Q370</f>
        <v/>
      </c>
      <c r="AU370" s="199">
        <f>$O370*AU$34-$Q370</f>
        <v/>
      </c>
      <c r="AV370" s="199">
        <f>$O370*AV$34-$Q370</f>
        <v/>
      </c>
      <c r="AW370" s="199">
        <f>$O370*AW$34-$Q370</f>
        <v/>
      </c>
      <c r="AX370" s="199">
        <f>$O370*AX$34-$Q370</f>
        <v/>
      </c>
      <c r="AZ370" s="198">
        <f>$G370</f>
        <v/>
      </c>
      <c r="BA370" s="199">
        <f>$H370</f>
        <v/>
      </c>
      <c r="BB370" s="199">
        <f>$P370*BB$34-$Q370</f>
        <v/>
      </c>
      <c r="BC370" s="199">
        <f>$P370*BC$34-$Q370</f>
        <v/>
      </c>
      <c r="BD370" s="199">
        <f>$P370*BD$34-$Q370</f>
        <v/>
      </c>
      <c r="BE370" s="199">
        <f>$P370*BE$34-$Q370</f>
        <v/>
      </c>
      <c r="BF370" s="199">
        <f>$P370*BF$34-$Q370</f>
        <v/>
      </c>
      <c r="BH370" s="198">
        <f>$G370</f>
        <v/>
      </c>
      <c r="BI370" s="197">
        <f>$I370</f>
        <v/>
      </c>
      <c r="BJ370" s="197">
        <f>+BJ371</f>
        <v/>
      </c>
      <c r="BK370" s="197">
        <f>+BK371</f>
        <v/>
      </c>
      <c r="BL370" s="197">
        <f>+BL371</f>
        <v/>
      </c>
      <c r="BM370" s="197">
        <f>+BM371</f>
        <v/>
      </c>
      <c r="BN370" s="197">
        <f>+BN371</f>
        <v/>
      </c>
      <c r="BP370" s="198">
        <f>$G370</f>
        <v/>
      </c>
      <c r="BQ370" s="197">
        <f>$J370</f>
        <v/>
      </c>
      <c r="BR370" s="197">
        <f>+BR371</f>
        <v/>
      </c>
      <c r="BS370" s="197">
        <f>+BS371</f>
        <v/>
      </c>
      <c r="BT370" s="197">
        <f>+BT371</f>
        <v/>
      </c>
      <c r="BU370" s="197">
        <f>+BU371</f>
        <v/>
      </c>
      <c r="BV370" s="197">
        <f>+BV371</f>
        <v/>
      </c>
      <c r="BX370" s="198">
        <f>$G370</f>
        <v/>
      </c>
      <c r="BY370" s="197">
        <f>$K370</f>
        <v/>
      </c>
      <c r="BZ370" s="197">
        <f>+BZ371</f>
        <v/>
      </c>
      <c r="CA370" s="197">
        <f>+CA371</f>
        <v/>
      </c>
      <c r="CB370" s="197">
        <f>+CB371</f>
        <v/>
      </c>
      <c r="CC370" s="197">
        <f>+CC371</f>
        <v/>
      </c>
      <c r="CD370" s="197">
        <f>+CD371</f>
        <v/>
      </c>
      <c r="CF370" s="198">
        <f>$G370</f>
        <v/>
      </c>
      <c r="CG370" s="197">
        <f>$L370</f>
        <v/>
      </c>
      <c r="CH370" s="197">
        <f>+CH371</f>
        <v/>
      </c>
      <c r="CI370" s="197">
        <f>+CI371</f>
        <v/>
      </c>
      <c r="CJ370" s="197">
        <f>+CJ371</f>
        <v/>
      </c>
      <c r="CK370" s="197">
        <f>+CK371</f>
        <v/>
      </c>
      <c r="CL370" s="197">
        <f>+CL371</f>
        <v/>
      </c>
      <c r="CO370" s="199" t="n">
        <v>8.448780020133263</v>
      </c>
      <c r="CP370" s="199" t="n">
        <v>4.03</v>
      </c>
      <c r="CR370" s="199" t="n">
        <v>7.05</v>
      </c>
      <c r="CS370" s="970" t="n">
        <v>0.83444</v>
      </c>
    </row>
    <row r="371">
      <c r="B371" s="204">
        <f>+C371-1</f>
        <v/>
      </c>
      <c r="C371" s="204">
        <f>IF('bands_A-H_Avg'!$D$9+1&gt;MONTH(G371),YEAR(G371),YEAR(G371)+1)</f>
        <v/>
      </c>
      <c r="D371" s="204">
        <f>+C371+1</f>
        <v/>
      </c>
      <c r="E371" s="203">
        <f>IF(C371&gt;C370,1,E370+1)</f>
        <v/>
      </c>
      <c r="F371" s="203">
        <f>COUNTIF(C:C,C371)</f>
        <v/>
      </c>
      <c r="G371" s="198">
        <f>+G370+7</f>
        <v/>
      </c>
      <c r="H371" s="361">
        <f>IF(ISBLANK(CO371),CP371,SUMPRODUCT(CO$32:CP$32,CO371:CP371))</f>
        <v/>
      </c>
      <c r="I371" s="968">
        <f>H371/M371</f>
        <v/>
      </c>
      <c r="J371" s="968">
        <f>H371/N371</f>
        <v/>
      </c>
      <c r="K371" s="968">
        <f>(H371+Q371)/O371</f>
        <v/>
      </c>
      <c r="L371" s="968">
        <f>(H371+Q371)/P371</f>
        <v/>
      </c>
      <c r="M371" s="199">
        <f>HLOOKUP(C:C,$4:$10,3,FALSE)+((HLOOKUP(D:D,$4:$10,3,FALSE)-HLOOKUP(C:C,$4:$10,3,FALSE))*E371/F371)</f>
        <v/>
      </c>
      <c r="N371" s="199">
        <f>HLOOKUP(C:C,$4:$10,2,FALSE)+((HLOOKUP(D:D,$4:$10,2,FALSE)-HLOOKUP(C:C,$4:$10,2,FALSE))*E371/F371)</f>
        <v/>
      </c>
      <c r="O371" s="199">
        <f>HLOOKUP(C:C,$4:$10,5,FALSE)+((HLOOKUP(D:D,$4:$10,5,FALSE)-HLOOKUP(C:C,$4:$10,5,FALSE))*E371/F371)</f>
        <v/>
      </c>
      <c r="P371" s="199">
        <f>HLOOKUP(C:C,$4:$10,4,FALSE)+((HLOOKUP(D:D,$4:$10,4,FALSE)-HLOOKUP(C:C,$4:$10,4,FALSE))*E371/F371)</f>
        <v/>
      </c>
      <c r="Q371" s="199">
        <f>HLOOKUP(B:B,$4:$10,6,FALSE)+((HLOOKUP(C:C,$4:$10,6,FALSE)-HLOOKUP(B:B,$4:$10,6,FALSE))*E371/F371)</f>
        <v/>
      </c>
      <c r="T371" s="198">
        <f>$G371</f>
        <v/>
      </c>
      <c r="U371" s="199">
        <f>H371/(HLOOKUP(B:B,$4:$10,3,FALSE)+((HLOOKUP(C:C,$4:$10,3,FALSE)-HLOOKUP(B:B,$4:$10,3,FALSE))*E371/F371))</f>
        <v/>
      </c>
      <c r="V371" s="969">
        <f>HLOOKUP(B:B,$4:$10,7,FALSE)+((HLOOKUP(C:C,$4:$10,7,FALSE)-HLOOKUP(B:B,$4:$10,7,FALSE))*E371/F371)</f>
        <v/>
      </c>
      <c r="AB371" s="198">
        <f>$G371</f>
        <v/>
      </c>
      <c r="AC371" s="199">
        <f>$H371</f>
        <v/>
      </c>
      <c r="AD371" s="199">
        <f>$M371*AD$34</f>
        <v/>
      </c>
      <c r="AE371" s="199">
        <f>$M371*AE$34</f>
        <v/>
      </c>
      <c r="AF371" s="199">
        <f>$M371*AF$34</f>
        <v/>
      </c>
      <c r="AG371" s="199">
        <f>$M371*AG$34</f>
        <v/>
      </c>
      <c r="AH371" s="199">
        <f>$M371*AH$34</f>
        <v/>
      </c>
      <c r="AJ371" s="198">
        <f>$G371</f>
        <v/>
      </c>
      <c r="AK371" s="199">
        <f>$H371</f>
        <v/>
      </c>
      <c r="AL371" s="199">
        <f>$N371*AL$34</f>
        <v/>
      </c>
      <c r="AM371" s="199">
        <f>$N371*AM$34</f>
        <v/>
      </c>
      <c r="AN371" s="199">
        <f>$N371*AN$34</f>
        <v/>
      </c>
      <c r="AO371" s="199">
        <f>$N371*AO$34</f>
        <v/>
      </c>
      <c r="AP371" s="199">
        <f>$N371*AP$34</f>
        <v/>
      </c>
      <c r="AR371" s="198">
        <f>$G371</f>
        <v/>
      </c>
      <c r="AS371" s="199">
        <f>$H371</f>
        <v/>
      </c>
      <c r="AT371" s="199">
        <f>$O371*AT$34-$Q371</f>
        <v/>
      </c>
      <c r="AU371" s="199">
        <f>$O371*AU$34-$Q371</f>
        <v/>
      </c>
      <c r="AV371" s="199">
        <f>$O371*AV$34-$Q371</f>
        <v/>
      </c>
      <c r="AW371" s="199">
        <f>$O371*AW$34-$Q371</f>
        <v/>
      </c>
      <c r="AX371" s="199">
        <f>$O371*AX$34-$Q371</f>
        <v/>
      </c>
      <c r="AZ371" s="198">
        <f>$G371</f>
        <v/>
      </c>
      <c r="BA371" s="199">
        <f>$H371</f>
        <v/>
      </c>
      <c r="BB371" s="199">
        <f>$P371*BB$34-$Q371</f>
        <v/>
      </c>
      <c r="BC371" s="199">
        <f>$P371*BC$34-$Q371</f>
        <v/>
      </c>
      <c r="BD371" s="199">
        <f>$P371*BD$34-$Q371</f>
        <v/>
      </c>
      <c r="BE371" s="199">
        <f>$P371*BE$34-$Q371</f>
        <v/>
      </c>
      <c r="BF371" s="199">
        <f>$P371*BF$34-$Q371</f>
        <v/>
      </c>
      <c r="BH371" s="198">
        <f>$G371</f>
        <v/>
      </c>
      <c r="BI371" s="197">
        <f>$I371</f>
        <v/>
      </c>
      <c r="BJ371" s="197">
        <f>+BJ372</f>
        <v/>
      </c>
      <c r="BK371" s="197">
        <f>+BK372</f>
        <v/>
      </c>
      <c r="BL371" s="197">
        <f>+BL372</f>
        <v/>
      </c>
      <c r="BM371" s="197">
        <f>+BM372</f>
        <v/>
      </c>
      <c r="BN371" s="197">
        <f>+BN372</f>
        <v/>
      </c>
      <c r="BP371" s="198">
        <f>$G371</f>
        <v/>
      </c>
      <c r="BQ371" s="197">
        <f>$J371</f>
        <v/>
      </c>
      <c r="BR371" s="197">
        <f>+BR372</f>
        <v/>
      </c>
      <c r="BS371" s="197">
        <f>+BS372</f>
        <v/>
      </c>
      <c r="BT371" s="197">
        <f>+BT372</f>
        <v/>
      </c>
      <c r="BU371" s="197">
        <f>+BU372</f>
        <v/>
      </c>
      <c r="BV371" s="197">
        <f>+BV372</f>
        <v/>
      </c>
      <c r="BX371" s="198">
        <f>$G371</f>
        <v/>
      </c>
      <c r="BY371" s="197">
        <f>$K371</f>
        <v/>
      </c>
      <c r="BZ371" s="197">
        <f>+BZ372</f>
        <v/>
      </c>
      <c r="CA371" s="197">
        <f>+CA372</f>
        <v/>
      </c>
      <c r="CB371" s="197">
        <f>+CB372</f>
        <v/>
      </c>
      <c r="CC371" s="197">
        <f>+CC372</f>
        <v/>
      </c>
      <c r="CD371" s="197">
        <f>+CD372</f>
        <v/>
      </c>
      <c r="CF371" s="198">
        <f>$G371</f>
        <v/>
      </c>
      <c r="CG371" s="197">
        <f>$L371</f>
        <v/>
      </c>
      <c r="CH371" s="197">
        <f>+CH372</f>
        <v/>
      </c>
      <c r="CI371" s="197">
        <f>+CI372</f>
        <v/>
      </c>
      <c r="CJ371" s="197">
        <f>+CJ372</f>
        <v/>
      </c>
      <c r="CK371" s="197">
        <f>+CK372</f>
        <v/>
      </c>
      <c r="CL371" s="197">
        <f>+CL372</f>
        <v/>
      </c>
      <c r="CO371" s="199" t="n">
        <v>8.259799507773575</v>
      </c>
      <c r="CP371" s="199" t="n">
        <v>3.96</v>
      </c>
      <c r="CR371" s="199" t="n">
        <v>6.88</v>
      </c>
      <c r="CS371" s="970" t="n">
        <v>0.83295</v>
      </c>
    </row>
    <row r="372">
      <c r="B372" s="204">
        <f>+C372-1</f>
        <v/>
      </c>
      <c r="C372" s="204">
        <f>IF('bands_A-H_Avg'!$D$9+1&gt;MONTH(G372),YEAR(G372),YEAR(G372)+1)</f>
        <v/>
      </c>
      <c r="D372" s="204">
        <f>+C372+1</f>
        <v/>
      </c>
      <c r="E372" s="203">
        <f>IF(C372&gt;C371,1,E371+1)</f>
        <v/>
      </c>
      <c r="F372" s="203">
        <f>COUNTIF(C:C,C372)</f>
        <v/>
      </c>
      <c r="G372" s="198">
        <f>+G371+7</f>
        <v/>
      </c>
      <c r="H372" s="361">
        <f>IF(ISBLANK(CO372),CP372,SUMPRODUCT(CO$32:CP$32,CO372:CP372))</f>
        <v/>
      </c>
      <c r="I372" s="968">
        <f>H372/M372</f>
        <v/>
      </c>
      <c r="J372" s="968">
        <f>H372/N372</f>
        <v/>
      </c>
      <c r="K372" s="968">
        <f>(H372+Q372)/O372</f>
        <v/>
      </c>
      <c r="L372" s="968">
        <f>(H372+Q372)/P372</f>
        <v/>
      </c>
      <c r="M372" s="199">
        <f>HLOOKUP(C:C,$4:$10,3,FALSE)+((HLOOKUP(D:D,$4:$10,3,FALSE)-HLOOKUP(C:C,$4:$10,3,FALSE))*E372/F372)</f>
        <v/>
      </c>
      <c r="N372" s="199">
        <f>HLOOKUP(C:C,$4:$10,2,FALSE)+((HLOOKUP(D:D,$4:$10,2,FALSE)-HLOOKUP(C:C,$4:$10,2,FALSE))*E372/F372)</f>
        <v/>
      </c>
      <c r="O372" s="199">
        <f>HLOOKUP(C:C,$4:$10,5,FALSE)+((HLOOKUP(D:D,$4:$10,5,FALSE)-HLOOKUP(C:C,$4:$10,5,FALSE))*E372/F372)</f>
        <v/>
      </c>
      <c r="P372" s="199">
        <f>HLOOKUP(C:C,$4:$10,4,FALSE)+((HLOOKUP(D:D,$4:$10,4,FALSE)-HLOOKUP(C:C,$4:$10,4,FALSE))*E372/F372)</f>
        <v/>
      </c>
      <c r="Q372" s="199">
        <f>HLOOKUP(B:B,$4:$10,6,FALSE)+((HLOOKUP(C:C,$4:$10,6,FALSE)-HLOOKUP(B:B,$4:$10,6,FALSE))*E372/F372)</f>
        <v/>
      </c>
      <c r="T372" s="198">
        <f>$G372</f>
        <v/>
      </c>
      <c r="U372" s="199">
        <f>H372/(HLOOKUP(B:B,$4:$10,3,FALSE)+((HLOOKUP(C:C,$4:$10,3,FALSE)-HLOOKUP(B:B,$4:$10,3,FALSE))*E372/F372))</f>
        <v/>
      </c>
      <c r="V372" s="969">
        <f>HLOOKUP(B:B,$4:$10,7,FALSE)+((HLOOKUP(C:C,$4:$10,7,FALSE)-HLOOKUP(B:B,$4:$10,7,FALSE))*E372/F372)</f>
        <v/>
      </c>
      <c r="AB372" s="198">
        <f>$G372</f>
        <v/>
      </c>
      <c r="AC372" s="199">
        <f>$H372</f>
        <v/>
      </c>
      <c r="AD372" s="199">
        <f>$M372*AD$34</f>
        <v/>
      </c>
      <c r="AE372" s="199">
        <f>$M372*AE$34</f>
        <v/>
      </c>
      <c r="AF372" s="199">
        <f>$M372*AF$34</f>
        <v/>
      </c>
      <c r="AG372" s="199">
        <f>$M372*AG$34</f>
        <v/>
      </c>
      <c r="AH372" s="199">
        <f>$M372*AH$34</f>
        <v/>
      </c>
      <c r="AJ372" s="198">
        <f>$G372</f>
        <v/>
      </c>
      <c r="AK372" s="199">
        <f>$H372</f>
        <v/>
      </c>
      <c r="AL372" s="199">
        <f>$N372*AL$34</f>
        <v/>
      </c>
      <c r="AM372" s="199">
        <f>$N372*AM$34</f>
        <v/>
      </c>
      <c r="AN372" s="199">
        <f>$N372*AN$34</f>
        <v/>
      </c>
      <c r="AO372" s="199">
        <f>$N372*AO$34</f>
        <v/>
      </c>
      <c r="AP372" s="199">
        <f>$N372*AP$34</f>
        <v/>
      </c>
      <c r="AR372" s="198">
        <f>$G372</f>
        <v/>
      </c>
      <c r="AS372" s="199">
        <f>$H372</f>
        <v/>
      </c>
      <c r="AT372" s="199">
        <f>$O372*AT$34-$Q372</f>
        <v/>
      </c>
      <c r="AU372" s="199">
        <f>$O372*AU$34-$Q372</f>
        <v/>
      </c>
      <c r="AV372" s="199">
        <f>$O372*AV$34-$Q372</f>
        <v/>
      </c>
      <c r="AW372" s="199">
        <f>$O372*AW$34-$Q372</f>
        <v/>
      </c>
      <c r="AX372" s="199">
        <f>$O372*AX$34-$Q372</f>
        <v/>
      </c>
      <c r="AZ372" s="198">
        <f>$G372</f>
        <v/>
      </c>
      <c r="BA372" s="199">
        <f>$H372</f>
        <v/>
      </c>
      <c r="BB372" s="199">
        <f>$P372*BB$34-$Q372</f>
        <v/>
      </c>
      <c r="BC372" s="199">
        <f>$P372*BC$34-$Q372</f>
        <v/>
      </c>
      <c r="BD372" s="199">
        <f>$P372*BD$34-$Q372</f>
        <v/>
      </c>
      <c r="BE372" s="199">
        <f>$P372*BE$34-$Q372</f>
        <v/>
      </c>
      <c r="BF372" s="199">
        <f>$P372*BF$34-$Q372</f>
        <v/>
      </c>
      <c r="BH372" s="198">
        <f>$G372</f>
        <v/>
      </c>
      <c r="BI372" s="197">
        <f>$I372</f>
        <v/>
      </c>
      <c r="BJ372" s="197">
        <f>+BJ373</f>
        <v/>
      </c>
      <c r="BK372" s="197">
        <f>+BK373</f>
        <v/>
      </c>
      <c r="BL372" s="197">
        <f>+BL373</f>
        <v/>
      </c>
      <c r="BM372" s="197">
        <f>+BM373</f>
        <v/>
      </c>
      <c r="BN372" s="197">
        <f>+BN373</f>
        <v/>
      </c>
      <c r="BP372" s="198">
        <f>$G372</f>
        <v/>
      </c>
      <c r="BQ372" s="197">
        <f>$J372</f>
        <v/>
      </c>
      <c r="BR372" s="197">
        <f>+BR373</f>
        <v/>
      </c>
      <c r="BS372" s="197">
        <f>+BS373</f>
        <v/>
      </c>
      <c r="BT372" s="197">
        <f>+BT373</f>
        <v/>
      </c>
      <c r="BU372" s="197">
        <f>+BU373</f>
        <v/>
      </c>
      <c r="BV372" s="197">
        <f>+BV373</f>
        <v/>
      </c>
      <c r="BX372" s="198">
        <f>$G372</f>
        <v/>
      </c>
      <c r="BY372" s="197">
        <f>$K372</f>
        <v/>
      </c>
      <c r="BZ372" s="197">
        <f>+BZ373</f>
        <v/>
      </c>
      <c r="CA372" s="197">
        <f>+CA373</f>
        <v/>
      </c>
      <c r="CB372" s="197">
        <f>+CB373</f>
        <v/>
      </c>
      <c r="CC372" s="197">
        <f>+CC373</f>
        <v/>
      </c>
      <c r="CD372" s="197">
        <f>+CD373</f>
        <v/>
      </c>
      <c r="CF372" s="198">
        <f>$G372</f>
        <v/>
      </c>
      <c r="CG372" s="197">
        <f>$L372</f>
        <v/>
      </c>
      <c r="CH372" s="197">
        <f>+CH373</f>
        <v/>
      </c>
      <c r="CI372" s="197">
        <f>+CI373</f>
        <v/>
      </c>
      <c r="CJ372" s="197">
        <f>+CJ373</f>
        <v/>
      </c>
      <c r="CK372" s="197">
        <f>+CK373</f>
        <v/>
      </c>
      <c r="CL372" s="197">
        <f>+CL373</f>
        <v/>
      </c>
      <c r="CO372" s="199" t="n">
        <v>8.09658237731996</v>
      </c>
      <c r="CP372" s="199" t="n">
        <v>3.87</v>
      </c>
      <c r="CR372" s="199" t="n">
        <v>6.74</v>
      </c>
      <c r="CS372" s="970" t="n">
        <v>0.83245</v>
      </c>
    </row>
    <row r="373">
      <c r="B373" s="204">
        <f>+C373-1</f>
        <v/>
      </c>
      <c r="C373" s="204">
        <f>IF('bands_A-H_Avg'!$D$9+1&gt;MONTH(G373),YEAR(G373),YEAR(G373)+1)</f>
        <v/>
      </c>
      <c r="D373" s="204">
        <f>+C373+1</f>
        <v/>
      </c>
      <c r="E373" s="203">
        <f>IF(C373&gt;C372,1,E372+1)</f>
        <v/>
      </c>
      <c r="F373" s="203">
        <f>COUNTIF(C:C,C373)</f>
        <v/>
      </c>
      <c r="G373" s="198">
        <f>+G372+7</f>
        <v/>
      </c>
      <c r="H373" s="361">
        <f>IF(ISBLANK(CO373),CP373,SUMPRODUCT(CO$32:CP$32,CO373:CP373))</f>
        <v/>
      </c>
      <c r="I373" s="968">
        <f>H373/M373</f>
        <v/>
      </c>
      <c r="J373" s="968">
        <f>H373/N373</f>
        <v/>
      </c>
      <c r="K373" s="968">
        <f>(H373+Q373)/O373</f>
        <v/>
      </c>
      <c r="L373" s="968">
        <f>(H373+Q373)/P373</f>
        <v/>
      </c>
      <c r="M373" s="199">
        <f>HLOOKUP(C:C,$4:$10,3,FALSE)+((HLOOKUP(D:D,$4:$10,3,FALSE)-HLOOKUP(C:C,$4:$10,3,FALSE))*E373/F373)</f>
        <v/>
      </c>
      <c r="N373" s="199">
        <f>HLOOKUP(C:C,$4:$10,2,FALSE)+((HLOOKUP(D:D,$4:$10,2,FALSE)-HLOOKUP(C:C,$4:$10,2,FALSE))*E373/F373)</f>
        <v/>
      </c>
      <c r="O373" s="199">
        <f>HLOOKUP(C:C,$4:$10,5,FALSE)+((HLOOKUP(D:D,$4:$10,5,FALSE)-HLOOKUP(C:C,$4:$10,5,FALSE))*E373/F373)</f>
        <v/>
      </c>
      <c r="P373" s="199">
        <f>HLOOKUP(C:C,$4:$10,4,FALSE)+((HLOOKUP(D:D,$4:$10,4,FALSE)-HLOOKUP(C:C,$4:$10,4,FALSE))*E373/F373)</f>
        <v/>
      </c>
      <c r="Q373" s="199">
        <f>HLOOKUP(B:B,$4:$10,6,FALSE)+((HLOOKUP(C:C,$4:$10,6,FALSE)-HLOOKUP(B:B,$4:$10,6,FALSE))*E373/F373)</f>
        <v/>
      </c>
      <c r="T373" s="198">
        <f>$G373</f>
        <v/>
      </c>
      <c r="U373" s="199">
        <f>H373/(HLOOKUP(B:B,$4:$10,3,FALSE)+((HLOOKUP(C:C,$4:$10,3,FALSE)-HLOOKUP(B:B,$4:$10,3,FALSE))*E373/F373))</f>
        <v/>
      </c>
      <c r="V373" s="969">
        <f>HLOOKUP(B:B,$4:$10,7,FALSE)+((HLOOKUP(C:C,$4:$10,7,FALSE)-HLOOKUP(B:B,$4:$10,7,FALSE))*E373/F373)</f>
        <v/>
      </c>
      <c r="AB373" s="198">
        <f>$G373</f>
        <v/>
      </c>
      <c r="AC373" s="199">
        <f>$H373</f>
        <v/>
      </c>
      <c r="AD373" s="199">
        <f>$M373*AD$34</f>
        <v/>
      </c>
      <c r="AE373" s="199">
        <f>$M373*AE$34</f>
        <v/>
      </c>
      <c r="AF373" s="199">
        <f>$M373*AF$34</f>
        <v/>
      </c>
      <c r="AG373" s="199">
        <f>$M373*AG$34</f>
        <v/>
      </c>
      <c r="AH373" s="199">
        <f>$M373*AH$34</f>
        <v/>
      </c>
      <c r="AJ373" s="198">
        <f>$G373</f>
        <v/>
      </c>
      <c r="AK373" s="199">
        <f>$H373</f>
        <v/>
      </c>
      <c r="AL373" s="199">
        <f>$N373*AL$34</f>
        <v/>
      </c>
      <c r="AM373" s="199">
        <f>$N373*AM$34</f>
        <v/>
      </c>
      <c r="AN373" s="199">
        <f>$N373*AN$34</f>
        <v/>
      </c>
      <c r="AO373" s="199">
        <f>$N373*AO$34</f>
        <v/>
      </c>
      <c r="AP373" s="199">
        <f>$N373*AP$34</f>
        <v/>
      </c>
      <c r="AR373" s="198">
        <f>$G373</f>
        <v/>
      </c>
      <c r="AS373" s="199">
        <f>$H373</f>
        <v/>
      </c>
      <c r="AT373" s="199">
        <f>$O373*AT$34-$Q373</f>
        <v/>
      </c>
      <c r="AU373" s="199">
        <f>$O373*AU$34-$Q373</f>
        <v/>
      </c>
      <c r="AV373" s="199">
        <f>$O373*AV$34-$Q373</f>
        <v/>
      </c>
      <c r="AW373" s="199">
        <f>$O373*AW$34-$Q373</f>
        <v/>
      </c>
      <c r="AX373" s="199">
        <f>$O373*AX$34-$Q373</f>
        <v/>
      </c>
      <c r="AZ373" s="198">
        <f>$G373</f>
        <v/>
      </c>
      <c r="BA373" s="199">
        <f>$H373</f>
        <v/>
      </c>
      <c r="BB373" s="199">
        <f>$P373*BB$34-$Q373</f>
        <v/>
      </c>
      <c r="BC373" s="199">
        <f>$P373*BC$34-$Q373</f>
        <v/>
      </c>
      <c r="BD373" s="199">
        <f>$P373*BD$34-$Q373</f>
        <v/>
      </c>
      <c r="BE373" s="199">
        <f>$P373*BE$34-$Q373</f>
        <v/>
      </c>
      <c r="BF373" s="199">
        <f>$P373*BF$34-$Q373</f>
        <v/>
      </c>
      <c r="BH373" s="198">
        <f>$G373</f>
        <v/>
      </c>
      <c r="BI373" s="197">
        <f>$I373</f>
        <v/>
      </c>
      <c r="BJ373" s="197">
        <f>+BJ374</f>
        <v/>
      </c>
      <c r="BK373" s="197">
        <f>+BK374</f>
        <v/>
      </c>
      <c r="BL373" s="197">
        <f>+BL374</f>
        <v/>
      </c>
      <c r="BM373" s="197">
        <f>+BM374</f>
        <v/>
      </c>
      <c r="BN373" s="197">
        <f>+BN374</f>
        <v/>
      </c>
      <c r="BP373" s="198">
        <f>$G373</f>
        <v/>
      </c>
      <c r="BQ373" s="197">
        <f>$J373</f>
        <v/>
      </c>
      <c r="BR373" s="197">
        <f>+BR374</f>
        <v/>
      </c>
      <c r="BS373" s="197">
        <f>+BS374</f>
        <v/>
      </c>
      <c r="BT373" s="197">
        <f>+BT374</f>
        <v/>
      </c>
      <c r="BU373" s="197">
        <f>+BU374</f>
        <v/>
      </c>
      <c r="BV373" s="197">
        <f>+BV374</f>
        <v/>
      </c>
      <c r="BX373" s="198">
        <f>$G373</f>
        <v/>
      </c>
      <c r="BY373" s="197">
        <f>$K373</f>
        <v/>
      </c>
      <c r="BZ373" s="197">
        <f>+BZ374</f>
        <v/>
      </c>
      <c r="CA373" s="197">
        <f>+CA374</f>
        <v/>
      </c>
      <c r="CB373" s="197">
        <f>+CB374</f>
        <v/>
      </c>
      <c r="CC373" s="197">
        <f>+CC374</f>
        <v/>
      </c>
      <c r="CD373" s="197">
        <f>+CD374</f>
        <v/>
      </c>
      <c r="CF373" s="198">
        <f>$G373</f>
        <v/>
      </c>
      <c r="CG373" s="197">
        <f>$L373</f>
        <v/>
      </c>
      <c r="CH373" s="197">
        <f>+CH374</f>
        <v/>
      </c>
      <c r="CI373" s="197">
        <f>+CI374</f>
        <v/>
      </c>
      <c r="CJ373" s="197">
        <f>+CJ374</f>
        <v/>
      </c>
      <c r="CK373" s="197">
        <f>+CK374</f>
        <v/>
      </c>
      <c r="CL373" s="197">
        <f>+CL374</f>
        <v/>
      </c>
      <c r="CO373" s="199" t="n">
        <v>8.182321372704738</v>
      </c>
      <c r="CP373" s="199" t="n">
        <v>4.07</v>
      </c>
      <c r="CR373" s="199" t="n">
        <v>6.8</v>
      </c>
      <c r="CS373" s="970" t="n">
        <v>0.83106</v>
      </c>
    </row>
    <row r="374">
      <c r="B374" s="204">
        <f>+C374-1</f>
        <v/>
      </c>
      <c r="C374" s="204">
        <f>IF('bands_A-H_Avg'!$D$9+1&gt;MONTH(G374),YEAR(G374),YEAR(G374)+1)</f>
        <v/>
      </c>
      <c r="D374" s="204">
        <f>+C374+1</f>
        <v/>
      </c>
      <c r="E374" s="203">
        <f>IF(C374&gt;C373,1,E373+1)</f>
        <v/>
      </c>
      <c r="F374" s="203">
        <f>COUNTIF(C:C,C374)</f>
        <v/>
      </c>
      <c r="G374" s="198">
        <f>+G373+7</f>
        <v/>
      </c>
      <c r="H374" s="361">
        <f>IF(ISBLANK(CO374),CP374,SUMPRODUCT(CO$32:CP$32,CO374:CP374))</f>
        <v/>
      </c>
      <c r="I374" s="968">
        <f>H374/M374</f>
        <v/>
      </c>
      <c r="J374" s="968">
        <f>H374/N374</f>
        <v/>
      </c>
      <c r="K374" s="968">
        <f>(H374+Q374)/O374</f>
        <v/>
      </c>
      <c r="L374" s="968">
        <f>(H374+Q374)/P374</f>
        <v/>
      </c>
      <c r="M374" s="199">
        <f>HLOOKUP(C:C,$4:$10,3,FALSE)+((HLOOKUP(D:D,$4:$10,3,FALSE)-HLOOKUP(C:C,$4:$10,3,FALSE))*E374/F374)</f>
        <v/>
      </c>
      <c r="N374" s="199">
        <f>HLOOKUP(C:C,$4:$10,2,FALSE)+((HLOOKUP(D:D,$4:$10,2,FALSE)-HLOOKUP(C:C,$4:$10,2,FALSE))*E374/F374)</f>
        <v/>
      </c>
      <c r="O374" s="199">
        <f>HLOOKUP(C:C,$4:$10,5,FALSE)+((HLOOKUP(D:D,$4:$10,5,FALSE)-HLOOKUP(C:C,$4:$10,5,FALSE))*E374/F374)</f>
        <v/>
      </c>
      <c r="P374" s="199">
        <f>HLOOKUP(C:C,$4:$10,4,FALSE)+((HLOOKUP(D:D,$4:$10,4,FALSE)-HLOOKUP(C:C,$4:$10,4,FALSE))*E374/F374)</f>
        <v/>
      </c>
      <c r="Q374" s="199">
        <f>HLOOKUP(B:B,$4:$10,6,FALSE)+((HLOOKUP(C:C,$4:$10,6,FALSE)-HLOOKUP(B:B,$4:$10,6,FALSE))*E374/F374)</f>
        <v/>
      </c>
      <c r="T374" s="198">
        <f>$G374</f>
        <v/>
      </c>
      <c r="U374" s="199">
        <f>H374/(HLOOKUP(B:B,$4:$10,3,FALSE)+((HLOOKUP(C:C,$4:$10,3,FALSE)-HLOOKUP(B:B,$4:$10,3,FALSE))*E374/F374))</f>
        <v/>
      </c>
      <c r="V374" s="969">
        <f>HLOOKUP(B:B,$4:$10,7,FALSE)+((HLOOKUP(C:C,$4:$10,7,FALSE)-HLOOKUP(B:B,$4:$10,7,FALSE))*E374/F374)</f>
        <v/>
      </c>
      <c r="AB374" s="198">
        <f>$G374</f>
        <v/>
      </c>
      <c r="AC374" s="199">
        <f>$H374</f>
        <v/>
      </c>
      <c r="AD374" s="199">
        <f>$M374*AD$34</f>
        <v/>
      </c>
      <c r="AE374" s="199">
        <f>$M374*AE$34</f>
        <v/>
      </c>
      <c r="AF374" s="199">
        <f>$M374*AF$34</f>
        <v/>
      </c>
      <c r="AG374" s="199">
        <f>$M374*AG$34</f>
        <v/>
      </c>
      <c r="AH374" s="199">
        <f>$M374*AH$34</f>
        <v/>
      </c>
      <c r="AJ374" s="198">
        <f>$G374</f>
        <v/>
      </c>
      <c r="AK374" s="199">
        <f>$H374</f>
        <v/>
      </c>
      <c r="AL374" s="199">
        <f>$N374*AL$34</f>
        <v/>
      </c>
      <c r="AM374" s="199">
        <f>$N374*AM$34</f>
        <v/>
      </c>
      <c r="AN374" s="199">
        <f>$N374*AN$34</f>
        <v/>
      </c>
      <c r="AO374" s="199">
        <f>$N374*AO$34</f>
        <v/>
      </c>
      <c r="AP374" s="199">
        <f>$N374*AP$34</f>
        <v/>
      </c>
      <c r="AR374" s="198">
        <f>$G374</f>
        <v/>
      </c>
      <c r="AS374" s="199">
        <f>$H374</f>
        <v/>
      </c>
      <c r="AT374" s="199">
        <f>$O374*AT$34-$Q374</f>
        <v/>
      </c>
      <c r="AU374" s="199">
        <f>$O374*AU$34-$Q374</f>
        <v/>
      </c>
      <c r="AV374" s="199">
        <f>$O374*AV$34-$Q374</f>
        <v/>
      </c>
      <c r="AW374" s="199">
        <f>$O374*AW$34-$Q374</f>
        <v/>
      </c>
      <c r="AX374" s="199">
        <f>$O374*AX$34-$Q374</f>
        <v/>
      </c>
      <c r="AZ374" s="198">
        <f>$G374</f>
        <v/>
      </c>
      <c r="BA374" s="199">
        <f>$H374</f>
        <v/>
      </c>
      <c r="BB374" s="199">
        <f>$P374*BB$34-$Q374</f>
        <v/>
      </c>
      <c r="BC374" s="199">
        <f>$P374*BC$34-$Q374</f>
        <v/>
      </c>
      <c r="BD374" s="199">
        <f>$P374*BD$34-$Q374</f>
        <v/>
      </c>
      <c r="BE374" s="199">
        <f>$P374*BE$34-$Q374</f>
        <v/>
      </c>
      <c r="BF374" s="199">
        <f>$P374*BF$34-$Q374</f>
        <v/>
      </c>
      <c r="BH374" s="198">
        <f>$G374</f>
        <v/>
      </c>
      <c r="BI374" s="197">
        <f>$I374</f>
        <v/>
      </c>
      <c r="BJ374" s="197">
        <f>+BJ375</f>
        <v/>
      </c>
      <c r="BK374" s="197">
        <f>+BK375</f>
        <v/>
      </c>
      <c r="BL374" s="197">
        <f>+BL375</f>
        <v/>
      </c>
      <c r="BM374" s="197">
        <f>+BM375</f>
        <v/>
      </c>
      <c r="BN374" s="197">
        <f>+BN375</f>
        <v/>
      </c>
      <c r="BP374" s="198">
        <f>$G374</f>
        <v/>
      </c>
      <c r="BQ374" s="197">
        <f>$J374</f>
        <v/>
      </c>
      <c r="BR374" s="197">
        <f>+BR375</f>
        <v/>
      </c>
      <c r="BS374" s="197">
        <f>+BS375</f>
        <v/>
      </c>
      <c r="BT374" s="197">
        <f>+BT375</f>
        <v/>
      </c>
      <c r="BU374" s="197">
        <f>+BU375</f>
        <v/>
      </c>
      <c r="BV374" s="197">
        <f>+BV375</f>
        <v/>
      </c>
      <c r="BX374" s="198">
        <f>$G374</f>
        <v/>
      </c>
      <c r="BY374" s="197">
        <f>$K374</f>
        <v/>
      </c>
      <c r="BZ374" s="197">
        <f>+BZ375</f>
        <v/>
      </c>
      <c r="CA374" s="197">
        <f>+CA375</f>
        <v/>
      </c>
      <c r="CB374" s="197">
        <f>+CB375</f>
        <v/>
      </c>
      <c r="CC374" s="197">
        <f>+CC375</f>
        <v/>
      </c>
      <c r="CD374" s="197">
        <f>+CD375</f>
        <v/>
      </c>
      <c r="CF374" s="198">
        <f>$G374</f>
        <v/>
      </c>
      <c r="CG374" s="197">
        <f>$L374</f>
        <v/>
      </c>
      <c r="CH374" s="197">
        <f>+CH375</f>
        <v/>
      </c>
      <c r="CI374" s="197">
        <f>+CI375</f>
        <v/>
      </c>
      <c r="CJ374" s="197">
        <f>+CJ375</f>
        <v/>
      </c>
      <c r="CK374" s="197">
        <f>+CK375</f>
        <v/>
      </c>
      <c r="CL374" s="197">
        <f>+CL375</f>
        <v/>
      </c>
      <c r="CO374" s="199" t="n">
        <v>8.229561451001624</v>
      </c>
      <c r="CP374" s="199" t="n">
        <v>4.06</v>
      </c>
      <c r="CR374" s="199" t="n">
        <v>6.84</v>
      </c>
      <c r="CS374" s="970" t="n">
        <v>0.8311500000000001</v>
      </c>
    </row>
    <row r="375">
      <c r="B375" s="204">
        <f>+C375-1</f>
        <v/>
      </c>
      <c r="C375" s="204">
        <f>IF('bands_A-H_Avg'!$D$9+1&gt;MONTH(G375),YEAR(G375),YEAR(G375)+1)</f>
        <v/>
      </c>
      <c r="D375" s="204">
        <f>+C375+1</f>
        <v/>
      </c>
      <c r="E375" s="203">
        <f>IF(C375&gt;C374,1,E374+1)</f>
        <v/>
      </c>
      <c r="F375" s="203">
        <f>COUNTIF(C:C,C375)</f>
        <v/>
      </c>
      <c r="G375" s="198">
        <f>+G374+7</f>
        <v/>
      </c>
      <c r="H375" s="361">
        <f>IF(ISBLANK(CO375),CP375,SUMPRODUCT(CO$32:CP$32,CO375:CP375))</f>
        <v/>
      </c>
      <c r="I375" s="968">
        <f>H375/M375</f>
        <v/>
      </c>
      <c r="J375" s="968">
        <f>H375/N375</f>
        <v/>
      </c>
      <c r="K375" s="968">
        <f>(H375+Q375)/O375</f>
        <v/>
      </c>
      <c r="L375" s="968">
        <f>(H375+Q375)/P375</f>
        <v/>
      </c>
      <c r="M375" s="199">
        <f>HLOOKUP(C:C,$4:$10,3,FALSE)+((HLOOKUP(D:D,$4:$10,3,FALSE)-HLOOKUP(C:C,$4:$10,3,FALSE))*E375/F375)</f>
        <v/>
      </c>
      <c r="N375" s="199">
        <f>HLOOKUP(C:C,$4:$10,2,FALSE)+((HLOOKUP(D:D,$4:$10,2,FALSE)-HLOOKUP(C:C,$4:$10,2,FALSE))*E375/F375)</f>
        <v/>
      </c>
      <c r="O375" s="199">
        <f>HLOOKUP(C:C,$4:$10,5,FALSE)+((HLOOKUP(D:D,$4:$10,5,FALSE)-HLOOKUP(C:C,$4:$10,5,FALSE))*E375/F375)</f>
        <v/>
      </c>
      <c r="P375" s="199">
        <f>HLOOKUP(C:C,$4:$10,4,FALSE)+((HLOOKUP(D:D,$4:$10,4,FALSE)-HLOOKUP(C:C,$4:$10,4,FALSE))*E375/F375)</f>
        <v/>
      </c>
      <c r="Q375" s="199">
        <f>HLOOKUP(B:B,$4:$10,6,FALSE)+((HLOOKUP(C:C,$4:$10,6,FALSE)-HLOOKUP(B:B,$4:$10,6,FALSE))*E375/F375)</f>
        <v/>
      </c>
      <c r="T375" s="198">
        <f>$G375</f>
        <v/>
      </c>
      <c r="U375" s="199">
        <f>H375/(HLOOKUP(B:B,$4:$10,3,FALSE)+((HLOOKUP(C:C,$4:$10,3,FALSE)-HLOOKUP(B:B,$4:$10,3,FALSE))*E375/F375))</f>
        <v/>
      </c>
      <c r="V375" s="969">
        <f>HLOOKUP(B:B,$4:$10,7,FALSE)+((HLOOKUP(C:C,$4:$10,7,FALSE)-HLOOKUP(B:B,$4:$10,7,FALSE))*E375/F375)</f>
        <v/>
      </c>
      <c r="AB375" s="198">
        <f>$G375</f>
        <v/>
      </c>
      <c r="AC375" s="199">
        <f>$H375</f>
        <v/>
      </c>
      <c r="AD375" s="199">
        <f>$M375*AD$34</f>
        <v/>
      </c>
      <c r="AE375" s="199">
        <f>$M375*AE$34</f>
        <v/>
      </c>
      <c r="AF375" s="199">
        <f>$M375*AF$34</f>
        <v/>
      </c>
      <c r="AG375" s="199">
        <f>$M375*AG$34</f>
        <v/>
      </c>
      <c r="AH375" s="199">
        <f>$M375*AH$34</f>
        <v/>
      </c>
      <c r="AJ375" s="198">
        <f>$G375</f>
        <v/>
      </c>
      <c r="AK375" s="199">
        <f>$H375</f>
        <v/>
      </c>
      <c r="AL375" s="199">
        <f>$N375*AL$34</f>
        <v/>
      </c>
      <c r="AM375" s="199">
        <f>$N375*AM$34</f>
        <v/>
      </c>
      <c r="AN375" s="199">
        <f>$N375*AN$34</f>
        <v/>
      </c>
      <c r="AO375" s="199">
        <f>$N375*AO$34</f>
        <v/>
      </c>
      <c r="AP375" s="199">
        <f>$N375*AP$34</f>
        <v/>
      </c>
      <c r="AR375" s="198">
        <f>$G375</f>
        <v/>
      </c>
      <c r="AS375" s="199">
        <f>$H375</f>
        <v/>
      </c>
      <c r="AT375" s="199">
        <f>$O375*AT$34-$Q375</f>
        <v/>
      </c>
      <c r="AU375" s="199">
        <f>$O375*AU$34-$Q375</f>
        <v/>
      </c>
      <c r="AV375" s="199">
        <f>$O375*AV$34-$Q375</f>
        <v/>
      </c>
      <c r="AW375" s="199">
        <f>$O375*AW$34-$Q375</f>
        <v/>
      </c>
      <c r="AX375" s="199">
        <f>$O375*AX$34-$Q375</f>
        <v/>
      </c>
      <c r="AZ375" s="198">
        <f>$G375</f>
        <v/>
      </c>
      <c r="BA375" s="199">
        <f>$H375</f>
        <v/>
      </c>
      <c r="BB375" s="199">
        <f>$P375*BB$34-$Q375</f>
        <v/>
      </c>
      <c r="BC375" s="199">
        <f>$P375*BC$34-$Q375</f>
        <v/>
      </c>
      <c r="BD375" s="199">
        <f>$P375*BD$34-$Q375</f>
        <v/>
      </c>
      <c r="BE375" s="199">
        <f>$P375*BE$34-$Q375</f>
        <v/>
      </c>
      <c r="BF375" s="199">
        <f>$P375*BF$34-$Q375</f>
        <v/>
      </c>
      <c r="BH375" s="198">
        <f>$G375</f>
        <v/>
      </c>
      <c r="BI375" s="197">
        <f>$I375</f>
        <v/>
      </c>
      <c r="BJ375" s="197">
        <f>+BJ376</f>
        <v/>
      </c>
      <c r="BK375" s="197">
        <f>+BK376</f>
        <v/>
      </c>
      <c r="BL375" s="197">
        <f>+BL376</f>
        <v/>
      </c>
      <c r="BM375" s="197">
        <f>+BM376</f>
        <v/>
      </c>
      <c r="BN375" s="197">
        <f>+BN376</f>
        <v/>
      </c>
      <c r="BP375" s="198">
        <f>$G375</f>
        <v/>
      </c>
      <c r="BQ375" s="197">
        <f>$J375</f>
        <v/>
      </c>
      <c r="BR375" s="197">
        <f>+BR376</f>
        <v/>
      </c>
      <c r="BS375" s="197">
        <f>+BS376</f>
        <v/>
      </c>
      <c r="BT375" s="197">
        <f>+BT376</f>
        <v/>
      </c>
      <c r="BU375" s="197">
        <f>+BU376</f>
        <v/>
      </c>
      <c r="BV375" s="197">
        <f>+BV376</f>
        <v/>
      </c>
      <c r="BX375" s="198">
        <f>$G375</f>
        <v/>
      </c>
      <c r="BY375" s="197">
        <f>$K375</f>
        <v/>
      </c>
      <c r="BZ375" s="197">
        <f>+BZ376</f>
        <v/>
      </c>
      <c r="CA375" s="197">
        <f>+CA376</f>
        <v/>
      </c>
      <c r="CB375" s="197">
        <f>+CB376</f>
        <v/>
      </c>
      <c r="CC375" s="197">
        <f>+CC376</f>
        <v/>
      </c>
      <c r="CD375" s="197">
        <f>+CD376</f>
        <v/>
      </c>
      <c r="CF375" s="198">
        <f>$G375</f>
        <v/>
      </c>
      <c r="CG375" s="197">
        <f>$L375</f>
        <v/>
      </c>
      <c r="CH375" s="197">
        <f>+CH376</f>
        <v/>
      </c>
      <c r="CI375" s="197">
        <f>+CI376</f>
        <v/>
      </c>
      <c r="CJ375" s="197">
        <f>+CJ376</f>
        <v/>
      </c>
      <c r="CK375" s="197">
        <f>+CK376</f>
        <v/>
      </c>
      <c r="CL375" s="197">
        <f>+CL376</f>
        <v/>
      </c>
      <c r="CO375" s="199" t="n">
        <v>8.317184434467567</v>
      </c>
      <c r="CP375" s="199" t="n">
        <v>4.11</v>
      </c>
      <c r="CR375" s="199" t="n">
        <v>6.91</v>
      </c>
      <c r="CS375" s="970" t="n">
        <v>0.83081</v>
      </c>
    </row>
    <row r="376">
      <c r="B376" s="204">
        <f>+C376-1</f>
        <v/>
      </c>
      <c r="C376" s="204">
        <f>IF('bands_A-H_Avg'!$D$9+1&gt;MONTH(G376),YEAR(G376),YEAR(G376)+1)</f>
        <v/>
      </c>
      <c r="D376" s="204">
        <f>+C376+1</f>
        <v/>
      </c>
      <c r="E376" s="203">
        <f>IF(C376&gt;C375,1,E375+1)</f>
        <v/>
      </c>
      <c r="F376" s="203">
        <f>COUNTIF(C:C,C376)</f>
        <v/>
      </c>
      <c r="G376" s="198">
        <f>+G375+7</f>
        <v/>
      </c>
      <c r="H376" s="361">
        <f>IF(ISBLANK(CO376),CP376,SUMPRODUCT(CO$32:CP$32,CO376:CP376))</f>
        <v/>
      </c>
      <c r="I376" s="968">
        <f>H376/M376</f>
        <v/>
      </c>
      <c r="J376" s="968">
        <f>H376/N376</f>
        <v/>
      </c>
      <c r="K376" s="968">
        <f>(H376+Q376)/O376</f>
        <v/>
      </c>
      <c r="L376" s="968">
        <f>(H376+Q376)/P376</f>
        <v/>
      </c>
      <c r="M376" s="199">
        <f>HLOOKUP(C:C,$4:$10,3,FALSE)+((HLOOKUP(D:D,$4:$10,3,FALSE)-HLOOKUP(C:C,$4:$10,3,FALSE))*E376/F376)</f>
        <v/>
      </c>
      <c r="N376" s="199">
        <f>HLOOKUP(C:C,$4:$10,2,FALSE)+((HLOOKUP(D:D,$4:$10,2,FALSE)-HLOOKUP(C:C,$4:$10,2,FALSE))*E376/F376)</f>
        <v/>
      </c>
      <c r="O376" s="199">
        <f>HLOOKUP(C:C,$4:$10,5,FALSE)+((HLOOKUP(D:D,$4:$10,5,FALSE)-HLOOKUP(C:C,$4:$10,5,FALSE))*E376/F376)</f>
        <v/>
      </c>
      <c r="P376" s="199">
        <f>HLOOKUP(C:C,$4:$10,4,FALSE)+((HLOOKUP(D:D,$4:$10,4,FALSE)-HLOOKUP(C:C,$4:$10,4,FALSE))*E376/F376)</f>
        <v/>
      </c>
      <c r="Q376" s="199">
        <f>HLOOKUP(B:B,$4:$10,6,FALSE)+((HLOOKUP(C:C,$4:$10,6,FALSE)-HLOOKUP(B:B,$4:$10,6,FALSE))*E376/F376)</f>
        <v/>
      </c>
      <c r="T376" s="198">
        <f>$G376</f>
        <v/>
      </c>
      <c r="U376" s="199">
        <f>H376/(HLOOKUP(B:B,$4:$10,3,FALSE)+((HLOOKUP(C:C,$4:$10,3,FALSE)-HLOOKUP(B:B,$4:$10,3,FALSE))*E376/F376))</f>
        <v/>
      </c>
      <c r="V376" s="969">
        <f>HLOOKUP(B:B,$4:$10,7,FALSE)+((HLOOKUP(C:C,$4:$10,7,FALSE)-HLOOKUP(B:B,$4:$10,7,FALSE))*E376/F376)</f>
        <v/>
      </c>
      <c r="AB376" s="198">
        <f>$G376</f>
        <v/>
      </c>
      <c r="AC376" s="199">
        <f>$H376</f>
        <v/>
      </c>
      <c r="AD376" s="199">
        <f>$M376*AD$34</f>
        <v/>
      </c>
      <c r="AE376" s="199">
        <f>$M376*AE$34</f>
        <v/>
      </c>
      <c r="AF376" s="199">
        <f>$M376*AF$34</f>
        <v/>
      </c>
      <c r="AG376" s="199">
        <f>$M376*AG$34</f>
        <v/>
      </c>
      <c r="AH376" s="199">
        <f>$M376*AH$34</f>
        <v/>
      </c>
      <c r="AJ376" s="198">
        <f>$G376</f>
        <v/>
      </c>
      <c r="AK376" s="199">
        <f>$H376</f>
        <v/>
      </c>
      <c r="AL376" s="199">
        <f>$N376*AL$34</f>
        <v/>
      </c>
      <c r="AM376" s="199">
        <f>$N376*AM$34</f>
        <v/>
      </c>
      <c r="AN376" s="199">
        <f>$N376*AN$34</f>
        <v/>
      </c>
      <c r="AO376" s="199">
        <f>$N376*AO$34</f>
        <v/>
      </c>
      <c r="AP376" s="199">
        <f>$N376*AP$34</f>
        <v/>
      </c>
      <c r="AR376" s="198">
        <f>$G376</f>
        <v/>
      </c>
      <c r="AS376" s="199">
        <f>$H376</f>
        <v/>
      </c>
      <c r="AT376" s="199">
        <f>$O376*AT$34-$Q376</f>
        <v/>
      </c>
      <c r="AU376" s="199">
        <f>$O376*AU$34-$Q376</f>
        <v/>
      </c>
      <c r="AV376" s="199">
        <f>$O376*AV$34-$Q376</f>
        <v/>
      </c>
      <c r="AW376" s="199">
        <f>$O376*AW$34-$Q376</f>
        <v/>
      </c>
      <c r="AX376" s="199">
        <f>$O376*AX$34-$Q376</f>
        <v/>
      </c>
      <c r="AZ376" s="198">
        <f>$G376</f>
        <v/>
      </c>
      <c r="BA376" s="199">
        <f>$H376</f>
        <v/>
      </c>
      <c r="BB376" s="199">
        <f>$P376*BB$34-$Q376</f>
        <v/>
      </c>
      <c r="BC376" s="199">
        <f>$P376*BC$34-$Q376</f>
        <v/>
      </c>
      <c r="BD376" s="199">
        <f>$P376*BD$34-$Q376</f>
        <v/>
      </c>
      <c r="BE376" s="199">
        <f>$P376*BE$34-$Q376</f>
        <v/>
      </c>
      <c r="BF376" s="199">
        <f>$P376*BF$34-$Q376</f>
        <v/>
      </c>
      <c r="BH376" s="198">
        <f>$G376</f>
        <v/>
      </c>
      <c r="BI376" s="197">
        <f>$I376</f>
        <v/>
      </c>
      <c r="BJ376" s="197">
        <f>+BJ377</f>
        <v/>
      </c>
      <c r="BK376" s="197">
        <f>+BK377</f>
        <v/>
      </c>
      <c r="BL376" s="197">
        <f>+BL377</f>
        <v/>
      </c>
      <c r="BM376" s="197">
        <f>+BM377</f>
        <v/>
      </c>
      <c r="BN376" s="197">
        <f>+BN377</f>
        <v/>
      </c>
      <c r="BP376" s="198">
        <f>$G376</f>
        <v/>
      </c>
      <c r="BQ376" s="197">
        <f>$J376</f>
        <v/>
      </c>
      <c r="BR376" s="197">
        <f>+BR377</f>
        <v/>
      </c>
      <c r="BS376" s="197">
        <f>+BS377</f>
        <v/>
      </c>
      <c r="BT376" s="197">
        <f>+BT377</f>
        <v/>
      </c>
      <c r="BU376" s="197">
        <f>+BU377</f>
        <v/>
      </c>
      <c r="BV376" s="197">
        <f>+BV377</f>
        <v/>
      </c>
      <c r="BX376" s="198">
        <f>$G376</f>
        <v/>
      </c>
      <c r="BY376" s="197">
        <f>$K376</f>
        <v/>
      </c>
      <c r="BZ376" s="197">
        <f>+BZ377</f>
        <v/>
      </c>
      <c r="CA376" s="197">
        <f>+CA377</f>
        <v/>
      </c>
      <c r="CB376" s="197">
        <f>+CB377</f>
        <v/>
      </c>
      <c r="CC376" s="197">
        <f>+CC377</f>
        <v/>
      </c>
      <c r="CD376" s="197">
        <f>+CD377</f>
        <v/>
      </c>
      <c r="CF376" s="198">
        <f>$G376</f>
        <v/>
      </c>
      <c r="CG376" s="197">
        <f>$L376</f>
        <v/>
      </c>
      <c r="CH376" s="197">
        <f>+CH377</f>
        <v/>
      </c>
      <c r="CI376" s="197">
        <f>+CI377</f>
        <v/>
      </c>
      <c r="CJ376" s="197">
        <f>+CJ377</f>
        <v/>
      </c>
      <c r="CK376" s="197">
        <f>+CK377</f>
        <v/>
      </c>
      <c r="CL376" s="197">
        <f>+CL377</f>
        <v/>
      </c>
      <c r="CO376" s="199" t="n">
        <v>8.331126146733764</v>
      </c>
      <c r="CP376" s="199" t="n">
        <v>4.02</v>
      </c>
      <c r="CR376" s="199" t="n">
        <v>6.92</v>
      </c>
      <c r="CS376" s="970" t="n">
        <v>0.83062</v>
      </c>
    </row>
    <row r="377">
      <c r="B377" s="204">
        <f>+C377-1</f>
        <v/>
      </c>
      <c r="C377" s="204">
        <f>IF('bands_A-H_Avg'!$D$9+1&gt;MONTH(G377),YEAR(G377),YEAR(G377)+1)</f>
        <v/>
      </c>
      <c r="D377" s="204">
        <f>+C377+1</f>
        <v/>
      </c>
      <c r="E377" s="203">
        <f>IF(C377&gt;C376,1,E376+1)</f>
        <v/>
      </c>
      <c r="F377" s="203">
        <f>COUNTIF(C:C,C377)</f>
        <v/>
      </c>
      <c r="G377" s="198">
        <f>+G376+7</f>
        <v/>
      </c>
      <c r="H377" s="361">
        <f>IF(ISBLANK(CO377),CP377,SUMPRODUCT(CO$32:CP$32,CO377:CP377))</f>
        <v/>
      </c>
      <c r="I377" s="968">
        <f>H377/M377</f>
        <v/>
      </c>
      <c r="J377" s="968">
        <f>H377/N377</f>
        <v/>
      </c>
      <c r="K377" s="968">
        <f>(H377+Q377)/O377</f>
        <v/>
      </c>
      <c r="L377" s="968">
        <f>(H377+Q377)/P377</f>
        <v/>
      </c>
      <c r="M377" s="199">
        <f>HLOOKUP(C:C,$4:$10,3,FALSE)+((HLOOKUP(D:D,$4:$10,3,FALSE)-HLOOKUP(C:C,$4:$10,3,FALSE))*E377/F377)</f>
        <v/>
      </c>
      <c r="N377" s="199">
        <f>HLOOKUP(C:C,$4:$10,2,FALSE)+((HLOOKUP(D:D,$4:$10,2,FALSE)-HLOOKUP(C:C,$4:$10,2,FALSE))*E377/F377)</f>
        <v/>
      </c>
      <c r="O377" s="199">
        <f>HLOOKUP(C:C,$4:$10,5,FALSE)+((HLOOKUP(D:D,$4:$10,5,FALSE)-HLOOKUP(C:C,$4:$10,5,FALSE))*E377/F377)</f>
        <v/>
      </c>
      <c r="P377" s="199">
        <f>HLOOKUP(C:C,$4:$10,4,FALSE)+((HLOOKUP(D:D,$4:$10,4,FALSE)-HLOOKUP(C:C,$4:$10,4,FALSE))*E377/F377)</f>
        <v/>
      </c>
      <c r="Q377" s="199">
        <f>HLOOKUP(B:B,$4:$10,6,FALSE)+((HLOOKUP(C:C,$4:$10,6,FALSE)-HLOOKUP(B:B,$4:$10,6,FALSE))*E377/F377)</f>
        <v/>
      </c>
      <c r="T377" s="198">
        <f>$G377</f>
        <v/>
      </c>
      <c r="U377" s="199">
        <f>H377/(HLOOKUP(B:B,$4:$10,3,FALSE)+((HLOOKUP(C:C,$4:$10,3,FALSE)-HLOOKUP(B:B,$4:$10,3,FALSE))*E377/F377))</f>
        <v/>
      </c>
      <c r="V377" s="969">
        <f>HLOOKUP(B:B,$4:$10,7,FALSE)+((HLOOKUP(C:C,$4:$10,7,FALSE)-HLOOKUP(B:B,$4:$10,7,FALSE))*E377/F377)</f>
        <v/>
      </c>
      <c r="AB377" s="198">
        <f>$G377</f>
        <v/>
      </c>
      <c r="AC377" s="199">
        <f>$H377</f>
        <v/>
      </c>
      <c r="AD377" s="199">
        <f>$M377*AD$34</f>
        <v/>
      </c>
      <c r="AE377" s="199">
        <f>$M377*AE$34</f>
        <v/>
      </c>
      <c r="AF377" s="199">
        <f>$M377*AF$34</f>
        <v/>
      </c>
      <c r="AG377" s="199">
        <f>$M377*AG$34</f>
        <v/>
      </c>
      <c r="AH377" s="199">
        <f>$M377*AH$34</f>
        <v/>
      </c>
      <c r="AJ377" s="198">
        <f>$G377</f>
        <v/>
      </c>
      <c r="AK377" s="199">
        <f>$H377</f>
        <v/>
      </c>
      <c r="AL377" s="199">
        <f>$N377*AL$34</f>
        <v/>
      </c>
      <c r="AM377" s="199">
        <f>$N377*AM$34</f>
        <v/>
      </c>
      <c r="AN377" s="199">
        <f>$N377*AN$34</f>
        <v/>
      </c>
      <c r="AO377" s="199">
        <f>$N377*AO$34</f>
        <v/>
      </c>
      <c r="AP377" s="199">
        <f>$N377*AP$34</f>
        <v/>
      </c>
      <c r="AR377" s="198">
        <f>$G377</f>
        <v/>
      </c>
      <c r="AS377" s="199">
        <f>$H377</f>
        <v/>
      </c>
      <c r="AT377" s="199">
        <f>$O377*AT$34-$Q377</f>
        <v/>
      </c>
      <c r="AU377" s="199">
        <f>$O377*AU$34-$Q377</f>
        <v/>
      </c>
      <c r="AV377" s="199">
        <f>$O377*AV$34-$Q377</f>
        <v/>
      </c>
      <c r="AW377" s="199">
        <f>$O377*AW$34-$Q377</f>
        <v/>
      </c>
      <c r="AX377" s="199">
        <f>$O377*AX$34-$Q377</f>
        <v/>
      </c>
      <c r="AZ377" s="198">
        <f>$G377</f>
        <v/>
      </c>
      <c r="BA377" s="199">
        <f>$H377</f>
        <v/>
      </c>
      <c r="BB377" s="199">
        <f>$P377*BB$34-$Q377</f>
        <v/>
      </c>
      <c r="BC377" s="199">
        <f>$P377*BC$34-$Q377</f>
        <v/>
      </c>
      <c r="BD377" s="199">
        <f>$P377*BD$34-$Q377</f>
        <v/>
      </c>
      <c r="BE377" s="199">
        <f>$P377*BE$34-$Q377</f>
        <v/>
      </c>
      <c r="BF377" s="199">
        <f>$P377*BF$34-$Q377</f>
        <v/>
      </c>
      <c r="BH377" s="198">
        <f>$G377</f>
        <v/>
      </c>
      <c r="BI377" s="197">
        <f>$I377</f>
        <v/>
      </c>
      <c r="BJ377" s="197">
        <f>+BJ378</f>
        <v/>
      </c>
      <c r="BK377" s="197">
        <f>+BK378</f>
        <v/>
      </c>
      <c r="BL377" s="197">
        <f>+BL378</f>
        <v/>
      </c>
      <c r="BM377" s="197">
        <f>+BM378</f>
        <v/>
      </c>
      <c r="BN377" s="197">
        <f>+BN378</f>
        <v/>
      </c>
      <c r="BP377" s="198">
        <f>$G377</f>
        <v/>
      </c>
      <c r="BQ377" s="197">
        <f>$J377</f>
        <v/>
      </c>
      <c r="BR377" s="197">
        <f>+BR378</f>
        <v/>
      </c>
      <c r="BS377" s="197">
        <f>+BS378</f>
        <v/>
      </c>
      <c r="BT377" s="197">
        <f>+BT378</f>
        <v/>
      </c>
      <c r="BU377" s="197">
        <f>+BU378</f>
        <v/>
      </c>
      <c r="BV377" s="197">
        <f>+BV378</f>
        <v/>
      </c>
      <c r="BX377" s="198">
        <f>$G377</f>
        <v/>
      </c>
      <c r="BY377" s="197">
        <f>$K377</f>
        <v/>
      </c>
      <c r="BZ377" s="197">
        <f>+BZ378</f>
        <v/>
      </c>
      <c r="CA377" s="197">
        <f>+CA378</f>
        <v/>
      </c>
      <c r="CB377" s="197">
        <f>+CB378</f>
        <v/>
      </c>
      <c r="CC377" s="197">
        <f>+CC378</f>
        <v/>
      </c>
      <c r="CD377" s="197">
        <f>+CD378</f>
        <v/>
      </c>
      <c r="CF377" s="198">
        <f>$G377</f>
        <v/>
      </c>
      <c r="CG377" s="197">
        <f>$L377</f>
        <v/>
      </c>
      <c r="CH377" s="197">
        <f>+CH378</f>
        <v/>
      </c>
      <c r="CI377" s="197">
        <f>+CI378</f>
        <v/>
      </c>
      <c r="CJ377" s="197">
        <f>+CJ378</f>
        <v/>
      </c>
      <c r="CK377" s="197">
        <f>+CK378</f>
        <v/>
      </c>
      <c r="CL377" s="197">
        <f>+CL378</f>
        <v/>
      </c>
      <c r="CO377" s="199" t="n">
        <v>8.285094066570188</v>
      </c>
      <c r="CP377" s="199" t="n">
        <v>3.91</v>
      </c>
      <c r="CR377" s="199" t="n">
        <v>6.87</v>
      </c>
      <c r="CS377" s="970" t="n">
        <v>0.8292</v>
      </c>
    </row>
    <row r="378">
      <c r="B378" s="204">
        <f>+C378-1</f>
        <v/>
      </c>
      <c r="C378" s="204">
        <f>IF('bands_A-H_Avg'!$D$9+1&gt;MONTH(G378),YEAR(G378),YEAR(G378)+1)</f>
        <v/>
      </c>
      <c r="D378" s="204">
        <f>+C378+1</f>
        <v/>
      </c>
      <c r="E378" s="203">
        <f>IF(C378&gt;C377,1,E377+1)</f>
        <v/>
      </c>
      <c r="F378" s="203">
        <f>COUNTIF(C:C,C378)</f>
        <v/>
      </c>
      <c r="G378" s="198">
        <f>+G377+7</f>
        <v/>
      </c>
      <c r="H378" s="361">
        <f>IF(ISBLANK(CO378),CP378,SUMPRODUCT(CO$32:CP$32,CO378:CP378))</f>
        <v/>
      </c>
      <c r="I378" s="968">
        <f>H378/M378</f>
        <v/>
      </c>
      <c r="J378" s="968">
        <f>H378/N378</f>
        <v/>
      </c>
      <c r="K378" s="968">
        <f>(H378+Q378)/O378</f>
        <v/>
      </c>
      <c r="L378" s="968">
        <f>(H378+Q378)/P378</f>
        <v/>
      </c>
      <c r="M378" s="199">
        <f>HLOOKUP(C:C,$4:$10,3,FALSE)+((HLOOKUP(D:D,$4:$10,3,FALSE)-HLOOKUP(C:C,$4:$10,3,FALSE))*E378/F378)</f>
        <v/>
      </c>
      <c r="N378" s="199">
        <f>HLOOKUP(C:C,$4:$10,2,FALSE)+((HLOOKUP(D:D,$4:$10,2,FALSE)-HLOOKUP(C:C,$4:$10,2,FALSE))*E378/F378)</f>
        <v/>
      </c>
      <c r="O378" s="199">
        <f>HLOOKUP(C:C,$4:$10,5,FALSE)+((HLOOKUP(D:D,$4:$10,5,FALSE)-HLOOKUP(C:C,$4:$10,5,FALSE))*E378/F378)</f>
        <v/>
      </c>
      <c r="P378" s="199">
        <f>HLOOKUP(C:C,$4:$10,4,FALSE)+((HLOOKUP(D:D,$4:$10,4,FALSE)-HLOOKUP(C:C,$4:$10,4,FALSE))*E378/F378)</f>
        <v/>
      </c>
      <c r="Q378" s="199">
        <f>HLOOKUP(B:B,$4:$10,6,FALSE)+((HLOOKUP(C:C,$4:$10,6,FALSE)-HLOOKUP(B:B,$4:$10,6,FALSE))*E378/F378)</f>
        <v/>
      </c>
      <c r="T378" s="198">
        <f>$G378</f>
        <v/>
      </c>
      <c r="U378" s="199">
        <f>H378/(HLOOKUP(B:B,$4:$10,3,FALSE)+((HLOOKUP(C:C,$4:$10,3,FALSE)-HLOOKUP(B:B,$4:$10,3,FALSE))*E378/F378))</f>
        <v/>
      </c>
      <c r="V378" s="969">
        <f>HLOOKUP(B:B,$4:$10,7,FALSE)+((HLOOKUP(C:C,$4:$10,7,FALSE)-HLOOKUP(B:B,$4:$10,7,FALSE))*E378/F378)</f>
        <v/>
      </c>
      <c r="AB378" s="198">
        <f>$G378</f>
        <v/>
      </c>
      <c r="AC378" s="199">
        <f>$H378</f>
        <v/>
      </c>
      <c r="AD378" s="199">
        <f>$M378*AD$34</f>
        <v/>
      </c>
      <c r="AE378" s="199">
        <f>$M378*AE$34</f>
        <v/>
      </c>
      <c r="AF378" s="199">
        <f>$M378*AF$34</f>
        <v/>
      </c>
      <c r="AG378" s="199">
        <f>$M378*AG$34</f>
        <v/>
      </c>
      <c r="AH378" s="199">
        <f>$M378*AH$34</f>
        <v/>
      </c>
      <c r="AJ378" s="198">
        <f>$G378</f>
        <v/>
      </c>
      <c r="AK378" s="199">
        <f>$H378</f>
        <v/>
      </c>
      <c r="AL378" s="199">
        <f>$N378*AL$34</f>
        <v/>
      </c>
      <c r="AM378" s="199">
        <f>$N378*AM$34</f>
        <v/>
      </c>
      <c r="AN378" s="199">
        <f>$N378*AN$34</f>
        <v/>
      </c>
      <c r="AO378" s="199">
        <f>$N378*AO$34</f>
        <v/>
      </c>
      <c r="AP378" s="199">
        <f>$N378*AP$34</f>
        <v/>
      </c>
      <c r="AR378" s="198">
        <f>$G378</f>
        <v/>
      </c>
      <c r="AS378" s="199">
        <f>$H378</f>
        <v/>
      </c>
      <c r="AT378" s="199">
        <f>$O378*AT$34-$Q378</f>
        <v/>
      </c>
      <c r="AU378" s="199">
        <f>$O378*AU$34-$Q378</f>
        <v/>
      </c>
      <c r="AV378" s="199">
        <f>$O378*AV$34-$Q378</f>
        <v/>
      </c>
      <c r="AW378" s="199">
        <f>$O378*AW$34-$Q378</f>
        <v/>
      </c>
      <c r="AX378" s="199">
        <f>$O378*AX$34-$Q378</f>
        <v/>
      </c>
      <c r="AZ378" s="198">
        <f>$G378</f>
        <v/>
      </c>
      <c r="BA378" s="199">
        <f>$H378</f>
        <v/>
      </c>
      <c r="BB378" s="199">
        <f>$P378*BB$34-$Q378</f>
        <v/>
      </c>
      <c r="BC378" s="199">
        <f>$P378*BC$34-$Q378</f>
        <v/>
      </c>
      <c r="BD378" s="199">
        <f>$P378*BD$34-$Q378</f>
        <v/>
      </c>
      <c r="BE378" s="199">
        <f>$P378*BE$34-$Q378</f>
        <v/>
      </c>
      <c r="BF378" s="199">
        <f>$P378*BF$34-$Q378</f>
        <v/>
      </c>
      <c r="BH378" s="198">
        <f>$G378</f>
        <v/>
      </c>
      <c r="BI378" s="197">
        <f>$I378</f>
        <v/>
      </c>
      <c r="BJ378" s="197">
        <f>+BJ379</f>
        <v/>
      </c>
      <c r="BK378" s="197">
        <f>+BK379</f>
        <v/>
      </c>
      <c r="BL378" s="197">
        <f>+BL379</f>
        <v/>
      </c>
      <c r="BM378" s="197">
        <f>+BM379</f>
        <v/>
      </c>
      <c r="BN378" s="197">
        <f>+BN379</f>
        <v/>
      </c>
      <c r="BP378" s="198">
        <f>$G378</f>
        <v/>
      </c>
      <c r="BQ378" s="197">
        <f>$J378</f>
        <v/>
      </c>
      <c r="BR378" s="197">
        <f>+BR379</f>
        <v/>
      </c>
      <c r="BS378" s="197">
        <f>+BS379</f>
        <v/>
      </c>
      <c r="BT378" s="197">
        <f>+BT379</f>
        <v/>
      </c>
      <c r="BU378" s="197">
        <f>+BU379</f>
        <v/>
      </c>
      <c r="BV378" s="197">
        <f>+BV379</f>
        <v/>
      </c>
      <c r="BX378" s="198">
        <f>$G378</f>
        <v/>
      </c>
      <c r="BY378" s="197">
        <f>$K378</f>
        <v/>
      </c>
      <c r="BZ378" s="197">
        <f>+BZ379</f>
        <v/>
      </c>
      <c r="CA378" s="197">
        <f>+CA379</f>
        <v/>
      </c>
      <c r="CB378" s="197">
        <f>+CB379</f>
        <v/>
      </c>
      <c r="CC378" s="197">
        <f>+CC379</f>
        <v/>
      </c>
      <c r="CD378" s="197">
        <f>+CD379</f>
        <v/>
      </c>
      <c r="CF378" s="198">
        <f>$G378</f>
        <v/>
      </c>
      <c r="CG378" s="197">
        <f>$L378</f>
        <v/>
      </c>
      <c r="CH378" s="197">
        <f>+CH379</f>
        <v/>
      </c>
      <c r="CI378" s="197">
        <f>+CI379</f>
        <v/>
      </c>
      <c r="CJ378" s="197">
        <f>+CJ379</f>
        <v/>
      </c>
      <c r="CK378" s="197">
        <f>+CK379</f>
        <v/>
      </c>
      <c r="CL378" s="197">
        <f>+CL379</f>
        <v/>
      </c>
      <c r="CO378" s="199" t="n">
        <v>8.229607250755288</v>
      </c>
      <c r="CP378" s="199" t="n">
        <v>3.96</v>
      </c>
      <c r="CR378" s="199" t="n">
        <v>6.81</v>
      </c>
      <c r="CS378" s="970" t="n">
        <v>0.8275</v>
      </c>
    </row>
    <row r="379">
      <c r="B379" s="204">
        <f>+C379-1</f>
        <v/>
      </c>
      <c r="C379" s="204">
        <f>IF('bands_A-H_Avg'!$D$9+1&gt;MONTH(G379),YEAR(G379),YEAR(G379)+1)</f>
        <v/>
      </c>
      <c r="D379" s="204">
        <f>+C379+1</f>
        <v/>
      </c>
      <c r="E379" s="203">
        <f>IF(C379&gt;C378,1,E378+1)</f>
        <v/>
      </c>
      <c r="F379" s="203">
        <f>COUNTIF(C:C,C379)</f>
        <v/>
      </c>
      <c r="G379" s="198">
        <f>+G378+7</f>
        <v/>
      </c>
      <c r="H379" s="361">
        <f>IF(ISBLANK(CO379),CP379,SUMPRODUCT(CO$32:CP$32,CO379:CP379))</f>
        <v/>
      </c>
      <c r="I379" s="968">
        <f>H379/M379</f>
        <v/>
      </c>
      <c r="J379" s="968">
        <f>H379/N379</f>
        <v/>
      </c>
      <c r="K379" s="968">
        <f>(H379+Q379)/O379</f>
        <v/>
      </c>
      <c r="L379" s="968">
        <f>(H379+Q379)/P379</f>
        <v/>
      </c>
      <c r="M379" s="199">
        <f>HLOOKUP(C:C,$4:$10,3,FALSE)+((HLOOKUP(D:D,$4:$10,3,FALSE)-HLOOKUP(C:C,$4:$10,3,FALSE))*E379/F379)</f>
        <v/>
      </c>
      <c r="N379" s="199">
        <f>HLOOKUP(C:C,$4:$10,2,FALSE)+((HLOOKUP(D:D,$4:$10,2,FALSE)-HLOOKUP(C:C,$4:$10,2,FALSE))*E379/F379)</f>
        <v/>
      </c>
      <c r="O379" s="199">
        <f>HLOOKUP(C:C,$4:$10,5,FALSE)+((HLOOKUP(D:D,$4:$10,5,FALSE)-HLOOKUP(C:C,$4:$10,5,FALSE))*E379/F379)</f>
        <v/>
      </c>
      <c r="P379" s="199">
        <f>HLOOKUP(C:C,$4:$10,4,FALSE)+((HLOOKUP(D:D,$4:$10,4,FALSE)-HLOOKUP(C:C,$4:$10,4,FALSE))*E379/F379)</f>
        <v/>
      </c>
      <c r="Q379" s="199">
        <f>HLOOKUP(B:B,$4:$10,6,FALSE)+((HLOOKUP(C:C,$4:$10,6,FALSE)-HLOOKUP(B:B,$4:$10,6,FALSE))*E379/F379)</f>
        <v/>
      </c>
      <c r="T379" s="198">
        <f>$G379</f>
        <v/>
      </c>
      <c r="U379" s="199">
        <f>H379/(HLOOKUP(B:B,$4:$10,3,FALSE)+((HLOOKUP(C:C,$4:$10,3,FALSE)-HLOOKUP(B:B,$4:$10,3,FALSE))*E379/F379))</f>
        <v/>
      </c>
      <c r="V379" s="969">
        <f>HLOOKUP(B:B,$4:$10,7,FALSE)+((HLOOKUP(C:C,$4:$10,7,FALSE)-HLOOKUP(B:B,$4:$10,7,FALSE))*E379/F379)</f>
        <v/>
      </c>
      <c r="AB379" s="198">
        <f>$G379</f>
        <v/>
      </c>
      <c r="AC379" s="199">
        <f>$H379</f>
        <v/>
      </c>
      <c r="AD379" s="199">
        <f>$M379*AD$34</f>
        <v/>
      </c>
      <c r="AE379" s="199">
        <f>$M379*AE$34</f>
        <v/>
      </c>
      <c r="AF379" s="199">
        <f>$M379*AF$34</f>
        <v/>
      </c>
      <c r="AG379" s="199">
        <f>$M379*AG$34</f>
        <v/>
      </c>
      <c r="AH379" s="199">
        <f>$M379*AH$34</f>
        <v/>
      </c>
      <c r="AJ379" s="198">
        <f>$G379</f>
        <v/>
      </c>
      <c r="AK379" s="199">
        <f>$H379</f>
        <v/>
      </c>
      <c r="AL379" s="199">
        <f>$N379*AL$34</f>
        <v/>
      </c>
      <c r="AM379" s="199">
        <f>$N379*AM$34</f>
        <v/>
      </c>
      <c r="AN379" s="199">
        <f>$N379*AN$34</f>
        <v/>
      </c>
      <c r="AO379" s="199">
        <f>$N379*AO$34</f>
        <v/>
      </c>
      <c r="AP379" s="199">
        <f>$N379*AP$34</f>
        <v/>
      </c>
      <c r="AR379" s="198">
        <f>$G379</f>
        <v/>
      </c>
      <c r="AS379" s="199">
        <f>$H379</f>
        <v/>
      </c>
      <c r="AT379" s="199">
        <f>$O379*AT$34-$Q379</f>
        <v/>
      </c>
      <c r="AU379" s="199">
        <f>$O379*AU$34-$Q379</f>
        <v/>
      </c>
      <c r="AV379" s="199">
        <f>$O379*AV$34-$Q379</f>
        <v/>
      </c>
      <c r="AW379" s="199">
        <f>$O379*AW$34-$Q379</f>
        <v/>
      </c>
      <c r="AX379" s="199">
        <f>$O379*AX$34-$Q379</f>
        <v/>
      </c>
      <c r="AZ379" s="198">
        <f>$G379</f>
        <v/>
      </c>
      <c r="BA379" s="199">
        <f>$H379</f>
        <v/>
      </c>
      <c r="BB379" s="199">
        <f>$P379*BB$34-$Q379</f>
        <v/>
      </c>
      <c r="BC379" s="199">
        <f>$P379*BC$34-$Q379</f>
        <v/>
      </c>
      <c r="BD379" s="199">
        <f>$P379*BD$34-$Q379</f>
        <v/>
      </c>
      <c r="BE379" s="199">
        <f>$P379*BE$34-$Q379</f>
        <v/>
      </c>
      <c r="BF379" s="199">
        <f>$P379*BF$34-$Q379</f>
        <v/>
      </c>
      <c r="BH379" s="198">
        <f>$G379</f>
        <v/>
      </c>
      <c r="BI379" s="197">
        <f>$I379</f>
        <v/>
      </c>
      <c r="BJ379" s="197">
        <f>+BJ380</f>
        <v/>
      </c>
      <c r="BK379" s="197">
        <f>+BK380</f>
        <v/>
      </c>
      <c r="BL379" s="197">
        <f>+BL380</f>
        <v/>
      </c>
      <c r="BM379" s="197">
        <f>+BM380</f>
        <v/>
      </c>
      <c r="BN379" s="197">
        <f>+BN380</f>
        <v/>
      </c>
      <c r="BP379" s="198">
        <f>$G379</f>
        <v/>
      </c>
      <c r="BQ379" s="197">
        <f>$J379</f>
        <v/>
      </c>
      <c r="BR379" s="197">
        <f>+BR380</f>
        <v/>
      </c>
      <c r="BS379" s="197">
        <f>+BS380</f>
        <v/>
      </c>
      <c r="BT379" s="197">
        <f>+BT380</f>
        <v/>
      </c>
      <c r="BU379" s="197">
        <f>+BU380</f>
        <v/>
      </c>
      <c r="BV379" s="197">
        <f>+BV380</f>
        <v/>
      </c>
      <c r="BX379" s="198">
        <f>$G379</f>
        <v/>
      </c>
      <c r="BY379" s="197">
        <f>$K379</f>
        <v/>
      </c>
      <c r="BZ379" s="197">
        <f>+BZ380</f>
        <v/>
      </c>
      <c r="CA379" s="197">
        <f>+CA380</f>
        <v/>
      </c>
      <c r="CB379" s="197">
        <f>+CB380</f>
        <v/>
      </c>
      <c r="CC379" s="197">
        <f>+CC380</f>
        <v/>
      </c>
      <c r="CD379" s="197">
        <f>+CD380</f>
        <v/>
      </c>
      <c r="CF379" s="198">
        <f>$G379</f>
        <v/>
      </c>
      <c r="CG379" s="197">
        <f>$L379</f>
        <v/>
      </c>
      <c r="CH379" s="197">
        <f>+CH380</f>
        <v/>
      </c>
      <c r="CI379" s="197">
        <f>+CI380</f>
        <v/>
      </c>
      <c r="CJ379" s="197">
        <f>+CJ380</f>
        <v/>
      </c>
      <c r="CK379" s="197">
        <f>+CK380</f>
        <v/>
      </c>
      <c r="CL379" s="197">
        <f>+CL380</f>
        <v/>
      </c>
      <c r="CO379" s="199" t="n">
        <v>8.137267960718308</v>
      </c>
      <c r="CP379" s="199" t="n">
        <v>4.14</v>
      </c>
      <c r="CR379" s="199" t="n">
        <v>6.72</v>
      </c>
      <c r="CS379" s="970" t="n">
        <v>0.82583</v>
      </c>
    </row>
    <row r="380">
      <c r="B380" s="204">
        <f>+C380-1</f>
        <v/>
      </c>
      <c r="C380" s="204">
        <f>IF('bands_A-H_Avg'!$D$9+1&gt;MONTH(G380),YEAR(G380),YEAR(G380)+1)</f>
        <v/>
      </c>
      <c r="D380" s="204">
        <f>+C380+1</f>
        <v/>
      </c>
      <c r="E380" s="203">
        <f>IF(C380&gt;C379,1,E379+1)</f>
        <v/>
      </c>
      <c r="F380" s="203">
        <f>COUNTIF(C:C,C380)</f>
        <v/>
      </c>
      <c r="G380" s="198">
        <f>+G379+7</f>
        <v/>
      </c>
      <c r="H380" s="361">
        <f>IF(ISBLANK(CO380),CP380,SUMPRODUCT(CO$32:CP$32,CO380:CP380))</f>
        <v/>
      </c>
      <c r="I380" s="968">
        <f>H380/M380</f>
        <v/>
      </c>
      <c r="J380" s="968">
        <f>H380/N380</f>
        <v/>
      </c>
      <c r="K380" s="968">
        <f>(H380+Q380)/O380</f>
        <v/>
      </c>
      <c r="L380" s="968">
        <f>(H380+Q380)/P380</f>
        <v/>
      </c>
      <c r="M380" s="199">
        <f>HLOOKUP(C:C,$4:$10,3,FALSE)+((HLOOKUP(D:D,$4:$10,3,FALSE)-HLOOKUP(C:C,$4:$10,3,FALSE))*E380/F380)</f>
        <v/>
      </c>
      <c r="N380" s="199">
        <f>HLOOKUP(C:C,$4:$10,2,FALSE)+((HLOOKUP(D:D,$4:$10,2,FALSE)-HLOOKUP(C:C,$4:$10,2,FALSE))*E380/F380)</f>
        <v/>
      </c>
      <c r="O380" s="199">
        <f>HLOOKUP(C:C,$4:$10,5,FALSE)+((HLOOKUP(D:D,$4:$10,5,FALSE)-HLOOKUP(C:C,$4:$10,5,FALSE))*E380/F380)</f>
        <v/>
      </c>
      <c r="P380" s="199">
        <f>HLOOKUP(C:C,$4:$10,4,FALSE)+((HLOOKUP(D:D,$4:$10,4,FALSE)-HLOOKUP(C:C,$4:$10,4,FALSE))*E380/F380)</f>
        <v/>
      </c>
      <c r="Q380" s="199">
        <f>HLOOKUP(B:B,$4:$10,6,FALSE)+((HLOOKUP(C:C,$4:$10,6,FALSE)-HLOOKUP(B:B,$4:$10,6,FALSE))*E380/F380)</f>
        <v/>
      </c>
      <c r="T380" s="198">
        <f>$G380</f>
        <v/>
      </c>
      <c r="U380" s="199">
        <f>H380/(HLOOKUP(B:B,$4:$10,3,FALSE)+((HLOOKUP(C:C,$4:$10,3,FALSE)-HLOOKUP(B:B,$4:$10,3,FALSE))*E380/F380))</f>
        <v/>
      </c>
      <c r="V380" s="969">
        <f>HLOOKUP(B:B,$4:$10,7,FALSE)+((HLOOKUP(C:C,$4:$10,7,FALSE)-HLOOKUP(B:B,$4:$10,7,FALSE))*E380/F380)</f>
        <v/>
      </c>
      <c r="AB380" s="198">
        <f>$G380</f>
        <v/>
      </c>
      <c r="AC380" s="199">
        <f>$H380</f>
        <v/>
      </c>
      <c r="AD380" s="199">
        <f>$M380*AD$34</f>
        <v/>
      </c>
      <c r="AE380" s="199">
        <f>$M380*AE$34</f>
        <v/>
      </c>
      <c r="AF380" s="199">
        <f>$M380*AF$34</f>
        <v/>
      </c>
      <c r="AG380" s="199">
        <f>$M380*AG$34</f>
        <v/>
      </c>
      <c r="AH380" s="199">
        <f>$M380*AH$34</f>
        <v/>
      </c>
      <c r="AJ380" s="198">
        <f>$G380</f>
        <v/>
      </c>
      <c r="AK380" s="199">
        <f>$H380</f>
        <v/>
      </c>
      <c r="AL380" s="199">
        <f>$N380*AL$34</f>
        <v/>
      </c>
      <c r="AM380" s="199">
        <f>$N380*AM$34</f>
        <v/>
      </c>
      <c r="AN380" s="199">
        <f>$N380*AN$34</f>
        <v/>
      </c>
      <c r="AO380" s="199">
        <f>$N380*AO$34</f>
        <v/>
      </c>
      <c r="AP380" s="199">
        <f>$N380*AP$34</f>
        <v/>
      </c>
      <c r="AR380" s="198">
        <f>$G380</f>
        <v/>
      </c>
      <c r="AS380" s="199">
        <f>$H380</f>
        <v/>
      </c>
      <c r="AT380" s="199">
        <f>$O380*AT$34-$Q380</f>
        <v/>
      </c>
      <c r="AU380" s="199">
        <f>$O380*AU$34-$Q380</f>
        <v/>
      </c>
      <c r="AV380" s="199">
        <f>$O380*AV$34-$Q380</f>
        <v/>
      </c>
      <c r="AW380" s="199">
        <f>$O380*AW$34-$Q380</f>
        <v/>
      </c>
      <c r="AX380" s="199">
        <f>$O380*AX$34-$Q380</f>
        <v/>
      </c>
      <c r="AZ380" s="198">
        <f>$G380</f>
        <v/>
      </c>
      <c r="BA380" s="199">
        <f>$H380</f>
        <v/>
      </c>
      <c r="BB380" s="199">
        <f>$P380*BB$34-$Q380</f>
        <v/>
      </c>
      <c r="BC380" s="199">
        <f>$P380*BC$34-$Q380</f>
        <v/>
      </c>
      <c r="BD380" s="199">
        <f>$P380*BD$34-$Q380</f>
        <v/>
      </c>
      <c r="BE380" s="199">
        <f>$P380*BE$34-$Q380</f>
        <v/>
      </c>
      <c r="BF380" s="199">
        <f>$P380*BF$34-$Q380</f>
        <v/>
      </c>
      <c r="BH380" s="198">
        <f>$G380</f>
        <v/>
      </c>
      <c r="BI380" s="197">
        <f>$I380</f>
        <v/>
      </c>
      <c r="BJ380" s="197">
        <f>+BJ381</f>
        <v/>
      </c>
      <c r="BK380" s="197">
        <f>+BK381</f>
        <v/>
      </c>
      <c r="BL380" s="197">
        <f>+BL381</f>
        <v/>
      </c>
      <c r="BM380" s="197">
        <f>+BM381</f>
        <v/>
      </c>
      <c r="BN380" s="197">
        <f>+BN381</f>
        <v/>
      </c>
      <c r="BP380" s="198">
        <f>$G380</f>
        <v/>
      </c>
      <c r="BQ380" s="197">
        <f>$J380</f>
        <v/>
      </c>
      <c r="BR380" s="197">
        <f>+BR381</f>
        <v/>
      </c>
      <c r="BS380" s="197">
        <f>+BS381</f>
        <v/>
      </c>
      <c r="BT380" s="197">
        <f>+BT381</f>
        <v/>
      </c>
      <c r="BU380" s="197">
        <f>+BU381</f>
        <v/>
      </c>
      <c r="BV380" s="197">
        <f>+BV381</f>
        <v/>
      </c>
      <c r="BX380" s="198">
        <f>$G380</f>
        <v/>
      </c>
      <c r="BY380" s="197">
        <f>$K380</f>
        <v/>
      </c>
      <c r="BZ380" s="197">
        <f>+BZ381</f>
        <v/>
      </c>
      <c r="CA380" s="197">
        <f>+CA381</f>
        <v/>
      </c>
      <c r="CB380" s="197">
        <f>+CB381</f>
        <v/>
      </c>
      <c r="CC380" s="197">
        <f>+CC381</f>
        <v/>
      </c>
      <c r="CD380" s="197">
        <f>+CD381</f>
        <v/>
      </c>
      <c r="CF380" s="198">
        <f>$G380</f>
        <v/>
      </c>
      <c r="CG380" s="197">
        <f>$L380</f>
        <v/>
      </c>
      <c r="CH380" s="197">
        <f>+CH381</f>
        <v/>
      </c>
      <c r="CI380" s="197">
        <f>+CI381</f>
        <v/>
      </c>
      <c r="CJ380" s="197">
        <f>+CJ381</f>
        <v/>
      </c>
      <c r="CK380" s="197">
        <f>+CK381</f>
        <v/>
      </c>
      <c r="CL380" s="197">
        <f>+CL381</f>
        <v/>
      </c>
      <c r="CO380" s="199" t="n">
        <v>7.722241753445914</v>
      </c>
      <c r="CP380" s="199" t="n">
        <v>3.85</v>
      </c>
      <c r="CR380" s="199" t="n">
        <v>6.37</v>
      </c>
      <c r="CS380" s="970" t="n">
        <v>0.82489</v>
      </c>
    </row>
    <row r="381">
      <c r="B381" s="204">
        <f>+C381-1</f>
        <v/>
      </c>
      <c r="C381" s="204">
        <f>IF('bands_A-H_Avg'!$D$9+1&gt;MONTH(G381),YEAR(G381),YEAR(G381)+1)</f>
        <v/>
      </c>
      <c r="D381" s="204">
        <f>+C381+1</f>
        <v/>
      </c>
      <c r="E381" s="203">
        <f>IF(C381&gt;C380,1,E380+1)</f>
        <v/>
      </c>
      <c r="F381" s="203">
        <f>COUNTIF(C:C,C381)</f>
        <v/>
      </c>
      <c r="G381" s="198">
        <f>+G380+7</f>
        <v/>
      </c>
      <c r="H381" s="361">
        <f>IF(ISBLANK(CO381),CP381,SUMPRODUCT(CO$32:CP$32,CO381:CP381))</f>
        <v/>
      </c>
      <c r="I381" s="968">
        <f>H381/M381</f>
        <v/>
      </c>
      <c r="J381" s="968">
        <f>H381/N381</f>
        <v/>
      </c>
      <c r="K381" s="968">
        <f>(H381+Q381)/O381</f>
        <v/>
      </c>
      <c r="L381" s="968">
        <f>(H381+Q381)/P381</f>
        <v/>
      </c>
      <c r="M381" s="199">
        <f>HLOOKUP(C:C,$4:$10,3,FALSE)+((HLOOKUP(D:D,$4:$10,3,FALSE)-HLOOKUP(C:C,$4:$10,3,FALSE))*E381/F381)</f>
        <v/>
      </c>
      <c r="N381" s="199">
        <f>HLOOKUP(C:C,$4:$10,2,FALSE)+((HLOOKUP(D:D,$4:$10,2,FALSE)-HLOOKUP(C:C,$4:$10,2,FALSE))*E381/F381)</f>
        <v/>
      </c>
      <c r="O381" s="199">
        <f>HLOOKUP(C:C,$4:$10,5,FALSE)+((HLOOKUP(D:D,$4:$10,5,FALSE)-HLOOKUP(C:C,$4:$10,5,FALSE))*E381/F381)</f>
        <v/>
      </c>
      <c r="P381" s="199">
        <f>HLOOKUP(C:C,$4:$10,4,FALSE)+((HLOOKUP(D:D,$4:$10,4,FALSE)-HLOOKUP(C:C,$4:$10,4,FALSE))*E381/F381)</f>
        <v/>
      </c>
      <c r="Q381" s="199">
        <f>HLOOKUP(B:B,$4:$10,6,FALSE)+((HLOOKUP(C:C,$4:$10,6,FALSE)-HLOOKUP(B:B,$4:$10,6,FALSE))*E381/F381)</f>
        <v/>
      </c>
      <c r="T381" s="198">
        <f>$G381</f>
        <v/>
      </c>
      <c r="U381" s="199">
        <f>H381/(HLOOKUP(B:B,$4:$10,3,FALSE)+((HLOOKUP(C:C,$4:$10,3,FALSE)-HLOOKUP(B:B,$4:$10,3,FALSE))*E381/F381))</f>
        <v/>
      </c>
      <c r="V381" s="969">
        <f>HLOOKUP(B:B,$4:$10,7,FALSE)+((HLOOKUP(C:C,$4:$10,7,FALSE)-HLOOKUP(B:B,$4:$10,7,FALSE))*E381/F381)</f>
        <v/>
      </c>
      <c r="AB381" s="198">
        <f>$G381</f>
        <v/>
      </c>
      <c r="AC381" s="199">
        <f>$H381</f>
        <v/>
      </c>
      <c r="AD381" s="199">
        <f>$M381*AD$34</f>
        <v/>
      </c>
      <c r="AE381" s="199">
        <f>$M381*AE$34</f>
        <v/>
      </c>
      <c r="AF381" s="199">
        <f>$M381*AF$34</f>
        <v/>
      </c>
      <c r="AG381" s="199">
        <f>$M381*AG$34</f>
        <v/>
      </c>
      <c r="AH381" s="199">
        <f>$M381*AH$34</f>
        <v/>
      </c>
      <c r="AJ381" s="198">
        <f>$G381</f>
        <v/>
      </c>
      <c r="AK381" s="199">
        <f>$H381</f>
        <v/>
      </c>
      <c r="AL381" s="199">
        <f>$N381*AL$34</f>
        <v/>
      </c>
      <c r="AM381" s="199">
        <f>$N381*AM$34</f>
        <v/>
      </c>
      <c r="AN381" s="199">
        <f>$N381*AN$34</f>
        <v/>
      </c>
      <c r="AO381" s="199">
        <f>$N381*AO$34</f>
        <v/>
      </c>
      <c r="AP381" s="199">
        <f>$N381*AP$34</f>
        <v/>
      </c>
      <c r="AR381" s="198">
        <f>$G381</f>
        <v/>
      </c>
      <c r="AS381" s="199">
        <f>$H381</f>
        <v/>
      </c>
      <c r="AT381" s="199">
        <f>$O381*AT$34-$Q381</f>
        <v/>
      </c>
      <c r="AU381" s="199">
        <f>$O381*AU$34-$Q381</f>
        <v/>
      </c>
      <c r="AV381" s="199">
        <f>$O381*AV$34-$Q381</f>
        <v/>
      </c>
      <c r="AW381" s="199">
        <f>$O381*AW$34-$Q381</f>
        <v/>
      </c>
      <c r="AX381" s="199">
        <f>$O381*AX$34-$Q381</f>
        <v/>
      </c>
      <c r="AZ381" s="198">
        <f>$G381</f>
        <v/>
      </c>
      <c r="BA381" s="199">
        <f>$H381</f>
        <v/>
      </c>
      <c r="BB381" s="199">
        <f>$P381*BB$34-$Q381</f>
        <v/>
      </c>
      <c r="BC381" s="199">
        <f>$P381*BC$34-$Q381</f>
        <v/>
      </c>
      <c r="BD381" s="199">
        <f>$P381*BD$34-$Q381</f>
        <v/>
      </c>
      <c r="BE381" s="199">
        <f>$P381*BE$34-$Q381</f>
        <v/>
      </c>
      <c r="BF381" s="199">
        <f>$P381*BF$34-$Q381</f>
        <v/>
      </c>
      <c r="BH381" s="198">
        <f>$G381</f>
        <v/>
      </c>
      <c r="BI381" s="197">
        <f>$I381</f>
        <v/>
      </c>
      <c r="BJ381" s="197">
        <f>+BJ382</f>
        <v/>
      </c>
      <c r="BK381" s="197">
        <f>+BK382</f>
        <v/>
      </c>
      <c r="BL381" s="197">
        <f>+BL382</f>
        <v/>
      </c>
      <c r="BM381" s="197">
        <f>+BM382</f>
        <v/>
      </c>
      <c r="BN381" s="197">
        <f>+BN382</f>
        <v/>
      </c>
      <c r="BP381" s="198">
        <f>$G381</f>
        <v/>
      </c>
      <c r="BQ381" s="197">
        <f>$J381</f>
        <v/>
      </c>
      <c r="BR381" s="197">
        <f>+BR382</f>
        <v/>
      </c>
      <c r="BS381" s="197">
        <f>+BS382</f>
        <v/>
      </c>
      <c r="BT381" s="197">
        <f>+BT382</f>
        <v/>
      </c>
      <c r="BU381" s="197">
        <f>+BU382</f>
        <v/>
      </c>
      <c r="BV381" s="197">
        <f>+BV382</f>
        <v/>
      </c>
      <c r="BX381" s="198">
        <f>$G381</f>
        <v/>
      </c>
      <c r="BY381" s="197">
        <f>$K381</f>
        <v/>
      </c>
      <c r="BZ381" s="197">
        <f>+BZ382</f>
        <v/>
      </c>
      <c r="CA381" s="197">
        <f>+CA382</f>
        <v/>
      </c>
      <c r="CB381" s="197">
        <f>+CB382</f>
        <v/>
      </c>
      <c r="CC381" s="197">
        <f>+CC382</f>
        <v/>
      </c>
      <c r="CD381" s="197">
        <f>+CD382</f>
        <v/>
      </c>
      <c r="CF381" s="198">
        <f>$G381</f>
        <v/>
      </c>
      <c r="CG381" s="197">
        <f>$L381</f>
        <v/>
      </c>
      <c r="CH381" s="197">
        <f>+CH382</f>
        <v/>
      </c>
      <c r="CI381" s="197">
        <f>+CI382</f>
        <v/>
      </c>
      <c r="CJ381" s="197">
        <f>+CJ382</f>
        <v/>
      </c>
      <c r="CK381" s="197">
        <f>+CK382</f>
        <v/>
      </c>
      <c r="CL381" s="197">
        <f>+CL382</f>
        <v/>
      </c>
      <c r="CO381" s="199" t="n">
        <v>7.43440055575191</v>
      </c>
      <c r="CP381" s="199" t="n">
        <v>3.39</v>
      </c>
      <c r="CR381" s="199" t="n">
        <v>6.1</v>
      </c>
      <c r="CS381" s="970" t="n">
        <v>0.82051</v>
      </c>
    </row>
    <row r="382">
      <c r="B382" s="204">
        <f>+C382-1</f>
        <v/>
      </c>
      <c r="C382" s="204">
        <f>IF('bands_A-H_Avg'!$D$9+1&gt;MONTH(G382),YEAR(G382),YEAR(G382)+1)</f>
        <v/>
      </c>
      <c r="D382" s="204">
        <f>+C382+1</f>
        <v/>
      </c>
      <c r="E382" s="203">
        <f>IF(C382&gt;C381,1,E381+1)</f>
        <v/>
      </c>
      <c r="F382" s="203">
        <f>COUNTIF(C:C,C382)</f>
        <v/>
      </c>
      <c r="G382" s="198">
        <f>+G381+7</f>
        <v/>
      </c>
      <c r="H382" s="361">
        <f>IF(ISBLANK(CO382),CP382,SUMPRODUCT(CO$32:CP$32,CO382:CP382))</f>
        <v/>
      </c>
      <c r="I382" s="968">
        <f>H382/M382</f>
        <v/>
      </c>
      <c r="J382" s="968">
        <f>H382/N382</f>
        <v/>
      </c>
      <c r="K382" s="968">
        <f>(H382+Q382)/O382</f>
        <v/>
      </c>
      <c r="L382" s="968">
        <f>(H382+Q382)/P382</f>
        <v/>
      </c>
      <c r="M382" s="199">
        <f>HLOOKUP(C:C,$4:$10,3,FALSE)+((HLOOKUP(D:D,$4:$10,3,FALSE)-HLOOKUP(C:C,$4:$10,3,FALSE))*E382/F382)</f>
        <v/>
      </c>
      <c r="N382" s="199">
        <f>HLOOKUP(C:C,$4:$10,2,FALSE)+((HLOOKUP(D:D,$4:$10,2,FALSE)-HLOOKUP(C:C,$4:$10,2,FALSE))*E382/F382)</f>
        <v/>
      </c>
      <c r="O382" s="199">
        <f>HLOOKUP(C:C,$4:$10,5,FALSE)+((HLOOKUP(D:D,$4:$10,5,FALSE)-HLOOKUP(C:C,$4:$10,5,FALSE))*E382/F382)</f>
        <v/>
      </c>
      <c r="P382" s="199">
        <f>HLOOKUP(C:C,$4:$10,4,FALSE)+((HLOOKUP(D:D,$4:$10,4,FALSE)-HLOOKUP(C:C,$4:$10,4,FALSE))*E382/F382)</f>
        <v/>
      </c>
      <c r="Q382" s="199">
        <f>HLOOKUP(B:B,$4:$10,6,FALSE)+((HLOOKUP(C:C,$4:$10,6,FALSE)-HLOOKUP(B:B,$4:$10,6,FALSE))*E382/F382)</f>
        <v/>
      </c>
      <c r="T382" s="198">
        <f>$G382</f>
        <v/>
      </c>
      <c r="U382" s="199">
        <f>H382/(HLOOKUP(B:B,$4:$10,3,FALSE)+((HLOOKUP(C:C,$4:$10,3,FALSE)-HLOOKUP(B:B,$4:$10,3,FALSE))*E382/F382))</f>
        <v/>
      </c>
      <c r="V382" s="969">
        <f>HLOOKUP(B:B,$4:$10,7,FALSE)+((HLOOKUP(C:C,$4:$10,7,FALSE)-HLOOKUP(B:B,$4:$10,7,FALSE))*E382/F382)</f>
        <v/>
      </c>
      <c r="AB382" s="198">
        <f>$G382</f>
        <v/>
      </c>
      <c r="AC382" s="199">
        <f>$H382</f>
        <v/>
      </c>
      <c r="AD382" s="199">
        <f>$M382*AD$34</f>
        <v/>
      </c>
      <c r="AE382" s="199">
        <f>$M382*AE$34</f>
        <v/>
      </c>
      <c r="AF382" s="199">
        <f>$M382*AF$34</f>
        <v/>
      </c>
      <c r="AG382" s="199">
        <f>$M382*AG$34</f>
        <v/>
      </c>
      <c r="AH382" s="199">
        <f>$M382*AH$34</f>
        <v/>
      </c>
      <c r="AJ382" s="198">
        <f>$G382</f>
        <v/>
      </c>
      <c r="AK382" s="199">
        <f>$H382</f>
        <v/>
      </c>
      <c r="AL382" s="199">
        <f>$N382*AL$34</f>
        <v/>
      </c>
      <c r="AM382" s="199">
        <f>$N382*AM$34</f>
        <v/>
      </c>
      <c r="AN382" s="199">
        <f>$N382*AN$34</f>
        <v/>
      </c>
      <c r="AO382" s="199">
        <f>$N382*AO$34</f>
        <v/>
      </c>
      <c r="AP382" s="199">
        <f>$N382*AP$34</f>
        <v/>
      </c>
      <c r="AR382" s="198">
        <f>$G382</f>
        <v/>
      </c>
      <c r="AS382" s="199">
        <f>$H382</f>
        <v/>
      </c>
      <c r="AT382" s="199">
        <f>$O382*AT$34-$Q382</f>
        <v/>
      </c>
      <c r="AU382" s="199">
        <f>$O382*AU$34-$Q382</f>
        <v/>
      </c>
      <c r="AV382" s="199">
        <f>$O382*AV$34-$Q382</f>
        <v/>
      </c>
      <c r="AW382" s="199">
        <f>$O382*AW$34-$Q382</f>
        <v/>
      </c>
      <c r="AX382" s="199">
        <f>$O382*AX$34-$Q382</f>
        <v/>
      </c>
      <c r="AZ382" s="198">
        <f>$G382</f>
        <v/>
      </c>
      <c r="BA382" s="199">
        <f>$H382</f>
        <v/>
      </c>
      <c r="BB382" s="199">
        <f>$P382*BB$34-$Q382</f>
        <v/>
      </c>
      <c r="BC382" s="199">
        <f>$P382*BC$34-$Q382</f>
        <v/>
      </c>
      <c r="BD382" s="199">
        <f>$P382*BD$34-$Q382</f>
        <v/>
      </c>
      <c r="BE382" s="199">
        <f>$P382*BE$34-$Q382</f>
        <v/>
      </c>
      <c r="BF382" s="199">
        <f>$P382*BF$34-$Q382</f>
        <v/>
      </c>
      <c r="BH382" s="198">
        <f>$G382</f>
        <v/>
      </c>
      <c r="BI382" s="197">
        <f>$I382</f>
        <v/>
      </c>
      <c r="BJ382" s="197">
        <f>+BJ383</f>
        <v/>
      </c>
      <c r="BK382" s="197">
        <f>+BK383</f>
        <v/>
      </c>
      <c r="BL382" s="197">
        <f>+BL383</f>
        <v/>
      </c>
      <c r="BM382" s="197">
        <f>+BM383</f>
        <v/>
      </c>
      <c r="BN382" s="197">
        <f>+BN383</f>
        <v/>
      </c>
      <c r="BP382" s="198">
        <f>$G382</f>
        <v/>
      </c>
      <c r="BQ382" s="197">
        <f>$J382</f>
        <v/>
      </c>
      <c r="BR382" s="197">
        <f>+BR383</f>
        <v/>
      </c>
      <c r="BS382" s="197">
        <f>+BS383</f>
        <v/>
      </c>
      <c r="BT382" s="197">
        <f>+BT383</f>
        <v/>
      </c>
      <c r="BU382" s="197">
        <f>+BU383</f>
        <v/>
      </c>
      <c r="BV382" s="197">
        <f>+BV383</f>
        <v/>
      </c>
      <c r="BX382" s="198">
        <f>$G382</f>
        <v/>
      </c>
      <c r="BY382" s="197">
        <f>$K382</f>
        <v/>
      </c>
      <c r="BZ382" s="197">
        <f>+BZ383</f>
        <v/>
      </c>
      <c r="CA382" s="197">
        <f>+CA383</f>
        <v/>
      </c>
      <c r="CB382" s="197">
        <f>+CB383</f>
        <v/>
      </c>
      <c r="CC382" s="197">
        <f>+CC383</f>
        <v/>
      </c>
      <c r="CD382" s="197">
        <f>+CD383</f>
        <v/>
      </c>
      <c r="CF382" s="198">
        <f>$G382</f>
        <v/>
      </c>
      <c r="CG382" s="197">
        <f>$L382</f>
        <v/>
      </c>
      <c r="CH382" s="197">
        <f>+CH383</f>
        <v/>
      </c>
      <c r="CI382" s="197">
        <f>+CI383</f>
        <v/>
      </c>
      <c r="CJ382" s="197">
        <f>+CJ383</f>
        <v/>
      </c>
      <c r="CK382" s="197">
        <f>+CK383</f>
        <v/>
      </c>
      <c r="CL382" s="197">
        <f>+CL383</f>
        <v/>
      </c>
      <c r="CO382" s="199" t="n">
        <v>7.118565560282305</v>
      </c>
      <c r="CP382" s="199" t="n">
        <v>3.17</v>
      </c>
      <c r="CR382" s="199" t="n">
        <v>5.84</v>
      </c>
      <c r="CS382" s="970" t="n">
        <v>0.82039</v>
      </c>
    </row>
    <row r="383">
      <c r="B383" s="204">
        <f>+C383-1</f>
        <v/>
      </c>
      <c r="C383" s="204">
        <f>IF('bands_A-H_Avg'!$D$9+1&gt;MONTH(G383),YEAR(G383),YEAR(G383)+1)</f>
        <v/>
      </c>
      <c r="D383" s="204">
        <f>+C383+1</f>
        <v/>
      </c>
      <c r="E383" s="203">
        <f>IF(C383&gt;C382,1,E382+1)</f>
        <v/>
      </c>
      <c r="F383" s="203">
        <f>COUNTIF(C:C,C383)</f>
        <v/>
      </c>
      <c r="G383" s="198">
        <f>+G382+7</f>
        <v/>
      </c>
      <c r="H383" s="361">
        <f>IF(ISBLANK(CO383),CP383,SUMPRODUCT(CO$32:CP$32,CO383:CP383))</f>
        <v/>
      </c>
      <c r="I383" s="968">
        <f>H383/M383</f>
        <v/>
      </c>
      <c r="J383" s="968">
        <f>H383/N383</f>
        <v/>
      </c>
      <c r="K383" s="968">
        <f>(H383+Q383)/O383</f>
        <v/>
      </c>
      <c r="L383" s="968">
        <f>(H383+Q383)/P383</f>
        <v/>
      </c>
      <c r="M383" s="199">
        <f>HLOOKUP(C:C,$4:$10,3,FALSE)+((HLOOKUP(D:D,$4:$10,3,FALSE)-HLOOKUP(C:C,$4:$10,3,FALSE))*E383/F383)</f>
        <v/>
      </c>
      <c r="N383" s="199">
        <f>HLOOKUP(C:C,$4:$10,2,FALSE)+((HLOOKUP(D:D,$4:$10,2,FALSE)-HLOOKUP(C:C,$4:$10,2,FALSE))*E383/F383)</f>
        <v/>
      </c>
      <c r="O383" s="199">
        <f>HLOOKUP(C:C,$4:$10,5,FALSE)+((HLOOKUP(D:D,$4:$10,5,FALSE)-HLOOKUP(C:C,$4:$10,5,FALSE))*E383/F383)</f>
        <v/>
      </c>
      <c r="P383" s="199">
        <f>HLOOKUP(C:C,$4:$10,4,FALSE)+((HLOOKUP(D:D,$4:$10,4,FALSE)-HLOOKUP(C:C,$4:$10,4,FALSE))*E383/F383)</f>
        <v/>
      </c>
      <c r="Q383" s="199">
        <f>HLOOKUP(B:B,$4:$10,6,FALSE)+((HLOOKUP(C:C,$4:$10,6,FALSE)-HLOOKUP(B:B,$4:$10,6,FALSE))*E383/F383)</f>
        <v/>
      </c>
      <c r="T383" s="198">
        <f>$G383</f>
        <v/>
      </c>
      <c r="U383" s="199">
        <f>H383/(HLOOKUP(B:B,$4:$10,3,FALSE)+((HLOOKUP(C:C,$4:$10,3,FALSE)-HLOOKUP(B:B,$4:$10,3,FALSE))*E383/F383))</f>
        <v/>
      </c>
      <c r="V383" s="969">
        <f>HLOOKUP(B:B,$4:$10,7,FALSE)+((HLOOKUP(C:C,$4:$10,7,FALSE)-HLOOKUP(B:B,$4:$10,7,FALSE))*E383/F383)</f>
        <v/>
      </c>
      <c r="AB383" s="198">
        <f>$G383</f>
        <v/>
      </c>
      <c r="AC383" s="199">
        <f>$H383</f>
        <v/>
      </c>
      <c r="AD383" s="199">
        <f>$M383*AD$34</f>
        <v/>
      </c>
      <c r="AE383" s="199">
        <f>$M383*AE$34</f>
        <v/>
      </c>
      <c r="AF383" s="199">
        <f>$M383*AF$34</f>
        <v/>
      </c>
      <c r="AG383" s="199">
        <f>$M383*AG$34</f>
        <v/>
      </c>
      <c r="AH383" s="199">
        <f>$M383*AH$34</f>
        <v/>
      </c>
      <c r="AJ383" s="198">
        <f>$G383</f>
        <v/>
      </c>
      <c r="AK383" s="199">
        <f>$H383</f>
        <v/>
      </c>
      <c r="AL383" s="199">
        <f>$N383*AL$34</f>
        <v/>
      </c>
      <c r="AM383" s="199">
        <f>$N383*AM$34</f>
        <v/>
      </c>
      <c r="AN383" s="199">
        <f>$N383*AN$34</f>
        <v/>
      </c>
      <c r="AO383" s="199">
        <f>$N383*AO$34</f>
        <v/>
      </c>
      <c r="AP383" s="199">
        <f>$N383*AP$34</f>
        <v/>
      </c>
      <c r="AR383" s="198">
        <f>$G383</f>
        <v/>
      </c>
      <c r="AS383" s="199">
        <f>$H383</f>
        <v/>
      </c>
      <c r="AT383" s="199">
        <f>$O383*AT$34-$Q383</f>
        <v/>
      </c>
      <c r="AU383" s="199">
        <f>$O383*AU$34-$Q383</f>
        <v/>
      </c>
      <c r="AV383" s="199">
        <f>$O383*AV$34-$Q383</f>
        <v/>
      </c>
      <c r="AW383" s="199">
        <f>$O383*AW$34-$Q383</f>
        <v/>
      </c>
      <c r="AX383" s="199">
        <f>$O383*AX$34-$Q383</f>
        <v/>
      </c>
      <c r="AZ383" s="198">
        <f>$G383</f>
        <v/>
      </c>
      <c r="BA383" s="199">
        <f>$H383</f>
        <v/>
      </c>
      <c r="BB383" s="199">
        <f>$P383*BB$34-$Q383</f>
        <v/>
      </c>
      <c r="BC383" s="199">
        <f>$P383*BC$34-$Q383</f>
        <v/>
      </c>
      <c r="BD383" s="199">
        <f>$P383*BD$34-$Q383</f>
        <v/>
      </c>
      <c r="BE383" s="199">
        <f>$P383*BE$34-$Q383</f>
        <v/>
      </c>
      <c r="BF383" s="199">
        <f>$P383*BF$34-$Q383</f>
        <v/>
      </c>
      <c r="BH383" s="198">
        <f>$G383</f>
        <v/>
      </c>
      <c r="BI383" s="197">
        <f>$I383</f>
        <v/>
      </c>
      <c r="BJ383" s="197">
        <f>+BJ384</f>
        <v/>
      </c>
      <c r="BK383" s="197">
        <f>+BK384</f>
        <v/>
      </c>
      <c r="BL383" s="197">
        <f>+BL384</f>
        <v/>
      </c>
      <c r="BM383" s="197">
        <f>+BM384</f>
        <v/>
      </c>
      <c r="BN383" s="197">
        <f>+BN384</f>
        <v/>
      </c>
      <c r="BP383" s="198">
        <f>$G383</f>
        <v/>
      </c>
      <c r="BQ383" s="197">
        <f>$J383</f>
        <v/>
      </c>
      <c r="BR383" s="197">
        <f>+BR384</f>
        <v/>
      </c>
      <c r="BS383" s="197">
        <f>+BS384</f>
        <v/>
      </c>
      <c r="BT383" s="197">
        <f>+BT384</f>
        <v/>
      </c>
      <c r="BU383" s="197">
        <f>+BU384</f>
        <v/>
      </c>
      <c r="BV383" s="197">
        <f>+BV384</f>
        <v/>
      </c>
      <c r="BX383" s="198">
        <f>$G383</f>
        <v/>
      </c>
      <c r="BY383" s="197">
        <f>$K383</f>
        <v/>
      </c>
      <c r="BZ383" s="197">
        <f>+BZ384</f>
        <v/>
      </c>
      <c r="CA383" s="197">
        <f>+CA384</f>
        <v/>
      </c>
      <c r="CB383" s="197">
        <f>+CB384</f>
        <v/>
      </c>
      <c r="CC383" s="197">
        <f>+CC384</f>
        <v/>
      </c>
      <c r="CD383" s="197">
        <f>+CD384</f>
        <v/>
      </c>
      <c r="CF383" s="198">
        <f>$G383</f>
        <v/>
      </c>
      <c r="CG383" s="197">
        <f>$L383</f>
        <v/>
      </c>
      <c r="CH383" s="197">
        <f>+CH384</f>
        <v/>
      </c>
      <c r="CI383" s="197">
        <f>+CI384</f>
        <v/>
      </c>
      <c r="CJ383" s="197">
        <f>+CJ384</f>
        <v/>
      </c>
      <c r="CK383" s="197">
        <f>+CK384</f>
        <v/>
      </c>
      <c r="CL383" s="197">
        <f>+CL384</f>
        <v/>
      </c>
      <c r="CO383" s="199" t="n">
        <v>7.408673151798465</v>
      </c>
      <c r="CP383" s="199" t="n">
        <v>3.49</v>
      </c>
      <c r="CR383" s="199" t="n">
        <v>6.07</v>
      </c>
      <c r="CS383" s="970" t="n">
        <v>0.81931</v>
      </c>
    </row>
    <row r="384">
      <c r="B384" s="204">
        <f>+C384-1</f>
        <v/>
      </c>
      <c r="C384" s="204">
        <f>IF('bands_A-H_Avg'!$D$9+1&gt;MONTH(G384),YEAR(G384),YEAR(G384)+1)</f>
        <v/>
      </c>
      <c r="D384" s="204">
        <f>+C384+1</f>
        <v/>
      </c>
      <c r="E384" s="203">
        <f>IF(C384&gt;C383,1,E383+1)</f>
        <v/>
      </c>
      <c r="F384" s="203">
        <f>COUNTIF(C:C,C384)</f>
        <v/>
      </c>
      <c r="G384" s="198">
        <f>+G383+7</f>
        <v/>
      </c>
      <c r="H384" s="361">
        <f>IF(ISBLANK(CO384),CP384,SUMPRODUCT(CO$32:CP$32,CO384:CP384))</f>
        <v/>
      </c>
      <c r="I384" s="968">
        <f>H384/M384</f>
        <v/>
      </c>
      <c r="J384" s="968">
        <f>H384/N384</f>
        <v/>
      </c>
      <c r="K384" s="968">
        <f>(H384+Q384)/O384</f>
        <v/>
      </c>
      <c r="L384" s="968">
        <f>(H384+Q384)/P384</f>
        <v/>
      </c>
      <c r="M384" s="199">
        <f>HLOOKUP(C:C,$4:$10,3,FALSE)+((HLOOKUP(D:D,$4:$10,3,FALSE)-HLOOKUP(C:C,$4:$10,3,FALSE))*E384/F384)</f>
        <v/>
      </c>
      <c r="N384" s="199">
        <f>HLOOKUP(C:C,$4:$10,2,FALSE)+((HLOOKUP(D:D,$4:$10,2,FALSE)-HLOOKUP(C:C,$4:$10,2,FALSE))*E384/F384)</f>
        <v/>
      </c>
      <c r="O384" s="199">
        <f>HLOOKUP(C:C,$4:$10,5,FALSE)+((HLOOKUP(D:D,$4:$10,5,FALSE)-HLOOKUP(C:C,$4:$10,5,FALSE))*E384/F384)</f>
        <v/>
      </c>
      <c r="P384" s="199">
        <f>HLOOKUP(C:C,$4:$10,4,FALSE)+((HLOOKUP(D:D,$4:$10,4,FALSE)-HLOOKUP(C:C,$4:$10,4,FALSE))*E384/F384)</f>
        <v/>
      </c>
      <c r="Q384" s="199">
        <f>HLOOKUP(B:B,$4:$10,6,FALSE)+((HLOOKUP(C:C,$4:$10,6,FALSE)-HLOOKUP(B:B,$4:$10,6,FALSE))*E384/F384)</f>
        <v/>
      </c>
      <c r="T384" s="198">
        <f>$G384</f>
        <v/>
      </c>
      <c r="U384" s="199">
        <f>H384/(HLOOKUP(B:B,$4:$10,3,FALSE)+((HLOOKUP(C:C,$4:$10,3,FALSE)-HLOOKUP(B:B,$4:$10,3,FALSE))*E384/F384))</f>
        <v/>
      </c>
      <c r="V384" s="969">
        <f>HLOOKUP(B:B,$4:$10,7,FALSE)+((HLOOKUP(C:C,$4:$10,7,FALSE)-HLOOKUP(B:B,$4:$10,7,FALSE))*E384/F384)</f>
        <v/>
      </c>
      <c r="AB384" s="198">
        <f>$G384</f>
        <v/>
      </c>
      <c r="AC384" s="199">
        <f>$H384</f>
        <v/>
      </c>
      <c r="AD384" s="199">
        <f>$M384*AD$34</f>
        <v/>
      </c>
      <c r="AE384" s="199">
        <f>$M384*AE$34</f>
        <v/>
      </c>
      <c r="AF384" s="199">
        <f>$M384*AF$34</f>
        <v/>
      </c>
      <c r="AG384" s="199">
        <f>$M384*AG$34</f>
        <v/>
      </c>
      <c r="AH384" s="199">
        <f>$M384*AH$34</f>
        <v/>
      </c>
      <c r="AJ384" s="198">
        <f>$G384</f>
        <v/>
      </c>
      <c r="AK384" s="199">
        <f>$H384</f>
        <v/>
      </c>
      <c r="AL384" s="199">
        <f>$N384*AL$34</f>
        <v/>
      </c>
      <c r="AM384" s="199">
        <f>$N384*AM$34</f>
        <v/>
      </c>
      <c r="AN384" s="199">
        <f>$N384*AN$34</f>
        <v/>
      </c>
      <c r="AO384" s="199">
        <f>$N384*AO$34</f>
        <v/>
      </c>
      <c r="AP384" s="199">
        <f>$N384*AP$34</f>
        <v/>
      </c>
      <c r="AR384" s="198">
        <f>$G384</f>
        <v/>
      </c>
      <c r="AS384" s="199">
        <f>$H384</f>
        <v/>
      </c>
      <c r="AT384" s="199">
        <f>$O384*AT$34-$Q384</f>
        <v/>
      </c>
      <c r="AU384" s="199">
        <f>$O384*AU$34-$Q384</f>
        <v/>
      </c>
      <c r="AV384" s="199">
        <f>$O384*AV$34-$Q384</f>
        <v/>
      </c>
      <c r="AW384" s="199">
        <f>$O384*AW$34-$Q384</f>
        <v/>
      </c>
      <c r="AX384" s="199">
        <f>$O384*AX$34-$Q384</f>
        <v/>
      </c>
      <c r="AZ384" s="198">
        <f>$G384</f>
        <v/>
      </c>
      <c r="BA384" s="199">
        <f>$H384</f>
        <v/>
      </c>
      <c r="BB384" s="199">
        <f>$P384*BB$34-$Q384</f>
        <v/>
      </c>
      <c r="BC384" s="199">
        <f>$P384*BC$34-$Q384</f>
        <v/>
      </c>
      <c r="BD384" s="199">
        <f>$P384*BD$34-$Q384</f>
        <v/>
      </c>
      <c r="BE384" s="199">
        <f>$P384*BE$34-$Q384</f>
        <v/>
      </c>
      <c r="BF384" s="199">
        <f>$P384*BF$34-$Q384</f>
        <v/>
      </c>
      <c r="BH384" s="198">
        <f>$G384</f>
        <v/>
      </c>
      <c r="BI384" s="197">
        <f>$I384</f>
        <v/>
      </c>
      <c r="BJ384" s="197">
        <f>+BJ385</f>
        <v/>
      </c>
      <c r="BK384" s="197">
        <f>+BK385</f>
        <v/>
      </c>
      <c r="BL384" s="197">
        <f>+BL385</f>
        <v/>
      </c>
      <c r="BM384" s="197">
        <f>+BM385</f>
        <v/>
      </c>
      <c r="BN384" s="197">
        <f>+BN385</f>
        <v/>
      </c>
      <c r="BP384" s="198">
        <f>$G384</f>
        <v/>
      </c>
      <c r="BQ384" s="197">
        <f>$J384</f>
        <v/>
      </c>
      <c r="BR384" s="197">
        <f>+BR385</f>
        <v/>
      </c>
      <c r="BS384" s="197">
        <f>+BS385</f>
        <v/>
      </c>
      <c r="BT384" s="197">
        <f>+BT385</f>
        <v/>
      </c>
      <c r="BU384" s="197">
        <f>+BU385</f>
        <v/>
      </c>
      <c r="BV384" s="197">
        <f>+BV385</f>
        <v/>
      </c>
      <c r="BX384" s="198">
        <f>$G384</f>
        <v/>
      </c>
      <c r="BY384" s="197">
        <f>$K384</f>
        <v/>
      </c>
      <c r="BZ384" s="197">
        <f>+BZ385</f>
        <v/>
      </c>
      <c r="CA384" s="197">
        <f>+CA385</f>
        <v/>
      </c>
      <c r="CB384" s="197">
        <f>+CB385</f>
        <v/>
      </c>
      <c r="CC384" s="197">
        <f>+CC385</f>
        <v/>
      </c>
      <c r="CD384" s="197">
        <f>+CD385</f>
        <v/>
      </c>
      <c r="CF384" s="198">
        <f>$G384</f>
        <v/>
      </c>
      <c r="CG384" s="197">
        <f>$L384</f>
        <v/>
      </c>
      <c r="CH384" s="197">
        <f>+CH385</f>
        <v/>
      </c>
      <c r="CI384" s="197">
        <f>+CI385</f>
        <v/>
      </c>
      <c r="CJ384" s="197">
        <f>+CJ385</f>
        <v/>
      </c>
      <c r="CK384" s="197">
        <f>+CK385</f>
        <v/>
      </c>
      <c r="CL384" s="197">
        <f>+CL385</f>
        <v/>
      </c>
      <c r="CO384" s="199" t="n">
        <v>7.174756570759206</v>
      </c>
      <c r="CP384" s="199" t="n">
        <v>3.41</v>
      </c>
      <c r="CR384" s="199" t="n">
        <v>5.88</v>
      </c>
      <c r="CS384" s="970" t="n">
        <v>0.81954</v>
      </c>
    </row>
    <row r="385">
      <c r="B385" s="204">
        <f>+C385-1</f>
        <v/>
      </c>
      <c r="C385" s="204">
        <f>IF('bands_A-H_Avg'!$D$9+1&gt;MONTH(G385),YEAR(G385),YEAR(G385)+1)</f>
        <v/>
      </c>
      <c r="D385" s="204">
        <f>+C385+1</f>
        <v/>
      </c>
      <c r="E385" s="203">
        <f>IF(C385&gt;C384,1,E384+1)</f>
        <v/>
      </c>
      <c r="F385" s="203">
        <f>COUNTIF(C:C,C385)</f>
        <v/>
      </c>
      <c r="G385" s="198">
        <f>+G384+7</f>
        <v/>
      </c>
      <c r="H385" s="361">
        <f>IF(ISBLANK(CO385),CP385,SUMPRODUCT(CO$32:CP$32,CO385:CP385))</f>
        <v/>
      </c>
      <c r="I385" s="968">
        <f>H385/M385</f>
        <v/>
      </c>
      <c r="J385" s="968">
        <f>H385/N385</f>
        <v/>
      </c>
      <c r="K385" s="968">
        <f>(H385+Q385)/O385</f>
        <v/>
      </c>
      <c r="L385" s="968">
        <f>(H385+Q385)/P385</f>
        <v/>
      </c>
      <c r="M385" s="199">
        <f>HLOOKUP(C:C,$4:$10,3,FALSE)+((HLOOKUP(D:D,$4:$10,3,FALSE)-HLOOKUP(C:C,$4:$10,3,FALSE))*E385/F385)</f>
        <v/>
      </c>
      <c r="N385" s="199">
        <f>HLOOKUP(C:C,$4:$10,2,FALSE)+((HLOOKUP(D:D,$4:$10,2,FALSE)-HLOOKUP(C:C,$4:$10,2,FALSE))*E385/F385)</f>
        <v/>
      </c>
      <c r="O385" s="199">
        <f>HLOOKUP(C:C,$4:$10,5,FALSE)+((HLOOKUP(D:D,$4:$10,5,FALSE)-HLOOKUP(C:C,$4:$10,5,FALSE))*E385/F385)</f>
        <v/>
      </c>
      <c r="P385" s="199">
        <f>HLOOKUP(C:C,$4:$10,4,FALSE)+((HLOOKUP(D:D,$4:$10,4,FALSE)-HLOOKUP(C:C,$4:$10,4,FALSE))*E385/F385)</f>
        <v/>
      </c>
      <c r="Q385" s="199">
        <f>HLOOKUP(B:B,$4:$10,6,FALSE)+((HLOOKUP(C:C,$4:$10,6,FALSE)-HLOOKUP(B:B,$4:$10,6,FALSE))*E385/F385)</f>
        <v/>
      </c>
      <c r="T385" s="198">
        <f>$G385</f>
        <v/>
      </c>
      <c r="U385" s="199">
        <f>H385/(HLOOKUP(B:B,$4:$10,3,FALSE)+((HLOOKUP(C:C,$4:$10,3,FALSE)-HLOOKUP(B:B,$4:$10,3,FALSE))*E385/F385))</f>
        <v/>
      </c>
      <c r="V385" s="969">
        <f>HLOOKUP(B:B,$4:$10,7,FALSE)+((HLOOKUP(C:C,$4:$10,7,FALSE)-HLOOKUP(B:B,$4:$10,7,FALSE))*E385/F385)</f>
        <v/>
      </c>
      <c r="AB385" s="198">
        <f>$G385</f>
        <v/>
      </c>
      <c r="AC385" s="199">
        <f>$H385</f>
        <v/>
      </c>
      <c r="AD385" s="199">
        <f>$M385*AD$34</f>
        <v/>
      </c>
      <c r="AE385" s="199">
        <f>$M385*AE$34</f>
        <v/>
      </c>
      <c r="AF385" s="199">
        <f>$M385*AF$34</f>
        <v/>
      </c>
      <c r="AG385" s="199">
        <f>$M385*AG$34</f>
        <v/>
      </c>
      <c r="AH385" s="199">
        <f>$M385*AH$34</f>
        <v/>
      </c>
      <c r="AJ385" s="198">
        <f>$G385</f>
        <v/>
      </c>
      <c r="AK385" s="199">
        <f>$H385</f>
        <v/>
      </c>
      <c r="AL385" s="199">
        <f>$N385*AL$34</f>
        <v/>
      </c>
      <c r="AM385" s="199">
        <f>$N385*AM$34</f>
        <v/>
      </c>
      <c r="AN385" s="199">
        <f>$N385*AN$34</f>
        <v/>
      </c>
      <c r="AO385" s="199">
        <f>$N385*AO$34</f>
        <v/>
      </c>
      <c r="AP385" s="199">
        <f>$N385*AP$34</f>
        <v/>
      </c>
      <c r="AR385" s="198">
        <f>$G385</f>
        <v/>
      </c>
      <c r="AS385" s="199">
        <f>$H385</f>
        <v/>
      </c>
      <c r="AT385" s="199">
        <f>$O385*AT$34-$Q385</f>
        <v/>
      </c>
      <c r="AU385" s="199">
        <f>$O385*AU$34-$Q385</f>
        <v/>
      </c>
      <c r="AV385" s="199">
        <f>$O385*AV$34-$Q385</f>
        <v/>
      </c>
      <c r="AW385" s="199">
        <f>$O385*AW$34-$Q385</f>
        <v/>
      </c>
      <c r="AX385" s="199">
        <f>$O385*AX$34-$Q385</f>
        <v/>
      </c>
      <c r="AZ385" s="198">
        <f>$G385</f>
        <v/>
      </c>
      <c r="BA385" s="199">
        <f>$H385</f>
        <v/>
      </c>
      <c r="BB385" s="199">
        <f>$P385*BB$34-$Q385</f>
        <v/>
      </c>
      <c r="BC385" s="199">
        <f>$P385*BC$34-$Q385</f>
        <v/>
      </c>
      <c r="BD385" s="199">
        <f>$P385*BD$34-$Q385</f>
        <v/>
      </c>
      <c r="BE385" s="199">
        <f>$P385*BE$34-$Q385</f>
        <v/>
      </c>
      <c r="BF385" s="199">
        <f>$P385*BF$34-$Q385</f>
        <v/>
      </c>
      <c r="BH385" s="198">
        <f>$G385</f>
        <v/>
      </c>
      <c r="BI385" s="197">
        <f>$I385</f>
        <v/>
      </c>
      <c r="BJ385" s="197">
        <f>+BJ386</f>
        <v/>
      </c>
      <c r="BK385" s="197">
        <f>+BK386</f>
        <v/>
      </c>
      <c r="BL385" s="197">
        <f>+BL386</f>
        <v/>
      </c>
      <c r="BM385" s="197">
        <f>+BM386</f>
        <v/>
      </c>
      <c r="BN385" s="197">
        <f>+BN386</f>
        <v/>
      </c>
      <c r="BP385" s="198">
        <f>$G385</f>
        <v/>
      </c>
      <c r="BQ385" s="197">
        <f>$J385</f>
        <v/>
      </c>
      <c r="BR385" s="197">
        <f>+BR386</f>
        <v/>
      </c>
      <c r="BS385" s="197">
        <f>+BS386</f>
        <v/>
      </c>
      <c r="BT385" s="197">
        <f>+BT386</f>
        <v/>
      </c>
      <c r="BU385" s="197">
        <f>+BU386</f>
        <v/>
      </c>
      <c r="BV385" s="197">
        <f>+BV386</f>
        <v/>
      </c>
      <c r="BX385" s="198">
        <f>$G385</f>
        <v/>
      </c>
      <c r="BY385" s="197">
        <f>$K385</f>
        <v/>
      </c>
      <c r="BZ385" s="197">
        <f>+BZ386</f>
        <v/>
      </c>
      <c r="CA385" s="197">
        <f>+CA386</f>
        <v/>
      </c>
      <c r="CB385" s="197">
        <f>+CB386</f>
        <v/>
      </c>
      <c r="CC385" s="197">
        <f>+CC386</f>
        <v/>
      </c>
      <c r="CD385" s="197">
        <f>+CD386</f>
        <v/>
      </c>
      <c r="CF385" s="198">
        <f>$G385</f>
        <v/>
      </c>
      <c r="CG385" s="197">
        <f>$L385</f>
        <v/>
      </c>
      <c r="CH385" s="197">
        <f>+CH386</f>
        <v/>
      </c>
      <c r="CI385" s="197">
        <f>+CI386</f>
        <v/>
      </c>
      <c r="CJ385" s="197">
        <f>+CJ386</f>
        <v/>
      </c>
      <c r="CK385" s="197">
        <f>+CK386</f>
        <v/>
      </c>
      <c r="CL385" s="197">
        <f>+CL386</f>
        <v/>
      </c>
      <c r="CO385" s="199" t="n">
        <v>7.127427169654734</v>
      </c>
      <c r="CP385" s="199" t="n">
        <v>3.2</v>
      </c>
      <c r="CR385" s="199" t="n">
        <v>5.84</v>
      </c>
      <c r="CS385" s="970" t="n">
        <v>0.81937</v>
      </c>
    </row>
    <row r="386">
      <c r="B386" s="204">
        <f>+C386-1</f>
        <v/>
      </c>
      <c r="C386" s="204">
        <f>IF('bands_A-H_Avg'!$D$9+1&gt;MONTH(G386),YEAR(G386),YEAR(G386)+1)</f>
        <v/>
      </c>
      <c r="D386" s="204">
        <f>+C386+1</f>
        <v/>
      </c>
      <c r="E386" s="203">
        <f>IF(C386&gt;C385,1,E385+1)</f>
        <v/>
      </c>
      <c r="F386" s="203">
        <f>COUNTIF(C:C,C386)</f>
        <v/>
      </c>
      <c r="G386" s="198">
        <f>+G385+7</f>
        <v/>
      </c>
      <c r="H386" s="361">
        <f>IF(ISBLANK(CO386),CP386,SUMPRODUCT(CO$32:CP$32,CO386:CP386))</f>
        <v/>
      </c>
      <c r="I386" s="968">
        <f>H386/M386</f>
        <v/>
      </c>
      <c r="J386" s="968">
        <f>H386/N386</f>
        <v/>
      </c>
      <c r="K386" s="968">
        <f>(H386+Q386)/O386</f>
        <v/>
      </c>
      <c r="L386" s="968">
        <f>(H386+Q386)/P386</f>
        <v/>
      </c>
      <c r="M386" s="199">
        <f>HLOOKUP(C:C,$4:$10,3,FALSE)+((HLOOKUP(D:D,$4:$10,3,FALSE)-HLOOKUP(C:C,$4:$10,3,FALSE))*E386/F386)</f>
        <v/>
      </c>
      <c r="N386" s="199">
        <f>HLOOKUP(C:C,$4:$10,2,FALSE)+((HLOOKUP(D:D,$4:$10,2,FALSE)-HLOOKUP(C:C,$4:$10,2,FALSE))*E386/F386)</f>
        <v/>
      </c>
      <c r="O386" s="199">
        <f>HLOOKUP(C:C,$4:$10,5,FALSE)+((HLOOKUP(D:D,$4:$10,5,FALSE)-HLOOKUP(C:C,$4:$10,5,FALSE))*E386/F386)</f>
        <v/>
      </c>
      <c r="P386" s="199">
        <f>HLOOKUP(C:C,$4:$10,4,FALSE)+((HLOOKUP(D:D,$4:$10,4,FALSE)-HLOOKUP(C:C,$4:$10,4,FALSE))*E386/F386)</f>
        <v/>
      </c>
      <c r="Q386" s="199">
        <f>HLOOKUP(B:B,$4:$10,6,FALSE)+((HLOOKUP(C:C,$4:$10,6,FALSE)-HLOOKUP(B:B,$4:$10,6,FALSE))*E386/F386)</f>
        <v/>
      </c>
      <c r="T386" s="198">
        <f>$G386</f>
        <v/>
      </c>
      <c r="U386" s="199">
        <f>H386/(HLOOKUP(B:B,$4:$10,3,FALSE)+((HLOOKUP(C:C,$4:$10,3,FALSE)-HLOOKUP(B:B,$4:$10,3,FALSE))*E386/F386))</f>
        <v/>
      </c>
      <c r="V386" s="969">
        <f>HLOOKUP(B:B,$4:$10,7,FALSE)+((HLOOKUP(C:C,$4:$10,7,FALSE)-HLOOKUP(B:B,$4:$10,7,FALSE))*E386/F386)</f>
        <v/>
      </c>
      <c r="AB386" s="198">
        <f>$G386</f>
        <v/>
      </c>
      <c r="AC386" s="199">
        <f>$H386</f>
        <v/>
      </c>
      <c r="AD386" s="199">
        <f>$M386*AD$34</f>
        <v/>
      </c>
      <c r="AE386" s="199">
        <f>$M386*AE$34</f>
        <v/>
      </c>
      <c r="AF386" s="199">
        <f>$M386*AF$34</f>
        <v/>
      </c>
      <c r="AG386" s="199">
        <f>$M386*AG$34</f>
        <v/>
      </c>
      <c r="AH386" s="199">
        <f>$M386*AH$34</f>
        <v/>
      </c>
      <c r="AJ386" s="198">
        <f>$G386</f>
        <v/>
      </c>
      <c r="AK386" s="199">
        <f>$H386</f>
        <v/>
      </c>
      <c r="AL386" s="199">
        <f>$N386*AL$34</f>
        <v/>
      </c>
      <c r="AM386" s="199">
        <f>$N386*AM$34</f>
        <v/>
      </c>
      <c r="AN386" s="199">
        <f>$N386*AN$34</f>
        <v/>
      </c>
      <c r="AO386" s="199">
        <f>$N386*AO$34</f>
        <v/>
      </c>
      <c r="AP386" s="199">
        <f>$N386*AP$34</f>
        <v/>
      </c>
      <c r="AR386" s="198">
        <f>$G386</f>
        <v/>
      </c>
      <c r="AS386" s="199">
        <f>$H386</f>
        <v/>
      </c>
      <c r="AT386" s="199">
        <f>$O386*AT$34-$Q386</f>
        <v/>
      </c>
      <c r="AU386" s="199">
        <f>$O386*AU$34-$Q386</f>
        <v/>
      </c>
      <c r="AV386" s="199">
        <f>$O386*AV$34-$Q386</f>
        <v/>
      </c>
      <c r="AW386" s="199">
        <f>$O386*AW$34-$Q386</f>
        <v/>
      </c>
      <c r="AX386" s="199">
        <f>$O386*AX$34-$Q386</f>
        <v/>
      </c>
      <c r="AZ386" s="198">
        <f>$G386</f>
        <v/>
      </c>
      <c r="BA386" s="199">
        <f>$H386</f>
        <v/>
      </c>
      <c r="BB386" s="199">
        <f>$P386*BB$34-$Q386</f>
        <v/>
      </c>
      <c r="BC386" s="199">
        <f>$P386*BC$34-$Q386</f>
        <v/>
      </c>
      <c r="BD386" s="199">
        <f>$P386*BD$34-$Q386</f>
        <v/>
      </c>
      <c r="BE386" s="199">
        <f>$P386*BE$34-$Q386</f>
        <v/>
      </c>
      <c r="BF386" s="199">
        <f>$P386*BF$34-$Q386</f>
        <v/>
      </c>
      <c r="BH386" s="198">
        <f>$G386</f>
        <v/>
      </c>
      <c r="BI386" s="197">
        <f>$I386</f>
        <v/>
      </c>
      <c r="BJ386" s="197">
        <f>+BJ387</f>
        <v/>
      </c>
      <c r="BK386" s="197">
        <f>+BK387</f>
        <v/>
      </c>
      <c r="BL386" s="197">
        <f>+BL387</f>
        <v/>
      </c>
      <c r="BM386" s="197">
        <f>+BM387</f>
        <v/>
      </c>
      <c r="BN386" s="197">
        <f>+BN387</f>
        <v/>
      </c>
      <c r="BP386" s="198">
        <f>$G386</f>
        <v/>
      </c>
      <c r="BQ386" s="197">
        <f>$J386</f>
        <v/>
      </c>
      <c r="BR386" s="197">
        <f>+BR387</f>
        <v/>
      </c>
      <c r="BS386" s="197">
        <f>+BS387</f>
        <v/>
      </c>
      <c r="BT386" s="197">
        <f>+BT387</f>
        <v/>
      </c>
      <c r="BU386" s="197">
        <f>+BU387</f>
        <v/>
      </c>
      <c r="BV386" s="197">
        <f>+BV387</f>
        <v/>
      </c>
      <c r="BX386" s="198">
        <f>$G386</f>
        <v/>
      </c>
      <c r="BY386" s="197">
        <f>$K386</f>
        <v/>
      </c>
      <c r="BZ386" s="197">
        <f>+BZ387</f>
        <v/>
      </c>
      <c r="CA386" s="197">
        <f>+CA387</f>
        <v/>
      </c>
      <c r="CB386" s="197">
        <f>+CB387</f>
        <v/>
      </c>
      <c r="CC386" s="197">
        <f>+CC387</f>
        <v/>
      </c>
      <c r="CD386" s="197">
        <f>+CD387</f>
        <v/>
      </c>
      <c r="CF386" s="198">
        <f>$G386</f>
        <v/>
      </c>
      <c r="CG386" s="197">
        <f>$L386</f>
        <v/>
      </c>
      <c r="CH386" s="197">
        <f>+CH387</f>
        <v/>
      </c>
      <c r="CI386" s="197">
        <f>+CI387</f>
        <v/>
      </c>
      <c r="CJ386" s="197">
        <f>+CJ387</f>
        <v/>
      </c>
      <c r="CK386" s="197">
        <f>+CK387</f>
        <v/>
      </c>
      <c r="CL386" s="197">
        <f>+CL387</f>
        <v/>
      </c>
      <c r="CO386" s="199" t="n">
        <v>7.006322779093328</v>
      </c>
      <c r="CP386" s="199" t="n">
        <v>2.98</v>
      </c>
      <c r="CR386" s="199" t="n">
        <v>5.74</v>
      </c>
      <c r="CS386" s="970" t="n">
        <v>0.81926</v>
      </c>
    </row>
    <row r="387">
      <c r="B387" s="204">
        <f>+C387-1</f>
        <v/>
      </c>
      <c r="C387" s="204">
        <f>IF('bands_A-H_Avg'!$D$9+1&gt;MONTH(G387),YEAR(G387),YEAR(G387)+1)</f>
        <v/>
      </c>
      <c r="D387" s="204">
        <f>+C387+1</f>
        <v/>
      </c>
      <c r="E387" s="203">
        <f>IF(C387&gt;C386,1,E386+1)</f>
        <v/>
      </c>
      <c r="F387" s="203">
        <f>COUNTIF(C:C,C387)</f>
        <v/>
      </c>
      <c r="G387" s="198">
        <f>+G386+7</f>
        <v/>
      </c>
      <c r="H387" s="361">
        <f>IF(ISBLANK(CO387),CP387,SUMPRODUCT(CO$32:CP$32,CO387:CP387))</f>
        <v/>
      </c>
      <c r="I387" s="968">
        <f>H387/M387</f>
        <v/>
      </c>
      <c r="J387" s="968">
        <f>H387/N387</f>
        <v/>
      </c>
      <c r="K387" s="968">
        <f>(H387+Q387)/O387</f>
        <v/>
      </c>
      <c r="L387" s="968">
        <f>(H387+Q387)/P387</f>
        <v/>
      </c>
      <c r="M387" s="199">
        <f>HLOOKUP(C:C,$4:$10,3,FALSE)+((HLOOKUP(D:D,$4:$10,3,FALSE)-HLOOKUP(C:C,$4:$10,3,FALSE))*E387/F387)</f>
        <v/>
      </c>
      <c r="N387" s="199">
        <f>HLOOKUP(C:C,$4:$10,2,FALSE)+((HLOOKUP(D:D,$4:$10,2,FALSE)-HLOOKUP(C:C,$4:$10,2,FALSE))*E387/F387)</f>
        <v/>
      </c>
      <c r="O387" s="199">
        <f>HLOOKUP(C:C,$4:$10,5,FALSE)+((HLOOKUP(D:D,$4:$10,5,FALSE)-HLOOKUP(C:C,$4:$10,5,FALSE))*E387/F387)</f>
        <v/>
      </c>
      <c r="P387" s="199">
        <f>HLOOKUP(C:C,$4:$10,4,FALSE)+((HLOOKUP(D:D,$4:$10,4,FALSE)-HLOOKUP(C:C,$4:$10,4,FALSE))*E387/F387)</f>
        <v/>
      </c>
      <c r="Q387" s="199">
        <f>HLOOKUP(B:B,$4:$10,6,FALSE)+((HLOOKUP(C:C,$4:$10,6,FALSE)-HLOOKUP(B:B,$4:$10,6,FALSE))*E387/F387)</f>
        <v/>
      </c>
      <c r="T387" s="198">
        <f>$G387</f>
        <v/>
      </c>
      <c r="U387" s="199">
        <f>H387/(HLOOKUP(B:B,$4:$10,3,FALSE)+((HLOOKUP(C:C,$4:$10,3,FALSE)-HLOOKUP(B:B,$4:$10,3,FALSE))*E387/F387))</f>
        <v/>
      </c>
      <c r="V387" s="969">
        <f>HLOOKUP(B:B,$4:$10,7,FALSE)+((HLOOKUP(C:C,$4:$10,7,FALSE)-HLOOKUP(B:B,$4:$10,7,FALSE))*E387/F387)</f>
        <v/>
      </c>
      <c r="AB387" s="198">
        <f>$G387</f>
        <v/>
      </c>
      <c r="AC387" s="199">
        <f>$H387</f>
        <v/>
      </c>
      <c r="AD387" s="199">
        <f>$M387*AD$34</f>
        <v/>
      </c>
      <c r="AE387" s="199">
        <f>$M387*AE$34</f>
        <v/>
      </c>
      <c r="AF387" s="199">
        <f>$M387*AF$34</f>
        <v/>
      </c>
      <c r="AG387" s="199">
        <f>$M387*AG$34</f>
        <v/>
      </c>
      <c r="AH387" s="199">
        <f>$M387*AH$34</f>
        <v/>
      </c>
      <c r="AJ387" s="198">
        <f>$G387</f>
        <v/>
      </c>
      <c r="AK387" s="199">
        <f>$H387</f>
        <v/>
      </c>
      <c r="AL387" s="199">
        <f>$N387*AL$34</f>
        <v/>
      </c>
      <c r="AM387" s="199">
        <f>$N387*AM$34</f>
        <v/>
      </c>
      <c r="AN387" s="199">
        <f>$N387*AN$34</f>
        <v/>
      </c>
      <c r="AO387" s="199">
        <f>$N387*AO$34</f>
        <v/>
      </c>
      <c r="AP387" s="199">
        <f>$N387*AP$34</f>
        <v/>
      </c>
      <c r="AR387" s="198">
        <f>$G387</f>
        <v/>
      </c>
      <c r="AS387" s="199">
        <f>$H387</f>
        <v/>
      </c>
      <c r="AT387" s="199">
        <f>$O387*AT$34-$Q387</f>
        <v/>
      </c>
      <c r="AU387" s="199">
        <f>$O387*AU$34-$Q387</f>
        <v/>
      </c>
      <c r="AV387" s="199">
        <f>$O387*AV$34-$Q387</f>
        <v/>
      </c>
      <c r="AW387" s="199">
        <f>$O387*AW$34-$Q387</f>
        <v/>
      </c>
      <c r="AX387" s="199">
        <f>$O387*AX$34-$Q387</f>
        <v/>
      </c>
      <c r="AZ387" s="198">
        <f>$G387</f>
        <v/>
      </c>
      <c r="BA387" s="199">
        <f>$H387</f>
        <v/>
      </c>
      <c r="BB387" s="199">
        <f>$P387*BB$34-$Q387</f>
        <v/>
      </c>
      <c r="BC387" s="199">
        <f>$P387*BC$34-$Q387</f>
        <v/>
      </c>
      <c r="BD387" s="199">
        <f>$P387*BD$34-$Q387</f>
        <v/>
      </c>
      <c r="BE387" s="199">
        <f>$P387*BE$34-$Q387</f>
        <v/>
      </c>
      <c r="BF387" s="199">
        <f>$P387*BF$34-$Q387</f>
        <v/>
      </c>
      <c r="BH387" s="198">
        <f>$G387</f>
        <v/>
      </c>
      <c r="BI387" s="197">
        <f>$I387</f>
        <v/>
      </c>
      <c r="BJ387" s="197">
        <f>+BJ388</f>
        <v/>
      </c>
      <c r="BK387" s="197">
        <f>+BK388</f>
        <v/>
      </c>
      <c r="BL387" s="197">
        <f>+BL388</f>
        <v/>
      </c>
      <c r="BM387" s="197">
        <f>+BM388</f>
        <v/>
      </c>
      <c r="BN387" s="197">
        <f>+BN388</f>
        <v/>
      </c>
      <c r="BP387" s="198">
        <f>$G387</f>
        <v/>
      </c>
      <c r="BQ387" s="197">
        <f>$J387</f>
        <v/>
      </c>
      <c r="BR387" s="197">
        <f>+BR388</f>
        <v/>
      </c>
      <c r="BS387" s="197">
        <f>+BS388</f>
        <v/>
      </c>
      <c r="BT387" s="197">
        <f>+BT388</f>
        <v/>
      </c>
      <c r="BU387" s="197">
        <f>+BU388</f>
        <v/>
      </c>
      <c r="BV387" s="197">
        <f>+BV388</f>
        <v/>
      </c>
      <c r="BX387" s="198">
        <f>$G387</f>
        <v/>
      </c>
      <c r="BY387" s="197">
        <f>$K387</f>
        <v/>
      </c>
      <c r="BZ387" s="197">
        <f>+BZ388</f>
        <v/>
      </c>
      <c r="CA387" s="197">
        <f>+CA388</f>
        <v/>
      </c>
      <c r="CB387" s="197">
        <f>+CB388</f>
        <v/>
      </c>
      <c r="CC387" s="197">
        <f>+CC388</f>
        <v/>
      </c>
      <c r="CD387" s="197">
        <f>+CD388</f>
        <v/>
      </c>
      <c r="CF387" s="198">
        <f>$G387</f>
        <v/>
      </c>
      <c r="CG387" s="197">
        <f>$L387</f>
        <v/>
      </c>
      <c r="CH387" s="197">
        <f>+CH388</f>
        <v/>
      </c>
      <c r="CI387" s="197">
        <f>+CI388</f>
        <v/>
      </c>
      <c r="CJ387" s="197">
        <f>+CJ388</f>
        <v/>
      </c>
      <c r="CK387" s="197">
        <f>+CK388</f>
        <v/>
      </c>
      <c r="CL387" s="197">
        <f>+CL388</f>
        <v/>
      </c>
      <c r="CO387" s="199" t="n">
        <v>7.366684991753711</v>
      </c>
      <c r="CP387" s="199" t="n">
        <v>2.87</v>
      </c>
      <c r="CR387" s="199" t="n">
        <v>6.03</v>
      </c>
      <c r="CS387" s="970" t="n">
        <v>0.81855</v>
      </c>
    </row>
    <row r="388">
      <c r="B388" s="204">
        <f>+C388-1</f>
        <v/>
      </c>
      <c r="C388" s="204">
        <f>IF('bands_A-H_Avg'!$D$9+1&gt;MONTH(G388),YEAR(G388),YEAR(G388)+1)</f>
        <v/>
      </c>
      <c r="D388" s="204">
        <f>+C388+1</f>
        <v/>
      </c>
      <c r="E388" s="203">
        <f>IF(C388&gt;C387,1,E387+1)</f>
        <v/>
      </c>
      <c r="F388" s="203">
        <f>COUNTIF(C:C,C388)</f>
        <v/>
      </c>
      <c r="G388" s="198">
        <f>+G387+7</f>
        <v/>
      </c>
      <c r="H388" s="361">
        <f>IF(ISBLANK(CO388),CP388,SUMPRODUCT(CO$32:CP$32,CO388:CP388))</f>
        <v/>
      </c>
      <c r="I388" s="968">
        <f>H388/M388</f>
        <v/>
      </c>
      <c r="J388" s="968">
        <f>H388/N388</f>
        <v/>
      </c>
      <c r="K388" s="968">
        <f>(H388+Q388)/O388</f>
        <v/>
      </c>
      <c r="L388" s="968">
        <f>(H388+Q388)/P388</f>
        <v/>
      </c>
      <c r="M388" s="199">
        <f>HLOOKUP(C:C,$4:$10,3,FALSE)+((HLOOKUP(D:D,$4:$10,3,FALSE)-HLOOKUP(C:C,$4:$10,3,FALSE))*E388/F388)</f>
        <v/>
      </c>
      <c r="N388" s="199">
        <f>HLOOKUP(C:C,$4:$10,2,FALSE)+((HLOOKUP(D:D,$4:$10,2,FALSE)-HLOOKUP(C:C,$4:$10,2,FALSE))*E388/F388)</f>
        <v/>
      </c>
      <c r="O388" s="199">
        <f>HLOOKUP(C:C,$4:$10,5,FALSE)+((HLOOKUP(D:D,$4:$10,5,FALSE)-HLOOKUP(C:C,$4:$10,5,FALSE))*E388/F388)</f>
        <v/>
      </c>
      <c r="P388" s="199">
        <f>HLOOKUP(C:C,$4:$10,4,FALSE)+((HLOOKUP(D:D,$4:$10,4,FALSE)-HLOOKUP(C:C,$4:$10,4,FALSE))*E388/F388)</f>
        <v/>
      </c>
      <c r="Q388" s="199">
        <f>HLOOKUP(B:B,$4:$10,6,FALSE)+((HLOOKUP(C:C,$4:$10,6,FALSE)-HLOOKUP(B:B,$4:$10,6,FALSE))*E388/F388)</f>
        <v/>
      </c>
      <c r="T388" s="198">
        <f>$G388</f>
        <v/>
      </c>
      <c r="U388" s="199">
        <f>H388/(HLOOKUP(B:B,$4:$10,3,FALSE)+((HLOOKUP(C:C,$4:$10,3,FALSE)-HLOOKUP(B:B,$4:$10,3,FALSE))*E388/F388))</f>
        <v/>
      </c>
      <c r="V388" s="969">
        <f>HLOOKUP(B:B,$4:$10,7,FALSE)+((HLOOKUP(C:C,$4:$10,7,FALSE)-HLOOKUP(B:B,$4:$10,7,FALSE))*E388/F388)</f>
        <v/>
      </c>
      <c r="AB388" s="198">
        <f>$G388</f>
        <v/>
      </c>
      <c r="AC388" s="199">
        <f>$H388</f>
        <v/>
      </c>
      <c r="AD388" s="199">
        <f>$M388*AD$34</f>
        <v/>
      </c>
      <c r="AE388" s="199">
        <f>$M388*AE$34</f>
        <v/>
      </c>
      <c r="AF388" s="199">
        <f>$M388*AF$34</f>
        <v/>
      </c>
      <c r="AG388" s="199">
        <f>$M388*AG$34</f>
        <v/>
      </c>
      <c r="AH388" s="199">
        <f>$M388*AH$34</f>
        <v/>
      </c>
      <c r="AJ388" s="198">
        <f>$G388</f>
        <v/>
      </c>
      <c r="AK388" s="199">
        <f>$H388</f>
        <v/>
      </c>
      <c r="AL388" s="199">
        <f>$N388*AL$34</f>
        <v/>
      </c>
      <c r="AM388" s="199">
        <f>$N388*AM$34</f>
        <v/>
      </c>
      <c r="AN388" s="199">
        <f>$N388*AN$34</f>
        <v/>
      </c>
      <c r="AO388" s="199">
        <f>$N388*AO$34</f>
        <v/>
      </c>
      <c r="AP388" s="199">
        <f>$N388*AP$34</f>
        <v/>
      </c>
      <c r="AR388" s="198">
        <f>$G388</f>
        <v/>
      </c>
      <c r="AS388" s="199">
        <f>$H388</f>
        <v/>
      </c>
      <c r="AT388" s="199">
        <f>$O388*AT$34-$Q388</f>
        <v/>
      </c>
      <c r="AU388" s="199">
        <f>$O388*AU$34-$Q388</f>
        <v/>
      </c>
      <c r="AV388" s="199">
        <f>$O388*AV$34-$Q388</f>
        <v/>
      </c>
      <c r="AW388" s="199">
        <f>$O388*AW$34-$Q388</f>
        <v/>
      </c>
      <c r="AX388" s="199">
        <f>$O388*AX$34-$Q388</f>
        <v/>
      </c>
      <c r="AZ388" s="198">
        <f>$G388</f>
        <v/>
      </c>
      <c r="BA388" s="199">
        <f>$H388</f>
        <v/>
      </c>
      <c r="BB388" s="199">
        <f>$P388*BB$34-$Q388</f>
        <v/>
      </c>
      <c r="BC388" s="199">
        <f>$P388*BC$34-$Q388</f>
        <v/>
      </c>
      <c r="BD388" s="199">
        <f>$P388*BD$34-$Q388</f>
        <v/>
      </c>
      <c r="BE388" s="199">
        <f>$P388*BE$34-$Q388</f>
        <v/>
      </c>
      <c r="BF388" s="199">
        <f>$P388*BF$34-$Q388</f>
        <v/>
      </c>
      <c r="BH388" s="198">
        <f>$G388</f>
        <v/>
      </c>
      <c r="BI388" s="197">
        <f>$I388</f>
        <v/>
      </c>
      <c r="BJ388" s="197">
        <f>+BJ389</f>
        <v/>
      </c>
      <c r="BK388" s="197">
        <f>+BK389</f>
        <v/>
      </c>
      <c r="BL388" s="197">
        <f>+BL389</f>
        <v/>
      </c>
      <c r="BM388" s="197">
        <f>+BM389</f>
        <v/>
      </c>
      <c r="BN388" s="197">
        <f>+BN389</f>
        <v/>
      </c>
      <c r="BP388" s="198">
        <f>$G388</f>
        <v/>
      </c>
      <c r="BQ388" s="197">
        <f>$J388</f>
        <v/>
      </c>
      <c r="BR388" s="197">
        <f>+BR389</f>
        <v/>
      </c>
      <c r="BS388" s="197">
        <f>+BS389</f>
        <v/>
      </c>
      <c r="BT388" s="197">
        <f>+BT389</f>
        <v/>
      </c>
      <c r="BU388" s="197">
        <f>+BU389</f>
        <v/>
      </c>
      <c r="BV388" s="197">
        <f>+BV389</f>
        <v/>
      </c>
      <c r="BX388" s="198">
        <f>$G388</f>
        <v/>
      </c>
      <c r="BY388" s="197">
        <f>$K388</f>
        <v/>
      </c>
      <c r="BZ388" s="197">
        <f>+BZ389</f>
        <v/>
      </c>
      <c r="CA388" s="197">
        <f>+CA389</f>
        <v/>
      </c>
      <c r="CB388" s="197">
        <f>+CB389</f>
        <v/>
      </c>
      <c r="CC388" s="197">
        <f>+CC389</f>
        <v/>
      </c>
      <c r="CD388" s="197">
        <f>+CD389</f>
        <v/>
      </c>
      <c r="CF388" s="198">
        <f>$G388</f>
        <v/>
      </c>
      <c r="CG388" s="197">
        <f>$L388</f>
        <v/>
      </c>
      <c r="CH388" s="197">
        <f>+CH389</f>
        <v/>
      </c>
      <c r="CI388" s="197">
        <f>+CI389</f>
        <v/>
      </c>
      <c r="CJ388" s="197">
        <f>+CJ389</f>
        <v/>
      </c>
      <c r="CK388" s="197">
        <f>+CK389</f>
        <v/>
      </c>
      <c r="CL388" s="197">
        <f>+CL389</f>
        <v/>
      </c>
      <c r="CO388" s="199" t="n">
        <v>7.365943487115697</v>
      </c>
      <c r="CP388" s="199" t="n">
        <v>3.03</v>
      </c>
      <c r="CR388" s="199" t="n">
        <v>6.04</v>
      </c>
      <c r="CS388" s="970" t="n">
        <v>0.81999</v>
      </c>
    </row>
    <row r="389">
      <c r="B389" s="204">
        <f>+C389-1</f>
        <v/>
      </c>
      <c r="C389" s="204">
        <f>IF('bands_A-H_Avg'!$D$9+1&gt;MONTH(G389),YEAR(G389),YEAR(G389)+1)</f>
        <v/>
      </c>
      <c r="D389" s="204">
        <f>+C389+1</f>
        <v/>
      </c>
      <c r="E389" s="203">
        <f>IF(C389&gt;C388,1,E388+1)</f>
        <v/>
      </c>
      <c r="F389" s="203">
        <f>COUNTIF(C:C,C389)</f>
        <v/>
      </c>
      <c r="G389" s="198">
        <f>+G388+7</f>
        <v/>
      </c>
      <c r="H389" s="361">
        <f>IF(ISBLANK(CO389),CP389,SUMPRODUCT(CO$32:CP$32,CO389:CP389))</f>
        <v/>
      </c>
      <c r="I389" s="968">
        <f>H389/M389</f>
        <v/>
      </c>
      <c r="J389" s="968">
        <f>H389/N389</f>
        <v/>
      </c>
      <c r="K389" s="968">
        <f>(H389+Q389)/O389</f>
        <v/>
      </c>
      <c r="L389" s="968">
        <f>(H389+Q389)/P389</f>
        <v/>
      </c>
      <c r="M389" s="199">
        <f>HLOOKUP(C:C,$4:$10,3,FALSE)+((HLOOKUP(D:D,$4:$10,3,FALSE)-HLOOKUP(C:C,$4:$10,3,FALSE))*E389/F389)</f>
        <v/>
      </c>
      <c r="N389" s="199">
        <f>HLOOKUP(C:C,$4:$10,2,FALSE)+((HLOOKUP(D:D,$4:$10,2,FALSE)-HLOOKUP(C:C,$4:$10,2,FALSE))*E389/F389)</f>
        <v/>
      </c>
      <c r="O389" s="199">
        <f>HLOOKUP(C:C,$4:$10,5,FALSE)+((HLOOKUP(D:D,$4:$10,5,FALSE)-HLOOKUP(C:C,$4:$10,5,FALSE))*E389/F389)</f>
        <v/>
      </c>
      <c r="P389" s="199">
        <f>HLOOKUP(C:C,$4:$10,4,FALSE)+((HLOOKUP(D:D,$4:$10,4,FALSE)-HLOOKUP(C:C,$4:$10,4,FALSE))*E389/F389)</f>
        <v/>
      </c>
      <c r="Q389" s="199">
        <f>HLOOKUP(B:B,$4:$10,6,FALSE)+((HLOOKUP(C:C,$4:$10,6,FALSE)-HLOOKUP(B:B,$4:$10,6,FALSE))*E389/F389)</f>
        <v/>
      </c>
      <c r="T389" s="198">
        <f>$G389</f>
        <v/>
      </c>
      <c r="U389" s="199">
        <f>H389/(HLOOKUP(B:B,$4:$10,3,FALSE)+((HLOOKUP(C:C,$4:$10,3,FALSE)-HLOOKUP(B:B,$4:$10,3,FALSE))*E389/F389))</f>
        <v/>
      </c>
      <c r="V389" s="969">
        <f>HLOOKUP(B:B,$4:$10,7,FALSE)+((HLOOKUP(C:C,$4:$10,7,FALSE)-HLOOKUP(B:B,$4:$10,7,FALSE))*E389/F389)</f>
        <v/>
      </c>
      <c r="AB389" s="198">
        <f>$G389</f>
        <v/>
      </c>
      <c r="AC389" s="199">
        <f>$H389</f>
        <v/>
      </c>
      <c r="AD389" s="199">
        <f>$M389*AD$34</f>
        <v/>
      </c>
      <c r="AE389" s="199">
        <f>$M389*AE$34</f>
        <v/>
      </c>
      <c r="AF389" s="199">
        <f>$M389*AF$34</f>
        <v/>
      </c>
      <c r="AG389" s="199">
        <f>$M389*AG$34</f>
        <v/>
      </c>
      <c r="AH389" s="199">
        <f>$M389*AH$34</f>
        <v/>
      </c>
      <c r="AJ389" s="198">
        <f>$G389</f>
        <v/>
      </c>
      <c r="AK389" s="199">
        <f>$H389</f>
        <v/>
      </c>
      <c r="AL389" s="199">
        <f>$N389*AL$34</f>
        <v/>
      </c>
      <c r="AM389" s="199">
        <f>$N389*AM$34</f>
        <v/>
      </c>
      <c r="AN389" s="199">
        <f>$N389*AN$34</f>
        <v/>
      </c>
      <c r="AO389" s="199">
        <f>$N389*AO$34</f>
        <v/>
      </c>
      <c r="AP389" s="199">
        <f>$N389*AP$34</f>
        <v/>
      </c>
      <c r="AR389" s="198">
        <f>$G389</f>
        <v/>
      </c>
      <c r="AS389" s="199">
        <f>$H389</f>
        <v/>
      </c>
      <c r="AT389" s="199">
        <f>$O389*AT$34-$Q389</f>
        <v/>
      </c>
      <c r="AU389" s="199">
        <f>$O389*AU$34-$Q389</f>
        <v/>
      </c>
      <c r="AV389" s="199">
        <f>$O389*AV$34-$Q389</f>
        <v/>
      </c>
      <c r="AW389" s="199">
        <f>$O389*AW$34-$Q389</f>
        <v/>
      </c>
      <c r="AX389" s="199">
        <f>$O389*AX$34-$Q389</f>
        <v/>
      </c>
      <c r="AZ389" s="198">
        <f>$G389</f>
        <v/>
      </c>
      <c r="BA389" s="199">
        <f>$H389</f>
        <v/>
      </c>
      <c r="BB389" s="199">
        <f>$P389*BB$34-$Q389</f>
        <v/>
      </c>
      <c r="BC389" s="199">
        <f>$P389*BC$34-$Q389</f>
        <v/>
      </c>
      <c r="BD389" s="199">
        <f>$P389*BD$34-$Q389</f>
        <v/>
      </c>
      <c r="BE389" s="199">
        <f>$P389*BE$34-$Q389</f>
        <v/>
      </c>
      <c r="BF389" s="199">
        <f>$P389*BF$34-$Q389</f>
        <v/>
      </c>
      <c r="BH389" s="198">
        <f>$G389</f>
        <v/>
      </c>
      <c r="BI389" s="197">
        <f>$I389</f>
        <v/>
      </c>
      <c r="BJ389" s="197">
        <f>+BJ390</f>
        <v/>
      </c>
      <c r="BK389" s="197">
        <f>+BK390</f>
        <v/>
      </c>
      <c r="BL389" s="197">
        <f>+BL390</f>
        <v/>
      </c>
      <c r="BM389" s="197">
        <f>+BM390</f>
        <v/>
      </c>
      <c r="BN389" s="197">
        <f>+BN390</f>
        <v/>
      </c>
      <c r="BP389" s="198">
        <f>$G389</f>
        <v/>
      </c>
      <c r="BQ389" s="197">
        <f>$J389</f>
        <v/>
      </c>
      <c r="BR389" s="197">
        <f>+BR390</f>
        <v/>
      </c>
      <c r="BS389" s="197">
        <f>+BS390</f>
        <v/>
      </c>
      <c r="BT389" s="197">
        <f>+BT390</f>
        <v/>
      </c>
      <c r="BU389" s="197">
        <f>+BU390</f>
        <v/>
      </c>
      <c r="BV389" s="197">
        <f>+BV390</f>
        <v/>
      </c>
      <c r="BX389" s="198">
        <f>$G389</f>
        <v/>
      </c>
      <c r="BY389" s="197">
        <f>$K389</f>
        <v/>
      </c>
      <c r="BZ389" s="197">
        <f>+BZ390</f>
        <v/>
      </c>
      <c r="CA389" s="197">
        <f>+CA390</f>
        <v/>
      </c>
      <c r="CB389" s="197">
        <f>+CB390</f>
        <v/>
      </c>
      <c r="CC389" s="197">
        <f>+CC390</f>
        <v/>
      </c>
      <c r="CD389" s="197">
        <f>+CD390</f>
        <v/>
      </c>
      <c r="CF389" s="198">
        <f>$G389</f>
        <v/>
      </c>
      <c r="CG389" s="197">
        <f>$L389</f>
        <v/>
      </c>
      <c r="CH389" s="197">
        <f>+CH390</f>
        <v/>
      </c>
      <c r="CI389" s="197">
        <f>+CI390</f>
        <v/>
      </c>
      <c r="CJ389" s="197">
        <f>+CJ390</f>
        <v/>
      </c>
      <c r="CK389" s="197">
        <f>+CK390</f>
        <v/>
      </c>
      <c r="CL389" s="197">
        <f>+CL390</f>
        <v/>
      </c>
      <c r="CO389" s="199" t="n">
        <v>7.367830393520213</v>
      </c>
      <c r="CP389" s="199" t="n">
        <v>2.95</v>
      </c>
      <c r="CR389" s="199" t="n">
        <v>6.04</v>
      </c>
      <c r="CS389" s="970" t="n">
        <v>0.81978</v>
      </c>
    </row>
    <row r="390">
      <c r="B390" s="204">
        <f>+C390-1</f>
        <v/>
      </c>
      <c r="C390" s="204">
        <f>IF('bands_A-H_Avg'!$D$9+1&gt;MONTH(G390),YEAR(G390),YEAR(G390)+1)</f>
        <v/>
      </c>
      <c r="D390" s="204">
        <f>+C390+1</f>
        <v/>
      </c>
      <c r="E390" s="203">
        <f>IF(C390&gt;C389,1,E389+1)</f>
        <v/>
      </c>
      <c r="F390" s="203">
        <f>COUNTIF(C:C,C390)</f>
        <v/>
      </c>
      <c r="G390" s="198">
        <f>+G389+7</f>
        <v/>
      </c>
      <c r="H390" s="361">
        <f>IF(ISBLANK(CO390),CP390,SUMPRODUCT(CO$32:CP$32,CO390:CP390))</f>
        <v/>
      </c>
      <c r="I390" s="968">
        <f>H390/M390</f>
        <v/>
      </c>
      <c r="J390" s="968">
        <f>H390/N390</f>
        <v/>
      </c>
      <c r="K390" s="968">
        <f>(H390+Q390)/O390</f>
        <v/>
      </c>
      <c r="L390" s="968">
        <f>(H390+Q390)/P390</f>
        <v/>
      </c>
      <c r="M390" s="199">
        <f>HLOOKUP(C:C,$4:$10,3,FALSE)+((HLOOKUP(D:D,$4:$10,3,FALSE)-HLOOKUP(C:C,$4:$10,3,FALSE))*E390/F390)</f>
        <v/>
      </c>
      <c r="N390" s="199">
        <f>HLOOKUP(C:C,$4:$10,2,FALSE)+((HLOOKUP(D:D,$4:$10,2,FALSE)-HLOOKUP(C:C,$4:$10,2,FALSE))*E390/F390)</f>
        <v/>
      </c>
      <c r="O390" s="199">
        <f>HLOOKUP(C:C,$4:$10,5,FALSE)+((HLOOKUP(D:D,$4:$10,5,FALSE)-HLOOKUP(C:C,$4:$10,5,FALSE))*E390/F390)</f>
        <v/>
      </c>
      <c r="P390" s="199">
        <f>HLOOKUP(C:C,$4:$10,4,FALSE)+((HLOOKUP(D:D,$4:$10,4,FALSE)-HLOOKUP(C:C,$4:$10,4,FALSE))*E390/F390)</f>
        <v/>
      </c>
      <c r="Q390" s="199">
        <f>HLOOKUP(B:B,$4:$10,6,FALSE)+((HLOOKUP(C:C,$4:$10,6,FALSE)-HLOOKUP(B:B,$4:$10,6,FALSE))*E390/F390)</f>
        <v/>
      </c>
      <c r="T390" s="198">
        <f>$G390</f>
        <v/>
      </c>
      <c r="U390" s="199">
        <f>H390/(HLOOKUP(B:B,$4:$10,3,FALSE)+((HLOOKUP(C:C,$4:$10,3,FALSE)-HLOOKUP(B:B,$4:$10,3,FALSE))*E390/F390))</f>
        <v/>
      </c>
      <c r="V390" s="969">
        <f>HLOOKUP(B:B,$4:$10,7,FALSE)+((HLOOKUP(C:C,$4:$10,7,FALSE)-HLOOKUP(B:B,$4:$10,7,FALSE))*E390/F390)</f>
        <v/>
      </c>
      <c r="AB390" s="198">
        <f>$G390</f>
        <v/>
      </c>
      <c r="AC390" s="199">
        <f>$H390</f>
        <v/>
      </c>
      <c r="AD390" s="199">
        <f>$M390*AD$34</f>
        <v/>
      </c>
      <c r="AE390" s="199">
        <f>$M390*AE$34</f>
        <v/>
      </c>
      <c r="AF390" s="199">
        <f>$M390*AF$34</f>
        <v/>
      </c>
      <c r="AG390" s="199">
        <f>$M390*AG$34</f>
        <v/>
      </c>
      <c r="AH390" s="199">
        <f>$M390*AH$34</f>
        <v/>
      </c>
      <c r="AJ390" s="198">
        <f>$G390</f>
        <v/>
      </c>
      <c r="AK390" s="199">
        <f>$H390</f>
        <v/>
      </c>
      <c r="AL390" s="199">
        <f>$N390*AL$34</f>
        <v/>
      </c>
      <c r="AM390" s="199">
        <f>$N390*AM$34</f>
        <v/>
      </c>
      <c r="AN390" s="199">
        <f>$N390*AN$34</f>
        <v/>
      </c>
      <c r="AO390" s="199">
        <f>$N390*AO$34</f>
        <v/>
      </c>
      <c r="AP390" s="199">
        <f>$N390*AP$34</f>
        <v/>
      </c>
      <c r="AR390" s="198">
        <f>$G390</f>
        <v/>
      </c>
      <c r="AS390" s="199">
        <f>$H390</f>
        <v/>
      </c>
      <c r="AT390" s="199">
        <f>$O390*AT$34-$Q390</f>
        <v/>
      </c>
      <c r="AU390" s="199">
        <f>$O390*AU$34-$Q390</f>
        <v/>
      </c>
      <c r="AV390" s="199">
        <f>$O390*AV$34-$Q390</f>
        <v/>
      </c>
      <c r="AW390" s="199">
        <f>$O390*AW$34-$Q390</f>
        <v/>
      </c>
      <c r="AX390" s="199">
        <f>$O390*AX$34-$Q390</f>
        <v/>
      </c>
      <c r="AZ390" s="198">
        <f>$G390</f>
        <v/>
      </c>
      <c r="BA390" s="199">
        <f>$H390</f>
        <v/>
      </c>
      <c r="BB390" s="199">
        <f>$P390*BB$34-$Q390</f>
        <v/>
      </c>
      <c r="BC390" s="199">
        <f>$P390*BC$34-$Q390</f>
        <v/>
      </c>
      <c r="BD390" s="199">
        <f>$P390*BD$34-$Q390</f>
        <v/>
      </c>
      <c r="BE390" s="199">
        <f>$P390*BE$34-$Q390</f>
        <v/>
      </c>
      <c r="BF390" s="199">
        <f>$P390*BF$34-$Q390</f>
        <v/>
      </c>
      <c r="BH390" s="198">
        <f>$G390</f>
        <v/>
      </c>
      <c r="BI390" s="197">
        <f>$I390</f>
        <v/>
      </c>
      <c r="BJ390" s="197">
        <f>+BJ391</f>
        <v/>
      </c>
      <c r="BK390" s="197">
        <f>+BK391</f>
        <v/>
      </c>
      <c r="BL390" s="197">
        <f>+BL391</f>
        <v/>
      </c>
      <c r="BM390" s="197">
        <f>+BM391</f>
        <v/>
      </c>
      <c r="BN390" s="197">
        <f>+BN391</f>
        <v/>
      </c>
      <c r="BP390" s="198">
        <f>$G390</f>
        <v/>
      </c>
      <c r="BQ390" s="197">
        <f>$J390</f>
        <v/>
      </c>
      <c r="BR390" s="197">
        <f>+BR391</f>
        <v/>
      </c>
      <c r="BS390" s="197">
        <f>+BS391</f>
        <v/>
      </c>
      <c r="BT390" s="197">
        <f>+BT391</f>
        <v/>
      </c>
      <c r="BU390" s="197">
        <f>+BU391</f>
        <v/>
      </c>
      <c r="BV390" s="197">
        <f>+BV391</f>
        <v/>
      </c>
      <c r="BX390" s="198">
        <f>$G390</f>
        <v/>
      </c>
      <c r="BY390" s="197">
        <f>$K390</f>
        <v/>
      </c>
      <c r="BZ390" s="197">
        <f>+BZ391</f>
        <v/>
      </c>
      <c r="CA390" s="197">
        <f>+CA391</f>
        <v/>
      </c>
      <c r="CB390" s="197">
        <f>+CB391</f>
        <v/>
      </c>
      <c r="CC390" s="197">
        <f>+CC391</f>
        <v/>
      </c>
      <c r="CD390" s="197">
        <f>+CD391</f>
        <v/>
      </c>
      <c r="CF390" s="198">
        <f>$G390</f>
        <v/>
      </c>
      <c r="CG390" s="197">
        <f>$L390</f>
        <v/>
      </c>
      <c r="CH390" s="197">
        <f>+CH391</f>
        <v/>
      </c>
      <c r="CI390" s="197">
        <f>+CI391</f>
        <v/>
      </c>
      <c r="CJ390" s="197">
        <f>+CJ391</f>
        <v/>
      </c>
      <c r="CK390" s="197">
        <f>+CK391</f>
        <v/>
      </c>
      <c r="CL390" s="197">
        <f>+CL391</f>
        <v/>
      </c>
      <c r="CO390" s="199" t="n">
        <v>7.761572297157339</v>
      </c>
      <c r="CP390" s="199" t="n">
        <v>3.2</v>
      </c>
      <c r="CR390" s="199" t="n">
        <v>6.37</v>
      </c>
      <c r="CS390" s="970" t="n">
        <v>0.8207100000000001</v>
      </c>
    </row>
    <row r="391">
      <c r="B391" s="204">
        <f>+C391-1</f>
        <v/>
      </c>
      <c r="C391" s="204">
        <f>IF('bands_A-H_Avg'!$D$9+1&gt;MONTH(G391),YEAR(G391),YEAR(G391)+1)</f>
        <v/>
      </c>
      <c r="D391" s="204">
        <f>+C391+1</f>
        <v/>
      </c>
      <c r="E391" s="203">
        <f>IF(C391&gt;C390,1,E390+1)</f>
        <v/>
      </c>
      <c r="F391" s="203">
        <f>COUNTIF(C:C,C391)</f>
        <v/>
      </c>
      <c r="G391" s="198">
        <f>+G390+7</f>
        <v/>
      </c>
      <c r="H391" s="361">
        <f>IF(ISBLANK(CO391),CP391,SUMPRODUCT(CO$32:CP$32,CO391:CP391))</f>
        <v/>
      </c>
      <c r="I391" s="968">
        <f>H391/M391</f>
        <v/>
      </c>
      <c r="J391" s="968">
        <f>H391/N391</f>
        <v/>
      </c>
      <c r="K391" s="968">
        <f>(H391+Q391)/O391</f>
        <v/>
      </c>
      <c r="L391" s="968">
        <f>(H391+Q391)/P391</f>
        <v/>
      </c>
      <c r="M391" s="199">
        <f>HLOOKUP(C:C,$4:$10,3,FALSE)+((HLOOKUP(D:D,$4:$10,3,FALSE)-HLOOKUP(C:C,$4:$10,3,FALSE))*E391/F391)</f>
        <v/>
      </c>
      <c r="N391" s="199">
        <f>HLOOKUP(C:C,$4:$10,2,FALSE)+((HLOOKUP(D:D,$4:$10,2,FALSE)-HLOOKUP(C:C,$4:$10,2,FALSE))*E391/F391)</f>
        <v/>
      </c>
      <c r="O391" s="199">
        <f>HLOOKUP(C:C,$4:$10,5,FALSE)+((HLOOKUP(D:D,$4:$10,5,FALSE)-HLOOKUP(C:C,$4:$10,5,FALSE))*E391/F391)</f>
        <v/>
      </c>
      <c r="P391" s="199">
        <f>HLOOKUP(C:C,$4:$10,4,FALSE)+((HLOOKUP(D:D,$4:$10,4,FALSE)-HLOOKUP(C:C,$4:$10,4,FALSE))*E391/F391)</f>
        <v/>
      </c>
      <c r="Q391" s="199">
        <f>HLOOKUP(B:B,$4:$10,6,FALSE)+((HLOOKUP(C:C,$4:$10,6,FALSE)-HLOOKUP(B:B,$4:$10,6,FALSE))*E391/F391)</f>
        <v/>
      </c>
      <c r="T391" s="198">
        <f>$G391</f>
        <v/>
      </c>
      <c r="U391" s="199">
        <f>H391/(HLOOKUP(B:B,$4:$10,3,FALSE)+((HLOOKUP(C:C,$4:$10,3,FALSE)-HLOOKUP(B:B,$4:$10,3,FALSE))*E391/F391))</f>
        <v/>
      </c>
      <c r="V391" s="969">
        <f>HLOOKUP(B:B,$4:$10,7,FALSE)+((HLOOKUP(C:C,$4:$10,7,FALSE)-HLOOKUP(B:B,$4:$10,7,FALSE))*E391/F391)</f>
        <v/>
      </c>
      <c r="AB391" s="198">
        <f>$G391</f>
        <v/>
      </c>
      <c r="AC391" s="199">
        <f>$H391</f>
        <v/>
      </c>
      <c r="AD391" s="199">
        <f>$M391*AD$34</f>
        <v/>
      </c>
      <c r="AE391" s="199">
        <f>$M391*AE$34</f>
        <v/>
      </c>
      <c r="AF391" s="199">
        <f>$M391*AF$34</f>
        <v/>
      </c>
      <c r="AG391" s="199">
        <f>$M391*AG$34</f>
        <v/>
      </c>
      <c r="AH391" s="199">
        <f>$M391*AH$34</f>
        <v/>
      </c>
      <c r="AJ391" s="198">
        <f>$G391</f>
        <v/>
      </c>
      <c r="AK391" s="199">
        <f>$H391</f>
        <v/>
      </c>
      <c r="AL391" s="199">
        <f>$N391*AL$34</f>
        <v/>
      </c>
      <c r="AM391" s="199">
        <f>$N391*AM$34</f>
        <v/>
      </c>
      <c r="AN391" s="199">
        <f>$N391*AN$34</f>
        <v/>
      </c>
      <c r="AO391" s="199">
        <f>$N391*AO$34</f>
        <v/>
      </c>
      <c r="AP391" s="199">
        <f>$N391*AP$34</f>
        <v/>
      </c>
      <c r="AR391" s="198">
        <f>$G391</f>
        <v/>
      </c>
      <c r="AS391" s="199">
        <f>$H391</f>
        <v/>
      </c>
      <c r="AT391" s="199">
        <f>$O391*AT$34-$Q391</f>
        <v/>
      </c>
      <c r="AU391" s="199">
        <f>$O391*AU$34-$Q391</f>
        <v/>
      </c>
      <c r="AV391" s="199">
        <f>$O391*AV$34-$Q391</f>
        <v/>
      </c>
      <c r="AW391" s="199">
        <f>$O391*AW$34-$Q391</f>
        <v/>
      </c>
      <c r="AX391" s="199">
        <f>$O391*AX$34-$Q391</f>
        <v/>
      </c>
      <c r="AZ391" s="198">
        <f>$G391</f>
        <v/>
      </c>
      <c r="BA391" s="199">
        <f>$H391</f>
        <v/>
      </c>
      <c r="BB391" s="199">
        <f>$P391*BB$34-$Q391</f>
        <v/>
      </c>
      <c r="BC391" s="199">
        <f>$P391*BC$34-$Q391</f>
        <v/>
      </c>
      <c r="BD391" s="199">
        <f>$P391*BD$34-$Q391</f>
        <v/>
      </c>
      <c r="BE391" s="199">
        <f>$P391*BE$34-$Q391</f>
        <v/>
      </c>
      <c r="BF391" s="199">
        <f>$P391*BF$34-$Q391</f>
        <v/>
      </c>
      <c r="BH391" s="198">
        <f>$G391</f>
        <v/>
      </c>
      <c r="BI391" s="197">
        <f>$I391</f>
        <v/>
      </c>
      <c r="BJ391" s="197">
        <f>+BJ392</f>
        <v/>
      </c>
      <c r="BK391" s="197">
        <f>+BK392</f>
        <v/>
      </c>
      <c r="BL391" s="197">
        <f>+BL392</f>
        <v/>
      </c>
      <c r="BM391" s="197">
        <f>+BM392</f>
        <v/>
      </c>
      <c r="BN391" s="197">
        <f>+BN392</f>
        <v/>
      </c>
      <c r="BP391" s="198">
        <f>$G391</f>
        <v/>
      </c>
      <c r="BQ391" s="197">
        <f>$J391</f>
        <v/>
      </c>
      <c r="BR391" s="197">
        <f>+BR392</f>
        <v/>
      </c>
      <c r="BS391" s="197">
        <f>+BS392</f>
        <v/>
      </c>
      <c r="BT391" s="197">
        <f>+BT392</f>
        <v/>
      </c>
      <c r="BU391" s="197">
        <f>+BU392</f>
        <v/>
      </c>
      <c r="BV391" s="197">
        <f>+BV392</f>
        <v/>
      </c>
      <c r="BX391" s="198">
        <f>$G391</f>
        <v/>
      </c>
      <c r="BY391" s="197">
        <f>$K391</f>
        <v/>
      </c>
      <c r="BZ391" s="197">
        <f>+BZ392</f>
        <v/>
      </c>
      <c r="CA391" s="197">
        <f>+CA392</f>
        <v/>
      </c>
      <c r="CB391" s="197">
        <f>+CB392</f>
        <v/>
      </c>
      <c r="CC391" s="197">
        <f>+CC392</f>
        <v/>
      </c>
      <c r="CD391" s="197">
        <f>+CD392</f>
        <v/>
      </c>
      <c r="CF391" s="198">
        <f>$G391</f>
        <v/>
      </c>
      <c r="CG391" s="197">
        <f>$L391</f>
        <v/>
      </c>
      <c r="CH391" s="197">
        <f>+CH392</f>
        <v/>
      </c>
      <c r="CI391" s="197">
        <f>+CI392</f>
        <v/>
      </c>
      <c r="CJ391" s="197">
        <f>+CJ392</f>
        <v/>
      </c>
      <c r="CK391" s="197">
        <f>+CK392</f>
        <v/>
      </c>
      <c r="CL391" s="197">
        <f>+CL392</f>
        <v/>
      </c>
      <c r="CO391" s="199" t="n">
        <v>7.444047807599995</v>
      </c>
      <c r="CP391" s="199" t="n">
        <v>3.03</v>
      </c>
      <c r="CR391" s="199" t="n">
        <v>6.11</v>
      </c>
      <c r="CS391" s="970" t="n">
        <v>0.82079</v>
      </c>
    </row>
    <row r="392">
      <c r="B392" s="204">
        <f>+C392-1</f>
        <v/>
      </c>
      <c r="C392" s="204">
        <f>IF('bands_A-H_Avg'!$D$9+1&gt;MONTH(G392),YEAR(G392),YEAR(G392)+1)</f>
        <v/>
      </c>
      <c r="D392" s="204">
        <f>+C392+1</f>
        <v/>
      </c>
      <c r="E392" s="203">
        <f>IF(C392&gt;C391,1,E391+1)</f>
        <v/>
      </c>
      <c r="F392" s="203">
        <f>COUNTIF(C:C,C392)</f>
        <v/>
      </c>
      <c r="G392" s="198">
        <f>+G391+7</f>
        <v/>
      </c>
      <c r="H392" s="361">
        <f>IF(ISBLANK(CO392),CP392,SUMPRODUCT(CO$32:CP$32,CO392:CP392))</f>
        <v/>
      </c>
      <c r="I392" s="968">
        <f>H392/M392</f>
        <v/>
      </c>
      <c r="J392" s="968">
        <f>H392/N392</f>
        <v/>
      </c>
      <c r="K392" s="968">
        <f>(H392+Q392)/O392</f>
        <v/>
      </c>
      <c r="L392" s="968">
        <f>(H392+Q392)/P392</f>
        <v/>
      </c>
      <c r="M392" s="199">
        <f>HLOOKUP(C:C,$4:$10,3,FALSE)+((HLOOKUP(D:D,$4:$10,3,FALSE)-HLOOKUP(C:C,$4:$10,3,FALSE))*E392/F392)</f>
        <v/>
      </c>
      <c r="N392" s="199">
        <f>HLOOKUP(C:C,$4:$10,2,FALSE)+((HLOOKUP(D:D,$4:$10,2,FALSE)-HLOOKUP(C:C,$4:$10,2,FALSE))*E392/F392)</f>
        <v/>
      </c>
      <c r="O392" s="199">
        <f>HLOOKUP(C:C,$4:$10,5,FALSE)+((HLOOKUP(D:D,$4:$10,5,FALSE)-HLOOKUP(C:C,$4:$10,5,FALSE))*E392/F392)</f>
        <v/>
      </c>
      <c r="P392" s="199">
        <f>HLOOKUP(C:C,$4:$10,4,FALSE)+((HLOOKUP(D:D,$4:$10,4,FALSE)-HLOOKUP(C:C,$4:$10,4,FALSE))*E392/F392)</f>
        <v/>
      </c>
      <c r="Q392" s="199">
        <f>HLOOKUP(B:B,$4:$10,6,FALSE)+((HLOOKUP(C:C,$4:$10,6,FALSE)-HLOOKUP(B:B,$4:$10,6,FALSE))*E392/F392)</f>
        <v/>
      </c>
      <c r="T392" s="198">
        <f>$G392</f>
        <v/>
      </c>
      <c r="U392" s="199">
        <f>H392/(HLOOKUP(B:B,$4:$10,3,FALSE)+((HLOOKUP(C:C,$4:$10,3,FALSE)-HLOOKUP(B:B,$4:$10,3,FALSE))*E392/F392))</f>
        <v/>
      </c>
      <c r="V392" s="969">
        <f>HLOOKUP(B:B,$4:$10,7,FALSE)+((HLOOKUP(C:C,$4:$10,7,FALSE)-HLOOKUP(B:B,$4:$10,7,FALSE))*E392/F392)</f>
        <v/>
      </c>
      <c r="AB392" s="198">
        <f>$G392</f>
        <v/>
      </c>
      <c r="AC392" s="199">
        <f>$H392</f>
        <v/>
      </c>
      <c r="AD392" s="199">
        <f>$M392*AD$34</f>
        <v/>
      </c>
      <c r="AE392" s="199">
        <f>$M392*AE$34</f>
        <v/>
      </c>
      <c r="AF392" s="199">
        <f>$M392*AF$34</f>
        <v/>
      </c>
      <c r="AG392" s="199">
        <f>$M392*AG$34</f>
        <v/>
      </c>
      <c r="AH392" s="199">
        <f>$M392*AH$34</f>
        <v/>
      </c>
      <c r="AJ392" s="198">
        <f>$G392</f>
        <v/>
      </c>
      <c r="AK392" s="199">
        <f>$H392</f>
        <v/>
      </c>
      <c r="AL392" s="199">
        <f>$N392*AL$34</f>
        <v/>
      </c>
      <c r="AM392" s="199">
        <f>$N392*AM$34</f>
        <v/>
      </c>
      <c r="AN392" s="199">
        <f>$N392*AN$34</f>
        <v/>
      </c>
      <c r="AO392" s="199">
        <f>$N392*AO$34</f>
        <v/>
      </c>
      <c r="AP392" s="199">
        <f>$N392*AP$34</f>
        <v/>
      </c>
      <c r="AR392" s="198">
        <f>$G392</f>
        <v/>
      </c>
      <c r="AS392" s="199">
        <f>$H392</f>
        <v/>
      </c>
      <c r="AT392" s="199">
        <f>$O392*AT$34-$Q392</f>
        <v/>
      </c>
      <c r="AU392" s="199">
        <f>$O392*AU$34-$Q392</f>
        <v/>
      </c>
      <c r="AV392" s="199">
        <f>$O392*AV$34-$Q392</f>
        <v/>
      </c>
      <c r="AW392" s="199">
        <f>$O392*AW$34-$Q392</f>
        <v/>
      </c>
      <c r="AX392" s="199">
        <f>$O392*AX$34-$Q392</f>
        <v/>
      </c>
      <c r="AZ392" s="198">
        <f>$G392</f>
        <v/>
      </c>
      <c r="BA392" s="199">
        <f>$H392</f>
        <v/>
      </c>
      <c r="BB392" s="199">
        <f>$P392*BB$34-$Q392</f>
        <v/>
      </c>
      <c r="BC392" s="199">
        <f>$P392*BC$34-$Q392</f>
        <v/>
      </c>
      <c r="BD392" s="199">
        <f>$P392*BD$34-$Q392</f>
        <v/>
      </c>
      <c r="BE392" s="199">
        <f>$P392*BE$34-$Q392</f>
        <v/>
      </c>
      <c r="BF392" s="199">
        <f>$P392*BF$34-$Q392</f>
        <v/>
      </c>
      <c r="BH392" s="198">
        <f>$G392</f>
        <v/>
      </c>
      <c r="BI392" s="197">
        <f>$I392</f>
        <v/>
      </c>
      <c r="BJ392" s="197">
        <f>+BJ393</f>
        <v/>
      </c>
      <c r="BK392" s="197">
        <f>+BK393</f>
        <v/>
      </c>
      <c r="BL392" s="197">
        <f>+BL393</f>
        <v/>
      </c>
      <c r="BM392" s="197">
        <f>+BM393</f>
        <v/>
      </c>
      <c r="BN392" s="197">
        <f>+BN393</f>
        <v/>
      </c>
      <c r="BP392" s="198">
        <f>$G392</f>
        <v/>
      </c>
      <c r="BQ392" s="197">
        <f>$J392</f>
        <v/>
      </c>
      <c r="BR392" s="197">
        <f>+BR393</f>
        <v/>
      </c>
      <c r="BS392" s="197">
        <f>+BS393</f>
        <v/>
      </c>
      <c r="BT392" s="197">
        <f>+BT393</f>
        <v/>
      </c>
      <c r="BU392" s="197">
        <f>+BU393</f>
        <v/>
      </c>
      <c r="BV392" s="197">
        <f>+BV393</f>
        <v/>
      </c>
      <c r="BX392" s="198">
        <f>$G392</f>
        <v/>
      </c>
      <c r="BY392" s="197">
        <f>$K392</f>
        <v/>
      </c>
      <c r="BZ392" s="197">
        <f>+BZ393</f>
        <v/>
      </c>
      <c r="CA392" s="197">
        <f>+CA393</f>
        <v/>
      </c>
      <c r="CB392" s="197">
        <f>+CB393</f>
        <v/>
      </c>
      <c r="CC392" s="197">
        <f>+CC393</f>
        <v/>
      </c>
      <c r="CD392" s="197">
        <f>+CD393</f>
        <v/>
      </c>
      <c r="CF392" s="198">
        <f>$G392</f>
        <v/>
      </c>
      <c r="CG392" s="197">
        <f>$L392</f>
        <v/>
      </c>
      <c r="CH392" s="197">
        <f>+CH393</f>
        <v/>
      </c>
      <c r="CI392" s="197">
        <f>+CI393</f>
        <v/>
      </c>
      <c r="CJ392" s="197">
        <f>+CJ393</f>
        <v/>
      </c>
      <c r="CK392" s="197">
        <f>+CK393</f>
        <v/>
      </c>
      <c r="CL392" s="197">
        <f>+CL393</f>
        <v/>
      </c>
      <c r="CO392" s="199" t="n">
        <v>7.73689669900543</v>
      </c>
      <c r="CP392" s="199" t="n">
        <v>3.59</v>
      </c>
      <c r="CR392" s="199" t="n">
        <v>6.34</v>
      </c>
      <c r="CS392" s="970" t="n">
        <v>0.81945</v>
      </c>
    </row>
    <row r="393">
      <c r="B393" s="204">
        <f>+C393-1</f>
        <v/>
      </c>
      <c r="C393" s="204">
        <f>IF('bands_A-H_Avg'!$D$9+1&gt;MONTH(G393),YEAR(G393),YEAR(G393)+1)</f>
        <v/>
      </c>
      <c r="D393" s="204">
        <f>+C393+1</f>
        <v/>
      </c>
      <c r="E393" s="203">
        <f>IF(C393&gt;C392,1,E392+1)</f>
        <v/>
      </c>
      <c r="F393" s="203">
        <f>COUNTIF(C:C,C393)</f>
        <v/>
      </c>
      <c r="G393" s="198">
        <f>+G392+7</f>
        <v/>
      </c>
      <c r="H393" s="361">
        <f>IF(ISBLANK(CO393),CP393,SUMPRODUCT(CO$32:CP$32,CO393:CP393))</f>
        <v/>
      </c>
      <c r="I393" s="968">
        <f>H393/M393</f>
        <v/>
      </c>
      <c r="J393" s="968">
        <f>H393/N393</f>
        <v/>
      </c>
      <c r="K393" s="968">
        <f>(H393+Q393)/O393</f>
        <v/>
      </c>
      <c r="L393" s="968">
        <f>(H393+Q393)/P393</f>
        <v/>
      </c>
      <c r="M393" s="199">
        <f>HLOOKUP(C:C,$4:$10,3,FALSE)+((HLOOKUP(D:D,$4:$10,3,FALSE)-HLOOKUP(C:C,$4:$10,3,FALSE))*E393/F393)</f>
        <v/>
      </c>
      <c r="N393" s="199">
        <f>HLOOKUP(C:C,$4:$10,2,FALSE)+((HLOOKUP(D:D,$4:$10,2,FALSE)-HLOOKUP(C:C,$4:$10,2,FALSE))*E393/F393)</f>
        <v/>
      </c>
      <c r="O393" s="199">
        <f>HLOOKUP(C:C,$4:$10,5,FALSE)+((HLOOKUP(D:D,$4:$10,5,FALSE)-HLOOKUP(C:C,$4:$10,5,FALSE))*E393/F393)</f>
        <v/>
      </c>
      <c r="P393" s="199">
        <f>HLOOKUP(C:C,$4:$10,4,FALSE)+((HLOOKUP(D:D,$4:$10,4,FALSE)-HLOOKUP(C:C,$4:$10,4,FALSE))*E393/F393)</f>
        <v/>
      </c>
      <c r="Q393" s="199">
        <f>HLOOKUP(B:B,$4:$10,6,FALSE)+((HLOOKUP(C:C,$4:$10,6,FALSE)-HLOOKUP(B:B,$4:$10,6,FALSE))*E393/F393)</f>
        <v/>
      </c>
      <c r="T393" s="198">
        <f>$G393</f>
        <v/>
      </c>
      <c r="U393" s="199">
        <f>H393/(HLOOKUP(B:B,$4:$10,3,FALSE)+((HLOOKUP(C:C,$4:$10,3,FALSE)-HLOOKUP(B:B,$4:$10,3,FALSE))*E393/F393))</f>
        <v/>
      </c>
      <c r="V393" s="969">
        <f>HLOOKUP(B:B,$4:$10,7,FALSE)+((HLOOKUP(C:C,$4:$10,7,FALSE)-HLOOKUP(B:B,$4:$10,7,FALSE))*E393/F393)</f>
        <v/>
      </c>
      <c r="AB393" s="198">
        <f>$G393</f>
        <v/>
      </c>
      <c r="AC393" s="199">
        <f>$H393</f>
        <v/>
      </c>
      <c r="AD393" s="199">
        <f>$M393*AD$34</f>
        <v/>
      </c>
      <c r="AE393" s="199">
        <f>$M393*AE$34</f>
        <v/>
      </c>
      <c r="AF393" s="199">
        <f>$M393*AF$34</f>
        <v/>
      </c>
      <c r="AG393" s="199">
        <f>$M393*AG$34</f>
        <v/>
      </c>
      <c r="AH393" s="199">
        <f>$M393*AH$34</f>
        <v/>
      </c>
      <c r="AJ393" s="198">
        <f>$G393</f>
        <v/>
      </c>
      <c r="AK393" s="199">
        <f>$H393</f>
        <v/>
      </c>
      <c r="AL393" s="199">
        <f>$N393*AL$34</f>
        <v/>
      </c>
      <c r="AM393" s="199">
        <f>$N393*AM$34</f>
        <v/>
      </c>
      <c r="AN393" s="199">
        <f>$N393*AN$34</f>
        <v/>
      </c>
      <c r="AO393" s="199">
        <f>$N393*AO$34</f>
        <v/>
      </c>
      <c r="AP393" s="199">
        <f>$N393*AP$34</f>
        <v/>
      </c>
      <c r="AR393" s="198">
        <f>$G393</f>
        <v/>
      </c>
      <c r="AS393" s="199">
        <f>$H393</f>
        <v/>
      </c>
      <c r="AT393" s="199">
        <f>$O393*AT$34-$Q393</f>
        <v/>
      </c>
      <c r="AU393" s="199">
        <f>$O393*AU$34-$Q393</f>
        <v/>
      </c>
      <c r="AV393" s="199">
        <f>$O393*AV$34-$Q393</f>
        <v/>
      </c>
      <c r="AW393" s="199">
        <f>$O393*AW$34-$Q393</f>
        <v/>
      </c>
      <c r="AX393" s="199">
        <f>$O393*AX$34-$Q393</f>
        <v/>
      </c>
      <c r="AZ393" s="198">
        <f>$G393</f>
        <v/>
      </c>
      <c r="BA393" s="199">
        <f>$H393</f>
        <v/>
      </c>
      <c r="BB393" s="199">
        <f>$P393*BB$34-$Q393</f>
        <v/>
      </c>
      <c r="BC393" s="199">
        <f>$P393*BC$34-$Q393</f>
        <v/>
      </c>
      <c r="BD393" s="199">
        <f>$P393*BD$34-$Q393</f>
        <v/>
      </c>
      <c r="BE393" s="199">
        <f>$P393*BE$34-$Q393</f>
        <v/>
      </c>
      <c r="BF393" s="199">
        <f>$P393*BF$34-$Q393</f>
        <v/>
      </c>
      <c r="BH393" s="198">
        <f>$G393</f>
        <v/>
      </c>
      <c r="BI393" s="197">
        <f>$I393</f>
        <v/>
      </c>
      <c r="BJ393" s="197">
        <f>+BJ394</f>
        <v/>
      </c>
      <c r="BK393" s="197">
        <f>+BK394</f>
        <v/>
      </c>
      <c r="BL393" s="197">
        <f>+BL394</f>
        <v/>
      </c>
      <c r="BM393" s="197">
        <f>+BM394</f>
        <v/>
      </c>
      <c r="BN393" s="197">
        <f>+BN394</f>
        <v/>
      </c>
      <c r="BP393" s="198">
        <f>$G393</f>
        <v/>
      </c>
      <c r="BQ393" s="197">
        <f>$J393</f>
        <v/>
      </c>
      <c r="BR393" s="197">
        <f>+BR394</f>
        <v/>
      </c>
      <c r="BS393" s="197">
        <f>+BS394</f>
        <v/>
      </c>
      <c r="BT393" s="197">
        <f>+BT394</f>
        <v/>
      </c>
      <c r="BU393" s="197">
        <f>+BU394</f>
        <v/>
      </c>
      <c r="BV393" s="197">
        <f>+BV394</f>
        <v/>
      </c>
      <c r="BX393" s="198">
        <f>$G393</f>
        <v/>
      </c>
      <c r="BY393" s="197">
        <f>$K393</f>
        <v/>
      </c>
      <c r="BZ393" s="197">
        <f>+BZ394</f>
        <v/>
      </c>
      <c r="CA393" s="197">
        <f>+CA394</f>
        <v/>
      </c>
      <c r="CB393" s="197">
        <f>+CB394</f>
        <v/>
      </c>
      <c r="CC393" s="197">
        <f>+CC394</f>
        <v/>
      </c>
      <c r="CD393" s="197">
        <f>+CD394</f>
        <v/>
      </c>
      <c r="CF393" s="198">
        <f>$G393</f>
        <v/>
      </c>
      <c r="CG393" s="197">
        <f>$L393</f>
        <v/>
      </c>
      <c r="CH393" s="197">
        <f>+CH394</f>
        <v/>
      </c>
      <c r="CI393" s="197">
        <f>+CI394</f>
        <v/>
      </c>
      <c r="CJ393" s="197">
        <f>+CJ394</f>
        <v/>
      </c>
      <c r="CK393" s="197">
        <f>+CK394</f>
        <v/>
      </c>
      <c r="CL393" s="197">
        <f>+CL394</f>
        <v/>
      </c>
      <c r="CO393" s="199" t="n">
        <v>8.034686328785245</v>
      </c>
      <c r="CP393" s="199" t="n">
        <v>3.84</v>
      </c>
      <c r="CR393" s="199" t="n">
        <v>6.56</v>
      </c>
      <c r="CS393" s="970" t="n">
        <v>0.81646</v>
      </c>
    </row>
    <row r="394">
      <c r="B394" s="204">
        <f>+C394-1</f>
        <v/>
      </c>
      <c r="C394" s="204">
        <f>IF('bands_A-H_Avg'!$D$9+1&gt;MONTH(G394),YEAR(G394),YEAR(G394)+1)</f>
        <v/>
      </c>
      <c r="D394" s="204">
        <f>+C394+1</f>
        <v/>
      </c>
      <c r="E394" s="203">
        <f>IF(C394&gt;C393,1,E393+1)</f>
        <v/>
      </c>
      <c r="F394" s="203">
        <f>COUNTIF(C:C,C394)</f>
        <v/>
      </c>
      <c r="G394" s="198">
        <f>+G393+7</f>
        <v/>
      </c>
      <c r="H394" s="361">
        <f>IF(ISBLANK(CO394),CP394,SUMPRODUCT(CO$32:CP$32,CO394:CP394))</f>
        <v/>
      </c>
      <c r="I394" s="968">
        <f>H394/M394</f>
        <v/>
      </c>
      <c r="J394" s="968">
        <f>H394/N394</f>
        <v/>
      </c>
      <c r="K394" s="968">
        <f>(H394+Q394)/O394</f>
        <v/>
      </c>
      <c r="L394" s="968">
        <f>(H394+Q394)/P394</f>
        <v/>
      </c>
      <c r="M394" s="199">
        <f>HLOOKUP(C:C,$4:$10,3,FALSE)+((HLOOKUP(D:D,$4:$10,3,FALSE)-HLOOKUP(C:C,$4:$10,3,FALSE))*E394/F394)</f>
        <v/>
      </c>
      <c r="N394" s="199">
        <f>HLOOKUP(C:C,$4:$10,2,FALSE)+((HLOOKUP(D:D,$4:$10,2,FALSE)-HLOOKUP(C:C,$4:$10,2,FALSE))*E394/F394)</f>
        <v/>
      </c>
      <c r="O394" s="199">
        <f>HLOOKUP(C:C,$4:$10,5,FALSE)+((HLOOKUP(D:D,$4:$10,5,FALSE)-HLOOKUP(C:C,$4:$10,5,FALSE))*E394/F394)</f>
        <v/>
      </c>
      <c r="P394" s="199">
        <f>HLOOKUP(C:C,$4:$10,4,FALSE)+((HLOOKUP(D:D,$4:$10,4,FALSE)-HLOOKUP(C:C,$4:$10,4,FALSE))*E394/F394)</f>
        <v/>
      </c>
      <c r="Q394" s="199">
        <f>HLOOKUP(B:B,$4:$10,6,FALSE)+((HLOOKUP(C:C,$4:$10,6,FALSE)-HLOOKUP(B:B,$4:$10,6,FALSE))*E394/F394)</f>
        <v/>
      </c>
      <c r="T394" s="198">
        <f>$G394</f>
        <v/>
      </c>
      <c r="U394" s="199">
        <f>H394/(HLOOKUP(B:B,$4:$10,3,FALSE)+((HLOOKUP(C:C,$4:$10,3,FALSE)-HLOOKUP(B:B,$4:$10,3,FALSE))*E394/F394))</f>
        <v/>
      </c>
      <c r="V394" s="969">
        <f>HLOOKUP(B:B,$4:$10,7,FALSE)+((HLOOKUP(C:C,$4:$10,7,FALSE)-HLOOKUP(B:B,$4:$10,7,FALSE))*E394/F394)</f>
        <v/>
      </c>
      <c r="AB394" s="198">
        <f>$G394</f>
        <v/>
      </c>
      <c r="AC394" s="199">
        <f>$H394</f>
        <v/>
      </c>
      <c r="AD394" s="199">
        <f>$M394*AD$34</f>
        <v/>
      </c>
      <c r="AE394" s="199">
        <f>$M394*AE$34</f>
        <v/>
      </c>
      <c r="AF394" s="199">
        <f>$M394*AF$34</f>
        <v/>
      </c>
      <c r="AG394" s="199">
        <f>$M394*AG$34</f>
        <v/>
      </c>
      <c r="AH394" s="199">
        <f>$M394*AH$34</f>
        <v/>
      </c>
      <c r="AJ394" s="198">
        <f>$G394</f>
        <v/>
      </c>
      <c r="AK394" s="199">
        <f>$H394</f>
        <v/>
      </c>
      <c r="AL394" s="199">
        <f>$N394*AL$34</f>
        <v/>
      </c>
      <c r="AM394" s="199">
        <f>$N394*AM$34</f>
        <v/>
      </c>
      <c r="AN394" s="199">
        <f>$N394*AN$34</f>
        <v/>
      </c>
      <c r="AO394" s="199">
        <f>$N394*AO$34</f>
        <v/>
      </c>
      <c r="AP394" s="199">
        <f>$N394*AP$34</f>
        <v/>
      </c>
      <c r="AR394" s="198">
        <f>$G394</f>
        <v/>
      </c>
      <c r="AS394" s="199">
        <f>$H394</f>
        <v/>
      </c>
      <c r="AT394" s="199">
        <f>$O394*AT$34-$Q394</f>
        <v/>
      </c>
      <c r="AU394" s="199">
        <f>$O394*AU$34-$Q394</f>
        <v/>
      </c>
      <c r="AV394" s="199">
        <f>$O394*AV$34-$Q394</f>
        <v/>
      </c>
      <c r="AW394" s="199">
        <f>$O394*AW$34-$Q394</f>
        <v/>
      </c>
      <c r="AX394" s="199">
        <f>$O394*AX$34-$Q394</f>
        <v/>
      </c>
      <c r="AZ394" s="198">
        <f>$G394</f>
        <v/>
      </c>
      <c r="BA394" s="199">
        <f>$H394</f>
        <v/>
      </c>
      <c r="BB394" s="199">
        <f>$P394*BB$34-$Q394</f>
        <v/>
      </c>
      <c r="BC394" s="199">
        <f>$P394*BC$34-$Q394</f>
        <v/>
      </c>
      <c r="BD394" s="199">
        <f>$P394*BD$34-$Q394</f>
        <v/>
      </c>
      <c r="BE394" s="199">
        <f>$P394*BE$34-$Q394</f>
        <v/>
      </c>
      <c r="BF394" s="199">
        <f>$P394*BF$34-$Q394</f>
        <v/>
      </c>
      <c r="BH394" s="198">
        <f>$G394</f>
        <v/>
      </c>
      <c r="BI394" s="197">
        <f>$I394</f>
        <v/>
      </c>
      <c r="BJ394" s="197">
        <f>+BJ395</f>
        <v/>
      </c>
      <c r="BK394" s="197">
        <f>+BK395</f>
        <v/>
      </c>
      <c r="BL394" s="197">
        <f>+BL395</f>
        <v/>
      </c>
      <c r="BM394" s="197">
        <f>+BM395</f>
        <v/>
      </c>
      <c r="BN394" s="197">
        <f>+BN395</f>
        <v/>
      </c>
      <c r="BP394" s="198">
        <f>$G394</f>
        <v/>
      </c>
      <c r="BQ394" s="197">
        <f>$J394</f>
        <v/>
      </c>
      <c r="BR394" s="197">
        <f>+BR395</f>
        <v/>
      </c>
      <c r="BS394" s="197">
        <f>+BS395</f>
        <v/>
      </c>
      <c r="BT394" s="197">
        <f>+BT395</f>
        <v/>
      </c>
      <c r="BU394" s="197">
        <f>+BU395</f>
        <v/>
      </c>
      <c r="BV394" s="197">
        <f>+BV395</f>
        <v/>
      </c>
      <c r="BX394" s="198">
        <f>$G394</f>
        <v/>
      </c>
      <c r="BY394" s="197">
        <f>$K394</f>
        <v/>
      </c>
      <c r="BZ394" s="197">
        <f>+BZ395</f>
        <v/>
      </c>
      <c r="CA394" s="197">
        <f>+CA395</f>
        <v/>
      </c>
      <c r="CB394" s="197">
        <f>+CB395</f>
        <v/>
      </c>
      <c r="CC394" s="197">
        <f>+CC395</f>
        <v/>
      </c>
      <c r="CD394" s="197">
        <f>+CD395</f>
        <v/>
      </c>
      <c r="CF394" s="198">
        <f>$G394</f>
        <v/>
      </c>
      <c r="CG394" s="197">
        <f>$L394</f>
        <v/>
      </c>
      <c r="CH394" s="197">
        <f>+CH395</f>
        <v/>
      </c>
      <c r="CI394" s="197">
        <f>+CI395</f>
        <v/>
      </c>
      <c r="CJ394" s="197">
        <f>+CJ395</f>
        <v/>
      </c>
      <c r="CK394" s="197">
        <f>+CK395</f>
        <v/>
      </c>
      <c r="CL394" s="197">
        <f>+CL395</f>
        <v/>
      </c>
      <c r="CO394" s="199" t="n">
        <v>7.700608200902492</v>
      </c>
      <c r="CP394" s="199" t="n">
        <v>3.67</v>
      </c>
      <c r="CR394" s="199" t="n">
        <v>6.28</v>
      </c>
      <c r="CS394" s="970" t="n">
        <v>0.81552</v>
      </c>
    </row>
    <row r="395">
      <c r="B395" s="204">
        <f>+C395-1</f>
        <v/>
      </c>
      <c r="C395" s="204">
        <f>IF('bands_A-H_Avg'!$D$9+1&gt;MONTH(G395),YEAR(G395),YEAR(G395)+1)</f>
        <v/>
      </c>
      <c r="D395" s="204">
        <f>+C395+1</f>
        <v/>
      </c>
      <c r="E395" s="203">
        <f>IF(C395&gt;C394,1,E394+1)</f>
        <v/>
      </c>
      <c r="F395" s="203">
        <f>COUNTIF(C:C,C395)</f>
        <v/>
      </c>
      <c r="G395" s="198">
        <f>+G394+7</f>
        <v/>
      </c>
      <c r="H395" s="361">
        <f>IF(ISBLANK(CO395),CP395,SUMPRODUCT(CO$32:CP$32,CO395:CP395))</f>
        <v/>
      </c>
      <c r="I395" s="968">
        <f>H395/M395</f>
        <v/>
      </c>
      <c r="J395" s="968">
        <f>H395/N395</f>
        <v/>
      </c>
      <c r="K395" s="968">
        <f>(H395+Q395)/O395</f>
        <v/>
      </c>
      <c r="L395" s="968">
        <f>(H395+Q395)/P395</f>
        <v/>
      </c>
      <c r="M395" s="199">
        <f>HLOOKUP(C:C,$4:$10,3,FALSE)+((HLOOKUP(D:D,$4:$10,3,FALSE)-HLOOKUP(C:C,$4:$10,3,FALSE))*E395/F395)</f>
        <v/>
      </c>
      <c r="N395" s="199">
        <f>HLOOKUP(C:C,$4:$10,2,FALSE)+((HLOOKUP(D:D,$4:$10,2,FALSE)-HLOOKUP(C:C,$4:$10,2,FALSE))*E395/F395)</f>
        <v/>
      </c>
      <c r="O395" s="199">
        <f>HLOOKUP(C:C,$4:$10,5,FALSE)+((HLOOKUP(D:D,$4:$10,5,FALSE)-HLOOKUP(C:C,$4:$10,5,FALSE))*E395/F395)</f>
        <v/>
      </c>
      <c r="P395" s="199">
        <f>HLOOKUP(C:C,$4:$10,4,FALSE)+((HLOOKUP(D:D,$4:$10,4,FALSE)-HLOOKUP(C:C,$4:$10,4,FALSE))*E395/F395)</f>
        <v/>
      </c>
      <c r="Q395" s="199">
        <f>HLOOKUP(B:B,$4:$10,6,FALSE)+((HLOOKUP(C:C,$4:$10,6,FALSE)-HLOOKUP(B:B,$4:$10,6,FALSE))*E395/F395)</f>
        <v/>
      </c>
      <c r="T395" s="198">
        <f>$G395</f>
        <v/>
      </c>
      <c r="U395" s="199">
        <f>H395/(HLOOKUP(B:B,$4:$10,3,FALSE)+((HLOOKUP(C:C,$4:$10,3,FALSE)-HLOOKUP(B:B,$4:$10,3,FALSE))*E395/F395))</f>
        <v/>
      </c>
      <c r="V395" s="969">
        <f>HLOOKUP(B:B,$4:$10,7,FALSE)+((HLOOKUP(C:C,$4:$10,7,FALSE)-HLOOKUP(B:B,$4:$10,7,FALSE))*E395/F395)</f>
        <v/>
      </c>
      <c r="AB395" s="198">
        <f>$G395</f>
        <v/>
      </c>
      <c r="AC395" s="199">
        <f>$H395</f>
        <v/>
      </c>
      <c r="AD395" s="199">
        <f>$M395*AD$34</f>
        <v/>
      </c>
      <c r="AE395" s="199">
        <f>$M395*AE$34</f>
        <v/>
      </c>
      <c r="AF395" s="199">
        <f>$M395*AF$34</f>
        <v/>
      </c>
      <c r="AG395" s="199">
        <f>$M395*AG$34</f>
        <v/>
      </c>
      <c r="AH395" s="199">
        <f>$M395*AH$34</f>
        <v/>
      </c>
      <c r="AJ395" s="198">
        <f>$G395</f>
        <v/>
      </c>
      <c r="AK395" s="199">
        <f>$H395</f>
        <v/>
      </c>
      <c r="AL395" s="199">
        <f>$N395*AL$34</f>
        <v/>
      </c>
      <c r="AM395" s="199">
        <f>$N395*AM$34</f>
        <v/>
      </c>
      <c r="AN395" s="199">
        <f>$N395*AN$34</f>
        <v/>
      </c>
      <c r="AO395" s="199">
        <f>$N395*AO$34</f>
        <v/>
      </c>
      <c r="AP395" s="199">
        <f>$N395*AP$34</f>
        <v/>
      </c>
      <c r="AR395" s="198">
        <f>$G395</f>
        <v/>
      </c>
      <c r="AS395" s="199">
        <f>$H395</f>
        <v/>
      </c>
      <c r="AT395" s="199">
        <f>$O395*AT$34-$Q395</f>
        <v/>
      </c>
      <c r="AU395" s="199">
        <f>$O395*AU$34-$Q395</f>
        <v/>
      </c>
      <c r="AV395" s="199">
        <f>$O395*AV$34-$Q395</f>
        <v/>
      </c>
      <c r="AW395" s="199">
        <f>$O395*AW$34-$Q395</f>
        <v/>
      </c>
      <c r="AX395" s="199">
        <f>$O395*AX$34-$Q395</f>
        <v/>
      </c>
      <c r="AZ395" s="198">
        <f>$G395</f>
        <v/>
      </c>
      <c r="BA395" s="199">
        <f>$H395</f>
        <v/>
      </c>
      <c r="BB395" s="199">
        <f>$P395*BB$34-$Q395</f>
        <v/>
      </c>
      <c r="BC395" s="199">
        <f>$P395*BC$34-$Q395</f>
        <v/>
      </c>
      <c r="BD395" s="199">
        <f>$P395*BD$34-$Q395</f>
        <v/>
      </c>
      <c r="BE395" s="199">
        <f>$P395*BE$34-$Q395</f>
        <v/>
      </c>
      <c r="BF395" s="199">
        <f>$P395*BF$34-$Q395</f>
        <v/>
      </c>
      <c r="BH395" s="198">
        <f>$G395</f>
        <v/>
      </c>
      <c r="BI395" s="197">
        <f>$I395</f>
        <v/>
      </c>
      <c r="BJ395" s="197">
        <f>+BJ396</f>
        <v/>
      </c>
      <c r="BK395" s="197">
        <f>+BK396</f>
        <v/>
      </c>
      <c r="BL395" s="197">
        <f>+BL396</f>
        <v/>
      </c>
      <c r="BM395" s="197">
        <f>+BM396</f>
        <v/>
      </c>
      <c r="BN395" s="197">
        <f>+BN396</f>
        <v/>
      </c>
      <c r="BP395" s="198">
        <f>$G395</f>
        <v/>
      </c>
      <c r="BQ395" s="197">
        <f>$J395</f>
        <v/>
      </c>
      <c r="BR395" s="197">
        <f>+BR396</f>
        <v/>
      </c>
      <c r="BS395" s="197">
        <f>+BS396</f>
        <v/>
      </c>
      <c r="BT395" s="197">
        <f>+BT396</f>
        <v/>
      </c>
      <c r="BU395" s="197">
        <f>+BU396</f>
        <v/>
      </c>
      <c r="BV395" s="197">
        <f>+BV396</f>
        <v/>
      </c>
      <c r="BX395" s="198">
        <f>$G395</f>
        <v/>
      </c>
      <c r="BY395" s="197">
        <f>$K395</f>
        <v/>
      </c>
      <c r="BZ395" s="197">
        <f>+BZ396</f>
        <v/>
      </c>
      <c r="CA395" s="197">
        <f>+CA396</f>
        <v/>
      </c>
      <c r="CB395" s="197">
        <f>+CB396</f>
        <v/>
      </c>
      <c r="CC395" s="197">
        <f>+CC396</f>
        <v/>
      </c>
      <c r="CD395" s="197">
        <f>+CD396</f>
        <v/>
      </c>
      <c r="CF395" s="198">
        <f>$G395</f>
        <v/>
      </c>
      <c r="CG395" s="197">
        <f>$L395</f>
        <v/>
      </c>
      <c r="CH395" s="197">
        <f>+CH396</f>
        <v/>
      </c>
      <c r="CI395" s="197">
        <f>+CI396</f>
        <v/>
      </c>
      <c r="CJ395" s="197">
        <f>+CJ396</f>
        <v/>
      </c>
      <c r="CK395" s="197">
        <f>+CK396</f>
        <v/>
      </c>
      <c r="CL395" s="197">
        <f>+CL396</f>
        <v/>
      </c>
      <c r="CO395" s="199" t="n">
        <v>7.423468450259086</v>
      </c>
      <c r="CP395" s="199" t="n">
        <v>3.51</v>
      </c>
      <c r="CR395" s="199" t="n">
        <v>6.06</v>
      </c>
      <c r="CS395" s="970" t="n">
        <v>0.81633</v>
      </c>
    </row>
    <row r="396">
      <c r="B396" s="204">
        <f>+C396-1</f>
        <v/>
      </c>
      <c r="C396" s="204">
        <f>IF('bands_A-H_Avg'!$D$9+1&gt;MONTH(G396),YEAR(G396),YEAR(G396)+1)</f>
        <v/>
      </c>
      <c r="D396" s="204">
        <f>+C396+1</f>
        <v/>
      </c>
      <c r="E396" s="203">
        <f>IF(C396&gt;C395,1,E395+1)</f>
        <v/>
      </c>
      <c r="F396" s="203">
        <f>COUNTIF(C:C,C396)</f>
        <v/>
      </c>
      <c r="G396" s="198">
        <f>+G395+7</f>
        <v/>
      </c>
      <c r="H396" s="361">
        <f>IF(ISBLANK(CO396),CP396,SUMPRODUCT(CO$32:CP$32,CO396:CP396))</f>
        <v/>
      </c>
      <c r="I396" s="968">
        <f>H396/M396</f>
        <v/>
      </c>
      <c r="J396" s="968">
        <f>H396/N396</f>
        <v/>
      </c>
      <c r="K396" s="968">
        <f>(H396+Q396)/O396</f>
        <v/>
      </c>
      <c r="L396" s="968">
        <f>(H396+Q396)/P396</f>
        <v/>
      </c>
      <c r="M396" s="199">
        <f>HLOOKUP(C:C,$4:$10,3,FALSE)+((HLOOKUP(D:D,$4:$10,3,FALSE)-HLOOKUP(C:C,$4:$10,3,FALSE))*E396/F396)</f>
        <v/>
      </c>
      <c r="N396" s="199">
        <f>HLOOKUP(C:C,$4:$10,2,FALSE)+((HLOOKUP(D:D,$4:$10,2,FALSE)-HLOOKUP(C:C,$4:$10,2,FALSE))*E396/F396)</f>
        <v/>
      </c>
      <c r="O396" s="199">
        <f>HLOOKUP(C:C,$4:$10,5,FALSE)+((HLOOKUP(D:D,$4:$10,5,FALSE)-HLOOKUP(C:C,$4:$10,5,FALSE))*E396/F396)</f>
        <v/>
      </c>
      <c r="P396" s="199">
        <f>HLOOKUP(C:C,$4:$10,4,FALSE)+((HLOOKUP(D:D,$4:$10,4,FALSE)-HLOOKUP(C:C,$4:$10,4,FALSE))*E396/F396)</f>
        <v/>
      </c>
      <c r="Q396" s="199">
        <f>HLOOKUP(B:B,$4:$10,6,FALSE)+((HLOOKUP(C:C,$4:$10,6,FALSE)-HLOOKUP(B:B,$4:$10,6,FALSE))*E396/F396)</f>
        <v/>
      </c>
      <c r="T396" s="198">
        <f>$G396</f>
        <v/>
      </c>
      <c r="U396" s="199">
        <f>H396/(HLOOKUP(B:B,$4:$10,3,FALSE)+((HLOOKUP(C:C,$4:$10,3,FALSE)-HLOOKUP(B:B,$4:$10,3,FALSE))*E396/F396))</f>
        <v/>
      </c>
      <c r="V396" s="969">
        <f>HLOOKUP(B:B,$4:$10,7,FALSE)+((HLOOKUP(C:C,$4:$10,7,FALSE)-HLOOKUP(B:B,$4:$10,7,FALSE))*E396/F396)</f>
        <v/>
      </c>
      <c r="AB396" s="198">
        <f>$G396</f>
        <v/>
      </c>
      <c r="AC396" s="199">
        <f>$H396</f>
        <v/>
      </c>
      <c r="AD396" s="199">
        <f>$M396*AD$34</f>
        <v/>
      </c>
      <c r="AE396" s="199">
        <f>$M396*AE$34</f>
        <v/>
      </c>
      <c r="AF396" s="199">
        <f>$M396*AF$34</f>
        <v/>
      </c>
      <c r="AG396" s="199">
        <f>$M396*AG$34</f>
        <v/>
      </c>
      <c r="AH396" s="199">
        <f>$M396*AH$34</f>
        <v/>
      </c>
      <c r="AJ396" s="198">
        <f>$G396</f>
        <v/>
      </c>
      <c r="AK396" s="199">
        <f>$H396</f>
        <v/>
      </c>
      <c r="AL396" s="199">
        <f>$N396*AL$34</f>
        <v/>
      </c>
      <c r="AM396" s="199">
        <f>$N396*AM$34</f>
        <v/>
      </c>
      <c r="AN396" s="199">
        <f>$N396*AN$34</f>
        <v/>
      </c>
      <c r="AO396" s="199">
        <f>$N396*AO$34</f>
        <v/>
      </c>
      <c r="AP396" s="199">
        <f>$N396*AP$34</f>
        <v/>
      </c>
      <c r="AR396" s="198">
        <f>$G396</f>
        <v/>
      </c>
      <c r="AS396" s="199">
        <f>$H396</f>
        <v/>
      </c>
      <c r="AT396" s="199">
        <f>$O396*AT$34-$Q396</f>
        <v/>
      </c>
      <c r="AU396" s="199">
        <f>$O396*AU$34-$Q396</f>
        <v/>
      </c>
      <c r="AV396" s="199">
        <f>$O396*AV$34-$Q396</f>
        <v/>
      </c>
      <c r="AW396" s="199">
        <f>$O396*AW$34-$Q396</f>
        <v/>
      </c>
      <c r="AX396" s="199">
        <f>$O396*AX$34-$Q396</f>
        <v/>
      </c>
      <c r="AZ396" s="198">
        <f>$G396</f>
        <v/>
      </c>
      <c r="BA396" s="199">
        <f>$H396</f>
        <v/>
      </c>
      <c r="BB396" s="199">
        <f>$P396*BB$34-$Q396</f>
        <v/>
      </c>
      <c r="BC396" s="199">
        <f>$P396*BC$34-$Q396</f>
        <v/>
      </c>
      <c r="BD396" s="199">
        <f>$P396*BD$34-$Q396</f>
        <v/>
      </c>
      <c r="BE396" s="199">
        <f>$P396*BE$34-$Q396</f>
        <v/>
      </c>
      <c r="BF396" s="199">
        <f>$P396*BF$34-$Q396</f>
        <v/>
      </c>
      <c r="BH396" s="198">
        <f>$G396</f>
        <v/>
      </c>
      <c r="BI396" s="197">
        <f>$I396</f>
        <v/>
      </c>
      <c r="BJ396" s="197">
        <f>+BJ397</f>
        <v/>
      </c>
      <c r="BK396" s="197">
        <f>+BK397</f>
        <v/>
      </c>
      <c r="BL396" s="197">
        <f>+BL397</f>
        <v/>
      </c>
      <c r="BM396" s="197">
        <f>+BM397</f>
        <v/>
      </c>
      <c r="BN396" s="197">
        <f>+BN397</f>
        <v/>
      </c>
      <c r="BP396" s="198">
        <f>$G396</f>
        <v/>
      </c>
      <c r="BQ396" s="197">
        <f>$J396</f>
        <v/>
      </c>
      <c r="BR396" s="197">
        <f>+BR397</f>
        <v/>
      </c>
      <c r="BS396" s="197">
        <f>+BS397</f>
        <v/>
      </c>
      <c r="BT396" s="197">
        <f>+BT397</f>
        <v/>
      </c>
      <c r="BU396" s="197">
        <f>+BU397</f>
        <v/>
      </c>
      <c r="BV396" s="197">
        <f>+BV397</f>
        <v/>
      </c>
      <c r="BX396" s="198">
        <f>$G396</f>
        <v/>
      </c>
      <c r="BY396" s="197">
        <f>$K396</f>
        <v/>
      </c>
      <c r="BZ396" s="197">
        <f>+BZ397</f>
        <v/>
      </c>
      <c r="CA396" s="197">
        <f>+CA397</f>
        <v/>
      </c>
      <c r="CB396" s="197">
        <f>+CB397</f>
        <v/>
      </c>
      <c r="CC396" s="197">
        <f>+CC397</f>
        <v/>
      </c>
      <c r="CD396" s="197">
        <f>+CD397</f>
        <v/>
      </c>
      <c r="CF396" s="198">
        <f>$G396</f>
        <v/>
      </c>
      <c r="CG396" s="197">
        <f>$L396</f>
        <v/>
      </c>
      <c r="CH396" s="197">
        <f>+CH397</f>
        <v/>
      </c>
      <c r="CI396" s="197">
        <f>+CI397</f>
        <v/>
      </c>
      <c r="CJ396" s="197">
        <f>+CJ397</f>
        <v/>
      </c>
      <c r="CK396" s="197">
        <f>+CK397</f>
        <v/>
      </c>
      <c r="CL396" s="197">
        <f>+CL397</f>
        <v/>
      </c>
      <c r="CO396" s="199" t="n">
        <v>7.204892966360855</v>
      </c>
      <c r="CP396" s="199" t="n">
        <v>3.09</v>
      </c>
      <c r="CR396" s="199" t="n">
        <v>5.89</v>
      </c>
      <c r="CS396" s="970" t="n">
        <v>0.8175</v>
      </c>
    </row>
    <row r="397">
      <c r="B397" s="204">
        <f>+C397-1</f>
        <v/>
      </c>
      <c r="C397" s="204">
        <f>IF('bands_A-H_Avg'!$D$9+1&gt;MONTH(G397),YEAR(G397),YEAR(G397)+1)</f>
        <v/>
      </c>
      <c r="D397" s="204">
        <f>+C397+1</f>
        <v/>
      </c>
      <c r="E397" s="203">
        <f>IF(C397&gt;C396,1,E396+1)</f>
        <v/>
      </c>
      <c r="F397" s="203">
        <f>COUNTIF(C:C,C397)</f>
        <v/>
      </c>
      <c r="G397" s="198">
        <f>+G396+7</f>
        <v/>
      </c>
      <c r="H397" s="361">
        <f>IF(ISBLANK(CO397),CP397,SUMPRODUCT(CO$32:CP$32,CO397:CP397))</f>
        <v/>
      </c>
      <c r="I397" s="968">
        <f>H397/M397</f>
        <v/>
      </c>
      <c r="J397" s="968">
        <f>H397/N397</f>
        <v/>
      </c>
      <c r="K397" s="968">
        <f>(H397+Q397)/O397</f>
        <v/>
      </c>
      <c r="L397" s="968">
        <f>(H397+Q397)/P397</f>
        <v/>
      </c>
      <c r="M397" s="199">
        <f>HLOOKUP(C:C,$4:$10,3,FALSE)+((HLOOKUP(D:D,$4:$10,3,FALSE)-HLOOKUP(C:C,$4:$10,3,FALSE))*E397/F397)</f>
        <v/>
      </c>
      <c r="N397" s="199">
        <f>HLOOKUP(C:C,$4:$10,2,FALSE)+((HLOOKUP(D:D,$4:$10,2,FALSE)-HLOOKUP(C:C,$4:$10,2,FALSE))*E397/F397)</f>
        <v/>
      </c>
      <c r="O397" s="199">
        <f>HLOOKUP(C:C,$4:$10,5,FALSE)+((HLOOKUP(D:D,$4:$10,5,FALSE)-HLOOKUP(C:C,$4:$10,5,FALSE))*E397/F397)</f>
        <v/>
      </c>
      <c r="P397" s="199">
        <f>HLOOKUP(C:C,$4:$10,4,FALSE)+((HLOOKUP(D:D,$4:$10,4,FALSE)-HLOOKUP(C:C,$4:$10,4,FALSE))*E397/F397)</f>
        <v/>
      </c>
      <c r="Q397" s="199">
        <f>HLOOKUP(B:B,$4:$10,6,FALSE)+((HLOOKUP(C:C,$4:$10,6,FALSE)-HLOOKUP(B:B,$4:$10,6,FALSE))*E397/F397)</f>
        <v/>
      </c>
      <c r="T397" s="198">
        <f>$G397</f>
        <v/>
      </c>
      <c r="U397" s="199">
        <f>H397/(HLOOKUP(B:B,$4:$10,3,FALSE)+((HLOOKUP(C:C,$4:$10,3,FALSE)-HLOOKUP(B:B,$4:$10,3,FALSE))*E397/F397))</f>
        <v/>
      </c>
      <c r="V397" s="969">
        <f>HLOOKUP(B:B,$4:$10,7,FALSE)+((HLOOKUP(C:C,$4:$10,7,FALSE)-HLOOKUP(B:B,$4:$10,7,FALSE))*E397/F397)</f>
        <v/>
      </c>
      <c r="AB397" s="198">
        <f>$G397</f>
        <v/>
      </c>
      <c r="AC397" s="199">
        <f>$H397</f>
        <v/>
      </c>
      <c r="AD397" s="199">
        <f>$M397*AD$34</f>
        <v/>
      </c>
      <c r="AE397" s="199">
        <f>$M397*AE$34</f>
        <v/>
      </c>
      <c r="AF397" s="199">
        <f>$M397*AF$34</f>
        <v/>
      </c>
      <c r="AG397" s="199">
        <f>$M397*AG$34</f>
        <v/>
      </c>
      <c r="AH397" s="199">
        <f>$M397*AH$34</f>
        <v/>
      </c>
      <c r="AJ397" s="198">
        <f>$G397</f>
        <v/>
      </c>
      <c r="AK397" s="199">
        <f>$H397</f>
        <v/>
      </c>
      <c r="AL397" s="199">
        <f>$N397*AL$34</f>
        <v/>
      </c>
      <c r="AM397" s="199">
        <f>$N397*AM$34</f>
        <v/>
      </c>
      <c r="AN397" s="199">
        <f>$N397*AN$34</f>
        <v/>
      </c>
      <c r="AO397" s="199">
        <f>$N397*AO$34</f>
        <v/>
      </c>
      <c r="AP397" s="199">
        <f>$N397*AP$34</f>
        <v/>
      </c>
      <c r="AR397" s="198">
        <f>$G397</f>
        <v/>
      </c>
      <c r="AS397" s="199">
        <f>$H397</f>
        <v/>
      </c>
      <c r="AT397" s="199">
        <f>$O397*AT$34-$Q397</f>
        <v/>
      </c>
      <c r="AU397" s="199">
        <f>$O397*AU$34-$Q397</f>
        <v/>
      </c>
      <c r="AV397" s="199">
        <f>$O397*AV$34-$Q397</f>
        <v/>
      </c>
      <c r="AW397" s="199">
        <f>$O397*AW$34-$Q397</f>
        <v/>
      </c>
      <c r="AX397" s="199">
        <f>$O397*AX$34-$Q397</f>
        <v/>
      </c>
      <c r="AZ397" s="198">
        <f>$G397</f>
        <v/>
      </c>
      <c r="BA397" s="199">
        <f>$H397</f>
        <v/>
      </c>
      <c r="BB397" s="199">
        <f>$P397*BB$34-$Q397</f>
        <v/>
      </c>
      <c r="BC397" s="199">
        <f>$P397*BC$34-$Q397</f>
        <v/>
      </c>
      <c r="BD397" s="199">
        <f>$P397*BD$34-$Q397</f>
        <v/>
      </c>
      <c r="BE397" s="199">
        <f>$P397*BE$34-$Q397</f>
        <v/>
      </c>
      <c r="BF397" s="199">
        <f>$P397*BF$34-$Q397</f>
        <v/>
      </c>
      <c r="BH397" s="198">
        <f>$G397</f>
        <v/>
      </c>
      <c r="BI397" s="197">
        <f>$I397</f>
        <v/>
      </c>
      <c r="BJ397" s="197">
        <f>+BJ398</f>
        <v/>
      </c>
      <c r="BK397" s="197">
        <f>+BK398</f>
        <v/>
      </c>
      <c r="BL397" s="197">
        <f>+BL398</f>
        <v/>
      </c>
      <c r="BM397" s="197">
        <f>+BM398</f>
        <v/>
      </c>
      <c r="BN397" s="197">
        <f>+BN398</f>
        <v/>
      </c>
      <c r="BP397" s="198">
        <f>$G397</f>
        <v/>
      </c>
      <c r="BQ397" s="197">
        <f>$J397</f>
        <v/>
      </c>
      <c r="BR397" s="197">
        <f>+BR398</f>
        <v/>
      </c>
      <c r="BS397" s="197">
        <f>+BS398</f>
        <v/>
      </c>
      <c r="BT397" s="197">
        <f>+BT398</f>
        <v/>
      </c>
      <c r="BU397" s="197">
        <f>+BU398</f>
        <v/>
      </c>
      <c r="BV397" s="197">
        <f>+BV398</f>
        <v/>
      </c>
      <c r="BX397" s="198">
        <f>$G397</f>
        <v/>
      </c>
      <c r="BY397" s="197">
        <f>$K397</f>
        <v/>
      </c>
      <c r="BZ397" s="197">
        <f>+BZ398</f>
        <v/>
      </c>
      <c r="CA397" s="197">
        <f>+CA398</f>
        <v/>
      </c>
      <c r="CB397" s="197">
        <f>+CB398</f>
        <v/>
      </c>
      <c r="CC397" s="197">
        <f>+CC398</f>
        <v/>
      </c>
      <c r="CD397" s="197">
        <f>+CD398</f>
        <v/>
      </c>
      <c r="CF397" s="198">
        <f>$G397</f>
        <v/>
      </c>
      <c r="CG397" s="197">
        <f>$L397</f>
        <v/>
      </c>
      <c r="CH397" s="197">
        <f>+CH398</f>
        <v/>
      </c>
      <c r="CI397" s="197">
        <f>+CI398</f>
        <v/>
      </c>
      <c r="CJ397" s="197">
        <f>+CJ398</f>
        <v/>
      </c>
      <c r="CK397" s="197">
        <f>+CK398</f>
        <v/>
      </c>
      <c r="CL397" s="197">
        <f>+CL398</f>
        <v/>
      </c>
      <c r="CO397" s="199" t="n">
        <v>6.932133556661327</v>
      </c>
      <c r="CP397" s="199" t="n">
        <v>3.53</v>
      </c>
      <c r="CR397" s="199" t="n">
        <v>5.67</v>
      </c>
      <c r="CS397" s="970" t="n">
        <v>0.81793</v>
      </c>
    </row>
    <row r="398">
      <c r="B398" s="204">
        <f>+C398-1</f>
        <v/>
      </c>
      <c r="C398" s="204">
        <f>IF('bands_A-H_Avg'!$D$9+1&gt;MONTH(G398),YEAR(G398),YEAR(G398)+1)</f>
        <v/>
      </c>
      <c r="D398" s="204">
        <f>+C398+1</f>
        <v/>
      </c>
      <c r="E398" s="203">
        <f>IF(C398&gt;C397,1,E397+1)</f>
        <v/>
      </c>
      <c r="F398" s="203">
        <f>COUNTIF(C:C,C398)</f>
        <v/>
      </c>
      <c r="G398" s="198">
        <f>+G397+7</f>
        <v/>
      </c>
      <c r="H398" s="361">
        <f>IF(ISBLANK(CO398),CP398,SUMPRODUCT(CO$32:CP$32,CO398:CP398))</f>
        <v/>
      </c>
      <c r="I398" s="968">
        <f>H398/M398</f>
        <v/>
      </c>
      <c r="J398" s="968">
        <f>H398/N398</f>
        <v/>
      </c>
      <c r="K398" s="968">
        <f>(H398+Q398)/O398</f>
        <v/>
      </c>
      <c r="L398" s="968">
        <f>(H398+Q398)/P398</f>
        <v/>
      </c>
      <c r="M398" s="199">
        <f>HLOOKUP(C:C,$4:$10,3,FALSE)+((HLOOKUP(D:D,$4:$10,3,FALSE)-HLOOKUP(C:C,$4:$10,3,FALSE))*E398/F398)</f>
        <v/>
      </c>
      <c r="N398" s="199">
        <f>HLOOKUP(C:C,$4:$10,2,FALSE)+((HLOOKUP(D:D,$4:$10,2,FALSE)-HLOOKUP(C:C,$4:$10,2,FALSE))*E398/F398)</f>
        <v/>
      </c>
      <c r="O398" s="199">
        <f>HLOOKUP(C:C,$4:$10,5,FALSE)+((HLOOKUP(D:D,$4:$10,5,FALSE)-HLOOKUP(C:C,$4:$10,5,FALSE))*E398/F398)</f>
        <v/>
      </c>
      <c r="P398" s="199">
        <f>HLOOKUP(C:C,$4:$10,4,FALSE)+((HLOOKUP(D:D,$4:$10,4,FALSE)-HLOOKUP(C:C,$4:$10,4,FALSE))*E398/F398)</f>
        <v/>
      </c>
      <c r="Q398" s="199">
        <f>HLOOKUP(B:B,$4:$10,6,FALSE)+((HLOOKUP(C:C,$4:$10,6,FALSE)-HLOOKUP(B:B,$4:$10,6,FALSE))*E398/F398)</f>
        <v/>
      </c>
      <c r="T398" s="198">
        <f>$G398</f>
        <v/>
      </c>
      <c r="U398" s="199">
        <f>H398/(HLOOKUP(B:B,$4:$10,3,FALSE)+((HLOOKUP(C:C,$4:$10,3,FALSE)-HLOOKUP(B:B,$4:$10,3,FALSE))*E398/F398))</f>
        <v/>
      </c>
      <c r="V398" s="969">
        <f>HLOOKUP(B:B,$4:$10,7,FALSE)+((HLOOKUP(C:C,$4:$10,7,FALSE)-HLOOKUP(B:B,$4:$10,7,FALSE))*E398/F398)</f>
        <v/>
      </c>
      <c r="AB398" s="198">
        <f>$G398</f>
        <v/>
      </c>
      <c r="AC398" s="199">
        <f>$H398</f>
        <v/>
      </c>
      <c r="AD398" s="199">
        <f>$M398*AD$34</f>
        <v/>
      </c>
      <c r="AE398" s="199">
        <f>$M398*AE$34</f>
        <v/>
      </c>
      <c r="AF398" s="199">
        <f>$M398*AF$34</f>
        <v/>
      </c>
      <c r="AG398" s="199">
        <f>$M398*AG$34</f>
        <v/>
      </c>
      <c r="AH398" s="199">
        <f>$M398*AH$34</f>
        <v/>
      </c>
      <c r="AJ398" s="198">
        <f>$G398</f>
        <v/>
      </c>
      <c r="AK398" s="199">
        <f>$H398</f>
        <v/>
      </c>
      <c r="AL398" s="199">
        <f>$N398*AL$34</f>
        <v/>
      </c>
      <c r="AM398" s="199">
        <f>$N398*AM$34</f>
        <v/>
      </c>
      <c r="AN398" s="199">
        <f>$N398*AN$34</f>
        <v/>
      </c>
      <c r="AO398" s="199">
        <f>$N398*AO$34</f>
        <v/>
      </c>
      <c r="AP398" s="199">
        <f>$N398*AP$34</f>
        <v/>
      </c>
      <c r="AR398" s="198">
        <f>$G398</f>
        <v/>
      </c>
      <c r="AS398" s="199">
        <f>$H398</f>
        <v/>
      </c>
      <c r="AT398" s="199">
        <f>$O398*AT$34-$Q398</f>
        <v/>
      </c>
      <c r="AU398" s="199">
        <f>$O398*AU$34-$Q398</f>
        <v/>
      </c>
      <c r="AV398" s="199">
        <f>$O398*AV$34-$Q398</f>
        <v/>
      </c>
      <c r="AW398" s="199">
        <f>$O398*AW$34-$Q398</f>
        <v/>
      </c>
      <c r="AX398" s="199">
        <f>$O398*AX$34-$Q398</f>
        <v/>
      </c>
      <c r="AZ398" s="198">
        <f>$G398</f>
        <v/>
      </c>
      <c r="BA398" s="199">
        <f>$H398</f>
        <v/>
      </c>
      <c r="BB398" s="199">
        <f>$P398*BB$34-$Q398</f>
        <v/>
      </c>
      <c r="BC398" s="199">
        <f>$P398*BC$34-$Q398</f>
        <v/>
      </c>
      <c r="BD398" s="199">
        <f>$P398*BD$34-$Q398</f>
        <v/>
      </c>
      <c r="BE398" s="199">
        <f>$P398*BE$34-$Q398</f>
        <v/>
      </c>
      <c r="BF398" s="199">
        <f>$P398*BF$34-$Q398</f>
        <v/>
      </c>
      <c r="BH398" s="198">
        <f>$G398</f>
        <v/>
      </c>
      <c r="BI398" s="197">
        <f>$I398</f>
        <v/>
      </c>
      <c r="BJ398" s="197">
        <f>+BJ399</f>
        <v/>
      </c>
      <c r="BK398" s="197">
        <f>+BK399</f>
        <v/>
      </c>
      <c r="BL398" s="197">
        <f>+BL399</f>
        <v/>
      </c>
      <c r="BM398" s="197">
        <f>+BM399</f>
        <v/>
      </c>
      <c r="BN398" s="197">
        <f>+BN399</f>
        <v/>
      </c>
      <c r="BP398" s="198">
        <f>$G398</f>
        <v/>
      </c>
      <c r="BQ398" s="197">
        <f>$J398</f>
        <v/>
      </c>
      <c r="BR398" s="197">
        <f>+BR399</f>
        <v/>
      </c>
      <c r="BS398" s="197">
        <f>+BS399</f>
        <v/>
      </c>
      <c r="BT398" s="197">
        <f>+BT399</f>
        <v/>
      </c>
      <c r="BU398" s="197">
        <f>+BU399</f>
        <v/>
      </c>
      <c r="BV398" s="197">
        <f>+BV399</f>
        <v/>
      </c>
      <c r="BX398" s="198">
        <f>$G398</f>
        <v/>
      </c>
      <c r="BY398" s="197">
        <f>$K398</f>
        <v/>
      </c>
      <c r="BZ398" s="197">
        <f>+BZ399</f>
        <v/>
      </c>
      <c r="CA398" s="197">
        <f>+CA399</f>
        <v/>
      </c>
      <c r="CB398" s="197">
        <f>+CB399</f>
        <v/>
      </c>
      <c r="CC398" s="197">
        <f>+CC399</f>
        <v/>
      </c>
      <c r="CD398" s="197">
        <f>+CD399</f>
        <v/>
      </c>
      <c r="CF398" s="198">
        <f>$G398</f>
        <v/>
      </c>
      <c r="CG398" s="197">
        <f>$L398</f>
        <v/>
      </c>
      <c r="CH398" s="197">
        <f>+CH399</f>
        <v/>
      </c>
      <c r="CI398" s="197">
        <f>+CI399</f>
        <v/>
      </c>
      <c r="CJ398" s="197">
        <f>+CJ399</f>
        <v/>
      </c>
      <c r="CK398" s="197">
        <f>+CK399</f>
        <v/>
      </c>
      <c r="CL398" s="197">
        <f>+CL399</f>
        <v/>
      </c>
      <c r="CO398" s="199" t="n">
        <v>6.852258912234598</v>
      </c>
      <c r="CP398" s="199" t="n">
        <v>3.42</v>
      </c>
      <c r="CR398" s="199" t="n">
        <v>5.58</v>
      </c>
      <c r="CS398" s="970" t="n">
        <v>0.81433</v>
      </c>
    </row>
    <row r="399">
      <c r="B399" s="204">
        <f>+C399-1</f>
        <v/>
      </c>
      <c r="C399" s="204">
        <f>IF('bands_A-H_Avg'!$D$9+1&gt;MONTH(G399),YEAR(G399),YEAR(G399)+1)</f>
        <v/>
      </c>
      <c r="D399" s="204">
        <f>+C399+1</f>
        <v/>
      </c>
      <c r="E399" s="203">
        <f>IF(C399&gt;C398,1,E398+1)</f>
        <v/>
      </c>
      <c r="F399" s="203">
        <f>COUNTIF(C:C,C399)</f>
        <v/>
      </c>
      <c r="G399" s="198">
        <f>+G398+7</f>
        <v/>
      </c>
      <c r="H399" s="361">
        <f>IF(ISBLANK(CO399),CP399,SUMPRODUCT(CO$32:CP$32,CO399:CP399))</f>
        <v/>
      </c>
      <c r="I399" s="968">
        <f>H399/M399</f>
        <v/>
      </c>
      <c r="J399" s="968">
        <f>H399/N399</f>
        <v/>
      </c>
      <c r="K399" s="968">
        <f>(H399+Q399)/O399</f>
        <v/>
      </c>
      <c r="L399" s="968">
        <f>(H399+Q399)/P399</f>
        <v/>
      </c>
      <c r="M399" s="199">
        <f>HLOOKUP(C:C,$4:$10,3,FALSE)+((HLOOKUP(D:D,$4:$10,3,FALSE)-HLOOKUP(C:C,$4:$10,3,FALSE))*E399/F399)</f>
        <v/>
      </c>
      <c r="N399" s="199">
        <f>HLOOKUP(C:C,$4:$10,2,FALSE)+((HLOOKUP(D:D,$4:$10,2,FALSE)-HLOOKUP(C:C,$4:$10,2,FALSE))*E399/F399)</f>
        <v/>
      </c>
      <c r="O399" s="199">
        <f>HLOOKUP(C:C,$4:$10,5,FALSE)+((HLOOKUP(D:D,$4:$10,5,FALSE)-HLOOKUP(C:C,$4:$10,5,FALSE))*E399/F399)</f>
        <v/>
      </c>
      <c r="P399" s="199">
        <f>HLOOKUP(C:C,$4:$10,4,FALSE)+((HLOOKUP(D:D,$4:$10,4,FALSE)-HLOOKUP(C:C,$4:$10,4,FALSE))*E399/F399)</f>
        <v/>
      </c>
      <c r="Q399" s="199">
        <f>HLOOKUP(B:B,$4:$10,6,FALSE)+((HLOOKUP(C:C,$4:$10,6,FALSE)-HLOOKUP(B:B,$4:$10,6,FALSE))*E399/F399)</f>
        <v/>
      </c>
      <c r="T399" s="198">
        <f>$G399</f>
        <v/>
      </c>
      <c r="U399" s="199">
        <f>H399/(HLOOKUP(B:B,$4:$10,3,FALSE)+((HLOOKUP(C:C,$4:$10,3,FALSE)-HLOOKUP(B:B,$4:$10,3,FALSE))*E399/F399))</f>
        <v/>
      </c>
      <c r="V399" s="969">
        <f>HLOOKUP(B:B,$4:$10,7,FALSE)+((HLOOKUP(C:C,$4:$10,7,FALSE)-HLOOKUP(B:B,$4:$10,7,FALSE))*E399/F399)</f>
        <v/>
      </c>
      <c r="AB399" s="198">
        <f>$G399</f>
        <v/>
      </c>
      <c r="AC399" s="199">
        <f>$H399</f>
        <v/>
      </c>
      <c r="AD399" s="199">
        <f>$M399*AD$34</f>
        <v/>
      </c>
      <c r="AE399" s="199">
        <f>$M399*AE$34</f>
        <v/>
      </c>
      <c r="AF399" s="199">
        <f>$M399*AF$34</f>
        <v/>
      </c>
      <c r="AG399" s="199">
        <f>$M399*AG$34</f>
        <v/>
      </c>
      <c r="AH399" s="199">
        <f>$M399*AH$34</f>
        <v/>
      </c>
      <c r="AJ399" s="198">
        <f>$G399</f>
        <v/>
      </c>
      <c r="AK399" s="199">
        <f>$H399</f>
        <v/>
      </c>
      <c r="AL399" s="199">
        <f>$N399*AL$34</f>
        <v/>
      </c>
      <c r="AM399" s="199">
        <f>$N399*AM$34</f>
        <v/>
      </c>
      <c r="AN399" s="199">
        <f>$N399*AN$34</f>
        <v/>
      </c>
      <c r="AO399" s="199">
        <f>$N399*AO$34</f>
        <v/>
      </c>
      <c r="AP399" s="199">
        <f>$N399*AP$34</f>
        <v/>
      </c>
      <c r="AR399" s="198">
        <f>$G399</f>
        <v/>
      </c>
      <c r="AS399" s="199">
        <f>$H399</f>
        <v/>
      </c>
      <c r="AT399" s="199">
        <f>$O399*AT$34-$Q399</f>
        <v/>
      </c>
      <c r="AU399" s="199">
        <f>$O399*AU$34-$Q399</f>
        <v/>
      </c>
      <c r="AV399" s="199">
        <f>$O399*AV$34-$Q399</f>
        <v/>
      </c>
      <c r="AW399" s="199">
        <f>$O399*AW$34-$Q399</f>
        <v/>
      </c>
      <c r="AX399" s="199">
        <f>$O399*AX$34-$Q399</f>
        <v/>
      </c>
      <c r="AZ399" s="198">
        <f>$G399</f>
        <v/>
      </c>
      <c r="BA399" s="199">
        <f>$H399</f>
        <v/>
      </c>
      <c r="BB399" s="199">
        <f>$P399*BB$34-$Q399</f>
        <v/>
      </c>
      <c r="BC399" s="199">
        <f>$P399*BC$34-$Q399</f>
        <v/>
      </c>
      <c r="BD399" s="199">
        <f>$P399*BD$34-$Q399</f>
        <v/>
      </c>
      <c r="BE399" s="199">
        <f>$P399*BE$34-$Q399</f>
        <v/>
      </c>
      <c r="BF399" s="199">
        <f>$P399*BF$34-$Q399</f>
        <v/>
      </c>
      <c r="BH399" s="198">
        <f>$G399</f>
        <v/>
      </c>
      <c r="BI399" s="197">
        <f>$I399</f>
        <v/>
      </c>
      <c r="BJ399" s="197">
        <f>+BJ400</f>
        <v/>
      </c>
      <c r="BK399" s="197">
        <f>+BK400</f>
        <v/>
      </c>
      <c r="BL399" s="197">
        <f>+BL400</f>
        <v/>
      </c>
      <c r="BM399" s="197">
        <f>+BM400</f>
        <v/>
      </c>
      <c r="BN399" s="197">
        <f>+BN400</f>
        <v/>
      </c>
      <c r="BP399" s="198">
        <f>$G399</f>
        <v/>
      </c>
      <c r="BQ399" s="197">
        <f>$J399</f>
        <v/>
      </c>
      <c r="BR399" s="197">
        <f>+BR400</f>
        <v/>
      </c>
      <c r="BS399" s="197">
        <f>+BS400</f>
        <v/>
      </c>
      <c r="BT399" s="197">
        <f>+BT400</f>
        <v/>
      </c>
      <c r="BU399" s="197">
        <f>+BU400</f>
        <v/>
      </c>
      <c r="BV399" s="197">
        <f>+BV400</f>
        <v/>
      </c>
      <c r="BX399" s="198">
        <f>$G399</f>
        <v/>
      </c>
      <c r="BY399" s="197">
        <f>$K399</f>
        <v/>
      </c>
      <c r="BZ399" s="197">
        <f>+BZ400</f>
        <v/>
      </c>
      <c r="CA399" s="197">
        <f>+CA400</f>
        <v/>
      </c>
      <c r="CB399" s="197">
        <f>+CB400</f>
        <v/>
      </c>
      <c r="CC399" s="197">
        <f>+CC400</f>
        <v/>
      </c>
      <c r="CD399" s="197">
        <f>+CD400</f>
        <v/>
      </c>
      <c r="CF399" s="198">
        <f>$G399</f>
        <v/>
      </c>
      <c r="CG399" s="197">
        <f>$L399</f>
        <v/>
      </c>
      <c r="CH399" s="197">
        <f>+CH400</f>
        <v/>
      </c>
      <c r="CI399" s="197">
        <f>+CI400</f>
        <v/>
      </c>
      <c r="CJ399" s="197">
        <f>+CJ400</f>
        <v/>
      </c>
      <c r="CK399" s="197">
        <f>+CK400</f>
        <v/>
      </c>
      <c r="CL399" s="197">
        <f>+CL400</f>
        <v/>
      </c>
      <c r="CO399" s="199" t="n">
        <v>6.809745064778622</v>
      </c>
      <c r="CP399" s="199" t="n">
        <v>3.51</v>
      </c>
      <c r="CR399" s="199" t="n">
        <v>5.54</v>
      </c>
      <c r="CS399" s="970" t="n">
        <v>0.81354</v>
      </c>
    </row>
    <row r="400">
      <c r="B400" s="204">
        <f>+C400-1</f>
        <v/>
      </c>
      <c r="C400" s="204">
        <f>IF('bands_A-H_Avg'!$D$9+1&gt;MONTH(G400),YEAR(G400),YEAR(G400)+1)</f>
        <v/>
      </c>
      <c r="D400" s="204">
        <f>+C400+1</f>
        <v/>
      </c>
      <c r="E400" s="203">
        <f>IF(C400&gt;C399,1,E399+1)</f>
        <v/>
      </c>
      <c r="F400" s="203">
        <f>COUNTIF(C:C,C400)</f>
        <v/>
      </c>
      <c r="G400" s="198">
        <f>+G399+7</f>
        <v/>
      </c>
      <c r="H400" s="361">
        <f>IF(ISBLANK(CO400),CP400,SUMPRODUCT(CO$32:CP$32,CO400:CP400))</f>
        <v/>
      </c>
      <c r="I400" s="968">
        <f>H400/M400</f>
        <v/>
      </c>
      <c r="J400" s="968">
        <f>H400/N400</f>
        <v/>
      </c>
      <c r="K400" s="968">
        <f>(H400+Q400)/O400</f>
        <v/>
      </c>
      <c r="L400" s="968">
        <f>(H400+Q400)/P400</f>
        <v/>
      </c>
      <c r="M400" s="199">
        <f>HLOOKUP(C:C,$4:$10,3,FALSE)+((HLOOKUP(D:D,$4:$10,3,FALSE)-HLOOKUP(C:C,$4:$10,3,FALSE))*E400/F400)</f>
        <v/>
      </c>
      <c r="N400" s="199">
        <f>HLOOKUP(C:C,$4:$10,2,FALSE)+((HLOOKUP(D:D,$4:$10,2,FALSE)-HLOOKUP(C:C,$4:$10,2,FALSE))*E400/F400)</f>
        <v/>
      </c>
      <c r="O400" s="199">
        <f>HLOOKUP(C:C,$4:$10,5,FALSE)+((HLOOKUP(D:D,$4:$10,5,FALSE)-HLOOKUP(C:C,$4:$10,5,FALSE))*E400/F400)</f>
        <v/>
      </c>
      <c r="P400" s="199">
        <f>HLOOKUP(C:C,$4:$10,4,FALSE)+((HLOOKUP(D:D,$4:$10,4,FALSE)-HLOOKUP(C:C,$4:$10,4,FALSE))*E400/F400)</f>
        <v/>
      </c>
      <c r="Q400" s="199">
        <f>HLOOKUP(B:B,$4:$10,6,FALSE)+((HLOOKUP(C:C,$4:$10,6,FALSE)-HLOOKUP(B:B,$4:$10,6,FALSE))*E400/F400)</f>
        <v/>
      </c>
      <c r="T400" s="198">
        <f>$G400</f>
        <v/>
      </c>
      <c r="U400" s="199">
        <f>H400/(HLOOKUP(B:B,$4:$10,3,FALSE)+((HLOOKUP(C:C,$4:$10,3,FALSE)-HLOOKUP(B:B,$4:$10,3,FALSE))*E400/F400))</f>
        <v/>
      </c>
      <c r="V400" s="969">
        <f>HLOOKUP(B:B,$4:$10,7,FALSE)+((HLOOKUP(C:C,$4:$10,7,FALSE)-HLOOKUP(B:B,$4:$10,7,FALSE))*E400/F400)</f>
        <v/>
      </c>
      <c r="AB400" s="198">
        <f>$G400</f>
        <v/>
      </c>
      <c r="AC400" s="199">
        <f>$H400</f>
        <v/>
      </c>
      <c r="AD400" s="199">
        <f>$M400*AD$34</f>
        <v/>
      </c>
      <c r="AE400" s="199">
        <f>$M400*AE$34</f>
        <v/>
      </c>
      <c r="AF400" s="199">
        <f>$M400*AF$34</f>
        <v/>
      </c>
      <c r="AG400" s="199">
        <f>$M400*AG$34</f>
        <v/>
      </c>
      <c r="AH400" s="199">
        <f>$M400*AH$34</f>
        <v/>
      </c>
      <c r="AJ400" s="198">
        <f>$G400</f>
        <v/>
      </c>
      <c r="AK400" s="199">
        <f>$H400</f>
        <v/>
      </c>
      <c r="AL400" s="199">
        <f>$N400*AL$34</f>
        <v/>
      </c>
      <c r="AM400" s="199">
        <f>$N400*AM$34</f>
        <v/>
      </c>
      <c r="AN400" s="199">
        <f>$N400*AN$34</f>
        <v/>
      </c>
      <c r="AO400" s="199">
        <f>$N400*AO$34</f>
        <v/>
      </c>
      <c r="AP400" s="199">
        <f>$N400*AP$34</f>
        <v/>
      </c>
      <c r="AR400" s="198">
        <f>$G400</f>
        <v/>
      </c>
      <c r="AS400" s="199">
        <f>$H400</f>
        <v/>
      </c>
      <c r="AT400" s="199">
        <f>$O400*AT$34-$Q400</f>
        <v/>
      </c>
      <c r="AU400" s="199">
        <f>$O400*AU$34-$Q400</f>
        <v/>
      </c>
      <c r="AV400" s="199">
        <f>$O400*AV$34-$Q400</f>
        <v/>
      </c>
      <c r="AW400" s="199">
        <f>$O400*AW$34-$Q400</f>
        <v/>
      </c>
      <c r="AX400" s="199">
        <f>$O400*AX$34-$Q400</f>
        <v/>
      </c>
      <c r="AZ400" s="198">
        <f>$G400</f>
        <v/>
      </c>
      <c r="BA400" s="199">
        <f>$H400</f>
        <v/>
      </c>
      <c r="BB400" s="199">
        <f>$P400*BB$34-$Q400</f>
        <v/>
      </c>
      <c r="BC400" s="199">
        <f>$P400*BC$34-$Q400</f>
        <v/>
      </c>
      <c r="BD400" s="199">
        <f>$P400*BD$34-$Q400</f>
        <v/>
      </c>
      <c r="BE400" s="199">
        <f>$P400*BE$34-$Q400</f>
        <v/>
      </c>
      <c r="BF400" s="199">
        <f>$P400*BF$34-$Q400</f>
        <v/>
      </c>
      <c r="BH400" s="198">
        <f>$G400</f>
        <v/>
      </c>
      <c r="BI400" s="197">
        <f>$I400</f>
        <v/>
      </c>
      <c r="BJ400" s="197">
        <f>+BJ401</f>
        <v/>
      </c>
      <c r="BK400" s="197">
        <f>+BK401</f>
        <v/>
      </c>
      <c r="BL400" s="197">
        <f>+BL401</f>
        <v/>
      </c>
      <c r="BM400" s="197">
        <f>+BM401</f>
        <v/>
      </c>
      <c r="BN400" s="197">
        <f>+BN401</f>
        <v/>
      </c>
      <c r="BP400" s="198">
        <f>$G400</f>
        <v/>
      </c>
      <c r="BQ400" s="197">
        <f>$J400</f>
        <v/>
      </c>
      <c r="BR400" s="197">
        <f>+BR401</f>
        <v/>
      </c>
      <c r="BS400" s="197">
        <f>+BS401</f>
        <v/>
      </c>
      <c r="BT400" s="197">
        <f>+BT401</f>
        <v/>
      </c>
      <c r="BU400" s="197">
        <f>+BU401</f>
        <v/>
      </c>
      <c r="BV400" s="197">
        <f>+BV401</f>
        <v/>
      </c>
      <c r="BX400" s="198">
        <f>$G400</f>
        <v/>
      </c>
      <c r="BY400" s="197">
        <f>$K400</f>
        <v/>
      </c>
      <c r="BZ400" s="197">
        <f>+BZ401</f>
        <v/>
      </c>
      <c r="CA400" s="197">
        <f>+CA401</f>
        <v/>
      </c>
      <c r="CB400" s="197">
        <f>+CB401</f>
        <v/>
      </c>
      <c r="CC400" s="197">
        <f>+CC401</f>
        <v/>
      </c>
      <c r="CD400" s="197">
        <f>+CD401</f>
        <v/>
      </c>
      <c r="CF400" s="198">
        <f>$G400</f>
        <v/>
      </c>
      <c r="CG400" s="197">
        <f>$L400</f>
        <v/>
      </c>
      <c r="CH400" s="197">
        <f>+CH401</f>
        <v/>
      </c>
      <c r="CI400" s="197">
        <f>+CI401</f>
        <v/>
      </c>
      <c r="CJ400" s="197">
        <f>+CJ401</f>
        <v/>
      </c>
      <c r="CK400" s="197">
        <f>+CK401</f>
        <v/>
      </c>
      <c r="CL400" s="197">
        <f>+CL401</f>
        <v/>
      </c>
      <c r="CO400" s="199" t="n">
        <v>6.353567442259809</v>
      </c>
      <c r="CP400" s="199" t="n">
        <v>3.62</v>
      </c>
      <c r="CR400" s="199" t="n">
        <v>5.18</v>
      </c>
      <c r="CS400" s="970" t="n">
        <v>0.81529</v>
      </c>
    </row>
    <row r="401">
      <c r="B401" s="204">
        <f>+C401-1</f>
        <v/>
      </c>
      <c r="C401" s="204">
        <f>IF('bands_A-H_Avg'!$D$9+1&gt;MONTH(G401),YEAR(G401),YEAR(G401)+1)</f>
        <v/>
      </c>
      <c r="D401" s="204">
        <f>+C401+1</f>
        <v/>
      </c>
      <c r="E401" s="203">
        <f>IF(C401&gt;C400,1,E400+1)</f>
        <v/>
      </c>
      <c r="F401" s="203">
        <f>COUNTIF(C:C,C401)</f>
        <v/>
      </c>
      <c r="G401" s="198">
        <f>+G400+7</f>
        <v/>
      </c>
      <c r="H401" s="361">
        <f>IF(ISBLANK(CO401),CP401,SUMPRODUCT(CO$32:CP$32,CO401:CP401))</f>
        <v/>
      </c>
      <c r="I401" s="968">
        <f>H401/M401</f>
        <v/>
      </c>
      <c r="J401" s="968">
        <f>H401/N401</f>
        <v/>
      </c>
      <c r="K401" s="968">
        <f>(H401+Q401)/O401</f>
        <v/>
      </c>
      <c r="L401" s="968">
        <f>(H401+Q401)/P401</f>
        <v/>
      </c>
      <c r="M401" s="199">
        <f>HLOOKUP(C:C,$4:$10,3,FALSE)+((HLOOKUP(D:D,$4:$10,3,FALSE)-HLOOKUP(C:C,$4:$10,3,FALSE))*E401/F401)</f>
        <v/>
      </c>
      <c r="N401" s="199">
        <f>HLOOKUP(C:C,$4:$10,2,FALSE)+((HLOOKUP(D:D,$4:$10,2,FALSE)-HLOOKUP(C:C,$4:$10,2,FALSE))*E401/F401)</f>
        <v/>
      </c>
      <c r="O401" s="199">
        <f>HLOOKUP(C:C,$4:$10,5,FALSE)+((HLOOKUP(D:D,$4:$10,5,FALSE)-HLOOKUP(C:C,$4:$10,5,FALSE))*E401/F401)</f>
        <v/>
      </c>
      <c r="P401" s="199">
        <f>HLOOKUP(C:C,$4:$10,4,FALSE)+((HLOOKUP(D:D,$4:$10,4,FALSE)-HLOOKUP(C:C,$4:$10,4,FALSE))*E401/F401)</f>
        <v/>
      </c>
      <c r="Q401" s="199">
        <f>HLOOKUP(B:B,$4:$10,6,FALSE)+((HLOOKUP(C:C,$4:$10,6,FALSE)-HLOOKUP(B:B,$4:$10,6,FALSE))*E401/F401)</f>
        <v/>
      </c>
      <c r="T401" s="198">
        <f>$G401</f>
        <v/>
      </c>
      <c r="U401" s="199">
        <f>H401/(HLOOKUP(B:B,$4:$10,3,FALSE)+((HLOOKUP(C:C,$4:$10,3,FALSE)-HLOOKUP(B:B,$4:$10,3,FALSE))*E401/F401))</f>
        <v/>
      </c>
      <c r="V401" s="969">
        <f>HLOOKUP(B:B,$4:$10,7,FALSE)+((HLOOKUP(C:C,$4:$10,7,FALSE)-HLOOKUP(B:B,$4:$10,7,FALSE))*E401/F401)</f>
        <v/>
      </c>
      <c r="AB401" s="198">
        <f>$G401</f>
        <v/>
      </c>
      <c r="AC401" s="199">
        <f>$H401</f>
        <v/>
      </c>
      <c r="AD401" s="199">
        <f>$M401*AD$34</f>
        <v/>
      </c>
      <c r="AE401" s="199">
        <f>$M401*AE$34</f>
        <v/>
      </c>
      <c r="AF401" s="199">
        <f>$M401*AF$34</f>
        <v/>
      </c>
      <c r="AG401" s="199">
        <f>$M401*AG$34</f>
        <v/>
      </c>
      <c r="AH401" s="199">
        <f>$M401*AH$34</f>
        <v/>
      </c>
      <c r="AJ401" s="198">
        <f>$G401</f>
        <v/>
      </c>
      <c r="AK401" s="199">
        <f>$H401</f>
        <v/>
      </c>
      <c r="AL401" s="199">
        <f>$N401*AL$34</f>
        <v/>
      </c>
      <c r="AM401" s="199">
        <f>$N401*AM$34</f>
        <v/>
      </c>
      <c r="AN401" s="199">
        <f>$N401*AN$34</f>
        <v/>
      </c>
      <c r="AO401" s="199">
        <f>$N401*AO$34</f>
        <v/>
      </c>
      <c r="AP401" s="199">
        <f>$N401*AP$34</f>
        <v/>
      </c>
      <c r="AR401" s="198">
        <f>$G401</f>
        <v/>
      </c>
      <c r="AS401" s="199">
        <f>$H401</f>
        <v/>
      </c>
      <c r="AT401" s="199">
        <f>$O401*AT$34-$Q401</f>
        <v/>
      </c>
      <c r="AU401" s="199">
        <f>$O401*AU$34-$Q401</f>
        <v/>
      </c>
      <c r="AV401" s="199">
        <f>$O401*AV$34-$Q401</f>
        <v/>
      </c>
      <c r="AW401" s="199">
        <f>$O401*AW$34-$Q401</f>
        <v/>
      </c>
      <c r="AX401" s="199">
        <f>$O401*AX$34-$Q401</f>
        <v/>
      </c>
      <c r="AZ401" s="198">
        <f>$G401</f>
        <v/>
      </c>
      <c r="BA401" s="199">
        <f>$H401</f>
        <v/>
      </c>
      <c r="BB401" s="199">
        <f>$P401*BB$34-$Q401</f>
        <v/>
      </c>
      <c r="BC401" s="199">
        <f>$P401*BC$34-$Q401</f>
        <v/>
      </c>
      <c r="BD401" s="199">
        <f>$P401*BD$34-$Q401</f>
        <v/>
      </c>
      <c r="BE401" s="199">
        <f>$P401*BE$34-$Q401</f>
        <v/>
      </c>
      <c r="BF401" s="199">
        <f>$P401*BF$34-$Q401</f>
        <v/>
      </c>
      <c r="BH401" s="198">
        <f>$G401</f>
        <v/>
      </c>
      <c r="BI401" s="197">
        <f>$I401</f>
        <v/>
      </c>
      <c r="BJ401" s="197">
        <f>+BJ402</f>
        <v/>
      </c>
      <c r="BK401" s="197">
        <f>+BK402</f>
        <v/>
      </c>
      <c r="BL401" s="197">
        <f>+BL402</f>
        <v/>
      </c>
      <c r="BM401" s="197">
        <f>+BM402</f>
        <v/>
      </c>
      <c r="BN401" s="197">
        <f>+BN402</f>
        <v/>
      </c>
      <c r="BP401" s="198">
        <f>$G401</f>
        <v/>
      </c>
      <c r="BQ401" s="197">
        <f>$J401</f>
        <v/>
      </c>
      <c r="BR401" s="197">
        <f>+BR402</f>
        <v/>
      </c>
      <c r="BS401" s="197">
        <f>+BS402</f>
        <v/>
      </c>
      <c r="BT401" s="197">
        <f>+BT402</f>
        <v/>
      </c>
      <c r="BU401" s="197">
        <f>+BU402</f>
        <v/>
      </c>
      <c r="BV401" s="197">
        <f>+BV402</f>
        <v/>
      </c>
      <c r="BX401" s="198">
        <f>$G401</f>
        <v/>
      </c>
      <c r="BY401" s="197">
        <f>$K401</f>
        <v/>
      </c>
      <c r="BZ401" s="197">
        <f>+BZ402</f>
        <v/>
      </c>
      <c r="CA401" s="197">
        <f>+CA402</f>
        <v/>
      </c>
      <c r="CB401" s="197">
        <f>+CB402</f>
        <v/>
      </c>
      <c r="CC401" s="197">
        <f>+CC402</f>
        <v/>
      </c>
      <c r="CD401" s="197">
        <f>+CD402</f>
        <v/>
      </c>
      <c r="CF401" s="198">
        <f>$G401</f>
        <v/>
      </c>
      <c r="CG401" s="197">
        <f>$L401</f>
        <v/>
      </c>
      <c r="CH401" s="197">
        <f>+CH402</f>
        <v/>
      </c>
      <c r="CI401" s="197">
        <f>+CI402</f>
        <v/>
      </c>
      <c r="CJ401" s="197">
        <f>+CJ402</f>
        <v/>
      </c>
      <c r="CK401" s="197">
        <f>+CK402</f>
        <v/>
      </c>
      <c r="CL401" s="197">
        <f>+CL402</f>
        <v/>
      </c>
      <c r="CO401" s="199" t="n">
        <v>6.287059751722778</v>
      </c>
      <c r="CP401" s="199" t="n">
        <v>3.59</v>
      </c>
      <c r="CR401" s="199" t="n">
        <v>5.1</v>
      </c>
      <c r="CS401" s="970" t="n">
        <v>0.81119</v>
      </c>
    </row>
    <row r="402">
      <c r="B402" s="204">
        <f>+C402-1</f>
        <v/>
      </c>
      <c r="C402" s="204">
        <f>IF('bands_A-H_Avg'!$D$9+1&gt;MONTH(G402),YEAR(G402),YEAR(G402)+1)</f>
        <v/>
      </c>
      <c r="D402" s="204">
        <f>+C402+1</f>
        <v/>
      </c>
      <c r="E402" s="203">
        <f>IF(C402&gt;C401,1,E401+1)</f>
        <v/>
      </c>
      <c r="F402" s="203">
        <f>COUNTIF(C:C,C402)</f>
        <v/>
      </c>
      <c r="G402" s="198">
        <f>+G401+7</f>
        <v/>
      </c>
      <c r="H402" s="361">
        <f>IF(ISBLANK(CO402),CP402,SUMPRODUCT(CO$32:CP$32,CO402:CP402))</f>
        <v/>
      </c>
      <c r="I402" s="968">
        <f>H402/M402</f>
        <v/>
      </c>
      <c r="J402" s="968">
        <f>H402/N402</f>
        <v/>
      </c>
      <c r="K402" s="968">
        <f>(H402+Q402)/O402</f>
        <v/>
      </c>
      <c r="L402" s="968">
        <f>(H402+Q402)/P402</f>
        <v/>
      </c>
      <c r="M402" s="199">
        <f>HLOOKUP(C:C,$4:$10,3,FALSE)+((HLOOKUP(D:D,$4:$10,3,FALSE)-HLOOKUP(C:C,$4:$10,3,FALSE))*E402/F402)</f>
        <v/>
      </c>
      <c r="N402" s="199">
        <f>HLOOKUP(C:C,$4:$10,2,FALSE)+((HLOOKUP(D:D,$4:$10,2,FALSE)-HLOOKUP(C:C,$4:$10,2,FALSE))*E402/F402)</f>
        <v/>
      </c>
      <c r="O402" s="199">
        <f>HLOOKUP(C:C,$4:$10,5,FALSE)+((HLOOKUP(D:D,$4:$10,5,FALSE)-HLOOKUP(C:C,$4:$10,5,FALSE))*E402/F402)</f>
        <v/>
      </c>
      <c r="P402" s="199">
        <f>HLOOKUP(C:C,$4:$10,4,FALSE)+((HLOOKUP(D:D,$4:$10,4,FALSE)-HLOOKUP(C:C,$4:$10,4,FALSE))*E402/F402)</f>
        <v/>
      </c>
      <c r="Q402" s="199">
        <f>HLOOKUP(B:B,$4:$10,6,FALSE)+((HLOOKUP(C:C,$4:$10,6,FALSE)-HLOOKUP(B:B,$4:$10,6,FALSE))*E402/F402)</f>
        <v/>
      </c>
      <c r="T402" s="198">
        <f>$G402</f>
        <v/>
      </c>
      <c r="U402" s="199">
        <f>H402/(HLOOKUP(B:B,$4:$10,3,FALSE)+((HLOOKUP(C:C,$4:$10,3,FALSE)-HLOOKUP(B:B,$4:$10,3,FALSE))*E402/F402))</f>
        <v/>
      </c>
      <c r="V402" s="969">
        <f>HLOOKUP(B:B,$4:$10,7,FALSE)+((HLOOKUP(C:C,$4:$10,7,FALSE)-HLOOKUP(B:B,$4:$10,7,FALSE))*E402/F402)</f>
        <v/>
      </c>
      <c r="AB402" s="198">
        <f>$G402</f>
        <v/>
      </c>
      <c r="AC402" s="199">
        <f>$H402</f>
        <v/>
      </c>
      <c r="AD402" s="199">
        <f>$M402*AD$34</f>
        <v/>
      </c>
      <c r="AE402" s="199">
        <f>$M402*AE$34</f>
        <v/>
      </c>
      <c r="AF402" s="199">
        <f>$M402*AF$34</f>
        <v/>
      </c>
      <c r="AG402" s="199">
        <f>$M402*AG$34</f>
        <v/>
      </c>
      <c r="AH402" s="199">
        <f>$M402*AH$34</f>
        <v/>
      </c>
      <c r="AJ402" s="198">
        <f>$G402</f>
        <v/>
      </c>
      <c r="AK402" s="199">
        <f>$H402</f>
        <v/>
      </c>
      <c r="AL402" s="199">
        <f>$N402*AL$34</f>
        <v/>
      </c>
      <c r="AM402" s="199">
        <f>$N402*AM$34</f>
        <v/>
      </c>
      <c r="AN402" s="199">
        <f>$N402*AN$34</f>
        <v/>
      </c>
      <c r="AO402" s="199">
        <f>$N402*AO$34</f>
        <v/>
      </c>
      <c r="AP402" s="199">
        <f>$N402*AP$34</f>
        <v/>
      </c>
      <c r="AR402" s="198">
        <f>$G402</f>
        <v/>
      </c>
      <c r="AS402" s="199">
        <f>$H402</f>
        <v/>
      </c>
      <c r="AT402" s="199">
        <f>$O402*AT$34-$Q402</f>
        <v/>
      </c>
      <c r="AU402" s="199">
        <f>$O402*AU$34-$Q402</f>
        <v/>
      </c>
      <c r="AV402" s="199">
        <f>$O402*AV$34-$Q402</f>
        <v/>
      </c>
      <c r="AW402" s="199">
        <f>$O402*AW$34-$Q402</f>
        <v/>
      </c>
      <c r="AX402" s="199">
        <f>$O402*AX$34-$Q402</f>
        <v/>
      </c>
      <c r="AZ402" s="198">
        <f>$G402</f>
        <v/>
      </c>
      <c r="BA402" s="199">
        <f>$H402</f>
        <v/>
      </c>
      <c r="BB402" s="199">
        <f>$P402*BB$34-$Q402</f>
        <v/>
      </c>
      <c r="BC402" s="199">
        <f>$P402*BC$34-$Q402</f>
        <v/>
      </c>
      <c r="BD402" s="199">
        <f>$P402*BD$34-$Q402</f>
        <v/>
      </c>
      <c r="BE402" s="199">
        <f>$P402*BE$34-$Q402</f>
        <v/>
      </c>
      <c r="BF402" s="199">
        <f>$P402*BF$34-$Q402</f>
        <v/>
      </c>
      <c r="BH402" s="198">
        <f>$G402</f>
        <v/>
      </c>
      <c r="BI402" s="197">
        <f>$I402</f>
        <v/>
      </c>
      <c r="BJ402" s="197">
        <f>+BJ403</f>
        <v/>
      </c>
      <c r="BK402" s="197">
        <f>+BK403</f>
        <v/>
      </c>
      <c r="BL402" s="197">
        <f>+BL403</f>
        <v/>
      </c>
      <c r="BM402" s="197">
        <f>+BM403</f>
        <v/>
      </c>
      <c r="BN402" s="197">
        <f>+BN403</f>
        <v/>
      </c>
      <c r="BP402" s="198">
        <f>$G402</f>
        <v/>
      </c>
      <c r="BQ402" s="197">
        <f>$J402</f>
        <v/>
      </c>
      <c r="BR402" s="197">
        <f>+BR403</f>
        <v/>
      </c>
      <c r="BS402" s="197">
        <f>+BS403</f>
        <v/>
      </c>
      <c r="BT402" s="197">
        <f>+BT403</f>
        <v/>
      </c>
      <c r="BU402" s="197">
        <f>+BU403</f>
        <v/>
      </c>
      <c r="BV402" s="197">
        <f>+BV403</f>
        <v/>
      </c>
      <c r="BX402" s="198">
        <f>$G402</f>
        <v/>
      </c>
      <c r="BY402" s="197">
        <f>$K402</f>
        <v/>
      </c>
      <c r="BZ402" s="197">
        <f>+BZ403</f>
        <v/>
      </c>
      <c r="CA402" s="197">
        <f>+CA403</f>
        <v/>
      </c>
      <c r="CB402" s="197">
        <f>+CB403</f>
        <v/>
      </c>
      <c r="CC402" s="197">
        <f>+CC403</f>
        <v/>
      </c>
      <c r="CD402" s="197">
        <f>+CD403</f>
        <v/>
      </c>
      <c r="CF402" s="198">
        <f>$G402</f>
        <v/>
      </c>
      <c r="CG402" s="197">
        <f>$L402</f>
        <v/>
      </c>
      <c r="CH402" s="197">
        <f>+CH403</f>
        <v/>
      </c>
      <c r="CI402" s="197">
        <f>+CI403</f>
        <v/>
      </c>
      <c r="CJ402" s="197">
        <f>+CJ403</f>
        <v/>
      </c>
      <c r="CK402" s="197">
        <f>+CK403</f>
        <v/>
      </c>
      <c r="CL402" s="197">
        <f>+CL403</f>
        <v/>
      </c>
      <c r="CO402" s="199" t="n">
        <v>6.159709842011434</v>
      </c>
      <c r="CP402" s="199" t="n">
        <v>3.74</v>
      </c>
      <c r="CR402" s="199" t="n">
        <v>5.01</v>
      </c>
      <c r="CS402" s="970" t="n">
        <v>0.81335</v>
      </c>
    </row>
    <row r="403">
      <c r="B403" s="204">
        <f>+C403-1</f>
        <v/>
      </c>
      <c r="C403" s="204">
        <f>IF('bands_A-H_Avg'!$D$9+1&gt;MONTH(G403),YEAR(G403),YEAR(G403)+1)</f>
        <v/>
      </c>
      <c r="D403" s="204">
        <f>+C403+1</f>
        <v/>
      </c>
      <c r="E403" s="203">
        <f>IF(C403&gt;C402,1,E402+1)</f>
        <v/>
      </c>
      <c r="F403" s="203">
        <f>COUNTIF(C:C,C403)</f>
        <v/>
      </c>
      <c r="G403" s="198">
        <f>+G402+7</f>
        <v/>
      </c>
      <c r="H403" s="361">
        <f>IF(ISBLANK(CO403),CP403,SUMPRODUCT(CO$32:CP$32,CO403:CP403))</f>
        <v/>
      </c>
      <c r="I403" s="968">
        <f>H403/M403</f>
        <v/>
      </c>
      <c r="J403" s="968">
        <f>H403/N403</f>
        <v/>
      </c>
      <c r="K403" s="968">
        <f>(H403+Q403)/O403</f>
        <v/>
      </c>
      <c r="L403" s="968">
        <f>(H403+Q403)/P403</f>
        <v/>
      </c>
      <c r="M403" s="199">
        <f>HLOOKUP(C:C,$4:$10,3,FALSE)+((HLOOKUP(D:D,$4:$10,3,FALSE)-HLOOKUP(C:C,$4:$10,3,FALSE))*E403/F403)</f>
        <v/>
      </c>
      <c r="N403" s="199">
        <f>HLOOKUP(C:C,$4:$10,2,FALSE)+((HLOOKUP(D:D,$4:$10,2,FALSE)-HLOOKUP(C:C,$4:$10,2,FALSE))*E403/F403)</f>
        <v/>
      </c>
      <c r="O403" s="199">
        <f>HLOOKUP(C:C,$4:$10,5,FALSE)+((HLOOKUP(D:D,$4:$10,5,FALSE)-HLOOKUP(C:C,$4:$10,5,FALSE))*E403/F403)</f>
        <v/>
      </c>
      <c r="P403" s="199">
        <f>HLOOKUP(C:C,$4:$10,4,FALSE)+((HLOOKUP(D:D,$4:$10,4,FALSE)-HLOOKUP(C:C,$4:$10,4,FALSE))*E403/F403)</f>
        <v/>
      </c>
      <c r="Q403" s="199">
        <f>HLOOKUP(B:B,$4:$10,6,FALSE)+((HLOOKUP(C:C,$4:$10,6,FALSE)-HLOOKUP(B:B,$4:$10,6,FALSE))*E403/F403)</f>
        <v/>
      </c>
      <c r="T403" s="198">
        <f>$G403</f>
        <v/>
      </c>
      <c r="U403" s="199">
        <f>H403/(HLOOKUP(B:B,$4:$10,3,FALSE)+((HLOOKUP(C:C,$4:$10,3,FALSE)-HLOOKUP(B:B,$4:$10,3,FALSE))*E403/F403))</f>
        <v/>
      </c>
      <c r="V403" s="969">
        <f>HLOOKUP(B:B,$4:$10,7,FALSE)+((HLOOKUP(C:C,$4:$10,7,FALSE)-HLOOKUP(B:B,$4:$10,7,FALSE))*E403/F403)</f>
        <v/>
      </c>
      <c r="AB403" s="198">
        <f>$G403</f>
        <v/>
      </c>
      <c r="AC403" s="199">
        <f>$H403</f>
        <v/>
      </c>
      <c r="AD403" s="199">
        <f>$M403*AD$34</f>
        <v/>
      </c>
      <c r="AE403" s="199">
        <f>$M403*AE$34</f>
        <v/>
      </c>
      <c r="AF403" s="199">
        <f>$M403*AF$34</f>
        <v/>
      </c>
      <c r="AG403" s="199">
        <f>$M403*AG$34</f>
        <v/>
      </c>
      <c r="AH403" s="199">
        <f>$M403*AH$34</f>
        <v/>
      </c>
      <c r="AJ403" s="198">
        <f>$G403</f>
        <v/>
      </c>
      <c r="AK403" s="199">
        <f>$H403</f>
        <v/>
      </c>
      <c r="AL403" s="199">
        <f>$N403*AL$34</f>
        <v/>
      </c>
      <c r="AM403" s="199">
        <f>$N403*AM$34</f>
        <v/>
      </c>
      <c r="AN403" s="199">
        <f>$N403*AN$34</f>
        <v/>
      </c>
      <c r="AO403" s="199">
        <f>$N403*AO$34</f>
        <v/>
      </c>
      <c r="AP403" s="199">
        <f>$N403*AP$34</f>
        <v/>
      </c>
      <c r="AR403" s="198">
        <f>$G403</f>
        <v/>
      </c>
      <c r="AS403" s="199">
        <f>$H403</f>
        <v/>
      </c>
      <c r="AT403" s="199">
        <f>$O403*AT$34-$Q403</f>
        <v/>
      </c>
      <c r="AU403" s="199">
        <f>$O403*AU$34-$Q403</f>
        <v/>
      </c>
      <c r="AV403" s="199">
        <f>$O403*AV$34-$Q403</f>
        <v/>
      </c>
      <c r="AW403" s="199">
        <f>$O403*AW$34-$Q403</f>
        <v/>
      </c>
      <c r="AX403" s="199">
        <f>$O403*AX$34-$Q403</f>
        <v/>
      </c>
      <c r="AZ403" s="198">
        <f>$G403</f>
        <v/>
      </c>
      <c r="BA403" s="199">
        <f>$H403</f>
        <v/>
      </c>
      <c r="BB403" s="199">
        <f>$P403*BB$34-$Q403</f>
        <v/>
      </c>
      <c r="BC403" s="199">
        <f>$P403*BC$34-$Q403</f>
        <v/>
      </c>
      <c r="BD403" s="199">
        <f>$P403*BD$34-$Q403</f>
        <v/>
      </c>
      <c r="BE403" s="199">
        <f>$P403*BE$34-$Q403</f>
        <v/>
      </c>
      <c r="BF403" s="199">
        <f>$P403*BF$34-$Q403</f>
        <v/>
      </c>
      <c r="BH403" s="198">
        <f>$G403</f>
        <v/>
      </c>
      <c r="BI403" s="197">
        <f>$I403</f>
        <v/>
      </c>
      <c r="BJ403" s="197">
        <f>+BJ404</f>
        <v/>
      </c>
      <c r="BK403" s="197">
        <f>+BK404</f>
        <v/>
      </c>
      <c r="BL403" s="197">
        <f>+BL404</f>
        <v/>
      </c>
      <c r="BM403" s="197">
        <f>+BM404</f>
        <v/>
      </c>
      <c r="BN403" s="197">
        <f>+BN404</f>
        <v/>
      </c>
      <c r="BP403" s="198">
        <f>$G403</f>
        <v/>
      </c>
      <c r="BQ403" s="197">
        <f>$J403</f>
        <v/>
      </c>
      <c r="BR403" s="197">
        <f>+BR404</f>
        <v/>
      </c>
      <c r="BS403" s="197">
        <f>+BS404</f>
        <v/>
      </c>
      <c r="BT403" s="197">
        <f>+BT404</f>
        <v/>
      </c>
      <c r="BU403" s="197">
        <f>+BU404</f>
        <v/>
      </c>
      <c r="BV403" s="197">
        <f>+BV404</f>
        <v/>
      </c>
      <c r="BX403" s="198">
        <f>$G403</f>
        <v/>
      </c>
      <c r="BY403" s="197">
        <f>$K403</f>
        <v/>
      </c>
      <c r="BZ403" s="197">
        <f>+BZ404</f>
        <v/>
      </c>
      <c r="CA403" s="197">
        <f>+CA404</f>
        <v/>
      </c>
      <c r="CB403" s="197">
        <f>+CB404</f>
        <v/>
      </c>
      <c r="CC403" s="197">
        <f>+CC404</f>
        <v/>
      </c>
      <c r="CD403" s="197">
        <f>+CD404</f>
        <v/>
      </c>
      <c r="CF403" s="198">
        <f>$G403</f>
        <v/>
      </c>
      <c r="CG403" s="197">
        <f>$L403</f>
        <v/>
      </c>
      <c r="CH403" s="197">
        <f>+CH404</f>
        <v/>
      </c>
      <c r="CI403" s="197">
        <f>+CI404</f>
        <v/>
      </c>
      <c r="CJ403" s="197">
        <f>+CJ404</f>
        <v/>
      </c>
      <c r="CK403" s="197">
        <f>+CK404</f>
        <v/>
      </c>
      <c r="CL403" s="197">
        <f>+CL404</f>
        <v/>
      </c>
      <c r="CO403" s="199" t="n">
        <v>6.374981575197761</v>
      </c>
      <c r="CP403" s="199" t="n">
        <v>3.77</v>
      </c>
      <c r="CR403" s="199" t="n">
        <v>5.19</v>
      </c>
      <c r="CS403" s="970" t="n">
        <v>0.81412</v>
      </c>
    </row>
    <row r="404">
      <c r="B404" s="204">
        <f>+C404-1</f>
        <v/>
      </c>
      <c r="C404" s="204">
        <f>IF('bands_A-H_Avg'!$D$9+1&gt;MONTH(G404),YEAR(G404),YEAR(G404)+1)</f>
        <v/>
      </c>
      <c r="D404" s="204">
        <f>+C404+1</f>
        <v/>
      </c>
      <c r="E404" s="203">
        <f>IF(C404&gt;C403,1,E403+1)</f>
        <v/>
      </c>
      <c r="F404" s="203">
        <f>COUNTIF(C:C,C404)</f>
        <v/>
      </c>
      <c r="G404" s="198">
        <f>+G403+7</f>
        <v/>
      </c>
      <c r="H404" s="361">
        <f>IF(ISBLANK(CO404),CP404,SUMPRODUCT(CO$32:CP$32,CO404:CP404))</f>
        <v/>
      </c>
      <c r="I404" s="968">
        <f>H404/M404</f>
        <v/>
      </c>
      <c r="J404" s="968">
        <f>H404/N404</f>
        <v/>
      </c>
      <c r="K404" s="968">
        <f>(H404+Q404)/O404</f>
        <v/>
      </c>
      <c r="L404" s="968">
        <f>(H404+Q404)/P404</f>
        <v/>
      </c>
      <c r="M404" s="199">
        <f>HLOOKUP(C:C,$4:$10,3,FALSE)+((HLOOKUP(D:D,$4:$10,3,FALSE)-HLOOKUP(C:C,$4:$10,3,FALSE))*E404/F404)</f>
        <v/>
      </c>
      <c r="N404" s="199">
        <f>HLOOKUP(C:C,$4:$10,2,FALSE)+((HLOOKUP(D:D,$4:$10,2,FALSE)-HLOOKUP(C:C,$4:$10,2,FALSE))*E404/F404)</f>
        <v/>
      </c>
      <c r="O404" s="199">
        <f>HLOOKUP(C:C,$4:$10,5,FALSE)+((HLOOKUP(D:D,$4:$10,5,FALSE)-HLOOKUP(C:C,$4:$10,5,FALSE))*E404/F404)</f>
        <v/>
      </c>
      <c r="P404" s="199">
        <f>HLOOKUP(C:C,$4:$10,4,FALSE)+((HLOOKUP(D:D,$4:$10,4,FALSE)-HLOOKUP(C:C,$4:$10,4,FALSE))*E404/F404)</f>
        <v/>
      </c>
      <c r="Q404" s="199">
        <f>HLOOKUP(B:B,$4:$10,6,FALSE)+((HLOOKUP(C:C,$4:$10,6,FALSE)-HLOOKUP(B:B,$4:$10,6,FALSE))*E404/F404)</f>
        <v/>
      </c>
      <c r="T404" s="198">
        <f>$G404</f>
        <v/>
      </c>
      <c r="U404" s="199">
        <f>H404/(HLOOKUP(B:B,$4:$10,3,FALSE)+((HLOOKUP(C:C,$4:$10,3,FALSE)-HLOOKUP(B:B,$4:$10,3,FALSE))*E404/F404))</f>
        <v/>
      </c>
      <c r="V404" s="969">
        <f>HLOOKUP(B:B,$4:$10,7,FALSE)+((HLOOKUP(C:C,$4:$10,7,FALSE)-HLOOKUP(B:B,$4:$10,7,FALSE))*E404/F404)</f>
        <v/>
      </c>
      <c r="AB404" s="198">
        <f>$G404</f>
        <v/>
      </c>
      <c r="AC404" s="199">
        <f>$H404</f>
        <v/>
      </c>
      <c r="AD404" s="199">
        <f>$M404*AD$34</f>
        <v/>
      </c>
      <c r="AE404" s="199">
        <f>$M404*AE$34</f>
        <v/>
      </c>
      <c r="AF404" s="199">
        <f>$M404*AF$34</f>
        <v/>
      </c>
      <c r="AG404" s="199">
        <f>$M404*AG$34</f>
        <v/>
      </c>
      <c r="AH404" s="199">
        <f>$M404*AH$34</f>
        <v/>
      </c>
      <c r="AJ404" s="198">
        <f>$G404</f>
        <v/>
      </c>
      <c r="AK404" s="199">
        <f>$H404</f>
        <v/>
      </c>
      <c r="AL404" s="199">
        <f>$N404*AL$34</f>
        <v/>
      </c>
      <c r="AM404" s="199">
        <f>$N404*AM$34</f>
        <v/>
      </c>
      <c r="AN404" s="199">
        <f>$N404*AN$34</f>
        <v/>
      </c>
      <c r="AO404" s="199">
        <f>$N404*AO$34</f>
        <v/>
      </c>
      <c r="AP404" s="199">
        <f>$N404*AP$34</f>
        <v/>
      </c>
      <c r="AR404" s="198">
        <f>$G404</f>
        <v/>
      </c>
      <c r="AS404" s="199">
        <f>$H404</f>
        <v/>
      </c>
      <c r="AT404" s="199">
        <f>$O404*AT$34-$Q404</f>
        <v/>
      </c>
      <c r="AU404" s="199">
        <f>$O404*AU$34-$Q404</f>
        <v/>
      </c>
      <c r="AV404" s="199">
        <f>$O404*AV$34-$Q404</f>
        <v/>
      </c>
      <c r="AW404" s="199">
        <f>$O404*AW$34-$Q404</f>
        <v/>
      </c>
      <c r="AX404" s="199">
        <f>$O404*AX$34-$Q404</f>
        <v/>
      </c>
      <c r="AZ404" s="198">
        <f>$G404</f>
        <v/>
      </c>
      <c r="BA404" s="199">
        <f>$H404</f>
        <v/>
      </c>
      <c r="BB404" s="199">
        <f>$P404*BB$34-$Q404</f>
        <v/>
      </c>
      <c r="BC404" s="199">
        <f>$P404*BC$34-$Q404</f>
        <v/>
      </c>
      <c r="BD404" s="199">
        <f>$P404*BD$34-$Q404</f>
        <v/>
      </c>
      <c r="BE404" s="199">
        <f>$P404*BE$34-$Q404</f>
        <v/>
      </c>
      <c r="BF404" s="199">
        <f>$P404*BF$34-$Q404</f>
        <v/>
      </c>
      <c r="BH404" s="198">
        <f>$G404</f>
        <v/>
      </c>
      <c r="BI404" s="197">
        <f>$I404</f>
        <v/>
      </c>
      <c r="BJ404" s="197">
        <f>+BJ405</f>
        <v/>
      </c>
      <c r="BK404" s="197">
        <f>+BK405</f>
        <v/>
      </c>
      <c r="BL404" s="197">
        <f>+BL405</f>
        <v/>
      </c>
      <c r="BM404" s="197">
        <f>+BM405</f>
        <v/>
      </c>
      <c r="BN404" s="197">
        <f>+BN405</f>
        <v/>
      </c>
      <c r="BP404" s="198">
        <f>$G404</f>
        <v/>
      </c>
      <c r="BQ404" s="197">
        <f>$J404</f>
        <v/>
      </c>
      <c r="BR404" s="197">
        <f>+BR405</f>
        <v/>
      </c>
      <c r="BS404" s="197">
        <f>+BS405</f>
        <v/>
      </c>
      <c r="BT404" s="197">
        <f>+BT405</f>
        <v/>
      </c>
      <c r="BU404" s="197">
        <f>+BU405</f>
        <v/>
      </c>
      <c r="BV404" s="197">
        <f>+BV405</f>
        <v/>
      </c>
      <c r="BX404" s="198">
        <f>$G404</f>
        <v/>
      </c>
      <c r="BY404" s="197">
        <f>$K404</f>
        <v/>
      </c>
      <c r="BZ404" s="197">
        <f>+BZ405</f>
        <v/>
      </c>
      <c r="CA404" s="197">
        <f>+CA405</f>
        <v/>
      </c>
      <c r="CB404" s="197">
        <f>+CB405</f>
        <v/>
      </c>
      <c r="CC404" s="197">
        <f>+CC405</f>
        <v/>
      </c>
      <c r="CD404" s="197">
        <f>+CD405</f>
        <v/>
      </c>
      <c r="CF404" s="198">
        <f>$G404</f>
        <v/>
      </c>
      <c r="CG404" s="197">
        <f>$L404</f>
        <v/>
      </c>
      <c r="CH404" s="197">
        <f>+CH405</f>
        <v/>
      </c>
      <c r="CI404" s="197">
        <f>+CI405</f>
        <v/>
      </c>
      <c r="CJ404" s="197">
        <f>+CJ405</f>
        <v/>
      </c>
      <c r="CK404" s="197">
        <f>+CK405</f>
        <v/>
      </c>
      <c r="CL404" s="197">
        <f>+CL405</f>
        <v/>
      </c>
      <c r="CO404" s="199" t="n">
        <v>6.868216103513828</v>
      </c>
      <c r="CP404" s="199" t="n">
        <v>4.09</v>
      </c>
      <c r="CR404" s="199" t="n">
        <v>5.6</v>
      </c>
      <c r="CS404" s="970" t="n">
        <v>0.81535</v>
      </c>
    </row>
    <row r="405">
      <c r="B405" s="204">
        <f>+C405-1</f>
        <v/>
      </c>
      <c r="C405" s="204">
        <f>IF('bands_A-H_Avg'!$D$9+1&gt;MONTH(G405),YEAR(G405),YEAR(G405)+1)</f>
        <v/>
      </c>
      <c r="D405" s="204">
        <f>+C405+1</f>
        <v/>
      </c>
      <c r="E405" s="203">
        <f>IF(C405&gt;C404,1,E404+1)</f>
        <v/>
      </c>
      <c r="F405" s="203">
        <f>COUNTIF(C:C,C405)</f>
        <v/>
      </c>
      <c r="G405" s="198">
        <f>+G404+7</f>
        <v/>
      </c>
      <c r="H405" s="361">
        <f>IF(ISBLANK(CO405),CP405,SUMPRODUCT(CO$32:CP$32,CO405:CP405))</f>
        <v/>
      </c>
      <c r="I405" s="968">
        <f>H405/M405</f>
        <v/>
      </c>
      <c r="J405" s="968">
        <f>H405/N405</f>
        <v/>
      </c>
      <c r="K405" s="968">
        <f>(H405+Q405)/O405</f>
        <v/>
      </c>
      <c r="L405" s="968">
        <f>(H405+Q405)/P405</f>
        <v/>
      </c>
      <c r="M405" s="199">
        <f>HLOOKUP(C:C,$4:$10,3,FALSE)+((HLOOKUP(D:D,$4:$10,3,FALSE)-HLOOKUP(C:C,$4:$10,3,FALSE))*E405/F405)</f>
        <v/>
      </c>
      <c r="N405" s="199">
        <f>HLOOKUP(C:C,$4:$10,2,FALSE)+((HLOOKUP(D:D,$4:$10,2,FALSE)-HLOOKUP(C:C,$4:$10,2,FALSE))*E405/F405)</f>
        <v/>
      </c>
      <c r="O405" s="199">
        <f>HLOOKUP(C:C,$4:$10,5,FALSE)+((HLOOKUP(D:D,$4:$10,5,FALSE)-HLOOKUP(C:C,$4:$10,5,FALSE))*E405/F405)</f>
        <v/>
      </c>
      <c r="P405" s="199">
        <f>HLOOKUP(C:C,$4:$10,4,FALSE)+((HLOOKUP(D:D,$4:$10,4,FALSE)-HLOOKUP(C:C,$4:$10,4,FALSE))*E405/F405)</f>
        <v/>
      </c>
      <c r="Q405" s="199">
        <f>HLOOKUP(B:B,$4:$10,6,FALSE)+((HLOOKUP(C:C,$4:$10,6,FALSE)-HLOOKUP(B:B,$4:$10,6,FALSE))*E405/F405)</f>
        <v/>
      </c>
      <c r="T405" s="198">
        <f>$G405</f>
        <v/>
      </c>
      <c r="U405" s="199">
        <f>H405/(HLOOKUP(B:B,$4:$10,3,FALSE)+((HLOOKUP(C:C,$4:$10,3,FALSE)-HLOOKUP(B:B,$4:$10,3,FALSE))*E405/F405))</f>
        <v/>
      </c>
      <c r="V405" s="969">
        <f>HLOOKUP(B:B,$4:$10,7,FALSE)+((HLOOKUP(C:C,$4:$10,7,FALSE)-HLOOKUP(B:B,$4:$10,7,FALSE))*E405/F405)</f>
        <v/>
      </c>
      <c r="AB405" s="198">
        <f>$G405</f>
        <v/>
      </c>
      <c r="AC405" s="199">
        <f>$H405</f>
        <v/>
      </c>
      <c r="AD405" s="199">
        <f>$M405*AD$34</f>
        <v/>
      </c>
      <c r="AE405" s="199">
        <f>$M405*AE$34</f>
        <v/>
      </c>
      <c r="AF405" s="199">
        <f>$M405*AF$34</f>
        <v/>
      </c>
      <c r="AG405" s="199">
        <f>$M405*AG$34</f>
        <v/>
      </c>
      <c r="AH405" s="199">
        <f>$M405*AH$34</f>
        <v/>
      </c>
      <c r="AJ405" s="198">
        <f>$G405</f>
        <v/>
      </c>
      <c r="AK405" s="199">
        <f>$H405</f>
        <v/>
      </c>
      <c r="AL405" s="199">
        <f>$N405*AL$34</f>
        <v/>
      </c>
      <c r="AM405" s="199">
        <f>$N405*AM$34</f>
        <v/>
      </c>
      <c r="AN405" s="199">
        <f>$N405*AN$34</f>
        <v/>
      </c>
      <c r="AO405" s="199">
        <f>$N405*AO$34</f>
        <v/>
      </c>
      <c r="AP405" s="199">
        <f>$N405*AP$34</f>
        <v/>
      </c>
      <c r="AR405" s="198">
        <f>$G405</f>
        <v/>
      </c>
      <c r="AS405" s="199">
        <f>$H405</f>
        <v/>
      </c>
      <c r="AT405" s="199">
        <f>$O405*AT$34-$Q405</f>
        <v/>
      </c>
      <c r="AU405" s="199">
        <f>$O405*AU$34-$Q405</f>
        <v/>
      </c>
      <c r="AV405" s="199">
        <f>$O405*AV$34-$Q405</f>
        <v/>
      </c>
      <c r="AW405" s="199">
        <f>$O405*AW$34-$Q405</f>
        <v/>
      </c>
      <c r="AX405" s="199">
        <f>$O405*AX$34-$Q405</f>
        <v/>
      </c>
      <c r="AZ405" s="198">
        <f>$G405</f>
        <v/>
      </c>
      <c r="BA405" s="199">
        <f>$H405</f>
        <v/>
      </c>
      <c r="BB405" s="199">
        <f>$P405*BB$34-$Q405</f>
        <v/>
      </c>
      <c r="BC405" s="199">
        <f>$P405*BC$34-$Q405</f>
        <v/>
      </c>
      <c r="BD405" s="199">
        <f>$P405*BD$34-$Q405</f>
        <v/>
      </c>
      <c r="BE405" s="199">
        <f>$P405*BE$34-$Q405</f>
        <v/>
      </c>
      <c r="BF405" s="199">
        <f>$P405*BF$34-$Q405</f>
        <v/>
      </c>
      <c r="BH405" s="198">
        <f>$G405</f>
        <v/>
      </c>
      <c r="BI405" s="197">
        <f>$I405</f>
        <v/>
      </c>
      <c r="BJ405" s="197">
        <f>+BJ406</f>
        <v/>
      </c>
      <c r="BK405" s="197">
        <f>+BK406</f>
        <v/>
      </c>
      <c r="BL405" s="197">
        <f>+BL406</f>
        <v/>
      </c>
      <c r="BM405" s="197">
        <f>+BM406</f>
        <v/>
      </c>
      <c r="BN405" s="197">
        <f>+BN406</f>
        <v/>
      </c>
      <c r="BP405" s="198">
        <f>$G405</f>
        <v/>
      </c>
      <c r="BQ405" s="197">
        <f>$J405</f>
        <v/>
      </c>
      <c r="BR405" s="197">
        <f>+BR406</f>
        <v/>
      </c>
      <c r="BS405" s="197">
        <f>+BS406</f>
        <v/>
      </c>
      <c r="BT405" s="197">
        <f>+BT406</f>
        <v/>
      </c>
      <c r="BU405" s="197">
        <f>+BU406</f>
        <v/>
      </c>
      <c r="BV405" s="197">
        <f>+BV406</f>
        <v/>
      </c>
      <c r="BX405" s="198">
        <f>$G405</f>
        <v/>
      </c>
      <c r="BY405" s="197">
        <f>$K405</f>
        <v/>
      </c>
      <c r="BZ405" s="197">
        <f>+BZ406</f>
        <v/>
      </c>
      <c r="CA405" s="197">
        <f>+CA406</f>
        <v/>
      </c>
      <c r="CB405" s="197">
        <f>+CB406</f>
        <v/>
      </c>
      <c r="CC405" s="197">
        <f>+CC406</f>
        <v/>
      </c>
      <c r="CD405" s="197">
        <f>+CD406</f>
        <v/>
      </c>
      <c r="CF405" s="198">
        <f>$G405</f>
        <v/>
      </c>
      <c r="CG405" s="197">
        <f>$L405</f>
        <v/>
      </c>
      <c r="CH405" s="197">
        <f>+CH406</f>
        <v/>
      </c>
      <c r="CI405" s="197">
        <f>+CI406</f>
        <v/>
      </c>
      <c r="CJ405" s="197">
        <f>+CJ406</f>
        <v/>
      </c>
      <c r="CK405" s="197">
        <f>+CK406</f>
        <v/>
      </c>
      <c r="CL405" s="197">
        <f>+CL406</f>
        <v/>
      </c>
      <c r="CO405" s="199" t="n">
        <v>6.870238372734968</v>
      </c>
      <c r="CP405" s="199" t="n">
        <v>4.07</v>
      </c>
      <c r="CR405" s="199" t="n">
        <v>5.6</v>
      </c>
      <c r="CS405" s="970" t="n">
        <v>0.81511</v>
      </c>
    </row>
    <row r="406">
      <c r="B406" s="204">
        <f>+C406-1</f>
        <v/>
      </c>
      <c r="C406" s="204">
        <f>IF('bands_A-H_Avg'!$D$9+1&gt;MONTH(G406),YEAR(G406),YEAR(G406)+1)</f>
        <v/>
      </c>
      <c r="D406" s="204">
        <f>+C406+1</f>
        <v/>
      </c>
      <c r="E406" s="203">
        <f>IF(C406&gt;C405,1,E405+1)</f>
        <v/>
      </c>
      <c r="F406" s="203">
        <f>COUNTIF(C:C,C406)</f>
        <v/>
      </c>
      <c r="G406" s="198">
        <f>+G405+7</f>
        <v/>
      </c>
      <c r="H406" s="361">
        <f>IF(ISBLANK(CO406),CP406,SUMPRODUCT(CO$32:CP$32,CO406:CP406))</f>
        <v/>
      </c>
      <c r="I406" s="968">
        <f>H406/M406</f>
        <v/>
      </c>
      <c r="J406" s="968">
        <f>H406/N406</f>
        <v/>
      </c>
      <c r="K406" s="968">
        <f>(H406+Q406)/O406</f>
        <v/>
      </c>
      <c r="L406" s="968">
        <f>(H406+Q406)/P406</f>
        <v/>
      </c>
      <c r="M406" s="199">
        <f>HLOOKUP(C:C,$4:$10,3,FALSE)+((HLOOKUP(D:D,$4:$10,3,FALSE)-HLOOKUP(C:C,$4:$10,3,FALSE))*E406/F406)</f>
        <v/>
      </c>
      <c r="N406" s="199">
        <f>HLOOKUP(C:C,$4:$10,2,FALSE)+((HLOOKUP(D:D,$4:$10,2,FALSE)-HLOOKUP(C:C,$4:$10,2,FALSE))*E406/F406)</f>
        <v/>
      </c>
      <c r="O406" s="199">
        <f>HLOOKUP(C:C,$4:$10,5,FALSE)+((HLOOKUP(D:D,$4:$10,5,FALSE)-HLOOKUP(C:C,$4:$10,5,FALSE))*E406/F406)</f>
        <v/>
      </c>
      <c r="P406" s="199">
        <f>HLOOKUP(C:C,$4:$10,4,FALSE)+((HLOOKUP(D:D,$4:$10,4,FALSE)-HLOOKUP(C:C,$4:$10,4,FALSE))*E406/F406)</f>
        <v/>
      </c>
      <c r="Q406" s="199">
        <f>HLOOKUP(B:B,$4:$10,6,FALSE)+((HLOOKUP(C:C,$4:$10,6,FALSE)-HLOOKUP(B:B,$4:$10,6,FALSE))*E406/F406)</f>
        <v/>
      </c>
      <c r="T406" s="198">
        <f>$G406</f>
        <v/>
      </c>
      <c r="U406" s="199">
        <f>H406/(HLOOKUP(B:B,$4:$10,3,FALSE)+((HLOOKUP(C:C,$4:$10,3,FALSE)-HLOOKUP(B:B,$4:$10,3,FALSE))*E406/F406))</f>
        <v/>
      </c>
      <c r="V406" s="969">
        <f>HLOOKUP(B:B,$4:$10,7,FALSE)+((HLOOKUP(C:C,$4:$10,7,FALSE)-HLOOKUP(B:B,$4:$10,7,FALSE))*E406/F406)</f>
        <v/>
      </c>
      <c r="AB406" s="198">
        <f>$G406</f>
        <v/>
      </c>
      <c r="AC406" s="199">
        <f>$H406</f>
        <v/>
      </c>
      <c r="AD406" s="199">
        <f>$M406*AD$34</f>
        <v/>
      </c>
      <c r="AE406" s="199">
        <f>$M406*AE$34</f>
        <v/>
      </c>
      <c r="AF406" s="199">
        <f>$M406*AF$34</f>
        <v/>
      </c>
      <c r="AG406" s="199">
        <f>$M406*AG$34</f>
        <v/>
      </c>
      <c r="AH406" s="199">
        <f>$M406*AH$34</f>
        <v/>
      </c>
      <c r="AJ406" s="198">
        <f>$G406</f>
        <v/>
      </c>
      <c r="AK406" s="199">
        <f>$H406</f>
        <v/>
      </c>
      <c r="AL406" s="199">
        <f>$N406*AL$34</f>
        <v/>
      </c>
      <c r="AM406" s="199">
        <f>$N406*AM$34</f>
        <v/>
      </c>
      <c r="AN406" s="199">
        <f>$N406*AN$34</f>
        <v/>
      </c>
      <c r="AO406" s="199">
        <f>$N406*AO$34</f>
        <v/>
      </c>
      <c r="AP406" s="199">
        <f>$N406*AP$34</f>
        <v/>
      </c>
      <c r="AR406" s="198">
        <f>$G406</f>
        <v/>
      </c>
      <c r="AS406" s="199">
        <f>$H406</f>
        <v/>
      </c>
      <c r="AT406" s="199">
        <f>$O406*AT$34-$Q406</f>
        <v/>
      </c>
      <c r="AU406" s="199">
        <f>$O406*AU$34-$Q406</f>
        <v/>
      </c>
      <c r="AV406" s="199">
        <f>$O406*AV$34-$Q406</f>
        <v/>
      </c>
      <c r="AW406" s="199">
        <f>$O406*AW$34-$Q406</f>
        <v/>
      </c>
      <c r="AX406" s="199">
        <f>$O406*AX$34-$Q406</f>
        <v/>
      </c>
      <c r="AZ406" s="198">
        <f>$G406</f>
        <v/>
      </c>
      <c r="BA406" s="199">
        <f>$H406</f>
        <v/>
      </c>
      <c r="BB406" s="199">
        <f>$P406*BB$34-$Q406</f>
        <v/>
      </c>
      <c r="BC406" s="199">
        <f>$P406*BC$34-$Q406</f>
        <v/>
      </c>
      <c r="BD406" s="199">
        <f>$P406*BD$34-$Q406</f>
        <v/>
      </c>
      <c r="BE406" s="199">
        <f>$P406*BE$34-$Q406</f>
        <v/>
      </c>
      <c r="BF406" s="199">
        <f>$P406*BF$34-$Q406</f>
        <v/>
      </c>
      <c r="BH406" s="198">
        <f>$G406</f>
        <v/>
      </c>
      <c r="BI406" s="197">
        <f>$I406</f>
        <v/>
      </c>
      <c r="BJ406" s="197">
        <f>+BJ407</f>
        <v/>
      </c>
      <c r="BK406" s="197">
        <f>+BK407</f>
        <v/>
      </c>
      <c r="BL406" s="197">
        <f>+BL407</f>
        <v/>
      </c>
      <c r="BM406" s="197">
        <f>+BM407</f>
        <v/>
      </c>
      <c r="BN406" s="197">
        <f>+BN407</f>
        <v/>
      </c>
      <c r="BP406" s="198">
        <f>$G406</f>
        <v/>
      </c>
      <c r="BQ406" s="197">
        <f>$J406</f>
        <v/>
      </c>
      <c r="BR406" s="197">
        <f>+BR407</f>
        <v/>
      </c>
      <c r="BS406" s="197">
        <f>+BS407</f>
        <v/>
      </c>
      <c r="BT406" s="197">
        <f>+BT407</f>
        <v/>
      </c>
      <c r="BU406" s="197">
        <f>+BU407</f>
        <v/>
      </c>
      <c r="BV406" s="197">
        <f>+BV407</f>
        <v/>
      </c>
      <c r="BX406" s="198">
        <f>$G406</f>
        <v/>
      </c>
      <c r="BY406" s="197">
        <f>$K406</f>
        <v/>
      </c>
      <c r="BZ406" s="197">
        <f>+BZ407</f>
        <v/>
      </c>
      <c r="CA406" s="197">
        <f>+CA407</f>
        <v/>
      </c>
      <c r="CB406" s="197">
        <f>+CB407</f>
        <v/>
      </c>
      <c r="CC406" s="197">
        <f>+CC407</f>
        <v/>
      </c>
      <c r="CD406" s="197">
        <f>+CD407</f>
        <v/>
      </c>
      <c r="CF406" s="198">
        <f>$G406</f>
        <v/>
      </c>
      <c r="CG406" s="197">
        <f>$L406</f>
        <v/>
      </c>
      <c r="CH406" s="197">
        <f>+CH407</f>
        <v/>
      </c>
      <c r="CI406" s="197">
        <f>+CI407</f>
        <v/>
      </c>
      <c r="CJ406" s="197">
        <f>+CJ407</f>
        <v/>
      </c>
      <c r="CK406" s="197">
        <f>+CK407</f>
        <v/>
      </c>
      <c r="CL406" s="197">
        <f>+CL407</f>
        <v/>
      </c>
      <c r="CO406" s="199" t="n">
        <v>6.786412422085347</v>
      </c>
      <c r="CP406" s="199" t="n">
        <v>3.74</v>
      </c>
      <c r="CR406" s="199" t="n">
        <v>5.52</v>
      </c>
      <c r="CS406" s="970" t="n">
        <v>0.8133899999999999</v>
      </c>
    </row>
    <row r="407">
      <c r="B407" s="204">
        <f>+C407-1</f>
        <v/>
      </c>
      <c r="C407" s="204">
        <f>IF('bands_A-H_Avg'!$D$9+1&gt;MONTH(G407),YEAR(G407),YEAR(G407)+1)</f>
        <v/>
      </c>
      <c r="D407" s="204">
        <f>+C407+1</f>
        <v/>
      </c>
      <c r="E407" s="203">
        <f>IF(C407&gt;C406,1,E406+1)</f>
        <v/>
      </c>
      <c r="F407" s="203">
        <f>COUNTIF(C:C,C407)</f>
        <v/>
      </c>
      <c r="G407" s="198">
        <f>+G406+7</f>
        <v/>
      </c>
      <c r="H407" s="361">
        <f>IF(ISBLANK(CO407),CP407,SUMPRODUCT(CO$32:CP$32,CO407:CP407))</f>
        <v/>
      </c>
      <c r="I407" s="968">
        <f>H407/M407</f>
        <v/>
      </c>
      <c r="J407" s="968">
        <f>H407/N407</f>
        <v/>
      </c>
      <c r="K407" s="968">
        <f>(H407+Q407)/O407</f>
        <v/>
      </c>
      <c r="L407" s="968">
        <f>(H407+Q407)/P407</f>
        <v/>
      </c>
      <c r="M407" s="199">
        <f>HLOOKUP(C:C,$4:$10,3,FALSE)+((HLOOKUP(D:D,$4:$10,3,FALSE)-HLOOKUP(C:C,$4:$10,3,FALSE))*E407/F407)</f>
        <v/>
      </c>
      <c r="N407" s="199">
        <f>HLOOKUP(C:C,$4:$10,2,FALSE)+((HLOOKUP(D:D,$4:$10,2,FALSE)-HLOOKUP(C:C,$4:$10,2,FALSE))*E407/F407)</f>
        <v/>
      </c>
      <c r="O407" s="199">
        <f>HLOOKUP(C:C,$4:$10,5,FALSE)+((HLOOKUP(D:D,$4:$10,5,FALSE)-HLOOKUP(C:C,$4:$10,5,FALSE))*E407/F407)</f>
        <v/>
      </c>
      <c r="P407" s="199">
        <f>HLOOKUP(C:C,$4:$10,4,FALSE)+((HLOOKUP(D:D,$4:$10,4,FALSE)-HLOOKUP(C:C,$4:$10,4,FALSE))*E407/F407)</f>
        <v/>
      </c>
      <c r="Q407" s="199">
        <f>HLOOKUP(B:B,$4:$10,6,FALSE)+((HLOOKUP(C:C,$4:$10,6,FALSE)-HLOOKUP(B:B,$4:$10,6,FALSE))*E407/F407)</f>
        <v/>
      </c>
      <c r="T407" s="198">
        <f>$G407</f>
        <v/>
      </c>
      <c r="U407" s="199">
        <f>H407/(HLOOKUP(B:B,$4:$10,3,FALSE)+((HLOOKUP(C:C,$4:$10,3,FALSE)-HLOOKUP(B:B,$4:$10,3,FALSE))*E407/F407))</f>
        <v/>
      </c>
      <c r="V407" s="969">
        <f>HLOOKUP(B:B,$4:$10,7,FALSE)+((HLOOKUP(C:C,$4:$10,7,FALSE)-HLOOKUP(B:B,$4:$10,7,FALSE))*E407/F407)</f>
        <v/>
      </c>
      <c r="AB407" s="198">
        <f>$G407</f>
        <v/>
      </c>
      <c r="AC407" s="199">
        <f>$H407</f>
        <v/>
      </c>
      <c r="AD407" s="199">
        <f>$M407*AD$34</f>
        <v/>
      </c>
      <c r="AE407" s="199">
        <f>$M407*AE$34</f>
        <v/>
      </c>
      <c r="AF407" s="199">
        <f>$M407*AF$34</f>
        <v/>
      </c>
      <c r="AG407" s="199">
        <f>$M407*AG$34</f>
        <v/>
      </c>
      <c r="AH407" s="199">
        <f>$M407*AH$34</f>
        <v/>
      </c>
      <c r="AJ407" s="198">
        <f>$G407</f>
        <v/>
      </c>
      <c r="AK407" s="199">
        <f>$H407</f>
        <v/>
      </c>
      <c r="AL407" s="199">
        <f>$N407*AL$34</f>
        <v/>
      </c>
      <c r="AM407" s="199">
        <f>$N407*AM$34</f>
        <v/>
      </c>
      <c r="AN407" s="199">
        <f>$N407*AN$34</f>
        <v/>
      </c>
      <c r="AO407" s="199">
        <f>$N407*AO$34</f>
        <v/>
      </c>
      <c r="AP407" s="199">
        <f>$N407*AP$34</f>
        <v/>
      </c>
      <c r="AR407" s="198">
        <f>$G407</f>
        <v/>
      </c>
      <c r="AS407" s="199">
        <f>$H407</f>
        <v/>
      </c>
      <c r="AT407" s="199">
        <f>$O407*AT$34-$Q407</f>
        <v/>
      </c>
      <c r="AU407" s="199">
        <f>$O407*AU$34-$Q407</f>
        <v/>
      </c>
      <c r="AV407" s="199">
        <f>$O407*AV$34-$Q407</f>
        <v/>
      </c>
      <c r="AW407" s="199">
        <f>$O407*AW$34-$Q407</f>
        <v/>
      </c>
      <c r="AX407" s="199">
        <f>$O407*AX$34-$Q407</f>
        <v/>
      </c>
      <c r="AZ407" s="198">
        <f>$G407</f>
        <v/>
      </c>
      <c r="BA407" s="199">
        <f>$H407</f>
        <v/>
      </c>
      <c r="BB407" s="199">
        <f>$P407*BB$34-$Q407</f>
        <v/>
      </c>
      <c r="BC407" s="199">
        <f>$P407*BC$34-$Q407</f>
        <v/>
      </c>
      <c r="BD407" s="199">
        <f>$P407*BD$34-$Q407</f>
        <v/>
      </c>
      <c r="BE407" s="199">
        <f>$P407*BE$34-$Q407</f>
        <v/>
      </c>
      <c r="BF407" s="199">
        <f>$P407*BF$34-$Q407</f>
        <v/>
      </c>
      <c r="BH407" s="198">
        <f>$G407</f>
        <v/>
      </c>
      <c r="BI407" s="197">
        <f>$I407</f>
        <v/>
      </c>
      <c r="BJ407" s="197">
        <f>+BJ408</f>
        <v/>
      </c>
      <c r="BK407" s="197">
        <f>+BK408</f>
        <v/>
      </c>
      <c r="BL407" s="197">
        <f>+BL408</f>
        <v/>
      </c>
      <c r="BM407" s="197">
        <f>+BM408</f>
        <v/>
      </c>
      <c r="BN407" s="197">
        <f>+BN408</f>
        <v/>
      </c>
      <c r="BP407" s="198">
        <f>$G407</f>
        <v/>
      </c>
      <c r="BQ407" s="197">
        <f>$J407</f>
        <v/>
      </c>
      <c r="BR407" s="197">
        <f>+BR408</f>
        <v/>
      </c>
      <c r="BS407" s="197">
        <f>+BS408</f>
        <v/>
      </c>
      <c r="BT407" s="197">
        <f>+BT408</f>
        <v/>
      </c>
      <c r="BU407" s="197">
        <f>+BU408</f>
        <v/>
      </c>
      <c r="BV407" s="197">
        <f>+BV408</f>
        <v/>
      </c>
      <c r="BX407" s="198">
        <f>$G407</f>
        <v/>
      </c>
      <c r="BY407" s="197">
        <f>$K407</f>
        <v/>
      </c>
      <c r="BZ407" s="197">
        <f>+BZ408</f>
        <v/>
      </c>
      <c r="CA407" s="197">
        <f>+CA408</f>
        <v/>
      </c>
      <c r="CB407" s="197">
        <f>+CB408</f>
        <v/>
      </c>
      <c r="CC407" s="197">
        <f>+CC408</f>
        <v/>
      </c>
      <c r="CD407" s="197">
        <f>+CD408</f>
        <v/>
      </c>
      <c r="CF407" s="198">
        <f>$G407</f>
        <v/>
      </c>
      <c r="CG407" s="197">
        <f>$L407</f>
        <v/>
      </c>
      <c r="CH407" s="197">
        <f>+CH408</f>
        <v/>
      </c>
      <c r="CI407" s="197">
        <f>+CI408</f>
        <v/>
      </c>
      <c r="CJ407" s="197">
        <f>+CJ408</f>
        <v/>
      </c>
      <c r="CK407" s="197">
        <f>+CK408</f>
        <v/>
      </c>
      <c r="CL407" s="197">
        <f>+CL408</f>
        <v/>
      </c>
      <c r="CO407" s="199" t="n">
        <v>6.776486822813351</v>
      </c>
      <c r="CP407" s="199" t="n">
        <v>3.88</v>
      </c>
      <c r="CR407" s="199" t="n">
        <v>5.5</v>
      </c>
      <c r="CS407" s="970" t="n">
        <v>0.81163</v>
      </c>
    </row>
    <row r="408">
      <c r="B408" s="204">
        <f>+C408-1</f>
        <v/>
      </c>
      <c r="C408" s="204">
        <f>IF('bands_A-H_Avg'!$D$9+1&gt;MONTH(G408),YEAR(G408),YEAR(G408)+1)</f>
        <v/>
      </c>
      <c r="D408" s="204">
        <f>+C408+1</f>
        <v/>
      </c>
      <c r="E408" s="203">
        <f>IF(C408&gt;C407,1,E407+1)</f>
        <v/>
      </c>
      <c r="F408" s="203">
        <f>COUNTIF(C:C,C408)</f>
        <v/>
      </c>
      <c r="G408" s="198">
        <f>+G407+7</f>
        <v/>
      </c>
      <c r="H408" s="361">
        <f>IF(ISBLANK(CO408),CP408,SUMPRODUCT(CO$32:CP$32,CO408:CP408))</f>
        <v/>
      </c>
      <c r="I408" s="968">
        <f>H408/M408</f>
        <v/>
      </c>
      <c r="J408" s="968">
        <f>H408/N408</f>
        <v/>
      </c>
      <c r="K408" s="968">
        <f>(H408+Q408)/O408</f>
        <v/>
      </c>
      <c r="L408" s="968">
        <f>(H408+Q408)/P408</f>
        <v/>
      </c>
      <c r="M408" s="199">
        <f>HLOOKUP(C:C,$4:$10,3,FALSE)+((HLOOKUP(D:D,$4:$10,3,FALSE)-HLOOKUP(C:C,$4:$10,3,FALSE))*E408/F408)</f>
        <v/>
      </c>
      <c r="N408" s="199">
        <f>HLOOKUP(C:C,$4:$10,2,FALSE)+((HLOOKUP(D:D,$4:$10,2,FALSE)-HLOOKUP(C:C,$4:$10,2,FALSE))*E408/F408)</f>
        <v/>
      </c>
      <c r="O408" s="199">
        <f>HLOOKUP(C:C,$4:$10,5,FALSE)+((HLOOKUP(D:D,$4:$10,5,FALSE)-HLOOKUP(C:C,$4:$10,5,FALSE))*E408/F408)</f>
        <v/>
      </c>
      <c r="P408" s="199">
        <f>HLOOKUP(C:C,$4:$10,4,FALSE)+((HLOOKUP(D:D,$4:$10,4,FALSE)-HLOOKUP(C:C,$4:$10,4,FALSE))*E408/F408)</f>
        <v/>
      </c>
      <c r="Q408" s="199">
        <f>HLOOKUP(B:B,$4:$10,6,FALSE)+((HLOOKUP(C:C,$4:$10,6,FALSE)-HLOOKUP(B:B,$4:$10,6,FALSE))*E408/F408)</f>
        <v/>
      </c>
      <c r="T408" s="198">
        <f>$G408</f>
        <v/>
      </c>
      <c r="U408" s="199">
        <f>H408/(HLOOKUP(B:B,$4:$10,3,FALSE)+((HLOOKUP(C:C,$4:$10,3,FALSE)-HLOOKUP(B:B,$4:$10,3,FALSE))*E408/F408))</f>
        <v/>
      </c>
      <c r="V408" s="969">
        <f>HLOOKUP(B:B,$4:$10,7,FALSE)+((HLOOKUP(C:C,$4:$10,7,FALSE)-HLOOKUP(B:B,$4:$10,7,FALSE))*E408/F408)</f>
        <v/>
      </c>
      <c r="AB408" s="198">
        <f>$G408</f>
        <v/>
      </c>
      <c r="AC408" s="199">
        <f>$H408</f>
        <v/>
      </c>
      <c r="AD408" s="199">
        <f>$M408*AD$34</f>
        <v/>
      </c>
      <c r="AE408" s="199">
        <f>$M408*AE$34</f>
        <v/>
      </c>
      <c r="AF408" s="199">
        <f>$M408*AF$34</f>
        <v/>
      </c>
      <c r="AG408" s="199">
        <f>$M408*AG$34</f>
        <v/>
      </c>
      <c r="AH408" s="199">
        <f>$M408*AH$34</f>
        <v/>
      </c>
      <c r="AJ408" s="198">
        <f>$G408</f>
        <v/>
      </c>
      <c r="AK408" s="199">
        <f>$H408</f>
        <v/>
      </c>
      <c r="AL408" s="199">
        <f>$N408*AL$34</f>
        <v/>
      </c>
      <c r="AM408" s="199">
        <f>$N408*AM$34</f>
        <v/>
      </c>
      <c r="AN408" s="199">
        <f>$N408*AN$34</f>
        <v/>
      </c>
      <c r="AO408" s="199">
        <f>$N408*AO$34</f>
        <v/>
      </c>
      <c r="AP408" s="199">
        <f>$N408*AP$34</f>
        <v/>
      </c>
      <c r="AR408" s="198">
        <f>$G408</f>
        <v/>
      </c>
      <c r="AS408" s="199">
        <f>$H408</f>
        <v/>
      </c>
      <c r="AT408" s="199">
        <f>$O408*AT$34-$Q408</f>
        <v/>
      </c>
      <c r="AU408" s="199">
        <f>$O408*AU$34-$Q408</f>
        <v/>
      </c>
      <c r="AV408" s="199">
        <f>$O408*AV$34-$Q408</f>
        <v/>
      </c>
      <c r="AW408" s="199">
        <f>$O408*AW$34-$Q408</f>
        <v/>
      </c>
      <c r="AX408" s="199">
        <f>$O408*AX$34-$Q408</f>
        <v/>
      </c>
      <c r="AZ408" s="198">
        <f>$G408</f>
        <v/>
      </c>
      <c r="BA408" s="199">
        <f>$H408</f>
        <v/>
      </c>
      <c r="BB408" s="199">
        <f>$P408*BB$34-$Q408</f>
        <v/>
      </c>
      <c r="BC408" s="199">
        <f>$P408*BC$34-$Q408</f>
        <v/>
      </c>
      <c r="BD408" s="199">
        <f>$P408*BD$34-$Q408</f>
        <v/>
      </c>
      <c r="BE408" s="199">
        <f>$P408*BE$34-$Q408</f>
        <v/>
      </c>
      <c r="BF408" s="199">
        <f>$P408*BF$34-$Q408</f>
        <v/>
      </c>
      <c r="BH408" s="198">
        <f>$G408</f>
        <v/>
      </c>
      <c r="BI408" s="197">
        <f>$I408</f>
        <v/>
      </c>
      <c r="BJ408" s="197">
        <f>+BJ409</f>
        <v/>
      </c>
      <c r="BK408" s="197">
        <f>+BK409</f>
        <v/>
      </c>
      <c r="BL408" s="197">
        <f>+BL409</f>
        <v/>
      </c>
      <c r="BM408" s="197">
        <f>+BM409</f>
        <v/>
      </c>
      <c r="BN408" s="197">
        <f>+BN409</f>
        <v/>
      </c>
      <c r="BP408" s="198">
        <f>$G408</f>
        <v/>
      </c>
      <c r="BQ408" s="197">
        <f>$J408</f>
        <v/>
      </c>
      <c r="BR408" s="197">
        <f>+BR409</f>
        <v/>
      </c>
      <c r="BS408" s="197">
        <f>+BS409</f>
        <v/>
      </c>
      <c r="BT408" s="197">
        <f>+BT409</f>
        <v/>
      </c>
      <c r="BU408" s="197">
        <f>+BU409</f>
        <v/>
      </c>
      <c r="BV408" s="197">
        <f>+BV409</f>
        <v/>
      </c>
      <c r="BX408" s="198">
        <f>$G408</f>
        <v/>
      </c>
      <c r="BY408" s="197">
        <f>$K408</f>
        <v/>
      </c>
      <c r="BZ408" s="197">
        <f>+BZ409</f>
        <v/>
      </c>
      <c r="CA408" s="197">
        <f>+CA409</f>
        <v/>
      </c>
      <c r="CB408" s="197">
        <f>+CB409</f>
        <v/>
      </c>
      <c r="CC408" s="197">
        <f>+CC409</f>
        <v/>
      </c>
      <c r="CD408" s="197">
        <f>+CD409</f>
        <v/>
      </c>
      <c r="CF408" s="198">
        <f>$G408</f>
        <v/>
      </c>
      <c r="CG408" s="197">
        <f>$L408</f>
        <v/>
      </c>
      <c r="CH408" s="197">
        <f>+CH409</f>
        <v/>
      </c>
      <c r="CI408" s="197">
        <f>+CI409</f>
        <v/>
      </c>
      <c r="CJ408" s="197">
        <f>+CJ409</f>
        <v/>
      </c>
      <c r="CK408" s="197">
        <f>+CK409</f>
        <v/>
      </c>
      <c r="CL408" s="197">
        <f>+CL409</f>
        <v/>
      </c>
      <c r="CO408" s="199" t="n">
        <v>6.857916769268653</v>
      </c>
      <c r="CP408" s="199" t="n">
        <v>4.29</v>
      </c>
      <c r="CR408" s="199" t="n">
        <v>5.57</v>
      </c>
      <c r="CS408" s="970" t="n">
        <v>0.8122</v>
      </c>
    </row>
    <row r="409">
      <c r="B409" s="204">
        <f>+C409-1</f>
        <v/>
      </c>
      <c r="C409" s="204">
        <f>IF('bands_A-H_Avg'!$D$9+1&gt;MONTH(G409),YEAR(G409),YEAR(G409)+1)</f>
        <v/>
      </c>
      <c r="D409" s="204">
        <f>+C409+1</f>
        <v/>
      </c>
      <c r="E409" s="203">
        <f>IF(C409&gt;C408,1,E408+1)</f>
        <v/>
      </c>
      <c r="F409" s="203">
        <f>COUNTIF(C:C,C409)</f>
        <v/>
      </c>
      <c r="G409" s="198">
        <f>+G408+7</f>
        <v/>
      </c>
      <c r="H409" s="361">
        <f>IF(ISBLANK(CO409),CP409,SUMPRODUCT(CO$32:CP$32,CO409:CP409))</f>
        <v/>
      </c>
      <c r="I409" s="968">
        <f>H409/M409</f>
        <v/>
      </c>
      <c r="J409" s="968">
        <f>H409/N409</f>
        <v/>
      </c>
      <c r="K409" s="968">
        <f>(H409+Q409)/O409</f>
        <v/>
      </c>
      <c r="L409" s="968">
        <f>(H409+Q409)/P409</f>
        <v/>
      </c>
      <c r="M409" s="199">
        <f>HLOOKUP(C:C,$4:$10,3,FALSE)+((HLOOKUP(D:D,$4:$10,3,FALSE)-HLOOKUP(C:C,$4:$10,3,FALSE))*E409/F409)</f>
        <v/>
      </c>
      <c r="N409" s="199">
        <f>HLOOKUP(C:C,$4:$10,2,FALSE)+((HLOOKUP(D:D,$4:$10,2,FALSE)-HLOOKUP(C:C,$4:$10,2,FALSE))*E409/F409)</f>
        <v/>
      </c>
      <c r="O409" s="199">
        <f>HLOOKUP(C:C,$4:$10,5,FALSE)+((HLOOKUP(D:D,$4:$10,5,FALSE)-HLOOKUP(C:C,$4:$10,5,FALSE))*E409/F409)</f>
        <v/>
      </c>
      <c r="P409" s="199">
        <f>HLOOKUP(C:C,$4:$10,4,FALSE)+((HLOOKUP(D:D,$4:$10,4,FALSE)-HLOOKUP(C:C,$4:$10,4,FALSE))*E409/F409)</f>
        <v/>
      </c>
      <c r="Q409" s="199">
        <f>HLOOKUP(B:B,$4:$10,6,FALSE)+((HLOOKUP(C:C,$4:$10,6,FALSE)-HLOOKUP(B:B,$4:$10,6,FALSE))*E409/F409)</f>
        <v/>
      </c>
      <c r="T409" s="198">
        <f>$G409</f>
        <v/>
      </c>
      <c r="U409" s="199">
        <f>H409/(HLOOKUP(B:B,$4:$10,3,FALSE)+((HLOOKUP(C:C,$4:$10,3,FALSE)-HLOOKUP(B:B,$4:$10,3,FALSE))*E409/F409))</f>
        <v/>
      </c>
      <c r="V409" s="969">
        <f>HLOOKUP(B:B,$4:$10,7,FALSE)+((HLOOKUP(C:C,$4:$10,7,FALSE)-HLOOKUP(B:B,$4:$10,7,FALSE))*E409/F409)</f>
        <v/>
      </c>
      <c r="AB409" s="198">
        <f>$G409</f>
        <v/>
      </c>
      <c r="AC409" s="199">
        <f>$H409</f>
        <v/>
      </c>
      <c r="AD409" s="199">
        <f>$M409*AD$34</f>
        <v/>
      </c>
      <c r="AE409" s="199">
        <f>$M409*AE$34</f>
        <v/>
      </c>
      <c r="AF409" s="199">
        <f>$M409*AF$34</f>
        <v/>
      </c>
      <c r="AG409" s="199">
        <f>$M409*AG$34</f>
        <v/>
      </c>
      <c r="AH409" s="199">
        <f>$M409*AH$34</f>
        <v/>
      </c>
      <c r="AJ409" s="198">
        <f>$G409</f>
        <v/>
      </c>
      <c r="AK409" s="199">
        <f>$H409</f>
        <v/>
      </c>
      <c r="AL409" s="199">
        <f>$N409*AL$34</f>
        <v/>
      </c>
      <c r="AM409" s="199">
        <f>$N409*AM$34</f>
        <v/>
      </c>
      <c r="AN409" s="199">
        <f>$N409*AN$34</f>
        <v/>
      </c>
      <c r="AO409" s="199">
        <f>$N409*AO$34</f>
        <v/>
      </c>
      <c r="AP409" s="199">
        <f>$N409*AP$34</f>
        <v/>
      </c>
      <c r="AR409" s="198">
        <f>$G409</f>
        <v/>
      </c>
      <c r="AS409" s="199">
        <f>$H409</f>
        <v/>
      </c>
      <c r="AT409" s="199">
        <f>$O409*AT$34-$Q409</f>
        <v/>
      </c>
      <c r="AU409" s="199">
        <f>$O409*AU$34-$Q409</f>
        <v/>
      </c>
      <c r="AV409" s="199">
        <f>$O409*AV$34-$Q409</f>
        <v/>
      </c>
      <c r="AW409" s="199">
        <f>$O409*AW$34-$Q409</f>
        <v/>
      </c>
      <c r="AX409" s="199">
        <f>$O409*AX$34-$Q409</f>
        <v/>
      </c>
      <c r="AZ409" s="198">
        <f>$G409</f>
        <v/>
      </c>
      <c r="BA409" s="199">
        <f>$H409</f>
        <v/>
      </c>
      <c r="BB409" s="199">
        <f>$P409*BB$34-$Q409</f>
        <v/>
      </c>
      <c r="BC409" s="199">
        <f>$P409*BC$34-$Q409</f>
        <v/>
      </c>
      <c r="BD409" s="199">
        <f>$P409*BD$34-$Q409</f>
        <v/>
      </c>
      <c r="BE409" s="199">
        <f>$P409*BE$34-$Q409</f>
        <v/>
      </c>
      <c r="BF409" s="199">
        <f>$P409*BF$34-$Q409</f>
        <v/>
      </c>
      <c r="BH409" s="198">
        <f>$G409</f>
        <v/>
      </c>
      <c r="BI409" s="197">
        <f>$I409</f>
        <v/>
      </c>
      <c r="BJ409" s="197">
        <f>+BJ410</f>
        <v/>
      </c>
      <c r="BK409" s="197">
        <f>+BK410</f>
        <v/>
      </c>
      <c r="BL409" s="197">
        <f>+BL410</f>
        <v/>
      </c>
      <c r="BM409" s="197">
        <f>+BM410</f>
        <v/>
      </c>
      <c r="BN409" s="197">
        <f>+BN410</f>
        <v/>
      </c>
      <c r="BP409" s="198">
        <f>$G409</f>
        <v/>
      </c>
      <c r="BQ409" s="197">
        <f>$J409</f>
        <v/>
      </c>
      <c r="BR409" s="197">
        <f>+BR410</f>
        <v/>
      </c>
      <c r="BS409" s="197">
        <f>+BS410</f>
        <v/>
      </c>
      <c r="BT409" s="197">
        <f>+BT410</f>
        <v/>
      </c>
      <c r="BU409" s="197">
        <f>+BU410</f>
        <v/>
      </c>
      <c r="BV409" s="197">
        <f>+BV410</f>
        <v/>
      </c>
      <c r="BX409" s="198">
        <f>$G409</f>
        <v/>
      </c>
      <c r="BY409" s="197">
        <f>$K409</f>
        <v/>
      </c>
      <c r="BZ409" s="197">
        <f>+BZ410</f>
        <v/>
      </c>
      <c r="CA409" s="197">
        <f>+CA410</f>
        <v/>
      </c>
      <c r="CB409" s="197">
        <f>+CB410</f>
        <v/>
      </c>
      <c r="CC409" s="197">
        <f>+CC410</f>
        <v/>
      </c>
      <c r="CD409" s="197">
        <f>+CD410</f>
        <v/>
      </c>
      <c r="CF409" s="198">
        <f>$G409</f>
        <v/>
      </c>
      <c r="CG409" s="197">
        <f>$L409</f>
        <v/>
      </c>
      <c r="CH409" s="197">
        <f>+CH410</f>
        <v/>
      </c>
      <c r="CI409" s="197">
        <f>+CI410</f>
        <v/>
      </c>
      <c r="CJ409" s="197">
        <f>+CJ410</f>
        <v/>
      </c>
      <c r="CK409" s="197">
        <f>+CK410</f>
        <v/>
      </c>
      <c r="CL409" s="197">
        <f>+CL410</f>
        <v/>
      </c>
      <c r="CO409" s="199" t="n">
        <v>7.07883980893288</v>
      </c>
      <c r="CP409" s="199" t="n">
        <v>4.25</v>
      </c>
      <c r="CR409" s="199" t="n">
        <v>5.75</v>
      </c>
      <c r="CS409" s="970" t="n">
        <v>0.81228</v>
      </c>
    </row>
    <row r="410">
      <c r="B410" s="204">
        <f>+C410-1</f>
        <v/>
      </c>
      <c r="C410" s="204">
        <f>IF('bands_A-H_Avg'!$D$9+1&gt;MONTH(G410),YEAR(G410),YEAR(G410)+1)</f>
        <v/>
      </c>
      <c r="D410" s="204">
        <f>+C410+1</f>
        <v/>
      </c>
      <c r="E410" s="203">
        <f>IF(C410&gt;C409,1,E409+1)</f>
        <v/>
      </c>
      <c r="F410" s="203">
        <f>COUNTIF(C:C,C410)</f>
        <v/>
      </c>
      <c r="G410" s="198">
        <f>+G409+7</f>
        <v/>
      </c>
      <c r="H410" s="361">
        <f>IF(ISBLANK(CO410),CP410,SUMPRODUCT(CO$32:CP$32,CO410:CP410))</f>
        <v/>
      </c>
      <c r="I410" s="968">
        <f>H410/M410</f>
        <v/>
      </c>
      <c r="J410" s="968">
        <f>H410/N410</f>
        <v/>
      </c>
      <c r="K410" s="968">
        <f>(H410+Q410)/O410</f>
        <v/>
      </c>
      <c r="L410" s="968">
        <f>(H410+Q410)/P410</f>
        <v/>
      </c>
      <c r="M410" s="199">
        <f>HLOOKUP(C:C,$4:$10,3,FALSE)+((HLOOKUP(D:D,$4:$10,3,FALSE)-HLOOKUP(C:C,$4:$10,3,FALSE))*E410/F410)</f>
        <v/>
      </c>
      <c r="N410" s="199">
        <f>HLOOKUP(C:C,$4:$10,2,FALSE)+((HLOOKUP(D:D,$4:$10,2,FALSE)-HLOOKUP(C:C,$4:$10,2,FALSE))*E410/F410)</f>
        <v/>
      </c>
      <c r="O410" s="199">
        <f>HLOOKUP(C:C,$4:$10,5,FALSE)+((HLOOKUP(D:D,$4:$10,5,FALSE)-HLOOKUP(C:C,$4:$10,5,FALSE))*E410/F410)</f>
        <v/>
      </c>
      <c r="P410" s="199">
        <f>HLOOKUP(C:C,$4:$10,4,FALSE)+((HLOOKUP(D:D,$4:$10,4,FALSE)-HLOOKUP(C:C,$4:$10,4,FALSE))*E410/F410)</f>
        <v/>
      </c>
      <c r="Q410" s="199">
        <f>HLOOKUP(B:B,$4:$10,6,FALSE)+((HLOOKUP(C:C,$4:$10,6,FALSE)-HLOOKUP(B:B,$4:$10,6,FALSE))*E410/F410)</f>
        <v/>
      </c>
      <c r="T410" s="198">
        <f>$G410</f>
        <v/>
      </c>
      <c r="U410" s="199">
        <f>H410/(HLOOKUP(B:B,$4:$10,3,FALSE)+((HLOOKUP(C:C,$4:$10,3,FALSE)-HLOOKUP(B:B,$4:$10,3,FALSE))*E410/F410))</f>
        <v/>
      </c>
      <c r="V410" s="969">
        <f>HLOOKUP(B:B,$4:$10,7,FALSE)+((HLOOKUP(C:C,$4:$10,7,FALSE)-HLOOKUP(B:B,$4:$10,7,FALSE))*E410/F410)</f>
        <v/>
      </c>
      <c r="AB410" s="198">
        <f>$G410</f>
        <v/>
      </c>
      <c r="AC410" s="199">
        <f>$H410</f>
        <v/>
      </c>
      <c r="AD410" s="199">
        <f>$M410*AD$34</f>
        <v/>
      </c>
      <c r="AE410" s="199">
        <f>$M410*AE$34</f>
        <v/>
      </c>
      <c r="AF410" s="199">
        <f>$M410*AF$34</f>
        <v/>
      </c>
      <c r="AG410" s="199">
        <f>$M410*AG$34</f>
        <v/>
      </c>
      <c r="AH410" s="199">
        <f>$M410*AH$34</f>
        <v/>
      </c>
      <c r="AJ410" s="198">
        <f>$G410</f>
        <v/>
      </c>
      <c r="AK410" s="199">
        <f>$H410</f>
        <v/>
      </c>
      <c r="AL410" s="199">
        <f>$N410*AL$34</f>
        <v/>
      </c>
      <c r="AM410" s="199">
        <f>$N410*AM$34</f>
        <v/>
      </c>
      <c r="AN410" s="199">
        <f>$N410*AN$34</f>
        <v/>
      </c>
      <c r="AO410" s="199">
        <f>$N410*AO$34</f>
        <v/>
      </c>
      <c r="AP410" s="199">
        <f>$N410*AP$34</f>
        <v/>
      </c>
      <c r="AR410" s="198">
        <f>$G410</f>
        <v/>
      </c>
      <c r="AS410" s="199">
        <f>$H410</f>
        <v/>
      </c>
      <c r="AT410" s="199">
        <f>$O410*AT$34-$Q410</f>
        <v/>
      </c>
      <c r="AU410" s="199">
        <f>$O410*AU$34-$Q410</f>
        <v/>
      </c>
      <c r="AV410" s="199">
        <f>$O410*AV$34-$Q410</f>
        <v/>
      </c>
      <c r="AW410" s="199">
        <f>$O410*AW$34-$Q410</f>
        <v/>
      </c>
      <c r="AX410" s="199">
        <f>$O410*AX$34-$Q410</f>
        <v/>
      </c>
      <c r="AZ410" s="198">
        <f>$G410</f>
        <v/>
      </c>
      <c r="BA410" s="199">
        <f>$H410</f>
        <v/>
      </c>
      <c r="BB410" s="199">
        <f>$P410*BB$34-$Q410</f>
        <v/>
      </c>
      <c r="BC410" s="199">
        <f>$P410*BC$34-$Q410</f>
        <v/>
      </c>
      <c r="BD410" s="199">
        <f>$P410*BD$34-$Q410</f>
        <v/>
      </c>
      <c r="BE410" s="199">
        <f>$P410*BE$34-$Q410</f>
        <v/>
      </c>
      <c r="BF410" s="199">
        <f>$P410*BF$34-$Q410</f>
        <v/>
      </c>
      <c r="BH410" s="198">
        <f>$G410</f>
        <v/>
      </c>
      <c r="BI410" s="197">
        <f>$I410</f>
        <v/>
      </c>
      <c r="BJ410" s="197">
        <f>+BJ411</f>
        <v/>
      </c>
      <c r="BK410" s="197">
        <f>+BK411</f>
        <v/>
      </c>
      <c r="BL410" s="197">
        <f>+BL411</f>
        <v/>
      </c>
      <c r="BM410" s="197">
        <f>+BM411</f>
        <v/>
      </c>
      <c r="BN410" s="197">
        <f>+BN411</f>
        <v/>
      </c>
      <c r="BP410" s="198">
        <f>$G410</f>
        <v/>
      </c>
      <c r="BQ410" s="197">
        <f>$J410</f>
        <v/>
      </c>
      <c r="BR410" s="197">
        <f>+BR411</f>
        <v/>
      </c>
      <c r="BS410" s="197">
        <f>+BS411</f>
        <v/>
      </c>
      <c r="BT410" s="197">
        <f>+BT411</f>
        <v/>
      </c>
      <c r="BU410" s="197">
        <f>+BU411</f>
        <v/>
      </c>
      <c r="BV410" s="197">
        <f>+BV411</f>
        <v/>
      </c>
      <c r="BX410" s="198">
        <f>$G410</f>
        <v/>
      </c>
      <c r="BY410" s="197">
        <f>$K410</f>
        <v/>
      </c>
      <c r="BZ410" s="197">
        <f>+BZ411</f>
        <v/>
      </c>
      <c r="CA410" s="197">
        <f>+CA411</f>
        <v/>
      </c>
      <c r="CB410" s="197">
        <f>+CB411</f>
        <v/>
      </c>
      <c r="CC410" s="197">
        <f>+CC411</f>
        <v/>
      </c>
      <c r="CD410" s="197">
        <f>+CD411</f>
        <v/>
      </c>
      <c r="CF410" s="198">
        <f>$G410</f>
        <v/>
      </c>
      <c r="CG410" s="197">
        <f>$L410</f>
        <v/>
      </c>
      <c r="CH410" s="197">
        <f>+CH411</f>
        <v/>
      </c>
      <c r="CI410" s="197">
        <f>+CI411</f>
        <v/>
      </c>
      <c r="CJ410" s="197">
        <f>+CJ411</f>
        <v/>
      </c>
      <c r="CK410" s="197">
        <f>+CK411</f>
        <v/>
      </c>
      <c r="CL410" s="197">
        <f>+CL411</f>
        <v/>
      </c>
      <c r="CO410" s="199" t="n">
        <v>7.217459848260913</v>
      </c>
      <c r="CP410" s="199" t="n">
        <v>4.16</v>
      </c>
      <c r="CR410" s="199" t="n">
        <v>5.86</v>
      </c>
      <c r="CS410" s="970" t="n">
        <v>0.81192</v>
      </c>
    </row>
    <row r="411">
      <c r="B411" s="204">
        <f>+C411-1</f>
        <v/>
      </c>
      <c r="C411" s="204">
        <f>IF('bands_A-H_Avg'!$D$9+1&gt;MONTH(G411),YEAR(G411),YEAR(G411)+1)</f>
        <v/>
      </c>
      <c r="D411" s="204">
        <f>+C411+1</f>
        <v/>
      </c>
      <c r="E411" s="203">
        <f>IF(C411&gt;C410,1,E410+1)</f>
        <v/>
      </c>
      <c r="F411" s="203">
        <f>COUNTIF(C:C,C411)</f>
        <v/>
      </c>
      <c r="G411" s="198">
        <f>+G410+7</f>
        <v/>
      </c>
      <c r="H411" s="361">
        <f>IF(ISBLANK(CO411),CP411,SUMPRODUCT(CO$32:CP$32,CO411:CP411))</f>
        <v/>
      </c>
      <c r="I411" s="968">
        <f>H411/M411</f>
        <v/>
      </c>
      <c r="J411" s="968">
        <f>H411/N411</f>
        <v/>
      </c>
      <c r="K411" s="968">
        <f>(H411+Q411)/O411</f>
        <v/>
      </c>
      <c r="L411" s="968">
        <f>(H411+Q411)/P411</f>
        <v/>
      </c>
      <c r="M411" s="199">
        <f>HLOOKUP(C:C,$4:$10,3,FALSE)+((HLOOKUP(D:D,$4:$10,3,FALSE)-HLOOKUP(C:C,$4:$10,3,FALSE))*E411/F411)</f>
        <v/>
      </c>
      <c r="N411" s="199">
        <f>HLOOKUP(C:C,$4:$10,2,FALSE)+((HLOOKUP(D:D,$4:$10,2,FALSE)-HLOOKUP(C:C,$4:$10,2,FALSE))*E411/F411)</f>
        <v/>
      </c>
      <c r="O411" s="199">
        <f>HLOOKUP(C:C,$4:$10,5,FALSE)+((HLOOKUP(D:D,$4:$10,5,FALSE)-HLOOKUP(C:C,$4:$10,5,FALSE))*E411/F411)</f>
        <v/>
      </c>
      <c r="P411" s="199">
        <f>HLOOKUP(C:C,$4:$10,4,FALSE)+((HLOOKUP(D:D,$4:$10,4,FALSE)-HLOOKUP(C:C,$4:$10,4,FALSE))*E411/F411)</f>
        <v/>
      </c>
      <c r="Q411" s="199">
        <f>HLOOKUP(B:B,$4:$10,6,FALSE)+((HLOOKUP(C:C,$4:$10,6,FALSE)-HLOOKUP(B:B,$4:$10,6,FALSE))*E411/F411)</f>
        <v/>
      </c>
      <c r="T411" s="198">
        <f>$G411</f>
        <v/>
      </c>
      <c r="U411" s="199">
        <f>H411/(HLOOKUP(B:B,$4:$10,3,FALSE)+((HLOOKUP(C:C,$4:$10,3,FALSE)-HLOOKUP(B:B,$4:$10,3,FALSE))*E411/F411))</f>
        <v/>
      </c>
      <c r="V411" s="969">
        <f>HLOOKUP(B:B,$4:$10,7,FALSE)+((HLOOKUP(C:C,$4:$10,7,FALSE)-HLOOKUP(B:B,$4:$10,7,FALSE))*E411/F411)</f>
        <v/>
      </c>
      <c r="AB411" s="198">
        <f>$G411</f>
        <v/>
      </c>
      <c r="AC411" s="199">
        <f>$H411</f>
        <v/>
      </c>
      <c r="AD411" s="199">
        <f>$M411*AD$34</f>
        <v/>
      </c>
      <c r="AE411" s="199">
        <f>$M411*AE$34</f>
        <v/>
      </c>
      <c r="AF411" s="199">
        <f>$M411*AF$34</f>
        <v/>
      </c>
      <c r="AG411" s="199">
        <f>$M411*AG$34</f>
        <v/>
      </c>
      <c r="AH411" s="199">
        <f>$M411*AH$34</f>
        <v/>
      </c>
      <c r="AJ411" s="198">
        <f>$G411</f>
        <v/>
      </c>
      <c r="AK411" s="199">
        <f>$H411</f>
        <v/>
      </c>
      <c r="AL411" s="199">
        <f>$N411*AL$34</f>
        <v/>
      </c>
      <c r="AM411" s="199">
        <f>$N411*AM$34</f>
        <v/>
      </c>
      <c r="AN411" s="199">
        <f>$N411*AN$34</f>
        <v/>
      </c>
      <c r="AO411" s="199">
        <f>$N411*AO$34</f>
        <v/>
      </c>
      <c r="AP411" s="199">
        <f>$N411*AP$34</f>
        <v/>
      </c>
      <c r="AR411" s="198">
        <f>$G411</f>
        <v/>
      </c>
      <c r="AS411" s="199">
        <f>$H411</f>
        <v/>
      </c>
      <c r="AT411" s="199">
        <f>$O411*AT$34-$Q411</f>
        <v/>
      </c>
      <c r="AU411" s="199">
        <f>$O411*AU$34-$Q411</f>
        <v/>
      </c>
      <c r="AV411" s="199">
        <f>$O411*AV$34-$Q411</f>
        <v/>
      </c>
      <c r="AW411" s="199">
        <f>$O411*AW$34-$Q411</f>
        <v/>
      </c>
      <c r="AX411" s="199">
        <f>$O411*AX$34-$Q411</f>
        <v/>
      </c>
      <c r="AZ411" s="198">
        <f>$G411</f>
        <v/>
      </c>
      <c r="BA411" s="199">
        <f>$H411</f>
        <v/>
      </c>
      <c r="BB411" s="199">
        <f>$P411*BB$34-$Q411</f>
        <v/>
      </c>
      <c r="BC411" s="199">
        <f>$P411*BC$34-$Q411</f>
        <v/>
      </c>
      <c r="BD411" s="199">
        <f>$P411*BD$34-$Q411</f>
        <v/>
      </c>
      <c r="BE411" s="199">
        <f>$P411*BE$34-$Q411</f>
        <v/>
      </c>
      <c r="BF411" s="199">
        <f>$P411*BF$34-$Q411</f>
        <v/>
      </c>
      <c r="BH411" s="198">
        <f>$G411</f>
        <v/>
      </c>
      <c r="BI411" s="197">
        <f>$I411</f>
        <v/>
      </c>
      <c r="BJ411" s="197">
        <f>+BJ412</f>
        <v/>
      </c>
      <c r="BK411" s="197">
        <f>+BK412</f>
        <v/>
      </c>
      <c r="BL411" s="197">
        <f>+BL412</f>
        <v/>
      </c>
      <c r="BM411" s="197">
        <f>+BM412</f>
        <v/>
      </c>
      <c r="BN411" s="197">
        <f>+BN412</f>
        <v/>
      </c>
      <c r="BP411" s="198">
        <f>$G411</f>
        <v/>
      </c>
      <c r="BQ411" s="197">
        <f>$J411</f>
        <v/>
      </c>
      <c r="BR411" s="197">
        <f>+BR412</f>
        <v/>
      </c>
      <c r="BS411" s="197">
        <f>+BS412</f>
        <v/>
      </c>
      <c r="BT411" s="197">
        <f>+BT412</f>
        <v/>
      </c>
      <c r="BU411" s="197">
        <f>+BU412</f>
        <v/>
      </c>
      <c r="BV411" s="197">
        <f>+BV412</f>
        <v/>
      </c>
      <c r="BX411" s="198">
        <f>$G411</f>
        <v/>
      </c>
      <c r="BY411" s="197">
        <f>$K411</f>
        <v/>
      </c>
      <c r="BZ411" s="197">
        <f>+BZ412</f>
        <v/>
      </c>
      <c r="CA411" s="197">
        <f>+CA412</f>
        <v/>
      </c>
      <c r="CB411" s="197">
        <f>+CB412</f>
        <v/>
      </c>
      <c r="CC411" s="197">
        <f>+CC412</f>
        <v/>
      </c>
      <c r="CD411" s="197">
        <f>+CD412</f>
        <v/>
      </c>
      <c r="CF411" s="198">
        <f>$G411</f>
        <v/>
      </c>
      <c r="CG411" s="197">
        <f>$L411</f>
        <v/>
      </c>
      <c r="CH411" s="197">
        <f>+CH412</f>
        <v/>
      </c>
      <c r="CI411" s="197">
        <f>+CI412</f>
        <v/>
      </c>
      <c r="CJ411" s="197">
        <f>+CJ412</f>
        <v/>
      </c>
      <c r="CK411" s="197">
        <f>+CK412</f>
        <v/>
      </c>
      <c r="CL411" s="197">
        <f>+CL412</f>
        <v/>
      </c>
      <c r="CO411" s="199" t="n">
        <v>7.167445291369559</v>
      </c>
      <c r="CP411" s="199" t="n">
        <v>4.13</v>
      </c>
      <c r="CR411" s="199" t="n">
        <v>5.83</v>
      </c>
      <c r="CS411" s="970" t="n">
        <v>0.8134</v>
      </c>
    </row>
    <row r="412">
      <c r="B412" s="204">
        <f>+C412-1</f>
        <v/>
      </c>
      <c r="C412" s="204">
        <f>IF('bands_A-H_Avg'!$D$9+1&gt;MONTH(G412),YEAR(G412),YEAR(G412)+1)</f>
        <v/>
      </c>
      <c r="D412" s="204">
        <f>+C412+1</f>
        <v/>
      </c>
      <c r="E412" s="203">
        <f>IF(C412&gt;C411,1,E411+1)</f>
        <v/>
      </c>
      <c r="F412" s="203">
        <f>COUNTIF(C:C,C412)</f>
        <v/>
      </c>
      <c r="G412" s="198">
        <f>+G411+7</f>
        <v/>
      </c>
      <c r="H412" s="361">
        <f>IF(ISBLANK(CO412),CP412,SUMPRODUCT(CO$32:CP$32,CO412:CP412))</f>
        <v/>
      </c>
      <c r="I412" s="968">
        <f>H412/M412</f>
        <v/>
      </c>
      <c r="J412" s="968">
        <f>H412/N412</f>
        <v/>
      </c>
      <c r="K412" s="968">
        <f>(H412+Q412)/O412</f>
        <v/>
      </c>
      <c r="L412" s="968">
        <f>(H412+Q412)/P412</f>
        <v/>
      </c>
      <c r="M412" s="199">
        <f>HLOOKUP(C:C,$4:$10,3,FALSE)+((HLOOKUP(D:D,$4:$10,3,FALSE)-HLOOKUP(C:C,$4:$10,3,FALSE))*E412/F412)</f>
        <v/>
      </c>
      <c r="N412" s="199">
        <f>HLOOKUP(C:C,$4:$10,2,FALSE)+((HLOOKUP(D:D,$4:$10,2,FALSE)-HLOOKUP(C:C,$4:$10,2,FALSE))*E412/F412)</f>
        <v/>
      </c>
      <c r="O412" s="199">
        <f>HLOOKUP(C:C,$4:$10,5,FALSE)+((HLOOKUP(D:D,$4:$10,5,FALSE)-HLOOKUP(C:C,$4:$10,5,FALSE))*E412/F412)</f>
        <v/>
      </c>
      <c r="P412" s="199">
        <f>HLOOKUP(C:C,$4:$10,4,FALSE)+((HLOOKUP(D:D,$4:$10,4,FALSE)-HLOOKUP(C:C,$4:$10,4,FALSE))*E412/F412)</f>
        <v/>
      </c>
      <c r="Q412" s="199">
        <f>HLOOKUP(B:B,$4:$10,6,FALSE)+((HLOOKUP(C:C,$4:$10,6,FALSE)-HLOOKUP(B:B,$4:$10,6,FALSE))*E412/F412)</f>
        <v/>
      </c>
      <c r="T412" s="198">
        <f>$G412</f>
        <v/>
      </c>
      <c r="U412" s="199">
        <f>H412/(HLOOKUP(B:B,$4:$10,3,FALSE)+((HLOOKUP(C:C,$4:$10,3,FALSE)-HLOOKUP(B:B,$4:$10,3,FALSE))*E412/F412))</f>
        <v/>
      </c>
      <c r="V412" s="969">
        <f>HLOOKUP(B:B,$4:$10,7,FALSE)+((HLOOKUP(C:C,$4:$10,7,FALSE)-HLOOKUP(B:B,$4:$10,7,FALSE))*E412/F412)</f>
        <v/>
      </c>
      <c r="AB412" s="198">
        <f>$G412</f>
        <v/>
      </c>
      <c r="AC412" s="199">
        <f>$H412</f>
        <v/>
      </c>
      <c r="AD412" s="199">
        <f>$M412*AD$34</f>
        <v/>
      </c>
      <c r="AE412" s="199">
        <f>$M412*AE$34</f>
        <v/>
      </c>
      <c r="AF412" s="199">
        <f>$M412*AF$34</f>
        <v/>
      </c>
      <c r="AG412" s="199">
        <f>$M412*AG$34</f>
        <v/>
      </c>
      <c r="AH412" s="199">
        <f>$M412*AH$34</f>
        <v/>
      </c>
      <c r="AJ412" s="198">
        <f>$G412</f>
        <v/>
      </c>
      <c r="AK412" s="199">
        <f>$H412</f>
        <v/>
      </c>
      <c r="AL412" s="199">
        <f>$N412*AL$34</f>
        <v/>
      </c>
      <c r="AM412" s="199">
        <f>$N412*AM$34</f>
        <v/>
      </c>
      <c r="AN412" s="199">
        <f>$N412*AN$34</f>
        <v/>
      </c>
      <c r="AO412" s="199">
        <f>$N412*AO$34</f>
        <v/>
      </c>
      <c r="AP412" s="199">
        <f>$N412*AP$34</f>
        <v/>
      </c>
      <c r="AR412" s="198">
        <f>$G412</f>
        <v/>
      </c>
      <c r="AS412" s="199">
        <f>$H412</f>
        <v/>
      </c>
      <c r="AT412" s="199">
        <f>$O412*AT$34-$Q412</f>
        <v/>
      </c>
      <c r="AU412" s="199">
        <f>$O412*AU$34-$Q412</f>
        <v/>
      </c>
      <c r="AV412" s="199">
        <f>$O412*AV$34-$Q412</f>
        <v/>
      </c>
      <c r="AW412" s="199">
        <f>$O412*AW$34-$Q412</f>
        <v/>
      </c>
      <c r="AX412" s="199">
        <f>$O412*AX$34-$Q412</f>
        <v/>
      </c>
      <c r="AZ412" s="198">
        <f>$G412</f>
        <v/>
      </c>
      <c r="BA412" s="199">
        <f>$H412</f>
        <v/>
      </c>
      <c r="BB412" s="199">
        <f>$P412*BB$34-$Q412</f>
        <v/>
      </c>
      <c r="BC412" s="199">
        <f>$P412*BC$34-$Q412</f>
        <v/>
      </c>
      <c r="BD412" s="199">
        <f>$P412*BD$34-$Q412</f>
        <v/>
      </c>
      <c r="BE412" s="199">
        <f>$P412*BE$34-$Q412</f>
        <v/>
      </c>
      <c r="BF412" s="199">
        <f>$P412*BF$34-$Q412</f>
        <v/>
      </c>
      <c r="BH412" s="198">
        <f>$G412</f>
        <v/>
      </c>
      <c r="BI412" s="197">
        <f>$I412</f>
        <v/>
      </c>
      <c r="BJ412" s="197">
        <f>+BJ413</f>
        <v/>
      </c>
      <c r="BK412" s="197">
        <f>+BK413</f>
        <v/>
      </c>
      <c r="BL412" s="197">
        <f>+BL413</f>
        <v/>
      </c>
      <c r="BM412" s="197">
        <f>+BM413</f>
        <v/>
      </c>
      <c r="BN412" s="197">
        <f>+BN413</f>
        <v/>
      </c>
      <c r="BP412" s="198">
        <f>$G412</f>
        <v/>
      </c>
      <c r="BQ412" s="197">
        <f>$J412</f>
        <v/>
      </c>
      <c r="BR412" s="197">
        <f>+BR413</f>
        <v/>
      </c>
      <c r="BS412" s="197">
        <f>+BS413</f>
        <v/>
      </c>
      <c r="BT412" s="197">
        <f>+BT413</f>
        <v/>
      </c>
      <c r="BU412" s="197">
        <f>+BU413</f>
        <v/>
      </c>
      <c r="BV412" s="197">
        <f>+BV413</f>
        <v/>
      </c>
      <c r="BX412" s="198">
        <f>$G412</f>
        <v/>
      </c>
      <c r="BY412" s="197">
        <f>$K412</f>
        <v/>
      </c>
      <c r="BZ412" s="197">
        <f>+BZ413</f>
        <v/>
      </c>
      <c r="CA412" s="197">
        <f>+CA413</f>
        <v/>
      </c>
      <c r="CB412" s="197">
        <f>+CB413</f>
        <v/>
      </c>
      <c r="CC412" s="197">
        <f>+CC413</f>
        <v/>
      </c>
      <c r="CD412" s="197">
        <f>+CD413</f>
        <v/>
      </c>
      <c r="CF412" s="198">
        <f>$G412</f>
        <v/>
      </c>
      <c r="CG412" s="197">
        <f>$L412</f>
        <v/>
      </c>
      <c r="CH412" s="197">
        <f>+CH413</f>
        <v/>
      </c>
      <c r="CI412" s="197">
        <f>+CI413</f>
        <v/>
      </c>
      <c r="CJ412" s="197">
        <f>+CJ413</f>
        <v/>
      </c>
      <c r="CK412" s="197">
        <f>+CK413</f>
        <v/>
      </c>
      <c r="CL412" s="197">
        <f>+CL413</f>
        <v/>
      </c>
      <c r="CO412" s="199" t="n">
        <v>7.207052352421177</v>
      </c>
      <c r="CP412" s="199" t="n">
        <v>4.1</v>
      </c>
      <c r="CR412" s="199" t="n">
        <v>5.87</v>
      </c>
      <c r="CS412" s="970" t="n">
        <v>0.81448</v>
      </c>
    </row>
    <row r="413">
      <c r="B413" s="204">
        <f>+C413-1</f>
        <v/>
      </c>
      <c r="C413" s="204">
        <f>IF('bands_A-H_Avg'!$D$9+1&gt;MONTH(G413),YEAR(G413),YEAR(G413)+1)</f>
        <v/>
      </c>
      <c r="D413" s="204">
        <f>+C413+1</f>
        <v/>
      </c>
      <c r="E413" s="203">
        <f>IF(C413&gt;C412,1,E412+1)</f>
        <v/>
      </c>
      <c r="F413" s="203">
        <f>COUNTIF(C:C,C413)</f>
        <v/>
      </c>
      <c r="G413" s="198">
        <f>+G412+7</f>
        <v/>
      </c>
      <c r="H413" s="361">
        <f>IF(ISBLANK(CO413),CP413,SUMPRODUCT(CO$32:CP$32,CO413:CP413))</f>
        <v/>
      </c>
      <c r="I413" s="968">
        <f>H413/M413</f>
        <v/>
      </c>
      <c r="J413" s="968">
        <f>H413/N413</f>
        <v/>
      </c>
      <c r="K413" s="968">
        <f>(H413+Q413)/O413</f>
        <v/>
      </c>
      <c r="L413" s="968">
        <f>(H413+Q413)/P413</f>
        <v/>
      </c>
      <c r="M413" s="199">
        <f>HLOOKUP(C:C,$4:$10,3,FALSE)+((HLOOKUP(D:D,$4:$10,3,FALSE)-HLOOKUP(C:C,$4:$10,3,FALSE))*E413/F413)</f>
        <v/>
      </c>
      <c r="N413" s="199">
        <f>HLOOKUP(C:C,$4:$10,2,FALSE)+((HLOOKUP(D:D,$4:$10,2,FALSE)-HLOOKUP(C:C,$4:$10,2,FALSE))*E413/F413)</f>
        <v/>
      </c>
      <c r="O413" s="199">
        <f>HLOOKUP(C:C,$4:$10,5,FALSE)+((HLOOKUP(D:D,$4:$10,5,FALSE)-HLOOKUP(C:C,$4:$10,5,FALSE))*E413/F413)</f>
        <v/>
      </c>
      <c r="P413" s="199">
        <f>HLOOKUP(C:C,$4:$10,4,FALSE)+((HLOOKUP(D:D,$4:$10,4,FALSE)-HLOOKUP(C:C,$4:$10,4,FALSE))*E413/F413)</f>
        <v/>
      </c>
      <c r="Q413" s="199">
        <f>HLOOKUP(B:B,$4:$10,6,FALSE)+((HLOOKUP(C:C,$4:$10,6,FALSE)-HLOOKUP(B:B,$4:$10,6,FALSE))*E413/F413)</f>
        <v/>
      </c>
      <c r="T413" s="198">
        <f>$G413</f>
        <v/>
      </c>
      <c r="U413" s="199">
        <f>H413/(HLOOKUP(B:B,$4:$10,3,FALSE)+((HLOOKUP(C:C,$4:$10,3,FALSE)-HLOOKUP(B:B,$4:$10,3,FALSE))*E413/F413))</f>
        <v/>
      </c>
      <c r="V413" s="969">
        <f>HLOOKUP(B:B,$4:$10,7,FALSE)+((HLOOKUP(C:C,$4:$10,7,FALSE)-HLOOKUP(B:B,$4:$10,7,FALSE))*E413/F413)</f>
        <v/>
      </c>
      <c r="AB413" s="198">
        <f>$G413</f>
        <v/>
      </c>
      <c r="AC413" s="199">
        <f>$H413</f>
        <v/>
      </c>
      <c r="AD413" s="199">
        <f>$M413*AD$34</f>
        <v/>
      </c>
      <c r="AE413" s="199">
        <f>$M413*AE$34</f>
        <v/>
      </c>
      <c r="AF413" s="199">
        <f>$M413*AF$34</f>
        <v/>
      </c>
      <c r="AG413" s="199">
        <f>$M413*AG$34</f>
        <v/>
      </c>
      <c r="AH413" s="199">
        <f>$M413*AH$34</f>
        <v/>
      </c>
      <c r="AJ413" s="198">
        <f>$G413</f>
        <v/>
      </c>
      <c r="AK413" s="199">
        <f>$H413</f>
        <v/>
      </c>
      <c r="AL413" s="199">
        <f>$N413*AL$34</f>
        <v/>
      </c>
      <c r="AM413" s="199">
        <f>$N413*AM$34</f>
        <v/>
      </c>
      <c r="AN413" s="199">
        <f>$N413*AN$34</f>
        <v/>
      </c>
      <c r="AO413" s="199">
        <f>$N413*AO$34</f>
        <v/>
      </c>
      <c r="AP413" s="199">
        <f>$N413*AP$34</f>
        <v/>
      </c>
      <c r="AR413" s="198">
        <f>$G413</f>
        <v/>
      </c>
      <c r="AS413" s="199">
        <f>$H413</f>
        <v/>
      </c>
      <c r="AT413" s="199">
        <f>$O413*AT$34-$Q413</f>
        <v/>
      </c>
      <c r="AU413" s="199">
        <f>$O413*AU$34-$Q413</f>
        <v/>
      </c>
      <c r="AV413" s="199">
        <f>$O413*AV$34-$Q413</f>
        <v/>
      </c>
      <c r="AW413" s="199">
        <f>$O413*AW$34-$Q413</f>
        <v/>
      </c>
      <c r="AX413" s="199">
        <f>$O413*AX$34-$Q413</f>
        <v/>
      </c>
      <c r="AZ413" s="198">
        <f>$G413</f>
        <v/>
      </c>
      <c r="BA413" s="199">
        <f>$H413</f>
        <v/>
      </c>
      <c r="BB413" s="199">
        <f>$P413*BB$34-$Q413</f>
        <v/>
      </c>
      <c r="BC413" s="199">
        <f>$P413*BC$34-$Q413</f>
        <v/>
      </c>
      <c r="BD413" s="199">
        <f>$P413*BD$34-$Q413</f>
        <v/>
      </c>
      <c r="BE413" s="199">
        <f>$P413*BE$34-$Q413</f>
        <v/>
      </c>
      <c r="BF413" s="199">
        <f>$P413*BF$34-$Q413</f>
        <v/>
      </c>
      <c r="BH413" s="198">
        <f>$G413</f>
        <v/>
      </c>
      <c r="BI413" s="197">
        <f>$I413</f>
        <v/>
      </c>
      <c r="BJ413" s="197">
        <f>+BJ414</f>
        <v/>
      </c>
      <c r="BK413" s="197">
        <f>+BK414</f>
        <v/>
      </c>
      <c r="BL413" s="197">
        <f>+BL414</f>
        <v/>
      </c>
      <c r="BM413" s="197">
        <f>+BM414</f>
        <v/>
      </c>
      <c r="BN413" s="197">
        <f>+BN414</f>
        <v/>
      </c>
      <c r="BP413" s="198">
        <f>$G413</f>
        <v/>
      </c>
      <c r="BQ413" s="197">
        <f>$J413</f>
        <v/>
      </c>
      <c r="BR413" s="197">
        <f>+BR414</f>
        <v/>
      </c>
      <c r="BS413" s="197">
        <f>+BS414</f>
        <v/>
      </c>
      <c r="BT413" s="197">
        <f>+BT414</f>
        <v/>
      </c>
      <c r="BU413" s="197">
        <f>+BU414</f>
        <v/>
      </c>
      <c r="BV413" s="197">
        <f>+BV414</f>
        <v/>
      </c>
      <c r="BX413" s="198">
        <f>$G413</f>
        <v/>
      </c>
      <c r="BY413" s="197">
        <f>$K413</f>
        <v/>
      </c>
      <c r="BZ413" s="197">
        <f>+BZ414</f>
        <v/>
      </c>
      <c r="CA413" s="197">
        <f>+CA414</f>
        <v/>
      </c>
      <c r="CB413" s="197">
        <f>+CB414</f>
        <v/>
      </c>
      <c r="CC413" s="197">
        <f>+CC414</f>
        <v/>
      </c>
      <c r="CD413" s="197">
        <f>+CD414</f>
        <v/>
      </c>
      <c r="CF413" s="198">
        <f>$G413</f>
        <v/>
      </c>
      <c r="CG413" s="197">
        <f>$L413</f>
        <v/>
      </c>
      <c r="CH413" s="197">
        <f>+CH414</f>
        <v/>
      </c>
      <c r="CI413" s="197">
        <f>+CI414</f>
        <v/>
      </c>
      <c r="CJ413" s="197">
        <f>+CJ414</f>
        <v/>
      </c>
      <c r="CK413" s="197">
        <f>+CK414</f>
        <v/>
      </c>
      <c r="CL413" s="197">
        <f>+CL414</f>
        <v/>
      </c>
      <c r="CO413" s="199" t="n">
        <v>6.965247728589569</v>
      </c>
      <c r="CP413" s="199" t="n">
        <v>3.86</v>
      </c>
      <c r="CR413" s="199" t="n">
        <v>5.65</v>
      </c>
      <c r="CS413" s="970" t="n">
        <v>0.8111699999999999</v>
      </c>
    </row>
    <row r="414">
      <c r="B414" s="204">
        <f>+C414-1</f>
        <v/>
      </c>
      <c r="C414" s="204">
        <f>IF('bands_A-H_Avg'!$D$9+1&gt;MONTH(G414),YEAR(G414),YEAR(G414)+1)</f>
        <v/>
      </c>
      <c r="D414" s="204">
        <f>+C414+1</f>
        <v/>
      </c>
      <c r="E414" s="203">
        <f>IF(C414&gt;C413,1,E413+1)</f>
        <v/>
      </c>
      <c r="F414" s="203">
        <f>COUNTIF(C:C,C414)</f>
        <v/>
      </c>
      <c r="G414" s="198">
        <f>+G413+7</f>
        <v/>
      </c>
      <c r="H414" s="361">
        <f>IF(ISBLANK(CO414),CP414,SUMPRODUCT(CO$32:CP$32,CO414:CP414))</f>
        <v/>
      </c>
      <c r="I414" s="968">
        <f>H414/M414</f>
        <v/>
      </c>
      <c r="J414" s="968">
        <f>H414/N414</f>
        <v/>
      </c>
      <c r="K414" s="968">
        <f>(H414+Q414)/O414</f>
        <v/>
      </c>
      <c r="L414" s="968">
        <f>(H414+Q414)/P414</f>
        <v/>
      </c>
      <c r="M414" s="199">
        <f>HLOOKUP(C:C,$4:$10,3,FALSE)+((HLOOKUP(D:D,$4:$10,3,FALSE)-HLOOKUP(C:C,$4:$10,3,FALSE))*E414/F414)</f>
        <v/>
      </c>
      <c r="N414" s="199">
        <f>HLOOKUP(C:C,$4:$10,2,FALSE)+((HLOOKUP(D:D,$4:$10,2,FALSE)-HLOOKUP(C:C,$4:$10,2,FALSE))*E414/F414)</f>
        <v/>
      </c>
      <c r="O414" s="199">
        <f>HLOOKUP(C:C,$4:$10,5,FALSE)+((HLOOKUP(D:D,$4:$10,5,FALSE)-HLOOKUP(C:C,$4:$10,5,FALSE))*E414/F414)</f>
        <v/>
      </c>
      <c r="P414" s="199">
        <f>HLOOKUP(C:C,$4:$10,4,FALSE)+((HLOOKUP(D:D,$4:$10,4,FALSE)-HLOOKUP(C:C,$4:$10,4,FALSE))*E414/F414)</f>
        <v/>
      </c>
      <c r="Q414" s="199">
        <f>HLOOKUP(B:B,$4:$10,6,FALSE)+((HLOOKUP(C:C,$4:$10,6,FALSE)-HLOOKUP(B:B,$4:$10,6,FALSE))*E414/F414)</f>
        <v/>
      </c>
      <c r="T414" s="198">
        <f>$G414</f>
        <v/>
      </c>
      <c r="U414" s="199">
        <f>H414/(HLOOKUP(B:B,$4:$10,3,FALSE)+((HLOOKUP(C:C,$4:$10,3,FALSE)-HLOOKUP(B:B,$4:$10,3,FALSE))*E414/F414))</f>
        <v/>
      </c>
      <c r="V414" s="969">
        <f>HLOOKUP(B:B,$4:$10,7,FALSE)+((HLOOKUP(C:C,$4:$10,7,FALSE)-HLOOKUP(B:B,$4:$10,7,FALSE))*E414/F414)</f>
        <v/>
      </c>
      <c r="AB414" s="198">
        <f>$G414</f>
        <v/>
      </c>
      <c r="AC414" s="199">
        <f>$H414</f>
        <v/>
      </c>
      <c r="AD414" s="199">
        <f>$M414*AD$34</f>
        <v/>
      </c>
      <c r="AE414" s="199">
        <f>$M414*AE$34</f>
        <v/>
      </c>
      <c r="AF414" s="199">
        <f>$M414*AF$34</f>
        <v/>
      </c>
      <c r="AG414" s="199">
        <f>$M414*AG$34</f>
        <v/>
      </c>
      <c r="AH414" s="199">
        <f>$M414*AH$34</f>
        <v/>
      </c>
      <c r="AJ414" s="198">
        <f>$G414</f>
        <v/>
      </c>
      <c r="AK414" s="199">
        <f>$H414</f>
        <v/>
      </c>
      <c r="AL414" s="199">
        <f>$N414*AL$34</f>
        <v/>
      </c>
      <c r="AM414" s="199">
        <f>$N414*AM$34</f>
        <v/>
      </c>
      <c r="AN414" s="199">
        <f>$N414*AN$34</f>
        <v/>
      </c>
      <c r="AO414" s="199">
        <f>$N414*AO$34</f>
        <v/>
      </c>
      <c r="AP414" s="199">
        <f>$N414*AP$34</f>
        <v/>
      </c>
      <c r="AR414" s="198">
        <f>$G414</f>
        <v/>
      </c>
      <c r="AS414" s="199">
        <f>$H414</f>
        <v/>
      </c>
      <c r="AT414" s="199">
        <f>$O414*AT$34-$Q414</f>
        <v/>
      </c>
      <c r="AU414" s="199">
        <f>$O414*AU$34-$Q414</f>
        <v/>
      </c>
      <c r="AV414" s="199">
        <f>$O414*AV$34-$Q414</f>
        <v/>
      </c>
      <c r="AW414" s="199">
        <f>$O414*AW$34-$Q414</f>
        <v/>
      </c>
      <c r="AX414" s="199">
        <f>$O414*AX$34-$Q414</f>
        <v/>
      </c>
      <c r="AZ414" s="198">
        <f>$G414</f>
        <v/>
      </c>
      <c r="BA414" s="199">
        <f>$H414</f>
        <v/>
      </c>
      <c r="BB414" s="199">
        <f>$P414*BB$34-$Q414</f>
        <v/>
      </c>
      <c r="BC414" s="199">
        <f>$P414*BC$34-$Q414</f>
        <v/>
      </c>
      <c r="BD414" s="199">
        <f>$P414*BD$34-$Q414</f>
        <v/>
      </c>
      <c r="BE414" s="199">
        <f>$P414*BE$34-$Q414</f>
        <v/>
      </c>
      <c r="BF414" s="199">
        <f>$P414*BF$34-$Q414</f>
        <v/>
      </c>
      <c r="BH414" s="198">
        <f>$G414</f>
        <v/>
      </c>
      <c r="BI414" s="197">
        <f>$I414</f>
        <v/>
      </c>
      <c r="BJ414" s="197">
        <f>+BJ415</f>
        <v/>
      </c>
      <c r="BK414" s="197">
        <f>+BK415</f>
        <v/>
      </c>
      <c r="BL414" s="197">
        <f>+BL415</f>
        <v/>
      </c>
      <c r="BM414" s="197">
        <f>+BM415</f>
        <v/>
      </c>
      <c r="BN414" s="197">
        <f>+BN415</f>
        <v/>
      </c>
      <c r="BP414" s="198">
        <f>$G414</f>
        <v/>
      </c>
      <c r="BQ414" s="197">
        <f>$J414</f>
        <v/>
      </c>
      <c r="BR414" s="197">
        <f>+BR415</f>
        <v/>
      </c>
      <c r="BS414" s="197">
        <f>+BS415</f>
        <v/>
      </c>
      <c r="BT414" s="197">
        <f>+BT415</f>
        <v/>
      </c>
      <c r="BU414" s="197">
        <f>+BU415</f>
        <v/>
      </c>
      <c r="BV414" s="197">
        <f>+BV415</f>
        <v/>
      </c>
      <c r="BX414" s="198">
        <f>$G414</f>
        <v/>
      </c>
      <c r="BY414" s="197">
        <f>$K414</f>
        <v/>
      </c>
      <c r="BZ414" s="197">
        <f>+BZ415</f>
        <v/>
      </c>
      <c r="CA414" s="197">
        <f>+CA415</f>
        <v/>
      </c>
      <c r="CB414" s="197">
        <f>+CB415</f>
        <v/>
      </c>
      <c r="CC414" s="197">
        <f>+CC415</f>
        <v/>
      </c>
      <c r="CD414" s="197">
        <f>+CD415</f>
        <v/>
      </c>
      <c r="CF414" s="198">
        <f>$G414</f>
        <v/>
      </c>
      <c r="CG414" s="197">
        <f>$L414</f>
        <v/>
      </c>
      <c r="CH414" s="197">
        <f>+CH415</f>
        <v/>
      </c>
      <c r="CI414" s="197">
        <f>+CI415</f>
        <v/>
      </c>
      <c r="CJ414" s="197">
        <f>+CJ415</f>
        <v/>
      </c>
      <c r="CK414" s="197">
        <f>+CK415</f>
        <v/>
      </c>
      <c r="CL414" s="197">
        <f>+CL415</f>
        <v/>
      </c>
      <c r="CO414" s="199" t="n">
        <v>6.551349750777278</v>
      </c>
      <c r="CP414" s="199" t="n">
        <v>3.95</v>
      </c>
      <c r="CR414" s="199" t="n">
        <v>5.31</v>
      </c>
      <c r="CS414" s="970" t="n">
        <v>0.81052</v>
      </c>
    </row>
    <row r="415">
      <c r="B415" s="204">
        <f>+C415-1</f>
        <v/>
      </c>
      <c r="C415" s="204">
        <f>IF('bands_A-H_Avg'!$D$9+1&gt;MONTH(G415),YEAR(G415),YEAR(G415)+1)</f>
        <v/>
      </c>
      <c r="D415" s="204">
        <f>+C415+1</f>
        <v/>
      </c>
      <c r="E415" s="203">
        <f>IF(C415&gt;C414,1,E414+1)</f>
        <v/>
      </c>
      <c r="F415" s="203">
        <f>COUNTIF(C:C,C415)</f>
        <v/>
      </c>
      <c r="G415" s="198">
        <f>+G414+7</f>
        <v/>
      </c>
      <c r="H415" s="361">
        <f>IF(ISBLANK(CO415),CP415,SUMPRODUCT(CO$32:CP$32,CO415:CP415))</f>
        <v/>
      </c>
      <c r="I415" s="968">
        <f>H415/M415</f>
        <v/>
      </c>
      <c r="J415" s="968">
        <f>H415/N415</f>
        <v/>
      </c>
      <c r="K415" s="968">
        <f>(H415+Q415)/O415</f>
        <v/>
      </c>
      <c r="L415" s="968">
        <f>(H415+Q415)/P415</f>
        <v/>
      </c>
      <c r="M415" s="199">
        <f>HLOOKUP(C:C,$4:$10,3,FALSE)+((HLOOKUP(D:D,$4:$10,3,FALSE)-HLOOKUP(C:C,$4:$10,3,FALSE))*E415/F415)</f>
        <v/>
      </c>
      <c r="N415" s="199">
        <f>HLOOKUP(C:C,$4:$10,2,FALSE)+((HLOOKUP(D:D,$4:$10,2,FALSE)-HLOOKUP(C:C,$4:$10,2,FALSE))*E415/F415)</f>
        <v/>
      </c>
      <c r="O415" s="199">
        <f>HLOOKUP(C:C,$4:$10,5,FALSE)+((HLOOKUP(D:D,$4:$10,5,FALSE)-HLOOKUP(C:C,$4:$10,5,FALSE))*E415/F415)</f>
        <v/>
      </c>
      <c r="P415" s="199">
        <f>HLOOKUP(C:C,$4:$10,4,FALSE)+((HLOOKUP(D:D,$4:$10,4,FALSE)-HLOOKUP(C:C,$4:$10,4,FALSE))*E415/F415)</f>
        <v/>
      </c>
      <c r="Q415" s="199">
        <f>HLOOKUP(B:B,$4:$10,6,FALSE)+((HLOOKUP(C:C,$4:$10,6,FALSE)-HLOOKUP(B:B,$4:$10,6,FALSE))*E415/F415)</f>
        <v/>
      </c>
      <c r="T415" s="198">
        <f>$G415</f>
        <v/>
      </c>
      <c r="U415" s="199">
        <f>H415/(HLOOKUP(B:B,$4:$10,3,FALSE)+((HLOOKUP(C:C,$4:$10,3,FALSE)-HLOOKUP(B:B,$4:$10,3,FALSE))*E415/F415))</f>
        <v/>
      </c>
      <c r="V415" s="969">
        <f>HLOOKUP(B:B,$4:$10,7,FALSE)+((HLOOKUP(C:C,$4:$10,7,FALSE)-HLOOKUP(B:B,$4:$10,7,FALSE))*E415/F415)</f>
        <v/>
      </c>
      <c r="AB415" s="198">
        <f>$G415</f>
        <v/>
      </c>
      <c r="AC415" s="199">
        <f>$H415</f>
        <v/>
      </c>
      <c r="AD415" s="199">
        <f>$M415*AD$34</f>
        <v/>
      </c>
      <c r="AE415" s="199">
        <f>$M415*AE$34</f>
        <v/>
      </c>
      <c r="AF415" s="199">
        <f>$M415*AF$34</f>
        <v/>
      </c>
      <c r="AG415" s="199">
        <f>$M415*AG$34</f>
        <v/>
      </c>
      <c r="AH415" s="199">
        <f>$M415*AH$34</f>
        <v/>
      </c>
      <c r="AJ415" s="198">
        <f>$G415</f>
        <v/>
      </c>
      <c r="AK415" s="199">
        <f>$H415</f>
        <v/>
      </c>
      <c r="AL415" s="199">
        <f>$N415*AL$34</f>
        <v/>
      </c>
      <c r="AM415" s="199">
        <f>$N415*AM$34</f>
        <v/>
      </c>
      <c r="AN415" s="199">
        <f>$N415*AN$34</f>
        <v/>
      </c>
      <c r="AO415" s="199">
        <f>$N415*AO$34</f>
        <v/>
      </c>
      <c r="AP415" s="199">
        <f>$N415*AP$34</f>
        <v/>
      </c>
      <c r="AR415" s="198">
        <f>$G415</f>
        <v/>
      </c>
      <c r="AS415" s="199">
        <f>$H415</f>
        <v/>
      </c>
      <c r="AT415" s="199">
        <f>$O415*AT$34-$Q415</f>
        <v/>
      </c>
      <c r="AU415" s="199">
        <f>$O415*AU$34-$Q415</f>
        <v/>
      </c>
      <c r="AV415" s="199">
        <f>$O415*AV$34-$Q415</f>
        <v/>
      </c>
      <c r="AW415" s="199">
        <f>$O415*AW$34-$Q415</f>
        <v/>
      </c>
      <c r="AX415" s="199">
        <f>$O415*AX$34-$Q415</f>
        <v/>
      </c>
      <c r="AZ415" s="198">
        <f>$G415</f>
        <v/>
      </c>
      <c r="BA415" s="199">
        <f>$H415</f>
        <v/>
      </c>
      <c r="BB415" s="199">
        <f>$P415*BB$34-$Q415</f>
        <v/>
      </c>
      <c r="BC415" s="199">
        <f>$P415*BC$34-$Q415</f>
        <v/>
      </c>
      <c r="BD415" s="199">
        <f>$P415*BD$34-$Q415</f>
        <v/>
      </c>
      <c r="BE415" s="199">
        <f>$P415*BE$34-$Q415</f>
        <v/>
      </c>
      <c r="BF415" s="199">
        <f>$P415*BF$34-$Q415</f>
        <v/>
      </c>
      <c r="BH415" s="198">
        <f>$G415</f>
        <v/>
      </c>
      <c r="BI415" s="197">
        <f>$I415</f>
        <v/>
      </c>
      <c r="BJ415" s="197">
        <f>+BJ416</f>
        <v/>
      </c>
      <c r="BK415" s="197">
        <f>+BK416</f>
        <v/>
      </c>
      <c r="BL415" s="197">
        <f>+BL416</f>
        <v/>
      </c>
      <c r="BM415" s="197">
        <f>+BM416</f>
        <v/>
      </c>
      <c r="BN415" s="197">
        <f>+BN416</f>
        <v/>
      </c>
      <c r="BP415" s="198">
        <f>$G415</f>
        <v/>
      </c>
      <c r="BQ415" s="197">
        <f>$J415</f>
        <v/>
      </c>
      <c r="BR415" s="197">
        <f>+BR416</f>
        <v/>
      </c>
      <c r="BS415" s="197">
        <f>+BS416</f>
        <v/>
      </c>
      <c r="BT415" s="197">
        <f>+BT416</f>
        <v/>
      </c>
      <c r="BU415" s="197">
        <f>+BU416</f>
        <v/>
      </c>
      <c r="BV415" s="197">
        <f>+BV416</f>
        <v/>
      </c>
      <c r="BX415" s="198">
        <f>$G415</f>
        <v/>
      </c>
      <c r="BY415" s="197">
        <f>$K415</f>
        <v/>
      </c>
      <c r="BZ415" s="197">
        <f>+BZ416</f>
        <v/>
      </c>
      <c r="CA415" s="197">
        <f>+CA416</f>
        <v/>
      </c>
      <c r="CB415" s="197">
        <f>+CB416</f>
        <v/>
      </c>
      <c r="CC415" s="197">
        <f>+CC416</f>
        <v/>
      </c>
      <c r="CD415" s="197">
        <f>+CD416</f>
        <v/>
      </c>
      <c r="CF415" s="198">
        <f>$G415</f>
        <v/>
      </c>
      <c r="CG415" s="197">
        <f>$L415</f>
        <v/>
      </c>
      <c r="CH415" s="197">
        <f>+CH416</f>
        <v/>
      </c>
      <c r="CI415" s="197">
        <f>+CI416</f>
        <v/>
      </c>
      <c r="CJ415" s="197">
        <f>+CJ416</f>
        <v/>
      </c>
      <c r="CK415" s="197">
        <f>+CK416</f>
        <v/>
      </c>
      <c r="CL415" s="197">
        <f>+CL416</f>
        <v/>
      </c>
      <c r="CO415" s="199" t="n">
        <v>6.648772439606984</v>
      </c>
      <c r="CP415" s="199" t="n">
        <v>3.94</v>
      </c>
      <c r="CR415" s="199" t="n">
        <v>5.4</v>
      </c>
      <c r="CS415" s="970" t="n">
        <v>0.81218</v>
      </c>
    </row>
    <row r="416">
      <c r="B416" s="204">
        <f>+C416-1</f>
        <v/>
      </c>
      <c r="C416" s="204">
        <f>IF('bands_A-H_Avg'!$D$9+1&gt;MONTH(G416),YEAR(G416),YEAR(G416)+1)</f>
        <v/>
      </c>
      <c r="D416" s="204">
        <f>+C416+1</f>
        <v/>
      </c>
      <c r="E416" s="203">
        <f>IF(C416&gt;C415,1,E415+1)</f>
        <v/>
      </c>
      <c r="F416" s="203">
        <f>COUNTIF(C:C,C416)</f>
        <v/>
      </c>
      <c r="G416" s="198">
        <f>+G415+7</f>
        <v/>
      </c>
      <c r="H416" s="361">
        <f>IF(ISBLANK(CO416),CP416,SUMPRODUCT(CO$32:CP$32,CO416:CP416))</f>
        <v/>
      </c>
      <c r="I416" s="968">
        <f>H416/M416</f>
        <v/>
      </c>
      <c r="J416" s="968">
        <f>H416/N416</f>
        <v/>
      </c>
      <c r="K416" s="968">
        <f>(H416+Q416)/O416</f>
        <v/>
      </c>
      <c r="L416" s="968">
        <f>(H416+Q416)/P416</f>
        <v/>
      </c>
      <c r="M416" s="199">
        <f>HLOOKUP(C:C,$4:$10,3,FALSE)+((HLOOKUP(D:D,$4:$10,3,FALSE)-HLOOKUP(C:C,$4:$10,3,FALSE))*E416/F416)</f>
        <v/>
      </c>
      <c r="N416" s="199">
        <f>HLOOKUP(C:C,$4:$10,2,FALSE)+((HLOOKUP(D:D,$4:$10,2,FALSE)-HLOOKUP(C:C,$4:$10,2,FALSE))*E416/F416)</f>
        <v/>
      </c>
      <c r="O416" s="199">
        <f>HLOOKUP(C:C,$4:$10,5,FALSE)+((HLOOKUP(D:D,$4:$10,5,FALSE)-HLOOKUP(C:C,$4:$10,5,FALSE))*E416/F416)</f>
        <v/>
      </c>
      <c r="P416" s="199">
        <f>HLOOKUP(C:C,$4:$10,4,FALSE)+((HLOOKUP(D:D,$4:$10,4,FALSE)-HLOOKUP(C:C,$4:$10,4,FALSE))*E416/F416)</f>
        <v/>
      </c>
      <c r="Q416" s="199">
        <f>HLOOKUP(B:B,$4:$10,6,FALSE)+((HLOOKUP(C:C,$4:$10,6,FALSE)-HLOOKUP(B:B,$4:$10,6,FALSE))*E416/F416)</f>
        <v/>
      </c>
      <c r="T416" s="198">
        <f>$G416</f>
        <v/>
      </c>
      <c r="U416" s="199">
        <f>H416/(HLOOKUP(B:B,$4:$10,3,FALSE)+((HLOOKUP(C:C,$4:$10,3,FALSE)-HLOOKUP(B:B,$4:$10,3,FALSE))*E416/F416))</f>
        <v/>
      </c>
      <c r="V416" s="969">
        <f>HLOOKUP(B:B,$4:$10,7,FALSE)+((HLOOKUP(C:C,$4:$10,7,FALSE)-HLOOKUP(B:B,$4:$10,7,FALSE))*E416/F416)</f>
        <v/>
      </c>
      <c r="AB416" s="198">
        <f>$G416</f>
        <v/>
      </c>
      <c r="AC416" s="199">
        <f>$H416</f>
        <v/>
      </c>
      <c r="AD416" s="199">
        <f>$M416*AD$34</f>
        <v/>
      </c>
      <c r="AE416" s="199">
        <f>$M416*AE$34</f>
        <v/>
      </c>
      <c r="AF416" s="199">
        <f>$M416*AF$34</f>
        <v/>
      </c>
      <c r="AG416" s="199">
        <f>$M416*AG$34</f>
        <v/>
      </c>
      <c r="AH416" s="199">
        <f>$M416*AH$34</f>
        <v/>
      </c>
      <c r="AJ416" s="198">
        <f>$G416</f>
        <v/>
      </c>
      <c r="AK416" s="199">
        <f>$H416</f>
        <v/>
      </c>
      <c r="AL416" s="199">
        <f>$N416*AL$34</f>
        <v/>
      </c>
      <c r="AM416" s="199">
        <f>$N416*AM$34</f>
        <v/>
      </c>
      <c r="AN416" s="199">
        <f>$N416*AN$34</f>
        <v/>
      </c>
      <c r="AO416" s="199">
        <f>$N416*AO$34</f>
        <v/>
      </c>
      <c r="AP416" s="199">
        <f>$N416*AP$34</f>
        <v/>
      </c>
      <c r="AR416" s="198">
        <f>$G416</f>
        <v/>
      </c>
      <c r="AS416" s="199">
        <f>$H416</f>
        <v/>
      </c>
      <c r="AT416" s="199">
        <f>$O416*AT$34-$Q416</f>
        <v/>
      </c>
      <c r="AU416" s="199">
        <f>$O416*AU$34-$Q416</f>
        <v/>
      </c>
      <c r="AV416" s="199">
        <f>$O416*AV$34-$Q416</f>
        <v/>
      </c>
      <c r="AW416" s="199">
        <f>$O416*AW$34-$Q416</f>
        <v/>
      </c>
      <c r="AX416" s="199">
        <f>$O416*AX$34-$Q416</f>
        <v/>
      </c>
      <c r="AZ416" s="198">
        <f>$G416</f>
        <v/>
      </c>
      <c r="BA416" s="199">
        <f>$H416</f>
        <v/>
      </c>
      <c r="BB416" s="199">
        <f>$P416*BB$34-$Q416</f>
        <v/>
      </c>
      <c r="BC416" s="199">
        <f>$P416*BC$34-$Q416</f>
        <v/>
      </c>
      <c r="BD416" s="199">
        <f>$P416*BD$34-$Q416</f>
        <v/>
      </c>
      <c r="BE416" s="199">
        <f>$P416*BE$34-$Q416</f>
        <v/>
      </c>
      <c r="BF416" s="199">
        <f>$P416*BF$34-$Q416</f>
        <v/>
      </c>
      <c r="BH416" s="198">
        <f>$G416</f>
        <v/>
      </c>
      <c r="BI416" s="197">
        <f>$I416</f>
        <v/>
      </c>
      <c r="BJ416" s="197">
        <f>+BJ417</f>
        <v/>
      </c>
      <c r="BK416" s="197">
        <f>+BK417</f>
        <v/>
      </c>
      <c r="BL416" s="197">
        <f>+BL417</f>
        <v/>
      </c>
      <c r="BM416" s="197">
        <f>+BM417</f>
        <v/>
      </c>
      <c r="BN416" s="197">
        <f>+BN417</f>
        <v/>
      </c>
      <c r="BP416" s="198">
        <f>$G416</f>
        <v/>
      </c>
      <c r="BQ416" s="197">
        <f>$J416</f>
        <v/>
      </c>
      <c r="BR416" s="197">
        <f>+BR417</f>
        <v/>
      </c>
      <c r="BS416" s="197">
        <f>+BS417</f>
        <v/>
      </c>
      <c r="BT416" s="197">
        <f>+BT417</f>
        <v/>
      </c>
      <c r="BU416" s="197">
        <f>+BU417</f>
        <v/>
      </c>
      <c r="BV416" s="197">
        <f>+BV417</f>
        <v/>
      </c>
      <c r="BX416" s="198">
        <f>$G416</f>
        <v/>
      </c>
      <c r="BY416" s="197">
        <f>$K416</f>
        <v/>
      </c>
      <c r="BZ416" s="197">
        <f>+BZ417</f>
        <v/>
      </c>
      <c r="CA416" s="197">
        <f>+CA417</f>
        <v/>
      </c>
      <c r="CB416" s="197">
        <f>+CB417</f>
        <v/>
      </c>
      <c r="CC416" s="197">
        <f>+CC417</f>
        <v/>
      </c>
      <c r="CD416" s="197">
        <f>+CD417</f>
        <v/>
      </c>
      <c r="CF416" s="198">
        <f>$G416</f>
        <v/>
      </c>
      <c r="CG416" s="197">
        <f>$L416</f>
        <v/>
      </c>
      <c r="CH416" s="197">
        <f>+CH417</f>
        <v/>
      </c>
      <c r="CI416" s="197">
        <f>+CI417</f>
        <v/>
      </c>
      <c r="CJ416" s="197">
        <f>+CJ417</f>
        <v/>
      </c>
      <c r="CK416" s="197">
        <f>+CK417</f>
        <v/>
      </c>
      <c r="CL416" s="197">
        <f>+CL417</f>
        <v/>
      </c>
      <c r="CO416" s="199" t="n">
        <v>6.702313776704531</v>
      </c>
      <c r="CP416" s="199" t="n">
        <v>4.17</v>
      </c>
      <c r="CR416" s="199" t="n">
        <v>5.44</v>
      </c>
      <c r="CS416" s="970" t="n">
        <v>0.81166</v>
      </c>
    </row>
    <row r="417">
      <c r="B417" s="204">
        <f>+C417-1</f>
        <v/>
      </c>
      <c r="C417" s="204">
        <f>IF('bands_A-H_Avg'!$D$9+1&gt;MONTH(G417),YEAR(G417),YEAR(G417)+1)</f>
        <v/>
      </c>
      <c r="D417" s="204">
        <f>+C417+1</f>
        <v/>
      </c>
      <c r="E417" s="203">
        <f>IF(C417&gt;C416,1,E416+1)</f>
        <v/>
      </c>
      <c r="F417" s="203">
        <f>COUNTIF(C:C,C417)</f>
        <v/>
      </c>
      <c r="G417" s="198">
        <f>+G416+7</f>
        <v/>
      </c>
      <c r="H417" s="361">
        <f>IF(ISBLANK(CO417),CP417,SUMPRODUCT(CO$32:CP$32,CO417:CP417))</f>
        <v/>
      </c>
      <c r="I417" s="968">
        <f>H417/M417</f>
        <v/>
      </c>
      <c r="J417" s="968">
        <f>H417/N417</f>
        <v/>
      </c>
      <c r="K417" s="968">
        <f>(H417+Q417)/O417</f>
        <v/>
      </c>
      <c r="L417" s="968">
        <f>(H417+Q417)/P417</f>
        <v/>
      </c>
      <c r="M417" s="199">
        <f>HLOOKUP(C:C,$4:$10,3,FALSE)+((HLOOKUP(D:D,$4:$10,3,FALSE)-HLOOKUP(C:C,$4:$10,3,FALSE))*E417/F417)</f>
        <v/>
      </c>
      <c r="N417" s="199">
        <f>HLOOKUP(C:C,$4:$10,2,FALSE)+((HLOOKUP(D:D,$4:$10,2,FALSE)-HLOOKUP(C:C,$4:$10,2,FALSE))*E417/F417)</f>
        <v/>
      </c>
      <c r="O417" s="199">
        <f>HLOOKUP(C:C,$4:$10,5,FALSE)+((HLOOKUP(D:D,$4:$10,5,FALSE)-HLOOKUP(C:C,$4:$10,5,FALSE))*E417/F417)</f>
        <v/>
      </c>
      <c r="P417" s="199">
        <f>HLOOKUP(C:C,$4:$10,4,FALSE)+((HLOOKUP(D:D,$4:$10,4,FALSE)-HLOOKUP(C:C,$4:$10,4,FALSE))*E417/F417)</f>
        <v/>
      </c>
      <c r="Q417" s="199">
        <f>HLOOKUP(B:B,$4:$10,6,FALSE)+((HLOOKUP(C:C,$4:$10,6,FALSE)-HLOOKUP(B:B,$4:$10,6,FALSE))*E417/F417)</f>
        <v/>
      </c>
      <c r="T417" s="198">
        <f>$G417</f>
        <v/>
      </c>
      <c r="U417" s="199">
        <f>H417/(HLOOKUP(B:B,$4:$10,3,FALSE)+((HLOOKUP(C:C,$4:$10,3,FALSE)-HLOOKUP(B:B,$4:$10,3,FALSE))*E417/F417))</f>
        <v/>
      </c>
      <c r="V417" s="969">
        <f>HLOOKUP(B:B,$4:$10,7,FALSE)+((HLOOKUP(C:C,$4:$10,7,FALSE)-HLOOKUP(B:B,$4:$10,7,FALSE))*E417/F417)</f>
        <v/>
      </c>
      <c r="AB417" s="198">
        <f>$G417</f>
        <v/>
      </c>
      <c r="AC417" s="199">
        <f>$H417</f>
        <v/>
      </c>
      <c r="AD417" s="199">
        <f>$M417*AD$34</f>
        <v/>
      </c>
      <c r="AE417" s="199">
        <f>$M417*AE$34</f>
        <v/>
      </c>
      <c r="AF417" s="199">
        <f>$M417*AF$34</f>
        <v/>
      </c>
      <c r="AG417" s="199">
        <f>$M417*AG$34</f>
        <v/>
      </c>
      <c r="AH417" s="199">
        <f>$M417*AH$34</f>
        <v/>
      </c>
      <c r="AJ417" s="198">
        <f>$G417</f>
        <v/>
      </c>
      <c r="AK417" s="199">
        <f>$H417</f>
        <v/>
      </c>
      <c r="AL417" s="199">
        <f>$N417*AL$34</f>
        <v/>
      </c>
      <c r="AM417" s="199">
        <f>$N417*AM$34</f>
        <v/>
      </c>
      <c r="AN417" s="199">
        <f>$N417*AN$34</f>
        <v/>
      </c>
      <c r="AO417" s="199">
        <f>$N417*AO$34</f>
        <v/>
      </c>
      <c r="AP417" s="199">
        <f>$N417*AP$34</f>
        <v/>
      </c>
      <c r="AR417" s="198">
        <f>$G417</f>
        <v/>
      </c>
      <c r="AS417" s="199">
        <f>$H417</f>
        <v/>
      </c>
      <c r="AT417" s="199">
        <f>$O417*AT$34-$Q417</f>
        <v/>
      </c>
      <c r="AU417" s="199">
        <f>$O417*AU$34-$Q417</f>
        <v/>
      </c>
      <c r="AV417" s="199">
        <f>$O417*AV$34-$Q417</f>
        <v/>
      </c>
      <c r="AW417" s="199">
        <f>$O417*AW$34-$Q417</f>
        <v/>
      </c>
      <c r="AX417" s="199">
        <f>$O417*AX$34-$Q417</f>
        <v/>
      </c>
      <c r="AZ417" s="198">
        <f>$G417</f>
        <v/>
      </c>
      <c r="BA417" s="199">
        <f>$H417</f>
        <v/>
      </c>
      <c r="BB417" s="199">
        <f>$P417*BB$34-$Q417</f>
        <v/>
      </c>
      <c r="BC417" s="199">
        <f>$P417*BC$34-$Q417</f>
        <v/>
      </c>
      <c r="BD417" s="199">
        <f>$P417*BD$34-$Q417</f>
        <v/>
      </c>
      <c r="BE417" s="199">
        <f>$P417*BE$34-$Q417</f>
        <v/>
      </c>
      <c r="BF417" s="199">
        <f>$P417*BF$34-$Q417</f>
        <v/>
      </c>
      <c r="BH417" s="198">
        <f>$G417</f>
        <v/>
      </c>
      <c r="BI417" s="197">
        <f>$I417</f>
        <v/>
      </c>
      <c r="BJ417" s="197">
        <f>+BJ418</f>
        <v/>
      </c>
      <c r="BK417" s="197">
        <f>+BK418</f>
        <v/>
      </c>
      <c r="BL417" s="197">
        <f>+BL418</f>
        <v/>
      </c>
      <c r="BM417" s="197">
        <f>+BM418</f>
        <v/>
      </c>
      <c r="BN417" s="197">
        <f>+BN418</f>
        <v/>
      </c>
      <c r="BP417" s="198">
        <f>$G417</f>
        <v/>
      </c>
      <c r="BQ417" s="197">
        <f>$J417</f>
        <v/>
      </c>
      <c r="BR417" s="197">
        <f>+BR418</f>
        <v/>
      </c>
      <c r="BS417" s="197">
        <f>+BS418</f>
        <v/>
      </c>
      <c r="BT417" s="197">
        <f>+BT418</f>
        <v/>
      </c>
      <c r="BU417" s="197">
        <f>+BU418</f>
        <v/>
      </c>
      <c r="BV417" s="197">
        <f>+BV418</f>
        <v/>
      </c>
      <c r="BX417" s="198">
        <f>$G417</f>
        <v/>
      </c>
      <c r="BY417" s="197">
        <f>$K417</f>
        <v/>
      </c>
      <c r="BZ417" s="197">
        <f>+BZ418</f>
        <v/>
      </c>
      <c r="CA417" s="197">
        <f>+CA418</f>
        <v/>
      </c>
      <c r="CB417" s="197">
        <f>+CB418</f>
        <v/>
      </c>
      <c r="CC417" s="197">
        <f>+CC418</f>
        <v/>
      </c>
      <c r="CD417" s="197">
        <f>+CD418</f>
        <v/>
      </c>
      <c r="CF417" s="198">
        <f>$G417</f>
        <v/>
      </c>
      <c r="CG417" s="197">
        <f>$L417</f>
        <v/>
      </c>
      <c r="CH417" s="197">
        <f>+CH418</f>
        <v/>
      </c>
      <c r="CI417" s="197">
        <f>+CI418</f>
        <v/>
      </c>
      <c r="CJ417" s="197">
        <f>+CJ418</f>
        <v/>
      </c>
      <c r="CK417" s="197">
        <f>+CK418</f>
        <v/>
      </c>
      <c r="CL417" s="197">
        <f>+CL418</f>
        <v/>
      </c>
      <c r="CO417" s="199" t="n">
        <v>6.883303985913238</v>
      </c>
      <c r="CP417" s="199" t="n">
        <v>4.14</v>
      </c>
      <c r="CR417" s="199" t="n">
        <v>5.59</v>
      </c>
      <c r="CS417" s="970" t="n">
        <v>0.81211</v>
      </c>
    </row>
    <row r="418">
      <c r="B418" s="204">
        <f>+C418-1</f>
        <v/>
      </c>
      <c r="C418" s="204">
        <f>IF('bands_A-H_Avg'!$D$9+1&gt;MONTH(G418),YEAR(G418),YEAR(G418)+1)</f>
        <v/>
      </c>
      <c r="D418" s="204">
        <f>+C418+1</f>
        <v/>
      </c>
      <c r="E418" s="203">
        <f>IF(C418&gt;C417,1,E417+1)</f>
        <v/>
      </c>
      <c r="F418" s="203">
        <f>COUNTIF(C:C,C418)</f>
        <v/>
      </c>
      <c r="G418" s="198">
        <f>+G417+7</f>
        <v/>
      </c>
      <c r="H418" s="361">
        <f>IF(ISBLANK(CO418),CP418,SUMPRODUCT(CO$32:CP$32,CO418:CP418))</f>
        <v/>
      </c>
      <c r="I418" s="968">
        <f>H418/M418</f>
        <v/>
      </c>
      <c r="J418" s="968">
        <f>H418/N418</f>
        <v/>
      </c>
      <c r="K418" s="968">
        <f>(H418+Q418)/O418</f>
        <v/>
      </c>
      <c r="L418" s="968">
        <f>(H418+Q418)/P418</f>
        <v/>
      </c>
      <c r="M418" s="199">
        <f>HLOOKUP(C:C,$4:$10,3,FALSE)+((HLOOKUP(D:D,$4:$10,3,FALSE)-HLOOKUP(C:C,$4:$10,3,FALSE))*E418/F418)</f>
        <v/>
      </c>
      <c r="N418" s="199">
        <f>HLOOKUP(C:C,$4:$10,2,FALSE)+((HLOOKUP(D:D,$4:$10,2,FALSE)-HLOOKUP(C:C,$4:$10,2,FALSE))*E418/F418)</f>
        <v/>
      </c>
      <c r="O418" s="199">
        <f>HLOOKUP(C:C,$4:$10,5,FALSE)+((HLOOKUP(D:D,$4:$10,5,FALSE)-HLOOKUP(C:C,$4:$10,5,FALSE))*E418/F418)</f>
        <v/>
      </c>
      <c r="P418" s="199">
        <f>HLOOKUP(C:C,$4:$10,4,FALSE)+((HLOOKUP(D:D,$4:$10,4,FALSE)-HLOOKUP(C:C,$4:$10,4,FALSE))*E418/F418)</f>
        <v/>
      </c>
      <c r="Q418" s="199">
        <f>HLOOKUP(B:B,$4:$10,6,FALSE)+((HLOOKUP(C:C,$4:$10,6,FALSE)-HLOOKUP(B:B,$4:$10,6,FALSE))*E418/F418)</f>
        <v/>
      </c>
      <c r="T418" s="198">
        <f>$G418</f>
        <v/>
      </c>
      <c r="U418" s="199">
        <f>H418/(HLOOKUP(B:B,$4:$10,3,FALSE)+((HLOOKUP(C:C,$4:$10,3,FALSE)-HLOOKUP(B:B,$4:$10,3,FALSE))*E418/F418))</f>
        <v/>
      </c>
      <c r="V418" s="969">
        <f>HLOOKUP(B:B,$4:$10,7,FALSE)+((HLOOKUP(C:C,$4:$10,7,FALSE)-HLOOKUP(B:B,$4:$10,7,FALSE))*E418/F418)</f>
        <v/>
      </c>
      <c r="AB418" s="198">
        <f>$G418</f>
        <v/>
      </c>
      <c r="AC418" s="199">
        <f>$H418</f>
        <v/>
      </c>
      <c r="AD418" s="199">
        <f>$M418*AD$34</f>
        <v/>
      </c>
      <c r="AE418" s="199">
        <f>$M418*AE$34</f>
        <v/>
      </c>
      <c r="AF418" s="199">
        <f>$M418*AF$34</f>
        <v/>
      </c>
      <c r="AG418" s="199">
        <f>$M418*AG$34</f>
        <v/>
      </c>
      <c r="AH418" s="199">
        <f>$M418*AH$34</f>
        <v/>
      </c>
      <c r="AJ418" s="198">
        <f>$G418</f>
        <v/>
      </c>
      <c r="AK418" s="199">
        <f>$H418</f>
        <v/>
      </c>
      <c r="AL418" s="199">
        <f>$N418*AL$34</f>
        <v/>
      </c>
      <c r="AM418" s="199">
        <f>$N418*AM$34</f>
        <v/>
      </c>
      <c r="AN418" s="199">
        <f>$N418*AN$34</f>
        <v/>
      </c>
      <c r="AO418" s="199">
        <f>$N418*AO$34</f>
        <v/>
      </c>
      <c r="AP418" s="199">
        <f>$N418*AP$34</f>
        <v/>
      </c>
      <c r="AR418" s="198">
        <f>$G418</f>
        <v/>
      </c>
      <c r="AS418" s="199">
        <f>$H418</f>
        <v/>
      </c>
      <c r="AT418" s="199">
        <f>$O418*AT$34-$Q418</f>
        <v/>
      </c>
      <c r="AU418" s="199">
        <f>$O418*AU$34-$Q418</f>
        <v/>
      </c>
      <c r="AV418" s="199">
        <f>$O418*AV$34-$Q418</f>
        <v/>
      </c>
      <c r="AW418" s="199">
        <f>$O418*AW$34-$Q418</f>
        <v/>
      </c>
      <c r="AX418" s="199">
        <f>$O418*AX$34-$Q418</f>
        <v/>
      </c>
      <c r="AZ418" s="198">
        <f>$G418</f>
        <v/>
      </c>
      <c r="BA418" s="199">
        <f>$H418</f>
        <v/>
      </c>
      <c r="BB418" s="199">
        <f>$P418*BB$34-$Q418</f>
        <v/>
      </c>
      <c r="BC418" s="199">
        <f>$P418*BC$34-$Q418</f>
        <v/>
      </c>
      <c r="BD418" s="199">
        <f>$P418*BD$34-$Q418</f>
        <v/>
      </c>
      <c r="BE418" s="199">
        <f>$P418*BE$34-$Q418</f>
        <v/>
      </c>
      <c r="BF418" s="199">
        <f>$P418*BF$34-$Q418</f>
        <v/>
      </c>
      <c r="BH418" s="198">
        <f>$G418</f>
        <v/>
      </c>
      <c r="BI418" s="197">
        <f>$I418</f>
        <v/>
      </c>
      <c r="BJ418" s="197">
        <f>+BJ419</f>
        <v/>
      </c>
      <c r="BK418" s="197">
        <f>+BK419</f>
        <v/>
      </c>
      <c r="BL418" s="197">
        <f>+BL419</f>
        <v/>
      </c>
      <c r="BM418" s="197">
        <f>+BM419</f>
        <v/>
      </c>
      <c r="BN418" s="197">
        <f>+BN419</f>
        <v/>
      </c>
      <c r="BP418" s="198">
        <f>$G418</f>
        <v/>
      </c>
      <c r="BQ418" s="197">
        <f>$J418</f>
        <v/>
      </c>
      <c r="BR418" s="197">
        <f>+BR419</f>
        <v/>
      </c>
      <c r="BS418" s="197">
        <f>+BS419</f>
        <v/>
      </c>
      <c r="BT418" s="197">
        <f>+BT419</f>
        <v/>
      </c>
      <c r="BU418" s="197">
        <f>+BU419</f>
        <v/>
      </c>
      <c r="BV418" s="197">
        <f>+BV419</f>
        <v/>
      </c>
      <c r="BX418" s="198">
        <f>$G418</f>
        <v/>
      </c>
      <c r="BY418" s="197">
        <f>$K418</f>
        <v/>
      </c>
      <c r="BZ418" s="197">
        <f>+BZ419</f>
        <v/>
      </c>
      <c r="CA418" s="197">
        <f>+CA419</f>
        <v/>
      </c>
      <c r="CB418" s="197">
        <f>+CB419</f>
        <v/>
      </c>
      <c r="CC418" s="197">
        <f>+CC419</f>
        <v/>
      </c>
      <c r="CD418" s="197">
        <f>+CD419</f>
        <v/>
      </c>
      <c r="CF418" s="198">
        <f>$G418</f>
        <v/>
      </c>
      <c r="CG418" s="197">
        <f>$L418</f>
        <v/>
      </c>
      <c r="CH418" s="197">
        <f>+CH419</f>
        <v/>
      </c>
      <c r="CI418" s="197">
        <f>+CI419</f>
        <v/>
      </c>
      <c r="CJ418" s="197">
        <f>+CJ419</f>
        <v/>
      </c>
      <c r="CK418" s="197">
        <f>+CK419</f>
        <v/>
      </c>
      <c r="CL418" s="197">
        <f>+CL419</f>
        <v/>
      </c>
      <c r="CO418" s="199" t="n">
        <v>7.093951602936452</v>
      </c>
      <c r="CP418" s="199" t="n">
        <v>3.94</v>
      </c>
      <c r="CR418" s="199" t="n">
        <v>5.74</v>
      </c>
      <c r="CS418" s="970" t="n">
        <v>0.80914</v>
      </c>
    </row>
    <row r="419">
      <c r="B419" s="204">
        <f>+C419-1</f>
        <v/>
      </c>
      <c r="C419" s="204">
        <f>IF('bands_A-H_Avg'!$D$9+1&gt;MONTH(G419),YEAR(G419),YEAR(G419)+1)</f>
        <v/>
      </c>
      <c r="D419" s="204">
        <f>+C419+1</f>
        <v/>
      </c>
      <c r="E419" s="203">
        <f>IF(C419&gt;C418,1,E418+1)</f>
        <v/>
      </c>
      <c r="F419" s="203">
        <f>COUNTIF(C:C,C419)</f>
        <v/>
      </c>
      <c r="G419" s="198">
        <f>+G418+7</f>
        <v/>
      </c>
      <c r="H419" s="361">
        <f>IF(ISBLANK(CO419),CP419,SUMPRODUCT(CO$32:CP$32,CO419:CP419))</f>
        <v/>
      </c>
      <c r="I419" s="968">
        <f>H419/M419</f>
        <v/>
      </c>
      <c r="J419" s="968">
        <f>H419/N419</f>
        <v/>
      </c>
      <c r="K419" s="968">
        <f>(H419+Q419)/O419</f>
        <v/>
      </c>
      <c r="L419" s="968">
        <f>(H419+Q419)/P419</f>
        <v/>
      </c>
      <c r="M419" s="199">
        <f>HLOOKUP(C:C,$4:$10,3,FALSE)+((HLOOKUP(D:D,$4:$10,3,FALSE)-HLOOKUP(C:C,$4:$10,3,FALSE))*E419/F419)</f>
        <v/>
      </c>
      <c r="N419" s="199">
        <f>HLOOKUP(C:C,$4:$10,2,FALSE)+((HLOOKUP(D:D,$4:$10,2,FALSE)-HLOOKUP(C:C,$4:$10,2,FALSE))*E419/F419)</f>
        <v/>
      </c>
      <c r="O419" s="199">
        <f>HLOOKUP(C:C,$4:$10,5,FALSE)+((HLOOKUP(D:D,$4:$10,5,FALSE)-HLOOKUP(C:C,$4:$10,5,FALSE))*E419/F419)</f>
        <v/>
      </c>
      <c r="P419" s="199">
        <f>HLOOKUP(C:C,$4:$10,4,FALSE)+((HLOOKUP(D:D,$4:$10,4,FALSE)-HLOOKUP(C:C,$4:$10,4,FALSE))*E419/F419)</f>
        <v/>
      </c>
      <c r="Q419" s="199">
        <f>HLOOKUP(B:B,$4:$10,6,FALSE)+((HLOOKUP(C:C,$4:$10,6,FALSE)-HLOOKUP(B:B,$4:$10,6,FALSE))*E419/F419)</f>
        <v/>
      </c>
      <c r="T419" s="198">
        <f>$G419</f>
        <v/>
      </c>
      <c r="U419" s="199">
        <f>H419/(HLOOKUP(B:B,$4:$10,3,FALSE)+((HLOOKUP(C:C,$4:$10,3,FALSE)-HLOOKUP(B:B,$4:$10,3,FALSE))*E419/F419))</f>
        <v/>
      </c>
      <c r="V419" s="969">
        <f>HLOOKUP(B:B,$4:$10,7,FALSE)+((HLOOKUP(C:C,$4:$10,7,FALSE)-HLOOKUP(B:B,$4:$10,7,FALSE))*E419/F419)</f>
        <v/>
      </c>
      <c r="AB419" s="198">
        <f>$G419</f>
        <v/>
      </c>
      <c r="AC419" s="199">
        <f>$H419</f>
        <v/>
      </c>
      <c r="AD419" s="199">
        <f>$M419*AD$34</f>
        <v/>
      </c>
      <c r="AE419" s="199">
        <f>$M419*AE$34</f>
        <v/>
      </c>
      <c r="AF419" s="199">
        <f>$M419*AF$34</f>
        <v/>
      </c>
      <c r="AG419" s="199">
        <f>$M419*AG$34</f>
        <v/>
      </c>
      <c r="AH419" s="199">
        <f>$M419*AH$34</f>
        <v/>
      </c>
      <c r="AJ419" s="198">
        <f>$G419</f>
        <v/>
      </c>
      <c r="AK419" s="199">
        <f>$H419</f>
        <v/>
      </c>
      <c r="AL419" s="199">
        <f>$N419*AL$34</f>
        <v/>
      </c>
      <c r="AM419" s="199">
        <f>$N419*AM$34</f>
        <v/>
      </c>
      <c r="AN419" s="199">
        <f>$N419*AN$34</f>
        <v/>
      </c>
      <c r="AO419" s="199">
        <f>$N419*AO$34</f>
        <v/>
      </c>
      <c r="AP419" s="199">
        <f>$N419*AP$34</f>
        <v/>
      </c>
      <c r="AR419" s="198">
        <f>$G419</f>
        <v/>
      </c>
      <c r="AS419" s="199">
        <f>$H419</f>
        <v/>
      </c>
      <c r="AT419" s="199">
        <f>$O419*AT$34-$Q419</f>
        <v/>
      </c>
      <c r="AU419" s="199">
        <f>$O419*AU$34-$Q419</f>
        <v/>
      </c>
      <c r="AV419" s="199">
        <f>$O419*AV$34-$Q419</f>
        <v/>
      </c>
      <c r="AW419" s="199">
        <f>$O419*AW$34-$Q419</f>
        <v/>
      </c>
      <c r="AX419" s="199">
        <f>$O419*AX$34-$Q419</f>
        <v/>
      </c>
      <c r="AZ419" s="198">
        <f>$G419</f>
        <v/>
      </c>
      <c r="BA419" s="199">
        <f>$H419</f>
        <v/>
      </c>
      <c r="BB419" s="199">
        <f>$P419*BB$34-$Q419</f>
        <v/>
      </c>
      <c r="BC419" s="199">
        <f>$P419*BC$34-$Q419</f>
        <v/>
      </c>
      <c r="BD419" s="199">
        <f>$P419*BD$34-$Q419</f>
        <v/>
      </c>
      <c r="BE419" s="199">
        <f>$P419*BE$34-$Q419</f>
        <v/>
      </c>
      <c r="BF419" s="199">
        <f>$P419*BF$34-$Q419</f>
        <v/>
      </c>
      <c r="BH419" s="198">
        <f>$G419</f>
        <v/>
      </c>
      <c r="BI419" s="197">
        <f>$I419</f>
        <v/>
      </c>
      <c r="BJ419" s="197">
        <f>+BJ420</f>
        <v/>
      </c>
      <c r="BK419" s="197">
        <f>+BK420</f>
        <v/>
      </c>
      <c r="BL419" s="197">
        <f>+BL420</f>
        <v/>
      </c>
      <c r="BM419" s="197">
        <f>+BM420</f>
        <v/>
      </c>
      <c r="BN419" s="197">
        <f>+BN420</f>
        <v/>
      </c>
      <c r="BP419" s="198">
        <f>$G419</f>
        <v/>
      </c>
      <c r="BQ419" s="197">
        <f>$J419</f>
        <v/>
      </c>
      <c r="BR419" s="197">
        <f>+BR420</f>
        <v/>
      </c>
      <c r="BS419" s="197">
        <f>+BS420</f>
        <v/>
      </c>
      <c r="BT419" s="197">
        <f>+BT420</f>
        <v/>
      </c>
      <c r="BU419" s="197">
        <f>+BU420</f>
        <v/>
      </c>
      <c r="BV419" s="197">
        <f>+BV420</f>
        <v/>
      </c>
      <c r="BX419" s="198">
        <f>$G419</f>
        <v/>
      </c>
      <c r="BY419" s="197">
        <f>$K419</f>
        <v/>
      </c>
      <c r="BZ419" s="197">
        <f>+BZ420</f>
        <v/>
      </c>
      <c r="CA419" s="197">
        <f>+CA420</f>
        <v/>
      </c>
      <c r="CB419" s="197">
        <f>+CB420</f>
        <v/>
      </c>
      <c r="CC419" s="197">
        <f>+CC420</f>
        <v/>
      </c>
      <c r="CD419" s="197">
        <f>+CD420</f>
        <v/>
      </c>
      <c r="CF419" s="198">
        <f>$G419</f>
        <v/>
      </c>
      <c r="CG419" s="197">
        <f>$L419</f>
        <v/>
      </c>
      <c r="CH419" s="197">
        <f>+CH420</f>
        <v/>
      </c>
      <c r="CI419" s="197">
        <f>+CI420</f>
        <v/>
      </c>
      <c r="CJ419" s="197">
        <f>+CJ420</f>
        <v/>
      </c>
      <c r="CK419" s="197">
        <f>+CK420</f>
        <v/>
      </c>
      <c r="CL419" s="197">
        <f>+CL420</f>
        <v/>
      </c>
      <c r="CO419" s="199" t="n">
        <v>7.28882749774922</v>
      </c>
      <c r="CP419" s="199" t="n">
        <v>3.95</v>
      </c>
      <c r="CR419" s="199" t="n">
        <v>5.91</v>
      </c>
      <c r="CS419" s="970" t="n">
        <v>0.8108300000000001</v>
      </c>
    </row>
    <row r="420">
      <c r="B420" s="204">
        <f>+C420-1</f>
        <v/>
      </c>
      <c r="C420" s="204">
        <f>IF('bands_A-H_Avg'!$D$9+1&gt;MONTH(G420),YEAR(G420),YEAR(G420)+1)</f>
        <v/>
      </c>
      <c r="D420" s="204">
        <f>+C420+1</f>
        <v/>
      </c>
      <c r="E420" s="203">
        <f>IF(C420&gt;C419,1,E419+1)</f>
        <v/>
      </c>
      <c r="F420" s="203">
        <f>COUNTIF(C:C,C420)</f>
        <v/>
      </c>
      <c r="G420" s="198">
        <f>+G419+7</f>
        <v/>
      </c>
      <c r="H420" s="361">
        <f>IF(ISBLANK(CO420),CP420,SUMPRODUCT(CO$32:CP$32,CO420:CP420))</f>
        <v/>
      </c>
      <c r="I420" s="968">
        <f>H420/M420</f>
        <v/>
      </c>
      <c r="J420" s="968">
        <f>H420/N420</f>
        <v/>
      </c>
      <c r="K420" s="968">
        <f>(H420+Q420)/O420</f>
        <v/>
      </c>
      <c r="L420" s="968">
        <f>(H420+Q420)/P420</f>
        <v/>
      </c>
      <c r="M420" s="199">
        <f>HLOOKUP(C:C,$4:$10,3,FALSE)+((HLOOKUP(D:D,$4:$10,3,FALSE)-HLOOKUP(C:C,$4:$10,3,FALSE))*E420/F420)</f>
        <v/>
      </c>
      <c r="N420" s="199">
        <f>HLOOKUP(C:C,$4:$10,2,FALSE)+((HLOOKUP(D:D,$4:$10,2,FALSE)-HLOOKUP(C:C,$4:$10,2,FALSE))*E420/F420)</f>
        <v/>
      </c>
      <c r="O420" s="199">
        <f>HLOOKUP(C:C,$4:$10,5,FALSE)+((HLOOKUP(D:D,$4:$10,5,FALSE)-HLOOKUP(C:C,$4:$10,5,FALSE))*E420/F420)</f>
        <v/>
      </c>
      <c r="P420" s="199">
        <f>HLOOKUP(C:C,$4:$10,4,FALSE)+((HLOOKUP(D:D,$4:$10,4,FALSE)-HLOOKUP(C:C,$4:$10,4,FALSE))*E420/F420)</f>
        <v/>
      </c>
      <c r="Q420" s="199">
        <f>HLOOKUP(B:B,$4:$10,6,FALSE)+((HLOOKUP(C:C,$4:$10,6,FALSE)-HLOOKUP(B:B,$4:$10,6,FALSE))*E420/F420)</f>
        <v/>
      </c>
      <c r="T420" s="198">
        <f>$G420</f>
        <v/>
      </c>
      <c r="U420" s="199">
        <f>H420/(HLOOKUP(B:B,$4:$10,3,FALSE)+((HLOOKUP(C:C,$4:$10,3,FALSE)-HLOOKUP(B:B,$4:$10,3,FALSE))*E420/F420))</f>
        <v/>
      </c>
      <c r="V420" s="969">
        <f>HLOOKUP(B:B,$4:$10,7,FALSE)+((HLOOKUP(C:C,$4:$10,7,FALSE)-HLOOKUP(B:B,$4:$10,7,FALSE))*E420/F420)</f>
        <v/>
      </c>
      <c r="AB420" s="198">
        <f>$G420</f>
        <v/>
      </c>
      <c r="AC420" s="199">
        <f>$H420</f>
        <v/>
      </c>
      <c r="AD420" s="199">
        <f>$M420*AD$34</f>
        <v/>
      </c>
      <c r="AE420" s="199">
        <f>$M420*AE$34</f>
        <v/>
      </c>
      <c r="AF420" s="199">
        <f>$M420*AF$34</f>
        <v/>
      </c>
      <c r="AG420" s="199">
        <f>$M420*AG$34</f>
        <v/>
      </c>
      <c r="AH420" s="199">
        <f>$M420*AH$34</f>
        <v/>
      </c>
      <c r="AJ420" s="198">
        <f>$G420</f>
        <v/>
      </c>
      <c r="AK420" s="199">
        <f>$H420</f>
        <v/>
      </c>
      <c r="AL420" s="199">
        <f>$N420*AL$34</f>
        <v/>
      </c>
      <c r="AM420" s="199">
        <f>$N420*AM$34</f>
        <v/>
      </c>
      <c r="AN420" s="199">
        <f>$N420*AN$34</f>
        <v/>
      </c>
      <c r="AO420" s="199">
        <f>$N420*AO$34</f>
        <v/>
      </c>
      <c r="AP420" s="199">
        <f>$N420*AP$34</f>
        <v/>
      </c>
      <c r="AR420" s="198">
        <f>$G420</f>
        <v/>
      </c>
      <c r="AS420" s="199">
        <f>$H420</f>
        <v/>
      </c>
      <c r="AT420" s="199">
        <f>$O420*AT$34-$Q420</f>
        <v/>
      </c>
      <c r="AU420" s="199">
        <f>$O420*AU$34-$Q420</f>
        <v/>
      </c>
      <c r="AV420" s="199">
        <f>$O420*AV$34-$Q420</f>
        <v/>
      </c>
      <c r="AW420" s="199">
        <f>$O420*AW$34-$Q420</f>
        <v/>
      </c>
      <c r="AX420" s="199">
        <f>$O420*AX$34-$Q420</f>
        <v/>
      </c>
      <c r="AZ420" s="198">
        <f>$G420</f>
        <v/>
      </c>
      <c r="BA420" s="199">
        <f>$H420</f>
        <v/>
      </c>
      <c r="BB420" s="199">
        <f>$P420*BB$34-$Q420</f>
        <v/>
      </c>
      <c r="BC420" s="199">
        <f>$P420*BC$34-$Q420</f>
        <v/>
      </c>
      <c r="BD420" s="199">
        <f>$P420*BD$34-$Q420</f>
        <v/>
      </c>
      <c r="BE420" s="199">
        <f>$P420*BE$34-$Q420</f>
        <v/>
      </c>
      <c r="BF420" s="199">
        <f>$P420*BF$34-$Q420</f>
        <v/>
      </c>
      <c r="BH420" s="198">
        <f>$G420</f>
        <v/>
      </c>
      <c r="BI420" s="197">
        <f>$I420</f>
        <v/>
      </c>
      <c r="BJ420" s="197">
        <f>+BJ421</f>
        <v/>
      </c>
      <c r="BK420" s="197">
        <f>+BK421</f>
        <v/>
      </c>
      <c r="BL420" s="197">
        <f>+BL421</f>
        <v/>
      </c>
      <c r="BM420" s="197">
        <f>+BM421</f>
        <v/>
      </c>
      <c r="BN420" s="197">
        <f>+BN421</f>
        <v/>
      </c>
      <c r="BP420" s="198">
        <f>$G420</f>
        <v/>
      </c>
      <c r="BQ420" s="197">
        <f>$J420</f>
        <v/>
      </c>
      <c r="BR420" s="197">
        <f>+BR421</f>
        <v/>
      </c>
      <c r="BS420" s="197">
        <f>+BS421</f>
        <v/>
      </c>
      <c r="BT420" s="197">
        <f>+BT421</f>
        <v/>
      </c>
      <c r="BU420" s="197">
        <f>+BU421</f>
        <v/>
      </c>
      <c r="BV420" s="197">
        <f>+BV421</f>
        <v/>
      </c>
      <c r="BX420" s="198">
        <f>$G420</f>
        <v/>
      </c>
      <c r="BY420" s="197">
        <f>$K420</f>
        <v/>
      </c>
      <c r="BZ420" s="197">
        <f>+BZ421</f>
        <v/>
      </c>
      <c r="CA420" s="197">
        <f>+CA421</f>
        <v/>
      </c>
      <c r="CB420" s="197">
        <f>+CB421</f>
        <v/>
      </c>
      <c r="CC420" s="197">
        <f>+CC421</f>
        <v/>
      </c>
      <c r="CD420" s="197">
        <f>+CD421</f>
        <v/>
      </c>
      <c r="CF420" s="198">
        <f>$G420</f>
        <v/>
      </c>
      <c r="CG420" s="197">
        <f>$L420</f>
        <v/>
      </c>
      <c r="CH420" s="197">
        <f>+CH421</f>
        <v/>
      </c>
      <c r="CI420" s="197">
        <f>+CI421</f>
        <v/>
      </c>
      <c r="CJ420" s="197">
        <f>+CJ421</f>
        <v/>
      </c>
      <c r="CK420" s="197">
        <f>+CK421</f>
        <v/>
      </c>
      <c r="CL420" s="197">
        <f>+CL421</f>
        <v/>
      </c>
      <c r="CO420" s="199" t="n">
        <v>6.865833251304262</v>
      </c>
      <c r="CP420" s="199" t="n">
        <v>3.49</v>
      </c>
      <c r="CR420" s="199" t="n">
        <v>5.58</v>
      </c>
      <c r="CS420" s="970" t="n">
        <v>0.81272</v>
      </c>
    </row>
    <row r="421">
      <c r="B421" s="204">
        <f>+C421-1</f>
        <v/>
      </c>
      <c r="C421" s="204">
        <f>IF('bands_A-H_Avg'!$D$9+1&gt;MONTH(G421),YEAR(G421),YEAR(G421)+1)</f>
        <v/>
      </c>
      <c r="D421" s="204">
        <f>+C421+1</f>
        <v/>
      </c>
      <c r="E421" s="203">
        <f>IF(C421&gt;C420,1,E420+1)</f>
        <v/>
      </c>
      <c r="F421" s="203">
        <f>COUNTIF(C:C,C421)</f>
        <v/>
      </c>
      <c r="G421" s="198">
        <f>+G420+7</f>
        <v/>
      </c>
      <c r="H421" s="361">
        <f>IF(ISBLANK(CO421),CP421,SUMPRODUCT(CO$32:CP$32,CO421:CP421))</f>
        <v/>
      </c>
      <c r="I421" s="968">
        <f>H421/M421</f>
        <v/>
      </c>
      <c r="J421" s="968">
        <f>H421/N421</f>
        <v/>
      </c>
      <c r="K421" s="968">
        <f>(H421+Q421)/O421</f>
        <v/>
      </c>
      <c r="L421" s="968">
        <f>(H421+Q421)/P421</f>
        <v/>
      </c>
      <c r="M421" s="199">
        <f>HLOOKUP(C:C,$4:$10,3,FALSE)+((HLOOKUP(D:D,$4:$10,3,FALSE)-HLOOKUP(C:C,$4:$10,3,FALSE))*E421/F421)</f>
        <v/>
      </c>
      <c r="N421" s="199">
        <f>HLOOKUP(C:C,$4:$10,2,FALSE)+((HLOOKUP(D:D,$4:$10,2,FALSE)-HLOOKUP(C:C,$4:$10,2,FALSE))*E421/F421)</f>
        <v/>
      </c>
      <c r="O421" s="199">
        <f>HLOOKUP(C:C,$4:$10,5,FALSE)+((HLOOKUP(D:D,$4:$10,5,FALSE)-HLOOKUP(C:C,$4:$10,5,FALSE))*E421/F421)</f>
        <v/>
      </c>
      <c r="P421" s="199">
        <f>HLOOKUP(C:C,$4:$10,4,FALSE)+((HLOOKUP(D:D,$4:$10,4,FALSE)-HLOOKUP(C:C,$4:$10,4,FALSE))*E421/F421)</f>
        <v/>
      </c>
      <c r="Q421" s="199">
        <f>HLOOKUP(B:B,$4:$10,6,FALSE)+((HLOOKUP(C:C,$4:$10,6,FALSE)-HLOOKUP(B:B,$4:$10,6,FALSE))*E421/F421)</f>
        <v/>
      </c>
      <c r="T421" s="198">
        <f>$G421</f>
        <v/>
      </c>
      <c r="U421" s="199">
        <f>H421/(HLOOKUP(B:B,$4:$10,3,FALSE)+((HLOOKUP(C:C,$4:$10,3,FALSE)-HLOOKUP(B:B,$4:$10,3,FALSE))*E421/F421))</f>
        <v/>
      </c>
      <c r="V421" s="969">
        <f>HLOOKUP(B:B,$4:$10,7,FALSE)+((HLOOKUP(C:C,$4:$10,7,FALSE)-HLOOKUP(B:B,$4:$10,7,FALSE))*E421/F421)</f>
        <v/>
      </c>
      <c r="AB421" s="198">
        <f>$G421</f>
        <v/>
      </c>
      <c r="AC421" s="199">
        <f>$H421</f>
        <v/>
      </c>
      <c r="AD421" s="199">
        <f>$M421*AD$34</f>
        <v/>
      </c>
      <c r="AE421" s="199">
        <f>$M421*AE$34</f>
        <v/>
      </c>
      <c r="AF421" s="199">
        <f>$M421*AF$34</f>
        <v/>
      </c>
      <c r="AG421" s="199">
        <f>$M421*AG$34</f>
        <v/>
      </c>
      <c r="AH421" s="199">
        <f>$M421*AH$34</f>
        <v/>
      </c>
      <c r="AJ421" s="198">
        <f>$G421</f>
        <v/>
      </c>
      <c r="AK421" s="199">
        <f>$H421</f>
        <v/>
      </c>
      <c r="AL421" s="199">
        <f>$N421*AL$34</f>
        <v/>
      </c>
      <c r="AM421" s="199">
        <f>$N421*AM$34</f>
        <v/>
      </c>
      <c r="AN421" s="199">
        <f>$N421*AN$34</f>
        <v/>
      </c>
      <c r="AO421" s="199">
        <f>$N421*AO$34</f>
        <v/>
      </c>
      <c r="AP421" s="199">
        <f>$N421*AP$34</f>
        <v/>
      </c>
      <c r="AR421" s="198">
        <f>$G421</f>
        <v/>
      </c>
      <c r="AS421" s="199">
        <f>$H421</f>
        <v/>
      </c>
      <c r="AT421" s="199">
        <f>$O421*AT$34-$Q421</f>
        <v/>
      </c>
      <c r="AU421" s="199">
        <f>$O421*AU$34-$Q421</f>
        <v/>
      </c>
      <c r="AV421" s="199">
        <f>$O421*AV$34-$Q421</f>
        <v/>
      </c>
      <c r="AW421" s="199">
        <f>$O421*AW$34-$Q421</f>
        <v/>
      </c>
      <c r="AX421" s="199">
        <f>$O421*AX$34-$Q421</f>
        <v/>
      </c>
      <c r="AZ421" s="198">
        <f>$G421</f>
        <v/>
      </c>
      <c r="BA421" s="199">
        <f>$H421</f>
        <v/>
      </c>
      <c r="BB421" s="199">
        <f>$P421*BB$34-$Q421</f>
        <v/>
      </c>
      <c r="BC421" s="199">
        <f>$P421*BC$34-$Q421</f>
        <v/>
      </c>
      <c r="BD421" s="199">
        <f>$P421*BD$34-$Q421</f>
        <v/>
      </c>
      <c r="BE421" s="199">
        <f>$P421*BE$34-$Q421</f>
        <v/>
      </c>
      <c r="BF421" s="199">
        <f>$P421*BF$34-$Q421</f>
        <v/>
      </c>
      <c r="BH421" s="198">
        <f>$G421</f>
        <v/>
      </c>
      <c r="BI421" s="197">
        <f>$I421</f>
        <v/>
      </c>
      <c r="BJ421" s="197">
        <f>+BJ422</f>
        <v/>
      </c>
      <c r="BK421" s="197">
        <f>+BK422</f>
        <v/>
      </c>
      <c r="BL421" s="197">
        <f>+BL422</f>
        <v/>
      </c>
      <c r="BM421" s="197">
        <f>+BM422</f>
        <v/>
      </c>
      <c r="BN421" s="197">
        <f>+BN422</f>
        <v/>
      </c>
      <c r="BP421" s="198">
        <f>$G421</f>
        <v/>
      </c>
      <c r="BQ421" s="197">
        <f>$J421</f>
        <v/>
      </c>
      <c r="BR421" s="197">
        <f>+BR422</f>
        <v/>
      </c>
      <c r="BS421" s="197">
        <f>+BS422</f>
        <v/>
      </c>
      <c r="BT421" s="197">
        <f>+BT422</f>
        <v/>
      </c>
      <c r="BU421" s="197">
        <f>+BU422</f>
        <v/>
      </c>
      <c r="BV421" s="197">
        <f>+BV422</f>
        <v/>
      </c>
      <c r="BX421" s="198">
        <f>$G421</f>
        <v/>
      </c>
      <c r="BY421" s="197">
        <f>$K421</f>
        <v/>
      </c>
      <c r="BZ421" s="197">
        <f>+BZ422</f>
        <v/>
      </c>
      <c r="CA421" s="197">
        <f>+CA422</f>
        <v/>
      </c>
      <c r="CB421" s="197">
        <f>+CB422</f>
        <v/>
      </c>
      <c r="CC421" s="197">
        <f>+CC422</f>
        <v/>
      </c>
      <c r="CD421" s="197">
        <f>+CD422</f>
        <v/>
      </c>
      <c r="CF421" s="198">
        <f>$G421</f>
        <v/>
      </c>
      <c r="CG421" s="197">
        <f>$L421</f>
        <v/>
      </c>
      <c r="CH421" s="197">
        <f>+CH422</f>
        <v/>
      </c>
      <c r="CI421" s="197">
        <f>+CI422</f>
        <v/>
      </c>
      <c r="CJ421" s="197">
        <f>+CJ422</f>
        <v/>
      </c>
      <c r="CK421" s="197">
        <f>+CK422</f>
        <v/>
      </c>
      <c r="CL421" s="197">
        <f>+CL422</f>
        <v/>
      </c>
      <c r="CO421" s="199" t="n">
        <v>6.704075242807853</v>
      </c>
      <c r="CP421" s="199" t="n">
        <v>3.27</v>
      </c>
      <c r="CR421" s="199" t="n">
        <v>5.46</v>
      </c>
      <c r="CS421" s="970" t="n">
        <v>0.81443</v>
      </c>
    </row>
    <row r="422">
      <c r="B422" s="204">
        <f>+C422-1</f>
        <v/>
      </c>
      <c r="C422" s="204">
        <f>IF('bands_A-H_Avg'!$D$9+1&gt;MONTH(G422),YEAR(G422),YEAR(G422)+1)</f>
        <v/>
      </c>
      <c r="D422" s="204">
        <f>+C422+1</f>
        <v/>
      </c>
      <c r="E422" s="203">
        <f>IF(C422&gt;C421,1,E421+1)</f>
        <v/>
      </c>
      <c r="F422" s="203">
        <f>COUNTIF(C:C,C422)</f>
        <v/>
      </c>
      <c r="G422" s="198">
        <f>+G421+7</f>
        <v/>
      </c>
      <c r="H422" s="361">
        <f>IF(ISBLANK(CO422),CP422,SUMPRODUCT(CO$32:CP$32,CO422:CP422))</f>
        <v/>
      </c>
      <c r="I422" s="968">
        <f>H422/M422</f>
        <v/>
      </c>
      <c r="J422" s="968">
        <f>H422/N422</f>
        <v/>
      </c>
      <c r="K422" s="968">
        <f>(H422+Q422)/O422</f>
        <v/>
      </c>
      <c r="L422" s="968">
        <f>(H422+Q422)/P422</f>
        <v/>
      </c>
      <c r="M422" s="199">
        <f>HLOOKUP(C:C,$4:$10,3,FALSE)+((HLOOKUP(D:D,$4:$10,3,FALSE)-HLOOKUP(C:C,$4:$10,3,FALSE))*E422/F422)</f>
        <v/>
      </c>
      <c r="N422" s="199">
        <f>HLOOKUP(C:C,$4:$10,2,FALSE)+((HLOOKUP(D:D,$4:$10,2,FALSE)-HLOOKUP(C:C,$4:$10,2,FALSE))*E422/F422)</f>
        <v/>
      </c>
      <c r="O422" s="199">
        <f>HLOOKUP(C:C,$4:$10,5,FALSE)+((HLOOKUP(D:D,$4:$10,5,FALSE)-HLOOKUP(C:C,$4:$10,5,FALSE))*E422/F422)</f>
        <v/>
      </c>
      <c r="P422" s="199">
        <f>HLOOKUP(C:C,$4:$10,4,FALSE)+((HLOOKUP(D:D,$4:$10,4,FALSE)-HLOOKUP(C:C,$4:$10,4,FALSE))*E422/F422)</f>
        <v/>
      </c>
      <c r="Q422" s="199">
        <f>HLOOKUP(B:B,$4:$10,6,FALSE)+((HLOOKUP(C:C,$4:$10,6,FALSE)-HLOOKUP(B:B,$4:$10,6,FALSE))*E422/F422)</f>
        <v/>
      </c>
      <c r="T422" s="198">
        <f>$G422</f>
        <v/>
      </c>
      <c r="U422" s="199">
        <f>H422/(HLOOKUP(B:B,$4:$10,3,FALSE)+((HLOOKUP(C:C,$4:$10,3,FALSE)-HLOOKUP(B:B,$4:$10,3,FALSE))*E422/F422))</f>
        <v/>
      </c>
      <c r="V422" s="969">
        <f>HLOOKUP(B:B,$4:$10,7,FALSE)+((HLOOKUP(C:C,$4:$10,7,FALSE)-HLOOKUP(B:B,$4:$10,7,FALSE))*E422/F422)</f>
        <v/>
      </c>
      <c r="AB422" s="198">
        <f>$G422</f>
        <v/>
      </c>
      <c r="AC422" s="199">
        <f>$H422</f>
        <v/>
      </c>
      <c r="AD422" s="199">
        <f>$M422*AD$34</f>
        <v/>
      </c>
      <c r="AE422" s="199">
        <f>$M422*AE$34</f>
        <v/>
      </c>
      <c r="AF422" s="199">
        <f>$M422*AF$34</f>
        <v/>
      </c>
      <c r="AG422" s="199">
        <f>$M422*AG$34</f>
        <v/>
      </c>
      <c r="AH422" s="199">
        <f>$M422*AH$34</f>
        <v/>
      </c>
      <c r="AJ422" s="198">
        <f>$G422</f>
        <v/>
      </c>
      <c r="AK422" s="199">
        <f>$H422</f>
        <v/>
      </c>
      <c r="AL422" s="199">
        <f>$N422*AL$34</f>
        <v/>
      </c>
      <c r="AM422" s="199">
        <f>$N422*AM$34</f>
        <v/>
      </c>
      <c r="AN422" s="199">
        <f>$N422*AN$34</f>
        <v/>
      </c>
      <c r="AO422" s="199">
        <f>$N422*AO$34</f>
        <v/>
      </c>
      <c r="AP422" s="199">
        <f>$N422*AP$34</f>
        <v/>
      </c>
      <c r="AR422" s="198">
        <f>$G422</f>
        <v/>
      </c>
      <c r="AS422" s="199">
        <f>$H422</f>
        <v/>
      </c>
      <c r="AT422" s="199">
        <f>$O422*AT$34-$Q422</f>
        <v/>
      </c>
      <c r="AU422" s="199">
        <f>$O422*AU$34-$Q422</f>
        <v/>
      </c>
      <c r="AV422" s="199">
        <f>$O422*AV$34-$Q422</f>
        <v/>
      </c>
      <c r="AW422" s="199">
        <f>$O422*AW$34-$Q422</f>
        <v/>
      </c>
      <c r="AX422" s="199">
        <f>$O422*AX$34-$Q422</f>
        <v/>
      </c>
      <c r="AZ422" s="198">
        <f>$G422</f>
        <v/>
      </c>
      <c r="BA422" s="199">
        <f>$H422</f>
        <v/>
      </c>
      <c r="BB422" s="199">
        <f>$P422*BB$34-$Q422</f>
        <v/>
      </c>
      <c r="BC422" s="199">
        <f>$P422*BC$34-$Q422</f>
        <v/>
      </c>
      <c r="BD422" s="199">
        <f>$P422*BD$34-$Q422</f>
        <v/>
      </c>
      <c r="BE422" s="199">
        <f>$P422*BE$34-$Q422</f>
        <v/>
      </c>
      <c r="BF422" s="199">
        <f>$P422*BF$34-$Q422</f>
        <v/>
      </c>
      <c r="BH422" s="198">
        <f>$G422</f>
        <v/>
      </c>
      <c r="BI422" s="197">
        <f>$I422</f>
        <v/>
      </c>
      <c r="BJ422" s="197">
        <f>+BJ423</f>
        <v/>
      </c>
      <c r="BK422" s="197">
        <f>+BK423</f>
        <v/>
      </c>
      <c r="BL422" s="197">
        <f>+BL423</f>
        <v/>
      </c>
      <c r="BM422" s="197">
        <f>+BM423</f>
        <v/>
      </c>
      <c r="BN422" s="197">
        <f>+BN423</f>
        <v/>
      </c>
      <c r="BP422" s="198">
        <f>$G422</f>
        <v/>
      </c>
      <c r="BQ422" s="197">
        <f>$J422</f>
        <v/>
      </c>
      <c r="BR422" s="197">
        <f>+BR423</f>
        <v/>
      </c>
      <c r="BS422" s="197">
        <f>+BS423</f>
        <v/>
      </c>
      <c r="BT422" s="197">
        <f>+BT423</f>
        <v/>
      </c>
      <c r="BU422" s="197">
        <f>+BU423</f>
        <v/>
      </c>
      <c r="BV422" s="197">
        <f>+BV423</f>
        <v/>
      </c>
      <c r="BX422" s="198">
        <f>$G422</f>
        <v/>
      </c>
      <c r="BY422" s="197">
        <f>$K422</f>
        <v/>
      </c>
      <c r="BZ422" s="197">
        <f>+BZ423</f>
        <v/>
      </c>
      <c r="CA422" s="197">
        <f>+CA423</f>
        <v/>
      </c>
      <c r="CB422" s="197">
        <f>+CB423</f>
        <v/>
      </c>
      <c r="CC422" s="197">
        <f>+CC423</f>
        <v/>
      </c>
      <c r="CD422" s="197">
        <f>+CD423</f>
        <v/>
      </c>
      <c r="CF422" s="198">
        <f>$G422</f>
        <v/>
      </c>
      <c r="CG422" s="197">
        <f>$L422</f>
        <v/>
      </c>
      <c r="CH422" s="197">
        <f>+CH423</f>
        <v/>
      </c>
      <c r="CI422" s="197">
        <f>+CI423</f>
        <v/>
      </c>
      <c r="CJ422" s="197">
        <f>+CJ423</f>
        <v/>
      </c>
      <c r="CK422" s="197">
        <f>+CK423</f>
        <v/>
      </c>
      <c r="CL422" s="197">
        <f>+CL423</f>
        <v/>
      </c>
      <c r="CO422" s="199" t="n">
        <v>6.801887370549666</v>
      </c>
      <c r="CP422" s="199" t="n">
        <v>3.2</v>
      </c>
      <c r="CR422" s="199" t="n">
        <v>5.55</v>
      </c>
      <c r="CS422" s="970" t="n">
        <v>0.81595</v>
      </c>
    </row>
    <row r="423">
      <c r="B423" s="204">
        <f>+C423-1</f>
        <v/>
      </c>
      <c r="C423" s="204">
        <f>IF('bands_A-H_Avg'!$D$9+1&gt;MONTH(G423),YEAR(G423),YEAR(G423)+1)</f>
        <v/>
      </c>
      <c r="D423" s="204">
        <f>+C423+1</f>
        <v/>
      </c>
      <c r="E423" s="203">
        <f>IF(C423&gt;C422,1,E422+1)</f>
        <v/>
      </c>
      <c r="F423" s="203">
        <f>COUNTIF(C:C,C423)</f>
        <v/>
      </c>
      <c r="G423" s="198">
        <f>+G422+7</f>
        <v/>
      </c>
      <c r="H423" s="361">
        <f>IF(ISBLANK(CO423),CP423,SUMPRODUCT(CO$32:CP$32,CO423:CP423))</f>
        <v/>
      </c>
      <c r="I423" s="968">
        <f>H423/M423</f>
        <v/>
      </c>
      <c r="J423" s="968">
        <f>H423/N423</f>
        <v/>
      </c>
      <c r="K423" s="968">
        <f>(H423+Q423)/O423</f>
        <v/>
      </c>
      <c r="L423" s="968">
        <f>(H423+Q423)/P423</f>
        <v/>
      </c>
      <c r="M423" s="199">
        <f>HLOOKUP(C:C,$4:$10,3,FALSE)+((HLOOKUP(D:D,$4:$10,3,FALSE)-HLOOKUP(C:C,$4:$10,3,FALSE))*E423/F423)</f>
        <v/>
      </c>
      <c r="N423" s="199">
        <f>HLOOKUP(C:C,$4:$10,2,FALSE)+((HLOOKUP(D:D,$4:$10,2,FALSE)-HLOOKUP(C:C,$4:$10,2,FALSE))*E423/F423)</f>
        <v/>
      </c>
      <c r="O423" s="199">
        <f>HLOOKUP(C:C,$4:$10,5,FALSE)+((HLOOKUP(D:D,$4:$10,5,FALSE)-HLOOKUP(C:C,$4:$10,5,FALSE))*E423/F423)</f>
        <v/>
      </c>
      <c r="P423" s="199">
        <f>HLOOKUP(C:C,$4:$10,4,FALSE)+((HLOOKUP(D:D,$4:$10,4,FALSE)-HLOOKUP(C:C,$4:$10,4,FALSE))*E423/F423)</f>
        <v/>
      </c>
      <c r="Q423" s="199">
        <f>HLOOKUP(B:B,$4:$10,6,FALSE)+((HLOOKUP(C:C,$4:$10,6,FALSE)-HLOOKUP(B:B,$4:$10,6,FALSE))*E423/F423)</f>
        <v/>
      </c>
      <c r="T423" s="198">
        <f>$G423</f>
        <v/>
      </c>
      <c r="U423" s="199">
        <f>H423/(HLOOKUP(B:B,$4:$10,3,FALSE)+((HLOOKUP(C:C,$4:$10,3,FALSE)-HLOOKUP(B:B,$4:$10,3,FALSE))*E423/F423))</f>
        <v/>
      </c>
      <c r="V423" s="969">
        <f>HLOOKUP(B:B,$4:$10,7,FALSE)+((HLOOKUP(C:C,$4:$10,7,FALSE)-HLOOKUP(B:B,$4:$10,7,FALSE))*E423/F423)</f>
        <v/>
      </c>
      <c r="AB423" s="198">
        <f>$G423</f>
        <v/>
      </c>
      <c r="AC423" s="199">
        <f>$H423</f>
        <v/>
      </c>
      <c r="AD423" s="199">
        <f>$M423*AD$34</f>
        <v/>
      </c>
      <c r="AE423" s="199">
        <f>$M423*AE$34</f>
        <v/>
      </c>
      <c r="AF423" s="199">
        <f>$M423*AF$34</f>
        <v/>
      </c>
      <c r="AG423" s="199">
        <f>$M423*AG$34</f>
        <v/>
      </c>
      <c r="AH423" s="199">
        <f>$M423*AH$34</f>
        <v/>
      </c>
      <c r="AJ423" s="198">
        <f>$G423</f>
        <v/>
      </c>
      <c r="AK423" s="199">
        <f>$H423</f>
        <v/>
      </c>
      <c r="AL423" s="199">
        <f>$N423*AL$34</f>
        <v/>
      </c>
      <c r="AM423" s="199">
        <f>$N423*AM$34</f>
        <v/>
      </c>
      <c r="AN423" s="199">
        <f>$N423*AN$34</f>
        <v/>
      </c>
      <c r="AO423" s="199">
        <f>$N423*AO$34</f>
        <v/>
      </c>
      <c r="AP423" s="199">
        <f>$N423*AP$34</f>
        <v/>
      </c>
      <c r="AR423" s="198">
        <f>$G423</f>
        <v/>
      </c>
      <c r="AS423" s="199">
        <f>$H423</f>
        <v/>
      </c>
      <c r="AT423" s="199">
        <f>$O423*AT$34-$Q423</f>
        <v/>
      </c>
      <c r="AU423" s="199">
        <f>$O423*AU$34-$Q423</f>
        <v/>
      </c>
      <c r="AV423" s="199">
        <f>$O423*AV$34-$Q423</f>
        <v/>
      </c>
      <c r="AW423" s="199">
        <f>$O423*AW$34-$Q423</f>
        <v/>
      </c>
      <c r="AX423" s="199">
        <f>$O423*AX$34-$Q423</f>
        <v/>
      </c>
      <c r="AZ423" s="198">
        <f>$G423</f>
        <v/>
      </c>
      <c r="BA423" s="199">
        <f>$H423</f>
        <v/>
      </c>
      <c r="BB423" s="199">
        <f>$P423*BB$34-$Q423</f>
        <v/>
      </c>
      <c r="BC423" s="199">
        <f>$P423*BC$34-$Q423</f>
        <v/>
      </c>
      <c r="BD423" s="199">
        <f>$P423*BD$34-$Q423</f>
        <v/>
      </c>
      <c r="BE423" s="199">
        <f>$P423*BE$34-$Q423</f>
        <v/>
      </c>
      <c r="BF423" s="199">
        <f>$P423*BF$34-$Q423</f>
        <v/>
      </c>
      <c r="BH423" s="198">
        <f>$G423</f>
        <v/>
      </c>
      <c r="BI423" s="197">
        <f>$I423</f>
        <v/>
      </c>
      <c r="BJ423" s="197">
        <f>+BJ424</f>
        <v/>
      </c>
      <c r="BK423" s="197">
        <f>+BK424</f>
        <v/>
      </c>
      <c r="BL423" s="197">
        <f>+BL424</f>
        <v/>
      </c>
      <c r="BM423" s="197">
        <f>+BM424</f>
        <v/>
      </c>
      <c r="BN423" s="197">
        <f>+BN424</f>
        <v/>
      </c>
      <c r="BP423" s="198">
        <f>$G423</f>
        <v/>
      </c>
      <c r="BQ423" s="197">
        <f>$J423</f>
        <v/>
      </c>
      <c r="BR423" s="197">
        <f>+BR424</f>
        <v/>
      </c>
      <c r="BS423" s="197">
        <f>+BS424</f>
        <v/>
      </c>
      <c r="BT423" s="197">
        <f>+BT424</f>
        <v/>
      </c>
      <c r="BU423" s="197">
        <f>+BU424</f>
        <v/>
      </c>
      <c r="BV423" s="197">
        <f>+BV424</f>
        <v/>
      </c>
      <c r="BX423" s="198">
        <f>$G423</f>
        <v/>
      </c>
      <c r="BY423" s="197">
        <f>$K423</f>
        <v/>
      </c>
      <c r="BZ423" s="197">
        <f>+BZ424</f>
        <v/>
      </c>
      <c r="CA423" s="197">
        <f>+CA424</f>
        <v/>
      </c>
      <c r="CB423" s="197">
        <f>+CB424</f>
        <v/>
      </c>
      <c r="CC423" s="197">
        <f>+CC424</f>
        <v/>
      </c>
      <c r="CD423" s="197">
        <f>+CD424</f>
        <v/>
      </c>
      <c r="CF423" s="198">
        <f>$G423</f>
        <v/>
      </c>
      <c r="CG423" s="197">
        <f>$L423</f>
        <v/>
      </c>
      <c r="CH423" s="197">
        <f>+CH424</f>
        <v/>
      </c>
      <c r="CI423" s="197">
        <f>+CI424</f>
        <v/>
      </c>
      <c r="CJ423" s="197">
        <f>+CJ424</f>
        <v/>
      </c>
      <c r="CK423" s="197">
        <f>+CK424</f>
        <v/>
      </c>
      <c r="CL423" s="197">
        <f>+CL424</f>
        <v/>
      </c>
      <c r="CO423" s="199" t="n">
        <v>6.967792233104322</v>
      </c>
      <c r="CP423" s="199" t="n">
        <v>3.4</v>
      </c>
      <c r="CR423" s="199" t="n">
        <v>5.72</v>
      </c>
      <c r="CS423" s="970" t="n">
        <v>0.82092</v>
      </c>
    </row>
    <row r="424">
      <c r="B424" s="204">
        <f>+C424-1</f>
        <v/>
      </c>
      <c r="C424" s="204">
        <f>IF('bands_A-H_Avg'!$D$9+1&gt;MONTH(G424),YEAR(G424),YEAR(G424)+1)</f>
        <v/>
      </c>
      <c r="D424" s="204">
        <f>+C424+1</f>
        <v/>
      </c>
      <c r="E424" s="203">
        <f>IF(C424&gt;C423,1,E423+1)</f>
        <v/>
      </c>
      <c r="F424" s="203">
        <f>COUNTIF(C:C,C424)</f>
        <v/>
      </c>
      <c r="G424" s="198">
        <f>+G423+7</f>
        <v/>
      </c>
      <c r="H424" s="361">
        <f>IF(ISBLANK(CO424),CP424,SUMPRODUCT(CO$32:CP$32,CO424:CP424))</f>
        <v/>
      </c>
      <c r="I424" s="968">
        <f>H424/M424</f>
        <v/>
      </c>
      <c r="J424" s="968">
        <f>H424/N424</f>
        <v/>
      </c>
      <c r="K424" s="968">
        <f>(H424+Q424)/O424</f>
        <v/>
      </c>
      <c r="L424" s="968">
        <f>(H424+Q424)/P424</f>
        <v/>
      </c>
      <c r="M424" s="199">
        <f>HLOOKUP(C:C,$4:$10,3,FALSE)+((HLOOKUP(D:D,$4:$10,3,FALSE)-HLOOKUP(C:C,$4:$10,3,FALSE))*E424/F424)</f>
        <v/>
      </c>
      <c r="N424" s="199">
        <f>HLOOKUP(C:C,$4:$10,2,FALSE)+((HLOOKUP(D:D,$4:$10,2,FALSE)-HLOOKUP(C:C,$4:$10,2,FALSE))*E424/F424)</f>
        <v/>
      </c>
      <c r="O424" s="199">
        <f>HLOOKUP(C:C,$4:$10,5,FALSE)+((HLOOKUP(D:D,$4:$10,5,FALSE)-HLOOKUP(C:C,$4:$10,5,FALSE))*E424/F424)</f>
        <v/>
      </c>
      <c r="P424" s="199">
        <f>HLOOKUP(C:C,$4:$10,4,FALSE)+((HLOOKUP(D:D,$4:$10,4,FALSE)-HLOOKUP(C:C,$4:$10,4,FALSE))*E424/F424)</f>
        <v/>
      </c>
      <c r="Q424" s="199">
        <f>HLOOKUP(B:B,$4:$10,6,FALSE)+((HLOOKUP(C:C,$4:$10,6,FALSE)-HLOOKUP(B:B,$4:$10,6,FALSE))*E424/F424)</f>
        <v/>
      </c>
      <c r="T424" s="198">
        <f>$G424</f>
        <v/>
      </c>
      <c r="U424" s="199">
        <f>H424/(HLOOKUP(B:B,$4:$10,3,FALSE)+((HLOOKUP(C:C,$4:$10,3,FALSE)-HLOOKUP(B:B,$4:$10,3,FALSE))*E424/F424))</f>
        <v/>
      </c>
      <c r="V424" s="969">
        <f>HLOOKUP(B:B,$4:$10,7,FALSE)+((HLOOKUP(C:C,$4:$10,7,FALSE)-HLOOKUP(B:B,$4:$10,7,FALSE))*E424/F424)</f>
        <v/>
      </c>
      <c r="AB424" s="198">
        <f>$G424</f>
        <v/>
      </c>
      <c r="AC424" s="199">
        <f>$H424</f>
        <v/>
      </c>
      <c r="AD424" s="199">
        <f>$M424*AD$34</f>
        <v/>
      </c>
      <c r="AE424" s="199">
        <f>$M424*AE$34</f>
        <v/>
      </c>
      <c r="AF424" s="199">
        <f>$M424*AF$34</f>
        <v/>
      </c>
      <c r="AG424" s="199">
        <f>$M424*AG$34</f>
        <v/>
      </c>
      <c r="AH424" s="199">
        <f>$M424*AH$34</f>
        <v/>
      </c>
      <c r="AJ424" s="198">
        <f>$G424</f>
        <v/>
      </c>
      <c r="AK424" s="199">
        <f>$H424</f>
        <v/>
      </c>
      <c r="AL424" s="199">
        <f>$N424*AL$34</f>
        <v/>
      </c>
      <c r="AM424" s="199">
        <f>$N424*AM$34</f>
        <v/>
      </c>
      <c r="AN424" s="199">
        <f>$N424*AN$34</f>
        <v/>
      </c>
      <c r="AO424" s="199">
        <f>$N424*AO$34</f>
        <v/>
      </c>
      <c r="AP424" s="199">
        <f>$N424*AP$34</f>
        <v/>
      </c>
      <c r="AR424" s="198">
        <f>$G424</f>
        <v/>
      </c>
      <c r="AS424" s="199">
        <f>$H424</f>
        <v/>
      </c>
      <c r="AT424" s="199">
        <f>$O424*AT$34-$Q424</f>
        <v/>
      </c>
      <c r="AU424" s="199">
        <f>$O424*AU$34-$Q424</f>
        <v/>
      </c>
      <c r="AV424" s="199">
        <f>$O424*AV$34-$Q424</f>
        <v/>
      </c>
      <c r="AW424" s="199">
        <f>$O424*AW$34-$Q424</f>
        <v/>
      </c>
      <c r="AX424" s="199">
        <f>$O424*AX$34-$Q424</f>
        <v/>
      </c>
      <c r="AZ424" s="198">
        <f>$G424</f>
        <v/>
      </c>
      <c r="BA424" s="199">
        <f>$H424</f>
        <v/>
      </c>
      <c r="BB424" s="199">
        <f>$P424*BB$34-$Q424</f>
        <v/>
      </c>
      <c r="BC424" s="199">
        <f>$P424*BC$34-$Q424</f>
        <v/>
      </c>
      <c r="BD424" s="199">
        <f>$P424*BD$34-$Q424</f>
        <v/>
      </c>
      <c r="BE424" s="199">
        <f>$P424*BE$34-$Q424</f>
        <v/>
      </c>
      <c r="BF424" s="199">
        <f>$P424*BF$34-$Q424</f>
        <v/>
      </c>
      <c r="BH424" s="198">
        <f>$G424</f>
        <v/>
      </c>
      <c r="BI424" s="197">
        <f>$I424</f>
        <v/>
      </c>
      <c r="BJ424" s="197">
        <f>+BJ425</f>
        <v/>
      </c>
      <c r="BK424" s="197">
        <f>+BK425</f>
        <v/>
      </c>
      <c r="BL424" s="197">
        <f>+BL425</f>
        <v/>
      </c>
      <c r="BM424" s="197">
        <f>+BM425</f>
        <v/>
      </c>
      <c r="BN424" s="197">
        <f>+BN425</f>
        <v/>
      </c>
      <c r="BP424" s="198">
        <f>$G424</f>
        <v/>
      </c>
      <c r="BQ424" s="197">
        <f>$J424</f>
        <v/>
      </c>
      <c r="BR424" s="197">
        <f>+BR425</f>
        <v/>
      </c>
      <c r="BS424" s="197">
        <f>+BS425</f>
        <v/>
      </c>
      <c r="BT424" s="197">
        <f>+BT425</f>
        <v/>
      </c>
      <c r="BU424" s="197">
        <f>+BU425</f>
        <v/>
      </c>
      <c r="BV424" s="197">
        <f>+BV425</f>
        <v/>
      </c>
      <c r="BX424" s="198">
        <f>$G424</f>
        <v/>
      </c>
      <c r="BY424" s="197">
        <f>$K424</f>
        <v/>
      </c>
      <c r="BZ424" s="197">
        <f>+BZ425</f>
        <v/>
      </c>
      <c r="CA424" s="197">
        <f>+CA425</f>
        <v/>
      </c>
      <c r="CB424" s="197">
        <f>+CB425</f>
        <v/>
      </c>
      <c r="CC424" s="197">
        <f>+CC425</f>
        <v/>
      </c>
      <c r="CD424" s="197">
        <f>+CD425</f>
        <v/>
      </c>
      <c r="CF424" s="198">
        <f>$G424</f>
        <v/>
      </c>
      <c r="CG424" s="197">
        <f>$L424</f>
        <v/>
      </c>
      <c r="CH424" s="197">
        <f>+CH425</f>
        <v/>
      </c>
      <c r="CI424" s="197">
        <f>+CI425</f>
        <v/>
      </c>
      <c r="CJ424" s="197">
        <f>+CJ425</f>
        <v/>
      </c>
      <c r="CK424" s="197">
        <f>+CK425</f>
        <v/>
      </c>
      <c r="CL424" s="197">
        <f>+CL425</f>
        <v/>
      </c>
      <c r="CO424" s="199" t="n">
        <v>6.413454868505919</v>
      </c>
      <c r="CP424" s="199" t="n">
        <v>3.26</v>
      </c>
      <c r="CR424" s="199" t="n">
        <v>5.27</v>
      </c>
      <c r="CS424" s="970" t="n">
        <v>0.8217100000000001</v>
      </c>
    </row>
    <row r="425">
      <c r="B425" s="204">
        <f>+C425-1</f>
        <v/>
      </c>
      <c r="C425" s="204">
        <f>IF('bands_A-H_Avg'!$D$9+1&gt;MONTH(G425),YEAR(G425),YEAR(G425)+1)</f>
        <v/>
      </c>
      <c r="D425" s="204">
        <f>+C425+1</f>
        <v/>
      </c>
      <c r="E425" s="203">
        <f>IF(C425&gt;C424,1,E424+1)</f>
        <v/>
      </c>
      <c r="F425" s="203">
        <f>COUNTIF(C:C,C425)</f>
        <v/>
      </c>
      <c r="G425" s="198">
        <f>+G424+7</f>
        <v/>
      </c>
      <c r="H425" s="361">
        <f>IF(ISBLANK(CO425),CP425,SUMPRODUCT(CO$32:CP$32,CO425:CP425))</f>
        <v/>
      </c>
      <c r="I425" s="968">
        <f>H425/M425</f>
        <v/>
      </c>
      <c r="J425" s="968">
        <f>H425/N425</f>
        <v/>
      </c>
      <c r="K425" s="968">
        <f>(H425+Q425)/O425</f>
        <v/>
      </c>
      <c r="L425" s="968">
        <f>(H425+Q425)/P425</f>
        <v/>
      </c>
      <c r="M425" s="199">
        <f>HLOOKUP(C:C,$4:$10,3,FALSE)+((HLOOKUP(D:D,$4:$10,3,FALSE)-HLOOKUP(C:C,$4:$10,3,FALSE))*E425/F425)</f>
        <v/>
      </c>
      <c r="N425" s="199">
        <f>HLOOKUP(C:C,$4:$10,2,FALSE)+((HLOOKUP(D:D,$4:$10,2,FALSE)-HLOOKUP(C:C,$4:$10,2,FALSE))*E425/F425)</f>
        <v/>
      </c>
      <c r="O425" s="199">
        <f>HLOOKUP(C:C,$4:$10,5,FALSE)+((HLOOKUP(D:D,$4:$10,5,FALSE)-HLOOKUP(C:C,$4:$10,5,FALSE))*E425/F425)</f>
        <v/>
      </c>
      <c r="P425" s="199">
        <f>HLOOKUP(C:C,$4:$10,4,FALSE)+((HLOOKUP(D:D,$4:$10,4,FALSE)-HLOOKUP(C:C,$4:$10,4,FALSE))*E425/F425)</f>
        <v/>
      </c>
      <c r="Q425" s="199">
        <f>HLOOKUP(B:B,$4:$10,6,FALSE)+((HLOOKUP(C:C,$4:$10,6,FALSE)-HLOOKUP(B:B,$4:$10,6,FALSE))*E425/F425)</f>
        <v/>
      </c>
      <c r="T425" s="198">
        <f>$G425</f>
        <v/>
      </c>
      <c r="U425" s="199">
        <f>H425/(HLOOKUP(B:B,$4:$10,3,FALSE)+((HLOOKUP(C:C,$4:$10,3,FALSE)-HLOOKUP(B:B,$4:$10,3,FALSE))*E425/F425))</f>
        <v/>
      </c>
      <c r="V425" s="969">
        <f>HLOOKUP(B:B,$4:$10,7,FALSE)+((HLOOKUP(C:C,$4:$10,7,FALSE)-HLOOKUP(B:B,$4:$10,7,FALSE))*E425/F425)</f>
        <v/>
      </c>
      <c r="AB425" s="198">
        <f>$G425</f>
        <v/>
      </c>
      <c r="AC425" s="199">
        <f>$H425</f>
        <v/>
      </c>
      <c r="AD425" s="199">
        <f>$M425*AD$34</f>
        <v/>
      </c>
      <c r="AE425" s="199">
        <f>$M425*AE$34</f>
        <v/>
      </c>
      <c r="AF425" s="199">
        <f>$M425*AF$34</f>
        <v/>
      </c>
      <c r="AG425" s="199">
        <f>$M425*AG$34</f>
        <v/>
      </c>
      <c r="AH425" s="199">
        <f>$M425*AH$34</f>
        <v/>
      </c>
      <c r="AJ425" s="198">
        <f>$G425</f>
        <v/>
      </c>
      <c r="AK425" s="199">
        <f>$H425</f>
        <v/>
      </c>
      <c r="AL425" s="199">
        <f>$N425*AL$34</f>
        <v/>
      </c>
      <c r="AM425" s="199">
        <f>$N425*AM$34</f>
        <v/>
      </c>
      <c r="AN425" s="199">
        <f>$N425*AN$34</f>
        <v/>
      </c>
      <c r="AO425" s="199">
        <f>$N425*AO$34</f>
        <v/>
      </c>
      <c r="AP425" s="199">
        <f>$N425*AP$34</f>
        <v/>
      </c>
      <c r="AR425" s="198">
        <f>$G425</f>
        <v/>
      </c>
      <c r="AS425" s="199">
        <f>$H425</f>
        <v/>
      </c>
      <c r="AT425" s="199">
        <f>$O425*AT$34-$Q425</f>
        <v/>
      </c>
      <c r="AU425" s="199">
        <f>$O425*AU$34-$Q425</f>
        <v/>
      </c>
      <c r="AV425" s="199">
        <f>$O425*AV$34-$Q425</f>
        <v/>
      </c>
      <c r="AW425" s="199">
        <f>$O425*AW$34-$Q425</f>
        <v/>
      </c>
      <c r="AX425" s="199">
        <f>$O425*AX$34-$Q425</f>
        <v/>
      </c>
      <c r="AZ425" s="198">
        <f>$G425</f>
        <v/>
      </c>
      <c r="BA425" s="199">
        <f>$H425</f>
        <v/>
      </c>
      <c r="BB425" s="199">
        <f>$P425*BB$34-$Q425</f>
        <v/>
      </c>
      <c r="BC425" s="199">
        <f>$P425*BC$34-$Q425</f>
        <v/>
      </c>
      <c r="BD425" s="199">
        <f>$P425*BD$34-$Q425</f>
        <v/>
      </c>
      <c r="BE425" s="199">
        <f>$P425*BE$34-$Q425</f>
        <v/>
      </c>
      <c r="BF425" s="199">
        <f>$P425*BF$34-$Q425</f>
        <v/>
      </c>
      <c r="BH425" s="198">
        <f>$G425</f>
        <v/>
      </c>
      <c r="BI425" s="197">
        <f>$I425</f>
        <v/>
      </c>
      <c r="BJ425" s="197">
        <f>+BJ426</f>
        <v/>
      </c>
      <c r="BK425" s="197">
        <f>+BK426</f>
        <v/>
      </c>
      <c r="BL425" s="197">
        <f>+BL426</f>
        <v/>
      </c>
      <c r="BM425" s="197">
        <f>+BM426</f>
        <v/>
      </c>
      <c r="BN425" s="197">
        <f>+BN426</f>
        <v/>
      </c>
      <c r="BP425" s="198">
        <f>$G425</f>
        <v/>
      </c>
      <c r="BQ425" s="197">
        <f>$J425</f>
        <v/>
      </c>
      <c r="BR425" s="197">
        <f>+BR426</f>
        <v/>
      </c>
      <c r="BS425" s="197">
        <f>+BS426</f>
        <v/>
      </c>
      <c r="BT425" s="197">
        <f>+BT426</f>
        <v/>
      </c>
      <c r="BU425" s="197">
        <f>+BU426</f>
        <v/>
      </c>
      <c r="BV425" s="197">
        <f>+BV426</f>
        <v/>
      </c>
      <c r="BX425" s="198">
        <f>$G425</f>
        <v/>
      </c>
      <c r="BY425" s="197">
        <f>$K425</f>
        <v/>
      </c>
      <c r="BZ425" s="197">
        <f>+BZ426</f>
        <v/>
      </c>
      <c r="CA425" s="197">
        <f>+CA426</f>
        <v/>
      </c>
      <c r="CB425" s="197">
        <f>+CB426</f>
        <v/>
      </c>
      <c r="CC425" s="197">
        <f>+CC426</f>
        <v/>
      </c>
      <c r="CD425" s="197">
        <f>+CD426</f>
        <v/>
      </c>
      <c r="CF425" s="198">
        <f>$G425</f>
        <v/>
      </c>
      <c r="CG425" s="197">
        <f>$L425</f>
        <v/>
      </c>
      <c r="CH425" s="197">
        <f>+CH426</f>
        <v/>
      </c>
      <c r="CI425" s="197">
        <f>+CI426</f>
        <v/>
      </c>
      <c r="CJ425" s="197">
        <f>+CJ426</f>
        <v/>
      </c>
      <c r="CK425" s="197">
        <f>+CK426</f>
        <v/>
      </c>
      <c r="CL425" s="197">
        <f>+CL426</f>
        <v/>
      </c>
      <c r="CO425" s="199" t="n">
        <v>6.214964660004874</v>
      </c>
      <c r="CP425" s="199" t="n">
        <v>3.2</v>
      </c>
      <c r="CR425" s="199" t="n">
        <v>5.1</v>
      </c>
      <c r="CS425" s="970" t="n">
        <v>0.8206</v>
      </c>
    </row>
    <row r="426">
      <c r="B426" s="204">
        <f>+C426-1</f>
        <v/>
      </c>
      <c r="C426" s="204">
        <f>IF('bands_A-H_Avg'!$D$9+1&gt;MONTH(G426),YEAR(G426),YEAR(G426)+1)</f>
        <v/>
      </c>
      <c r="D426" s="204">
        <f>+C426+1</f>
        <v/>
      </c>
      <c r="E426" s="203">
        <f>IF(C426&gt;C425,1,E425+1)</f>
        <v/>
      </c>
      <c r="F426" s="203">
        <f>COUNTIF(C:C,C426)</f>
        <v/>
      </c>
      <c r="G426" s="198">
        <f>+G425+7</f>
        <v/>
      </c>
      <c r="H426" s="361">
        <f>IF(ISBLANK(CO426),CP426,SUMPRODUCT(CO$32:CP$32,CO426:CP426))</f>
        <v/>
      </c>
      <c r="I426" s="968">
        <f>H426/M426</f>
        <v/>
      </c>
      <c r="J426" s="968">
        <f>H426/N426</f>
        <v/>
      </c>
      <c r="K426" s="968">
        <f>(H426+Q426)/O426</f>
        <v/>
      </c>
      <c r="L426" s="968">
        <f>(H426+Q426)/P426</f>
        <v/>
      </c>
      <c r="M426" s="199">
        <f>HLOOKUP(C:C,$4:$10,3,FALSE)+((HLOOKUP(D:D,$4:$10,3,FALSE)-HLOOKUP(C:C,$4:$10,3,FALSE))*E426/F426)</f>
        <v/>
      </c>
      <c r="N426" s="199">
        <f>HLOOKUP(C:C,$4:$10,2,FALSE)+((HLOOKUP(D:D,$4:$10,2,FALSE)-HLOOKUP(C:C,$4:$10,2,FALSE))*E426/F426)</f>
        <v/>
      </c>
      <c r="O426" s="199">
        <f>HLOOKUP(C:C,$4:$10,5,FALSE)+((HLOOKUP(D:D,$4:$10,5,FALSE)-HLOOKUP(C:C,$4:$10,5,FALSE))*E426/F426)</f>
        <v/>
      </c>
      <c r="P426" s="199">
        <f>HLOOKUP(C:C,$4:$10,4,FALSE)+((HLOOKUP(D:D,$4:$10,4,FALSE)-HLOOKUP(C:C,$4:$10,4,FALSE))*E426/F426)</f>
        <v/>
      </c>
      <c r="Q426" s="199">
        <f>HLOOKUP(B:B,$4:$10,6,FALSE)+((HLOOKUP(C:C,$4:$10,6,FALSE)-HLOOKUP(B:B,$4:$10,6,FALSE))*E426/F426)</f>
        <v/>
      </c>
      <c r="T426" s="198">
        <f>$G426</f>
        <v/>
      </c>
      <c r="U426" s="199">
        <f>H426/(HLOOKUP(B:B,$4:$10,3,FALSE)+((HLOOKUP(C:C,$4:$10,3,FALSE)-HLOOKUP(B:B,$4:$10,3,FALSE))*E426/F426))</f>
        <v/>
      </c>
      <c r="V426" s="969">
        <f>HLOOKUP(B:B,$4:$10,7,FALSE)+((HLOOKUP(C:C,$4:$10,7,FALSE)-HLOOKUP(B:B,$4:$10,7,FALSE))*E426/F426)</f>
        <v/>
      </c>
      <c r="AB426" s="198">
        <f>$G426</f>
        <v/>
      </c>
      <c r="AC426" s="199">
        <f>$H426</f>
        <v/>
      </c>
      <c r="AD426" s="199">
        <f>$M426*AD$34</f>
        <v/>
      </c>
      <c r="AE426" s="199">
        <f>$M426*AE$34</f>
        <v/>
      </c>
      <c r="AF426" s="199">
        <f>$M426*AF$34</f>
        <v/>
      </c>
      <c r="AG426" s="199">
        <f>$M426*AG$34</f>
        <v/>
      </c>
      <c r="AH426" s="199">
        <f>$M426*AH$34</f>
        <v/>
      </c>
      <c r="AJ426" s="198">
        <f>$G426</f>
        <v/>
      </c>
      <c r="AK426" s="199">
        <f>$H426</f>
        <v/>
      </c>
      <c r="AL426" s="199">
        <f>$N426*AL$34</f>
        <v/>
      </c>
      <c r="AM426" s="199">
        <f>$N426*AM$34</f>
        <v/>
      </c>
      <c r="AN426" s="199">
        <f>$N426*AN$34</f>
        <v/>
      </c>
      <c r="AO426" s="199">
        <f>$N426*AO$34</f>
        <v/>
      </c>
      <c r="AP426" s="199">
        <f>$N426*AP$34</f>
        <v/>
      </c>
      <c r="AR426" s="198">
        <f>$G426</f>
        <v/>
      </c>
      <c r="AS426" s="199">
        <f>$H426</f>
        <v/>
      </c>
      <c r="AT426" s="199">
        <f>$O426*AT$34-$Q426</f>
        <v/>
      </c>
      <c r="AU426" s="199">
        <f>$O426*AU$34-$Q426</f>
        <v/>
      </c>
      <c r="AV426" s="199">
        <f>$O426*AV$34-$Q426</f>
        <v/>
      </c>
      <c r="AW426" s="199">
        <f>$O426*AW$34-$Q426</f>
        <v/>
      </c>
      <c r="AX426" s="199">
        <f>$O426*AX$34-$Q426</f>
        <v/>
      </c>
      <c r="AZ426" s="198">
        <f>$G426</f>
        <v/>
      </c>
      <c r="BA426" s="199">
        <f>$H426</f>
        <v/>
      </c>
      <c r="BB426" s="199">
        <f>$P426*BB$34-$Q426</f>
        <v/>
      </c>
      <c r="BC426" s="199">
        <f>$P426*BC$34-$Q426</f>
        <v/>
      </c>
      <c r="BD426" s="199">
        <f>$P426*BD$34-$Q426</f>
        <v/>
      </c>
      <c r="BE426" s="199">
        <f>$P426*BE$34-$Q426</f>
        <v/>
      </c>
      <c r="BF426" s="199">
        <f>$P426*BF$34-$Q426</f>
        <v/>
      </c>
      <c r="BH426" s="198">
        <f>$G426</f>
        <v/>
      </c>
      <c r="BI426" s="197">
        <f>$I426</f>
        <v/>
      </c>
      <c r="BJ426" s="197">
        <f>+BJ427</f>
        <v/>
      </c>
      <c r="BK426" s="197">
        <f>+BK427</f>
        <v/>
      </c>
      <c r="BL426" s="197">
        <f>+BL427</f>
        <v/>
      </c>
      <c r="BM426" s="197">
        <f>+BM427</f>
        <v/>
      </c>
      <c r="BN426" s="197">
        <f>+BN427</f>
        <v/>
      </c>
      <c r="BP426" s="198">
        <f>$G426</f>
        <v/>
      </c>
      <c r="BQ426" s="197">
        <f>$J426</f>
        <v/>
      </c>
      <c r="BR426" s="197">
        <f>+BR427</f>
        <v/>
      </c>
      <c r="BS426" s="197">
        <f>+BS427</f>
        <v/>
      </c>
      <c r="BT426" s="197">
        <f>+BT427</f>
        <v/>
      </c>
      <c r="BU426" s="197">
        <f>+BU427</f>
        <v/>
      </c>
      <c r="BV426" s="197">
        <f>+BV427</f>
        <v/>
      </c>
      <c r="BX426" s="198">
        <f>$G426</f>
        <v/>
      </c>
      <c r="BY426" s="197">
        <f>$K426</f>
        <v/>
      </c>
      <c r="BZ426" s="197">
        <f>+BZ427</f>
        <v/>
      </c>
      <c r="CA426" s="197">
        <f>+CA427</f>
        <v/>
      </c>
      <c r="CB426" s="197">
        <f>+CB427</f>
        <v/>
      </c>
      <c r="CC426" s="197">
        <f>+CC427</f>
        <v/>
      </c>
      <c r="CD426" s="197">
        <f>+CD427</f>
        <v/>
      </c>
      <c r="CF426" s="198">
        <f>$G426</f>
        <v/>
      </c>
      <c r="CG426" s="197">
        <f>$L426</f>
        <v/>
      </c>
      <c r="CH426" s="197">
        <f>+CH427</f>
        <v/>
      </c>
      <c r="CI426" s="197">
        <f>+CI427</f>
        <v/>
      </c>
      <c r="CJ426" s="197">
        <f>+CJ427</f>
        <v/>
      </c>
      <c r="CK426" s="197">
        <f>+CK427</f>
        <v/>
      </c>
      <c r="CL426" s="197">
        <f>+CL427</f>
        <v/>
      </c>
      <c r="CO426" s="199" t="n">
        <v>6.19232785206675</v>
      </c>
      <c r="CP426" s="199" t="n">
        <v>3.21</v>
      </c>
      <c r="CR426" s="199" t="n">
        <v>5.08</v>
      </c>
      <c r="CS426" s="970" t="n">
        <v>0.82037</v>
      </c>
    </row>
    <row r="427">
      <c r="B427" s="204">
        <f>+C427-1</f>
        <v/>
      </c>
      <c r="C427" s="204">
        <f>IF('bands_A-H_Avg'!$D$9+1&gt;MONTH(G427),YEAR(G427),YEAR(G427)+1)</f>
        <v/>
      </c>
      <c r="D427" s="204">
        <f>+C427+1</f>
        <v/>
      </c>
      <c r="E427" s="203">
        <f>IF(C427&gt;C426,1,E426+1)</f>
        <v/>
      </c>
      <c r="F427" s="203">
        <f>COUNTIF(C:C,C427)</f>
        <v/>
      </c>
      <c r="G427" s="198">
        <f>+G426+7</f>
        <v/>
      </c>
      <c r="H427" s="361">
        <f>IF(ISBLANK(CO427),CP427,SUMPRODUCT(CO$32:CP$32,CO427:CP427))</f>
        <v/>
      </c>
      <c r="I427" s="968">
        <f>H427/M427</f>
        <v/>
      </c>
      <c r="J427" s="968">
        <f>H427/N427</f>
        <v/>
      </c>
      <c r="K427" s="968">
        <f>(H427+Q427)/O427</f>
        <v/>
      </c>
      <c r="L427" s="968">
        <f>(H427+Q427)/P427</f>
        <v/>
      </c>
      <c r="M427" s="199">
        <f>HLOOKUP(C:C,$4:$10,3,FALSE)+((HLOOKUP(D:D,$4:$10,3,FALSE)-HLOOKUP(C:C,$4:$10,3,FALSE))*E427/F427)</f>
        <v/>
      </c>
      <c r="N427" s="199">
        <f>HLOOKUP(C:C,$4:$10,2,FALSE)+((HLOOKUP(D:D,$4:$10,2,FALSE)-HLOOKUP(C:C,$4:$10,2,FALSE))*E427/F427)</f>
        <v/>
      </c>
      <c r="O427" s="199">
        <f>HLOOKUP(C:C,$4:$10,5,FALSE)+((HLOOKUP(D:D,$4:$10,5,FALSE)-HLOOKUP(C:C,$4:$10,5,FALSE))*E427/F427)</f>
        <v/>
      </c>
      <c r="P427" s="199">
        <f>HLOOKUP(C:C,$4:$10,4,FALSE)+((HLOOKUP(D:D,$4:$10,4,FALSE)-HLOOKUP(C:C,$4:$10,4,FALSE))*E427/F427)</f>
        <v/>
      </c>
      <c r="Q427" s="199">
        <f>HLOOKUP(B:B,$4:$10,6,FALSE)+((HLOOKUP(C:C,$4:$10,6,FALSE)-HLOOKUP(B:B,$4:$10,6,FALSE))*E427/F427)</f>
        <v/>
      </c>
      <c r="T427" s="198">
        <f>$G427</f>
        <v/>
      </c>
      <c r="U427" s="199">
        <f>H427/(HLOOKUP(B:B,$4:$10,3,FALSE)+((HLOOKUP(C:C,$4:$10,3,FALSE)-HLOOKUP(B:B,$4:$10,3,FALSE))*E427/F427))</f>
        <v/>
      </c>
      <c r="V427" s="969">
        <f>HLOOKUP(B:B,$4:$10,7,FALSE)+((HLOOKUP(C:C,$4:$10,7,FALSE)-HLOOKUP(B:B,$4:$10,7,FALSE))*E427/F427)</f>
        <v/>
      </c>
      <c r="AB427" s="198">
        <f>$G427</f>
        <v/>
      </c>
      <c r="AC427" s="199">
        <f>$H427</f>
        <v/>
      </c>
      <c r="AD427" s="199">
        <f>$M427*AD$34</f>
        <v/>
      </c>
      <c r="AE427" s="199">
        <f>$M427*AE$34</f>
        <v/>
      </c>
      <c r="AF427" s="199">
        <f>$M427*AF$34</f>
        <v/>
      </c>
      <c r="AG427" s="199">
        <f>$M427*AG$34</f>
        <v/>
      </c>
      <c r="AH427" s="199">
        <f>$M427*AH$34</f>
        <v/>
      </c>
      <c r="AJ427" s="198">
        <f>$G427</f>
        <v/>
      </c>
      <c r="AK427" s="199">
        <f>$H427</f>
        <v/>
      </c>
      <c r="AL427" s="199">
        <f>$N427*AL$34</f>
        <v/>
      </c>
      <c r="AM427" s="199">
        <f>$N427*AM$34</f>
        <v/>
      </c>
      <c r="AN427" s="199">
        <f>$N427*AN$34</f>
        <v/>
      </c>
      <c r="AO427" s="199">
        <f>$N427*AO$34</f>
        <v/>
      </c>
      <c r="AP427" s="199">
        <f>$N427*AP$34</f>
        <v/>
      </c>
      <c r="AR427" s="198">
        <f>$G427</f>
        <v/>
      </c>
      <c r="AS427" s="199">
        <f>$H427</f>
        <v/>
      </c>
      <c r="AT427" s="199">
        <f>$O427*AT$34-$Q427</f>
        <v/>
      </c>
      <c r="AU427" s="199">
        <f>$O427*AU$34-$Q427</f>
        <v/>
      </c>
      <c r="AV427" s="199">
        <f>$O427*AV$34-$Q427</f>
        <v/>
      </c>
      <c r="AW427" s="199">
        <f>$O427*AW$34-$Q427</f>
        <v/>
      </c>
      <c r="AX427" s="199">
        <f>$O427*AX$34-$Q427</f>
        <v/>
      </c>
      <c r="AZ427" s="198">
        <f>$G427</f>
        <v/>
      </c>
      <c r="BA427" s="199">
        <f>$H427</f>
        <v/>
      </c>
      <c r="BB427" s="199">
        <f>$P427*BB$34-$Q427</f>
        <v/>
      </c>
      <c r="BC427" s="199">
        <f>$P427*BC$34-$Q427</f>
        <v/>
      </c>
      <c r="BD427" s="199">
        <f>$P427*BD$34-$Q427</f>
        <v/>
      </c>
      <c r="BE427" s="199">
        <f>$P427*BE$34-$Q427</f>
        <v/>
      </c>
      <c r="BF427" s="199">
        <f>$P427*BF$34-$Q427</f>
        <v/>
      </c>
      <c r="BH427" s="198">
        <f>$G427</f>
        <v/>
      </c>
      <c r="BI427" s="197">
        <f>$I427</f>
        <v/>
      </c>
      <c r="BJ427" s="197">
        <f>+BJ428</f>
        <v/>
      </c>
      <c r="BK427" s="197">
        <f>+BK428</f>
        <v/>
      </c>
      <c r="BL427" s="197">
        <f>+BL428</f>
        <v/>
      </c>
      <c r="BM427" s="197">
        <f>+BM428</f>
        <v/>
      </c>
      <c r="BN427" s="197">
        <f>+BN428</f>
        <v/>
      </c>
      <c r="BP427" s="198">
        <f>$G427</f>
        <v/>
      </c>
      <c r="BQ427" s="197">
        <f>$J427</f>
        <v/>
      </c>
      <c r="BR427" s="197">
        <f>+BR428</f>
        <v/>
      </c>
      <c r="BS427" s="197">
        <f>+BS428</f>
        <v/>
      </c>
      <c r="BT427" s="197">
        <f>+BT428</f>
        <v/>
      </c>
      <c r="BU427" s="197">
        <f>+BU428</f>
        <v/>
      </c>
      <c r="BV427" s="197">
        <f>+BV428</f>
        <v/>
      </c>
      <c r="BX427" s="198">
        <f>$G427</f>
        <v/>
      </c>
      <c r="BY427" s="197">
        <f>$K427</f>
        <v/>
      </c>
      <c r="BZ427" s="197">
        <f>+BZ428</f>
        <v/>
      </c>
      <c r="CA427" s="197">
        <f>+CA428</f>
        <v/>
      </c>
      <c r="CB427" s="197">
        <f>+CB428</f>
        <v/>
      </c>
      <c r="CC427" s="197">
        <f>+CC428</f>
        <v/>
      </c>
      <c r="CD427" s="197">
        <f>+CD428</f>
        <v/>
      </c>
      <c r="CF427" s="198">
        <f>$G427</f>
        <v/>
      </c>
      <c r="CG427" s="197">
        <f>$L427</f>
        <v/>
      </c>
      <c r="CH427" s="197">
        <f>+CH428</f>
        <v/>
      </c>
      <c r="CI427" s="197">
        <f>+CI428</f>
        <v/>
      </c>
      <c r="CJ427" s="197">
        <f>+CJ428</f>
        <v/>
      </c>
      <c r="CK427" s="197">
        <f>+CK428</f>
        <v/>
      </c>
      <c r="CL427" s="197">
        <f>+CL428</f>
        <v/>
      </c>
      <c r="CO427" s="199" t="n">
        <v>5.566202409579728</v>
      </c>
      <c r="CP427" s="199" t="n">
        <v>3.13</v>
      </c>
      <c r="CR427" s="199" t="n">
        <v>4.56</v>
      </c>
      <c r="CS427" s="970" t="n">
        <v>0.81923</v>
      </c>
    </row>
    <row r="428">
      <c r="B428" s="204">
        <f>+C428-1</f>
        <v/>
      </c>
      <c r="C428" s="204">
        <f>IF('bands_A-H_Avg'!$D$9+1&gt;MONTH(G428),YEAR(G428),YEAR(G428)+1)</f>
        <v/>
      </c>
      <c r="D428" s="204">
        <f>+C428+1</f>
        <v/>
      </c>
      <c r="E428" s="203">
        <f>IF(C428&gt;C427,1,E427+1)</f>
        <v/>
      </c>
      <c r="F428" s="203">
        <f>COUNTIF(C:C,C428)</f>
        <v/>
      </c>
      <c r="G428" s="198">
        <f>+G427+7</f>
        <v/>
      </c>
      <c r="H428" s="361">
        <f>IF(ISBLANK(CO428),CP428,SUMPRODUCT(CO$32:CP$32,CO428:CP428))</f>
        <v/>
      </c>
      <c r="I428" s="968">
        <f>H428/M428</f>
        <v/>
      </c>
      <c r="J428" s="968">
        <f>H428/N428</f>
        <v/>
      </c>
      <c r="K428" s="968">
        <f>(H428+Q428)/O428</f>
        <v/>
      </c>
      <c r="L428" s="968">
        <f>(H428+Q428)/P428</f>
        <v/>
      </c>
      <c r="M428" s="199">
        <f>HLOOKUP(C:C,$4:$10,3,FALSE)+((HLOOKUP(D:D,$4:$10,3,FALSE)-HLOOKUP(C:C,$4:$10,3,FALSE))*E428/F428)</f>
        <v/>
      </c>
      <c r="N428" s="199">
        <f>HLOOKUP(C:C,$4:$10,2,FALSE)+((HLOOKUP(D:D,$4:$10,2,FALSE)-HLOOKUP(C:C,$4:$10,2,FALSE))*E428/F428)</f>
        <v/>
      </c>
      <c r="O428" s="199">
        <f>HLOOKUP(C:C,$4:$10,5,FALSE)+((HLOOKUP(D:D,$4:$10,5,FALSE)-HLOOKUP(C:C,$4:$10,5,FALSE))*E428/F428)</f>
        <v/>
      </c>
      <c r="P428" s="199">
        <f>HLOOKUP(C:C,$4:$10,4,FALSE)+((HLOOKUP(D:D,$4:$10,4,FALSE)-HLOOKUP(C:C,$4:$10,4,FALSE))*E428/F428)</f>
        <v/>
      </c>
      <c r="Q428" s="199">
        <f>HLOOKUP(B:B,$4:$10,6,FALSE)+((HLOOKUP(C:C,$4:$10,6,FALSE)-HLOOKUP(B:B,$4:$10,6,FALSE))*E428/F428)</f>
        <v/>
      </c>
      <c r="T428" s="198">
        <f>$G428</f>
        <v/>
      </c>
      <c r="U428" s="199">
        <f>H428/(HLOOKUP(B:B,$4:$10,3,FALSE)+((HLOOKUP(C:C,$4:$10,3,FALSE)-HLOOKUP(B:B,$4:$10,3,FALSE))*E428/F428))</f>
        <v/>
      </c>
      <c r="V428" s="969">
        <f>HLOOKUP(B:B,$4:$10,7,FALSE)+((HLOOKUP(C:C,$4:$10,7,FALSE)-HLOOKUP(B:B,$4:$10,7,FALSE))*E428/F428)</f>
        <v/>
      </c>
      <c r="AB428" s="198">
        <f>$G428</f>
        <v/>
      </c>
      <c r="AC428" s="199">
        <f>$H428</f>
        <v/>
      </c>
      <c r="AD428" s="199">
        <f>$M428*AD$34</f>
        <v/>
      </c>
      <c r="AE428" s="199">
        <f>$M428*AE$34</f>
        <v/>
      </c>
      <c r="AF428" s="199">
        <f>$M428*AF$34</f>
        <v/>
      </c>
      <c r="AG428" s="199">
        <f>$M428*AG$34</f>
        <v/>
      </c>
      <c r="AH428" s="199">
        <f>$M428*AH$34</f>
        <v/>
      </c>
      <c r="AJ428" s="198">
        <f>$G428</f>
        <v/>
      </c>
      <c r="AK428" s="199">
        <f>$H428</f>
        <v/>
      </c>
      <c r="AL428" s="199">
        <f>$N428*AL$34</f>
        <v/>
      </c>
      <c r="AM428" s="199">
        <f>$N428*AM$34</f>
        <v/>
      </c>
      <c r="AN428" s="199">
        <f>$N428*AN$34</f>
        <v/>
      </c>
      <c r="AO428" s="199">
        <f>$N428*AO$34</f>
        <v/>
      </c>
      <c r="AP428" s="199">
        <f>$N428*AP$34</f>
        <v/>
      </c>
      <c r="AR428" s="198">
        <f>$G428</f>
        <v/>
      </c>
      <c r="AS428" s="199">
        <f>$H428</f>
        <v/>
      </c>
      <c r="AT428" s="199">
        <f>$O428*AT$34-$Q428</f>
        <v/>
      </c>
      <c r="AU428" s="199">
        <f>$O428*AU$34-$Q428</f>
        <v/>
      </c>
      <c r="AV428" s="199">
        <f>$O428*AV$34-$Q428</f>
        <v/>
      </c>
      <c r="AW428" s="199">
        <f>$O428*AW$34-$Q428</f>
        <v/>
      </c>
      <c r="AX428" s="199">
        <f>$O428*AX$34-$Q428</f>
        <v/>
      </c>
      <c r="AZ428" s="198">
        <f>$G428</f>
        <v/>
      </c>
      <c r="BA428" s="199">
        <f>$H428</f>
        <v/>
      </c>
      <c r="BB428" s="199">
        <f>$P428*BB$34-$Q428</f>
        <v/>
      </c>
      <c r="BC428" s="199">
        <f>$P428*BC$34-$Q428</f>
        <v/>
      </c>
      <c r="BD428" s="199">
        <f>$P428*BD$34-$Q428</f>
        <v/>
      </c>
      <c r="BE428" s="199">
        <f>$P428*BE$34-$Q428</f>
        <v/>
      </c>
      <c r="BF428" s="199">
        <f>$P428*BF$34-$Q428</f>
        <v/>
      </c>
      <c r="BH428" s="198">
        <f>$G428</f>
        <v/>
      </c>
      <c r="BI428" s="197">
        <f>$I428</f>
        <v/>
      </c>
      <c r="BJ428" s="197">
        <f>+BJ429</f>
        <v/>
      </c>
      <c r="BK428" s="197">
        <f>+BK429</f>
        <v/>
      </c>
      <c r="BL428" s="197">
        <f>+BL429</f>
        <v/>
      </c>
      <c r="BM428" s="197">
        <f>+BM429</f>
        <v/>
      </c>
      <c r="BN428" s="197">
        <f>+BN429</f>
        <v/>
      </c>
      <c r="BP428" s="198">
        <f>$G428</f>
        <v/>
      </c>
      <c r="BQ428" s="197">
        <f>$J428</f>
        <v/>
      </c>
      <c r="BR428" s="197">
        <f>+BR429</f>
        <v/>
      </c>
      <c r="BS428" s="197">
        <f>+BS429</f>
        <v/>
      </c>
      <c r="BT428" s="197">
        <f>+BT429</f>
        <v/>
      </c>
      <c r="BU428" s="197">
        <f>+BU429</f>
        <v/>
      </c>
      <c r="BV428" s="197">
        <f>+BV429</f>
        <v/>
      </c>
      <c r="BX428" s="198">
        <f>$G428</f>
        <v/>
      </c>
      <c r="BY428" s="197">
        <f>$K428</f>
        <v/>
      </c>
      <c r="BZ428" s="197">
        <f>+BZ429</f>
        <v/>
      </c>
      <c r="CA428" s="197">
        <f>+CA429</f>
        <v/>
      </c>
      <c r="CB428" s="197">
        <f>+CB429</f>
        <v/>
      </c>
      <c r="CC428" s="197">
        <f>+CC429</f>
        <v/>
      </c>
      <c r="CD428" s="197">
        <f>+CD429</f>
        <v/>
      </c>
      <c r="CF428" s="198">
        <f>$G428</f>
        <v/>
      </c>
      <c r="CG428" s="197">
        <f>$L428</f>
        <v/>
      </c>
      <c r="CH428" s="197">
        <f>+CH429</f>
        <v/>
      </c>
      <c r="CI428" s="197">
        <f>+CI429</f>
        <v/>
      </c>
      <c r="CJ428" s="197">
        <f>+CJ429</f>
        <v/>
      </c>
      <c r="CK428" s="197">
        <f>+CK429</f>
        <v/>
      </c>
      <c r="CL428" s="197">
        <f>+CL429</f>
        <v/>
      </c>
      <c r="CO428" s="199" t="n">
        <v>5.651437828093979</v>
      </c>
      <c r="CP428" s="199" t="n">
        <v>3.17</v>
      </c>
      <c r="CR428" s="199" t="n">
        <v>4.64</v>
      </c>
      <c r="CS428" s="970" t="n">
        <v>0.82103</v>
      </c>
    </row>
    <row r="429">
      <c r="B429" s="204">
        <f>+C429-1</f>
        <v/>
      </c>
      <c r="C429" s="204">
        <f>IF('bands_A-H_Avg'!$D$9+1&gt;MONTH(G429),YEAR(G429),YEAR(G429)+1)</f>
        <v/>
      </c>
      <c r="D429" s="204">
        <f>+C429+1</f>
        <v/>
      </c>
      <c r="E429" s="203">
        <f>IF(C429&gt;C428,1,E428+1)</f>
        <v/>
      </c>
      <c r="F429" s="203">
        <f>COUNTIF(C:C,C429)</f>
        <v/>
      </c>
      <c r="G429" s="198">
        <f>+G428+7</f>
        <v/>
      </c>
      <c r="H429" s="361">
        <f>IF(ISBLANK(CO429),CP429,SUMPRODUCT(CO$32:CP$32,CO429:CP429))</f>
        <v/>
      </c>
      <c r="I429" s="968">
        <f>H429/M429</f>
        <v/>
      </c>
      <c r="J429" s="968">
        <f>H429/N429</f>
        <v/>
      </c>
      <c r="K429" s="968">
        <f>(H429+Q429)/O429</f>
        <v/>
      </c>
      <c r="L429" s="968">
        <f>(H429+Q429)/P429</f>
        <v/>
      </c>
      <c r="M429" s="199">
        <f>HLOOKUP(C:C,$4:$10,3,FALSE)+((HLOOKUP(D:D,$4:$10,3,FALSE)-HLOOKUP(C:C,$4:$10,3,FALSE))*E429/F429)</f>
        <v/>
      </c>
      <c r="N429" s="199">
        <f>HLOOKUP(C:C,$4:$10,2,FALSE)+((HLOOKUP(D:D,$4:$10,2,FALSE)-HLOOKUP(C:C,$4:$10,2,FALSE))*E429/F429)</f>
        <v/>
      </c>
      <c r="O429" s="199">
        <f>HLOOKUP(C:C,$4:$10,5,FALSE)+((HLOOKUP(D:D,$4:$10,5,FALSE)-HLOOKUP(C:C,$4:$10,5,FALSE))*E429/F429)</f>
        <v/>
      </c>
      <c r="P429" s="199">
        <f>HLOOKUP(C:C,$4:$10,4,FALSE)+((HLOOKUP(D:D,$4:$10,4,FALSE)-HLOOKUP(C:C,$4:$10,4,FALSE))*E429/F429)</f>
        <v/>
      </c>
      <c r="Q429" s="199">
        <f>HLOOKUP(B:B,$4:$10,6,FALSE)+((HLOOKUP(C:C,$4:$10,6,FALSE)-HLOOKUP(B:B,$4:$10,6,FALSE))*E429/F429)</f>
        <v/>
      </c>
      <c r="T429" s="198">
        <f>$G429</f>
        <v/>
      </c>
      <c r="U429" s="199">
        <f>H429/(HLOOKUP(B:B,$4:$10,3,FALSE)+((HLOOKUP(C:C,$4:$10,3,FALSE)-HLOOKUP(B:B,$4:$10,3,FALSE))*E429/F429))</f>
        <v/>
      </c>
      <c r="V429" s="969">
        <f>HLOOKUP(B:B,$4:$10,7,FALSE)+((HLOOKUP(C:C,$4:$10,7,FALSE)-HLOOKUP(B:B,$4:$10,7,FALSE))*E429/F429)</f>
        <v/>
      </c>
      <c r="AB429" s="198">
        <f>$G429</f>
        <v/>
      </c>
      <c r="AC429" s="199">
        <f>$H429</f>
        <v/>
      </c>
      <c r="AD429" s="199">
        <f>$M429*AD$34</f>
        <v/>
      </c>
      <c r="AE429" s="199">
        <f>$M429*AE$34</f>
        <v/>
      </c>
      <c r="AF429" s="199">
        <f>$M429*AF$34</f>
        <v/>
      </c>
      <c r="AG429" s="199">
        <f>$M429*AG$34</f>
        <v/>
      </c>
      <c r="AH429" s="199">
        <f>$M429*AH$34</f>
        <v/>
      </c>
      <c r="AJ429" s="198">
        <f>$G429</f>
        <v/>
      </c>
      <c r="AK429" s="199">
        <f>$H429</f>
        <v/>
      </c>
      <c r="AL429" s="199">
        <f>$N429*AL$34</f>
        <v/>
      </c>
      <c r="AM429" s="199">
        <f>$N429*AM$34</f>
        <v/>
      </c>
      <c r="AN429" s="199">
        <f>$N429*AN$34</f>
        <v/>
      </c>
      <c r="AO429" s="199">
        <f>$N429*AO$34</f>
        <v/>
      </c>
      <c r="AP429" s="199">
        <f>$N429*AP$34</f>
        <v/>
      </c>
      <c r="AR429" s="198">
        <f>$G429</f>
        <v/>
      </c>
      <c r="AS429" s="199">
        <f>$H429</f>
        <v/>
      </c>
      <c r="AT429" s="199">
        <f>$O429*AT$34-$Q429</f>
        <v/>
      </c>
      <c r="AU429" s="199">
        <f>$O429*AU$34-$Q429</f>
        <v/>
      </c>
      <c r="AV429" s="199">
        <f>$O429*AV$34-$Q429</f>
        <v/>
      </c>
      <c r="AW429" s="199">
        <f>$O429*AW$34-$Q429</f>
        <v/>
      </c>
      <c r="AX429" s="199">
        <f>$O429*AX$34-$Q429</f>
        <v/>
      </c>
      <c r="AZ429" s="198">
        <f>$G429</f>
        <v/>
      </c>
      <c r="BA429" s="199">
        <f>$H429</f>
        <v/>
      </c>
      <c r="BB429" s="199">
        <f>$P429*BB$34-$Q429</f>
        <v/>
      </c>
      <c r="BC429" s="199">
        <f>$P429*BC$34-$Q429</f>
        <v/>
      </c>
      <c r="BD429" s="199">
        <f>$P429*BD$34-$Q429</f>
        <v/>
      </c>
      <c r="BE429" s="199">
        <f>$P429*BE$34-$Q429</f>
        <v/>
      </c>
      <c r="BF429" s="199">
        <f>$P429*BF$34-$Q429</f>
        <v/>
      </c>
      <c r="BH429" s="198">
        <f>$G429</f>
        <v/>
      </c>
      <c r="BI429" s="197">
        <f>$I429</f>
        <v/>
      </c>
      <c r="BJ429" s="197">
        <f>+BJ430</f>
        <v/>
      </c>
      <c r="BK429" s="197">
        <f>+BK430</f>
        <v/>
      </c>
      <c r="BL429" s="197">
        <f>+BL430</f>
        <v/>
      </c>
      <c r="BM429" s="197">
        <f>+BM430</f>
        <v/>
      </c>
      <c r="BN429" s="197">
        <f>+BN430</f>
        <v/>
      </c>
      <c r="BP429" s="198">
        <f>$G429</f>
        <v/>
      </c>
      <c r="BQ429" s="197">
        <f>$J429</f>
        <v/>
      </c>
      <c r="BR429" s="197">
        <f>+BR430</f>
        <v/>
      </c>
      <c r="BS429" s="197">
        <f>+BS430</f>
        <v/>
      </c>
      <c r="BT429" s="197">
        <f>+BT430</f>
        <v/>
      </c>
      <c r="BU429" s="197">
        <f>+BU430</f>
        <v/>
      </c>
      <c r="BV429" s="197">
        <f>+BV430</f>
        <v/>
      </c>
      <c r="BX429" s="198">
        <f>$G429</f>
        <v/>
      </c>
      <c r="BY429" s="197">
        <f>$K429</f>
        <v/>
      </c>
      <c r="BZ429" s="197">
        <f>+BZ430</f>
        <v/>
      </c>
      <c r="CA429" s="197">
        <f>+CA430</f>
        <v/>
      </c>
      <c r="CB429" s="197">
        <f>+CB430</f>
        <v/>
      </c>
      <c r="CC429" s="197">
        <f>+CC430</f>
        <v/>
      </c>
      <c r="CD429" s="197">
        <f>+CD430</f>
        <v/>
      </c>
      <c r="CF429" s="198">
        <f>$G429</f>
        <v/>
      </c>
      <c r="CG429" s="197">
        <f>$L429</f>
        <v/>
      </c>
      <c r="CH429" s="197">
        <f>+CH430</f>
        <v/>
      </c>
      <c r="CI429" s="197">
        <f>+CI430</f>
        <v/>
      </c>
      <c r="CJ429" s="197">
        <f>+CJ430</f>
        <v/>
      </c>
      <c r="CK429" s="197">
        <f>+CK430</f>
        <v/>
      </c>
      <c r="CL429" s="197">
        <f>+CL430</f>
        <v/>
      </c>
      <c r="CO429" s="199" t="n">
        <v>5.362385655011768</v>
      </c>
      <c r="CP429" s="199" t="n">
        <v>2.76</v>
      </c>
      <c r="CR429" s="199" t="n">
        <v>4.42</v>
      </c>
      <c r="CS429" s="970" t="n">
        <v>0.82426</v>
      </c>
    </row>
    <row r="430">
      <c r="B430" s="204">
        <f>+C430-1</f>
        <v/>
      </c>
      <c r="C430" s="204">
        <f>IF('bands_A-H_Avg'!$D$9+1&gt;MONTH(G430),YEAR(G430),YEAR(G430)+1)</f>
        <v/>
      </c>
      <c r="D430" s="204">
        <f>+C430+1</f>
        <v/>
      </c>
      <c r="E430" s="203">
        <f>IF(C430&gt;C429,1,E429+1)</f>
        <v/>
      </c>
      <c r="F430" s="203">
        <f>COUNTIF(C:C,C430)</f>
        <v/>
      </c>
      <c r="G430" s="198">
        <f>+G429+7</f>
        <v/>
      </c>
      <c r="H430" s="361">
        <f>IF(ISBLANK(CO430),CP430,SUMPRODUCT(CO$32:CP$32,CO430:CP430))</f>
        <v/>
      </c>
      <c r="I430" s="968">
        <f>H430/M430</f>
        <v/>
      </c>
      <c r="J430" s="968">
        <f>H430/N430</f>
        <v/>
      </c>
      <c r="K430" s="968">
        <f>(H430+Q430)/O430</f>
        <v/>
      </c>
      <c r="L430" s="968">
        <f>(H430+Q430)/P430</f>
        <v/>
      </c>
      <c r="M430" s="199">
        <f>HLOOKUP(C:C,$4:$10,3,FALSE)+((HLOOKUP(D:D,$4:$10,3,FALSE)-HLOOKUP(C:C,$4:$10,3,FALSE))*E430/F430)</f>
        <v/>
      </c>
      <c r="N430" s="199">
        <f>HLOOKUP(C:C,$4:$10,2,FALSE)+((HLOOKUP(D:D,$4:$10,2,FALSE)-HLOOKUP(C:C,$4:$10,2,FALSE))*E430/F430)</f>
        <v/>
      </c>
      <c r="O430" s="199">
        <f>HLOOKUP(C:C,$4:$10,5,FALSE)+((HLOOKUP(D:D,$4:$10,5,FALSE)-HLOOKUP(C:C,$4:$10,5,FALSE))*E430/F430)</f>
        <v/>
      </c>
      <c r="P430" s="199">
        <f>HLOOKUP(C:C,$4:$10,4,FALSE)+((HLOOKUP(D:D,$4:$10,4,FALSE)-HLOOKUP(C:C,$4:$10,4,FALSE))*E430/F430)</f>
        <v/>
      </c>
      <c r="Q430" s="199">
        <f>HLOOKUP(B:B,$4:$10,6,FALSE)+((HLOOKUP(C:C,$4:$10,6,FALSE)-HLOOKUP(B:B,$4:$10,6,FALSE))*E430/F430)</f>
        <v/>
      </c>
      <c r="T430" s="198">
        <f>$G430</f>
        <v/>
      </c>
      <c r="U430" s="199">
        <f>H430/(HLOOKUP(B:B,$4:$10,3,FALSE)+((HLOOKUP(C:C,$4:$10,3,FALSE)-HLOOKUP(B:B,$4:$10,3,FALSE))*E430/F430))</f>
        <v/>
      </c>
      <c r="V430" s="969">
        <f>HLOOKUP(B:B,$4:$10,7,FALSE)+((HLOOKUP(C:C,$4:$10,7,FALSE)-HLOOKUP(B:B,$4:$10,7,FALSE))*E430/F430)</f>
        <v/>
      </c>
      <c r="AB430" s="198">
        <f>$G430</f>
        <v/>
      </c>
      <c r="AC430" s="199">
        <f>$H430</f>
        <v/>
      </c>
      <c r="AD430" s="199">
        <f>$M430*AD$34</f>
        <v/>
      </c>
      <c r="AE430" s="199">
        <f>$M430*AE$34</f>
        <v/>
      </c>
      <c r="AF430" s="199">
        <f>$M430*AF$34</f>
        <v/>
      </c>
      <c r="AG430" s="199">
        <f>$M430*AG$34</f>
        <v/>
      </c>
      <c r="AH430" s="199">
        <f>$M430*AH$34</f>
        <v/>
      </c>
      <c r="AJ430" s="198">
        <f>$G430</f>
        <v/>
      </c>
      <c r="AK430" s="199">
        <f>$H430</f>
        <v/>
      </c>
      <c r="AL430" s="199">
        <f>$N430*AL$34</f>
        <v/>
      </c>
      <c r="AM430" s="199">
        <f>$N430*AM$34</f>
        <v/>
      </c>
      <c r="AN430" s="199">
        <f>$N430*AN$34</f>
        <v/>
      </c>
      <c r="AO430" s="199">
        <f>$N430*AO$34</f>
        <v/>
      </c>
      <c r="AP430" s="199">
        <f>$N430*AP$34</f>
        <v/>
      </c>
      <c r="AR430" s="198">
        <f>$G430</f>
        <v/>
      </c>
      <c r="AS430" s="199">
        <f>$H430</f>
        <v/>
      </c>
      <c r="AT430" s="199">
        <f>$O430*AT$34-$Q430</f>
        <v/>
      </c>
      <c r="AU430" s="199">
        <f>$O430*AU$34-$Q430</f>
        <v/>
      </c>
      <c r="AV430" s="199">
        <f>$O430*AV$34-$Q430</f>
        <v/>
      </c>
      <c r="AW430" s="199">
        <f>$O430*AW$34-$Q430</f>
        <v/>
      </c>
      <c r="AX430" s="199">
        <f>$O430*AX$34-$Q430</f>
        <v/>
      </c>
      <c r="AZ430" s="198">
        <f>$G430</f>
        <v/>
      </c>
      <c r="BA430" s="199">
        <f>$H430</f>
        <v/>
      </c>
      <c r="BB430" s="199">
        <f>$P430*BB$34-$Q430</f>
        <v/>
      </c>
      <c r="BC430" s="199">
        <f>$P430*BC$34-$Q430</f>
        <v/>
      </c>
      <c r="BD430" s="199">
        <f>$P430*BD$34-$Q430</f>
        <v/>
      </c>
      <c r="BE430" s="199">
        <f>$P430*BE$34-$Q430</f>
        <v/>
      </c>
      <c r="BF430" s="199">
        <f>$P430*BF$34-$Q430</f>
        <v/>
      </c>
      <c r="BH430" s="198">
        <f>$G430</f>
        <v/>
      </c>
      <c r="BI430" s="197">
        <f>$I430</f>
        <v/>
      </c>
      <c r="BJ430" s="197">
        <f>+BJ431</f>
        <v/>
      </c>
      <c r="BK430" s="197">
        <f>+BK431</f>
        <v/>
      </c>
      <c r="BL430" s="197">
        <f>+BL431</f>
        <v/>
      </c>
      <c r="BM430" s="197">
        <f>+BM431</f>
        <v/>
      </c>
      <c r="BN430" s="197">
        <f>+BN431</f>
        <v/>
      </c>
      <c r="BP430" s="198">
        <f>$G430</f>
        <v/>
      </c>
      <c r="BQ430" s="197">
        <f>$J430</f>
        <v/>
      </c>
      <c r="BR430" s="197">
        <f>+BR431</f>
        <v/>
      </c>
      <c r="BS430" s="197">
        <f>+BS431</f>
        <v/>
      </c>
      <c r="BT430" s="197">
        <f>+BT431</f>
        <v/>
      </c>
      <c r="BU430" s="197">
        <f>+BU431</f>
        <v/>
      </c>
      <c r="BV430" s="197">
        <f>+BV431</f>
        <v/>
      </c>
      <c r="BX430" s="198">
        <f>$G430</f>
        <v/>
      </c>
      <c r="BY430" s="197">
        <f>$K430</f>
        <v/>
      </c>
      <c r="BZ430" s="197">
        <f>+BZ431</f>
        <v/>
      </c>
      <c r="CA430" s="197">
        <f>+CA431</f>
        <v/>
      </c>
      <c r="CB430" s="197">
        <f>+CB431</f>
        <v/>
      </c>
      <c r="CC430" s="197">
        <f>+CC431</f>
        <v/>
      </c>
      <c r="CD430" s="197">
        <f>+CD431</f>
        <v/>
      </c>
      <c r="CF430" s="198">
        <f>$G430</f>
        <v/>
      </c>
      <c r="CG430" s="197">
        <f>$L430</f>
        <v/>
      </c>
      <c r="CH430" s="197">
        <f>+CH431</f>
        <v/>
      </c>
      <c r="CI430" s="197">
        <f>+CI431</f>
        <v/>
      </c>
      <c r="CJ430" s="197">
        <f>+CJ431</f>
        <v/>
      </c>
      <c r="CK430" s="197">
        <f>+CK431</f>
        <v/>
      </c>
      <c r="CL430" s="197">
        <f>+CL431</f>
        <v/>
      </c>
      <c r="CO430" s="199" t="n">
        <v>5.256305741783981</v>
      </c>
      <c r="CP430" s="199" t="n">
        <v>2.79</v>
      </c>
      <c r="CR430" s="199" t="n">
        <v>4.32</v>
      </c>
      <c r="CS430" s="970" t="n">
        <v>0.82187</v>
      </c>
    </row>
    <row r="431">
      <c r="B431" s="204">
        <f>+C431-1</f>
        <v/>
      </c>
      <c r="C431" s="204">
        <f>IF('bands_A-H_Avg'!$D$9+1&gt;MONTH(G431),YEAR(G431),YEAR(G431)+1)</f>
        <v/>
      </c>
      <c r="D431" s="204">
        <f>+C431+1</f>
        <v/>
      </c>
      <c r="E431" s="203">
        <f>IF(C431&gt;C430,1,E430+1)</f>
        <v/>
      </c>
      <c r="F431" s="203">
        <f>COUNTIF(C:C,C431)</f>
        <v/>
      </c>
      <c r="G431" s="198">
        <f>+G430+7</f>
        <v/>
      </c>
      <c r="H431" s="361">
        <f>IF(ISBLANK(CO431),CP431,SUMPRODUCT(CO$32:CP$32,CO431:CP431))</f>
        <v/>
      </c>
      <c r="I431" s="968">
        <f>H431/M431</f>
        <v/>
      </c>
      <c r="J431" s="968">
        <f>H431/N431</f>
        <v/>
      </c>
      <c r="K431" s="968">
        <f>(H431+Q431)/O431</f>
        <v/>
      </c>
      <c r="L431" s="968">
        <f>(H431+Q431)/P431</f>
        <v/>
      </c>
      <c r="M431" s="199">
        <f>HLOOKUP(C:C,$4:$10,3,FALSE)+((HLOOKUP(D:D,$4:$10,3,FALSE)-HLOOKUP(C:C,$4:$10,3,FALSE))*E431/F431)</f>
        <v/>
      </c>
      <c r="N431" s="199">
        <f>HLOOKUP(C:C,$4:$10,2,FALSE)+((HLOOKUP(D:D,$4:$10,2,FALSE)-HLOOKUP(C:C,$4:$10,2,FALSE))*E431/F431)</f>
        <v/>
      </c>
      <c r="O431" s="199">
        <f>HLOOKUP(C:C,$4:$10,5,FALSE)+((HLOOKUP(D:D,$4:$10,5,FALSE)-HLOOKUP(C:C,$4:$10,5,FALSE))*E431/F431)</f>
        <v/>
      </c>
      <c r="P431" s="199">
        <f>HLOOKUP(C:C,$4:$10,4,FALSE)+((HLOOKUP(D:D,$4:$10,4,FALSE)-HLOOKUP(C:C,$4:$10,4,FALSE))*E431/F431)</f>
        <v/>
      </c>
      <c r="Q431" s="199">
        <f>HLOOKUP(B:B,$4:$10,6,FALSE)+((HLOOKUP(C:C,$4:$10,6,FALSE)-HLOOKUP(B:B,$4:$10,6,FALSE))*E431/F431)</f>
        <v/>
      </c>
      <c r="T431" s="198">
        <f>$G431</f>
        <v/>
      </c>
      <c r="U431" s="199">
        <f>H431/(HLOOKUP(B:B,$4:$10,3,FALSE)+((HLOOKUP(C:C,$4:$10,3,FALSE)-HLOOKUP(B:B,$4:$10,3,FALSE))*E431/F431))</f>
        <v/>
      </c>
      <c r="V431" s="969">
        <f>HLOOKUP(B:B,$4:$10,7,FALSE)+((HLOOKUP(C:C,$4:$10,7,FALSE)-HLOOKUP(B:B,$4:$10,7,FALSE))*E431/F431)</f>
        <v/>
      </c>
      <c r="AB431" s="198">
        <f>$G431</f>
        <v/>
      </c>
      <c r="AC431" s="199">
        <f>$H431</f>
        <v/>
      </c>
      <c r="AD431" s="199">
        <f>$M431*AD$34</f>
        <v/>
      </c>
      <c r="AE431" s="199">
        <f>$M431*AE$34</f>
        <v/>
      </c>
      <c r="AF431" s="199">
        <f>$M431*AF$34</f>
        <v/>
      </c>
      <c r="AG431" s="199">
        <f>$M431*AG$34</f>
        <v/>
      </c>
      <c r="AH431" s="199">
        <f>$M431*AH$34</f>
        <v/>
      </c>
      <c r="AJ431" s="198">
        <f>$G431</f>
        <v/>
      </c>
      <c r="AK431" s="199">
        <f>$H431</f>
        <v/>
      </c>
      <c r="AL431" s="199">
        <f>$N431*AL$34</f>
        <v/>
      </c>
      <c r="AM431" s="199">
        <f>$N431*AM$34</f>
        <v/>
      </c>
      <c r="AN431" s="199">
        <f>$N431*AN$34</f>
        <v/>
      </c>
      <c r="AO431" s="199">
        <f>$N431*AO$34</f>
        <v/>
      </c>
      <c r="AP431" s="199">
        <f>$N431*AP$34</f>
        <v/>
      </c>
      <c r="AR431" s="198">
        <f>$G431</f>
        <v/>
      </c>
      <c r="AS431" s="199">
        <f>$H431</f>
        <v/>
      </c>
      <c r="AT431" s="199">
        <f>$O431*AT$34-$Q431</f>
        <v/>
      </c>
      <c r="AU431" s="199">
        <f>$O431*AU$34-$Q431</f>
        <v/>
      </c>
      <c r="AV431" s="199">
        <f>$O431*AV$34-$Q431</f>
        <v/>
      </c>
      <c r="AW431" s="199">
        <f>$O431*AW$34-$Q431</f>
        <v/>
      </c>
      <c r="AX431" s="199">
        <f>$O431*AX$34-$Q431</f>
        <v/>
      </c>
      <c r="AZ431" s="198">
        <f>$G431</f>
        <v/>
      </c>
      <c r="BA431" s="199">
        <f>$H431</f>
        <v/>
      </c>
      <c r="BB431" s="199">
        <f>$P431*BB$34-$Q431</f>
        <v/>
      </c>
      <c r="BC431" s="199">
        <f>$P431*BC$34-$Q431</f>
        <v/>
      </c>
      <c r="BD431" s="199">
        <f>$P431*BD$34-$Q431</f>
        <v/>
      </c>
      <c r="BE431" s="199">
        <f>$P431*BE$34-$Q431</f>
        <v/>
      </c>
      <c r="BF431" s="199">
        <f>$P431*BF$34-$Q431</f>
        <v/>
      </c>
      <c r="BH431" s="198">
        <f>$G431</f>
        <v/>
      </c>
      <c r="BI431" s="197">
        <f>$I431</f>
        <v/>
      </c>
      <c r="BJ431" s="197">
        <f>+BJ432</f>
        <v/>
      </c>
      <c r="BK431" s="197">
        <f>+BK432</f>
        <v/>
      </c>
      <c r="BL431" s="197">
        <f>+BL432</f>
        <v/>
      </c>
      <c r="BM431" s="197">
        <f>+BM432</f>
        <v/>
      </c>
      <c r="BN431" s="197">
        <f>+BN432</f>
        <v/>
      </c>
      <c r="BP431" s="198">
        <f>$G431</f>
        <v/>
      </c>
      <c r="BQ431" s="197">
        <f>$J431</f>
        <v/>
      </c>
      <c r="BR431" s="197">
        <f>+BR432</f>
        <v/>
      </c>
      <c r="BS431" s="197">
        <f>+BS432</f>
        <v/>
      </c>
      <c r="BT431" s="197">
        <f>+BT432</f>
        <v/>
      </c>
      <c r="BU431" s="197">
        <f>+BU432</f>
        <v/>
      </c>
      <c r="BV431" s="197">
        <f>+BV432</f>
        <v/>
      </c>
      <c r="BX431" s="198">
        <f>$G431</f>
        <v/>
      </c>
      <c r="BY431" s="197">
        <f>$K431</f>
        <v/>
      </c>
      <c r="BZ431" s="197">
        <f>+BZ432</f>
        <v/>
      </c>
      <c r="CA431" s="197">
        <f>+CA432</f>
        <v/>
      </c>
      <c r="CB431" s="197">
        <f>+CB432</f>
        <v/>
      </c>
      <c r="CC431" s="197">
        <f>+CC432</f>
        <v/>
      </c>
      <c r="CD431" s="197">
        <f>+CD432</f>
        <v/>
      </c>
      <c r="CF431" s="198">
        <f>$G431</f>
        <v/>
      </c>
      <c r="CG431" s="197">
        <f>$L431</f>
        <v/>
      </c>
      <c r="CH431" s="197">
        <f>+CH432</f>
        <v/>
      </c>
      <c r="CI431" s="197">
        <f>+CI432</f>
        <v/>
      </c>
      <c r="CJ431" s="197">
        <f>+CJ432</f>
        <v/>
      </c>
      <c r="CK431" s="197">
        <f>+CK432</f>
        <v/>
      </c>
      <c r="CL431" s="197">
        <f>+CL432</f>
        <v/>
      </c>
      <c r="CO431" s="199" t="n">
        <v>5.202635353609025</v>
      </c>
      <c r="CP431" s="199" t="n">
        <v>2.73</v>
      </c>
      <c r="CR431" s="199" t="n">
        <v>4.28</v>
      </c>
      <c r="CS431" s="970" t="n">
        <v>0.8226599999999999</v>
      </c>
    </row>
    <row r="432">
      <c r="B432" s="204">
        <f>+C432-1</f>
        <v/>
      </c>
      <c r="C432" s="204">
        <f>IF('bands_A-H_Avg'!$D$9+1&gt;MONTH(G432),YEAR(G432),YEAR(G432)+1)</f>
        <v/>
      </c>
      <c r="D432" s="204">
        <f>+C432+1</f>
        <v/>
      </c>
      <c r="E432" s="203">
        <f>IF(C432&gt;C431,1,E431+1)</f>
        <v/>
      </c>
      <c r="F432" s="203">
        <f>COUNTIF(C:C,C432)</f>
        <v/>
      </c>
      <c r="G432" s="198">
        <f>+G431+7</f>
        <v/>
      </c>
      <c r="H432" s="361">
        <f>IF(ISBLANK(CO432),CP432,SUMPRODUCT(CO$32:CP$32,CO432:CP432))</f>
        <v/>
      </c>
      <c r="I432" s="968">
        <f>H432/M432</f>
        <v/>
      </c>
      <c r="J432" s="968">
        <f>H432/N432</f>
        <v/>
      </c>
      <c r="K432" s="968">
        <f>(H432+Q432)/O432</f>
        <v/>
      </c>
      <c r="L432" s="968">
        <f>(H432+Q432)/P432</f>
        <v/>
      </c>
      <c r="M432" s="199">
        <f>HLOOKUP(C:C,$4:$10,3,FALSE)+((HLOOKUP(D:D,$4:$10,3,FALSE)-HLOOKUP(C:C,$4:$10,3,FALSE))*E432/F432)</f>
        <v/>
      </c>
      <c r="N432" s="199">
        <f>HLOOKUP(C:C,$4:$10,2,FALSE)+((HLOOKUP(D:D,$4:$10,2,FALSE)-HLOOKUP(C:C,$4:$10,2,FALSE))*E432/F432)</f>
        <v/>
      </c>
      <c r="O432" s="199">
        <f>HLOOKUP(C:C,$4:$10,5,FALSE)+((HLOOKUP(D:D,$4:$10,5,FALSE)-HLOOKUP(C:C,$4:$10,5,FALSE))*E432/F432)</f>
        <v/>
      </c>
      <c r="P432" s="199">
        <f>HLOOKUP(C:C,$4:$10,4,FALSE)+((HLOOKUP(D:D,$4:$10,4,FALSE)-HLOOKUP(C:C,$4:$10,4,FALSE))*E432/F432)</f>
        <v/>
      </c>
      <c r="Q432" s="199">
        <f>HLOOKUP(B:B,$4:$10,6,FALSE)+((HLOOKUP(C:C,$4:$10,6,FALSE)-HLOOKUP(B:B,$4:$10,6,FALSE))*E432/F432)</f>
        <v/>
      </c>
      <c r="T432" s="198">
        <f>$G432</f>
        <v/>
      </c>
      <c r="U432" s="199">
        <f>H432/(HLOOKUP(B:B,$4:$10,3,FALSE)+((HLOOKUP(C:C,$4:$10,3,FALSE)-HLOOKUP(B:B,$4:$10,3,FALSE))*E432/F432))</f>
        <v/>
      </c>
      <c r="V432" s="969">
        <f>HLOOKUP(B:B,$4:$10,7,FALSE)+((HLOOKUP(C:C,$4:$10,7,FALSE)-HLOOKUP(B:B,$4:$10,7,FALSE))*E432/F432)</f>
        <v/>
      </c>
      <c r="AB432" s="198">
        <f>$G432</f>
        <v/>
      </c>
      <c r="AC432" s="199">
        <f>$H432</f>
        <v/>
      </c>
      <c r="AD432" s="199">
        <f>$M432*AD$34</f>
        <v/>
      </c>
      <c r="AE432" s="199">
        <f>$M432*AE$34</f>
        <v/>
      </c>
      <c r="AF432" s="199">
        <f>$M432*AF$34</f>
        <v/>
      </c>
      <c r="AG432" s="199">
        <f>$M432*AG$34</f>
        <v/>
      </c>
      <c r="AH432" s="199">
        <f>$M432*AH$34</f>
        <v/>
      </c>
      <c r="AJ432" s="198">
        <f>$G432</f>
        <v/>
      </c>
      <c r="AK432" s="199">
        <f>$H432</f>
        <v/>
      </c>
      <c r="AL432" s="199">
        <f>$N432*AL$34</f>
        <v/>
      </c>
      <c r="AM432" s="199">
        <f>$N432*AM$34</f>
        <v/>
      </c>
      <c r="AN432" s="199">
        <f>$N432*AN$34</f>
        <v/>
      </c>
      <c r="AO432" s="199">
        <f>$N432*AO$34</f>
        <v/>
      </c>
      <c r="AP432" s="199">
        <f>$N432*AP$34</f>
        <v/>
      </c>
      <c r="AR432" s="198">
        <f>$G432</f>
        <v/>
      </c>
      <c r="AS432" s="199">
        <f>$H432</f>
        <v/>
      </c>
      <c r="AT432" s="199">
        <f>$O432*AT$34-$Q432</f>
        <v/>
      </c>
      <c r="AU432" s="199">
        <f>$O432*AU$34-$Q432</f>
        <v/>
      </c>
      <c r="AV432" s="199">
        <f>$O432*AV$34-$Q432</f>
        <v/>
      </c>
      <c r="AW432" s="199">
        <f>$O432*AW$34-$Q432</f>
        <v/>
      </c>
      <c r="AX432" s="199">
        <f>$O432*AX$34-$Q432</f>
        <v/>
      </c>
      <c r="AZ432" s="198">
        <f>$G432</f>
        <v/>
      </c>
      <c r="BA432" s="199">
        <f>$H432</f>
        <v/>
      </c>
      <c r="BB432" s="199">
        <f>$P432*BB$34-$Q432</f>
        <v/>
      </c>
      <c r="BC432" s="199">
        <f>$P432*BC$34-$Q432</f>
        <v/>
      </c>
      <c r="BD432" s="199">
        <f>$P432*BD$34-$Q432</f>
        <v/>
      </c>
      <c r="BE432" s="199">
        <f>$P432*BE$34-$Q432</f>
        <v/>
      </c>
      <c r="BF432" s="199">
        <f>$P432*BF$34-$Q432</f>
        <v/>
      </c>
      <c r="BH432" s="198">
        <f>$G432</f>
        <v/>
      </c>
      <c r="BI432" s="197">
        <f>$I432</f>
        <v/>
      </c>
      <c r="BJ432" s="197">
        <f>+BJ433</f>
        <v/>
      </c>
      <c r="BK432" s="197">
        <f>+BK433</f>
        <v/>
      </c>
      <c r="BL432" s="197">
        <f>+BL433</f>
        <v/>
      </c>
      <c r="BM432" s="197">
        <f>+BM433</f>
        <v/>
      </c>
      <c r="BN432" s="197">
        <f>+BN433</f>
        <v/>
      </c>
      <c r="BP432" s="198">
        <f>$G432</f>
        <v/>
      </c>
      <c r="BQ432" s="197">
        <f>$J432</f>
        <v/>
      </c>
      <c r="BR432" s="197">
        <f>+BR433</f>
        <v/>
      </c>
      <c r="BS432" s="197">
        <f>+BS433</f>
        <v/>
      </c>
      <c r="BT432" s="197">
        <f>+BT433</f>
        <v/>
      </c>
      <c r="BU432" s="197">
        <f>+BU433</f>
        <v/>
      </c>
      <c r="BV432" s="197">
        <f>+BV433</f>
        <v/>
      </c>
      <c r="BX432" s="198">
        <f>$G432</f>
        <v/>
      </c>
      <c r="BY432" s="197">
        <f>$K432</f>
        <v/>
      </c>
      <c r="BZ432" s="197">
        <f>+BZ433</f>
        <v/>
      </c>
      <c r="CA432" s="197">
        <f>+CA433</f>
        <v/>
      </c>
      <c r="CB432" s="197">
        <f>+CB433</f>
        <v/>
      </c>
      <c r="CC432" s="197">
        <f>+CC433</f>
        <v/>
      </c>
      <c r="CD432" s="197">
        <f>+CD433</f>
        <v/>
      </c>
      <c r="CF432" s="198">
        <f>$G432</f>
        <v/>
      </c>
      <c r="CG432" s="197">
        <f>$L432</f>
        <v/>
      </c>
      <c r="CH432" s="197">
        <f>+CH433</f>
        <v/>
      </c>
      <c r="CI432" s="197">
        <f>+CI433</f>
        <v/>
      </c>
      <c r="CJ432" s="197">
        <f>+CJ433</f>
        <v/>
      </c>
      <c r="CK432" s="197">
        <f>+CK433</f>
        <v/>
      </c>
      <c r="CL432" s="197">
        <f>+CL433</f>
        <v/>
      </c>
      <c r="CO432" s="199" t="n">
        <v>5.257009345794392</v>
      </c>
      <c r="CP432" s="199" t="n">
        <v>3.01</v>
      </c>
      <c r="CR432" s="199" t="n">
        <v>4.32</v>
      </c>
      <c r="CS432" s="970" t="n">
        <v>0.82176</v>
      </c>
    </row>
    <row r="433">
      <c r="B433" s="204">
        <f>+C433-1</f>
        <v/>
      </c>
      <c r="C433" s="204">
        <f>IF('bands_A-H_Avg'!$D$9+1&gt;MONTH(G433),YEAR(G433),YEAR(G433)+1)</f>
        <v/>
      </c>
      <c r="D433" s="204">
        <f>+C433+1</f>
        <v/>
      </c>
      <c r="E433" s="203">
        <f>IF(C433&gt;C432,1,E432+1)</f>
        <v/>
      </c>
      <c r="F433" s="203">
        <f>COUNTIF(C:C,C433)</f>
        <v/>
      </c>
      <c r="G433" s="198">
        <f>+G432+7</f>
        <v/>
      </c>
      <c r="H433" s="361">
        <f>IF(ISBLANK(CO433),CP433,SUMPRODUCT(CO$32:CP$32,CO433:CP433))</f>
        <v/>
      </c>
      <c r="I433" s="968">
        <f>H433/M433</f>
        <v/>
      </c>
      <c r="J433" s="968">
        <f>H433/N433</f>
        <v/>
      </c>
      <c r="K433" s="968">
        <f>(H433+Q433)/O433</f>
        <v/>
      </c>
      <c r="L433" s="968">
        <f>(H433+Q433)/P433</f>
        <v/>
      </c>
      <c r="M433" s="199">
        <f>HLOOKUP(C:C,$4:$10,3,FALSE)+((HLOOKUP(D:D,$4:$10,3,FALSE)-HLOOKUP(C:C,$4:$10,3,FALSE))*E433/F433)</f>
        <v/>
      </c>
      <c r="N433" s="199">
        <f>HLOOKUP(C:C,$4:$10,2,FALSE)+((HLOOKUP(D:D,$4:$10,2,FALSE)-HLOOKUP(C:C,$4:$10,2,FALSE))*E433/F433)</f>
        <v/>
      </c>
      <c r="O433" s="199">
        <f>HLOOKUP(C:C,$4:$10,5,FALSE)+((HLOOKUP(D:D,$4:$10,5,FALSE)-HLOOKUP(C:C,$4:$10,5,FALSE))*E433/F433)</f>
        <v/>
      </c>
      <c r="P433" s="199">
        <f>HLOOKUP(C:C,$4:$10,4,FALSE)+((HLOOKUP(D:D,$4:$10,4,FALSE)-HLOOKUP(C:C,$4:$10,4,FALSE))*E433/F433)</f>
        <v/>
      </c>
      <c r="Q433" s="199">
        <f>HLOOKUP(B:B,$4:$10,6,FALSE)+((HLOOKUP(C:C,$4:$10,6,FALSE)-HLOOKUP(B:B,$4:$10,6,FALSE))*E433/F433)</f>
        <v/>
      </c>
      <c r="T433" s="198">
        <f>$G433</f>
        <v/>
      </c>
      <c r="U433" s="199">
        <f>H433/(HLOOKUP(B:B,$4:$10,3,FALSE)+((HLOOKUP(C:C,$4:$10,3,FALSE)-HLOOKUP(B:B,$4:$10,3,FALSE))*E433/F433))</f>
        <v/>
      </c>
      <c r="V433" s="969">
        <f>HLOOKUP(B:B,$4:$10,7,FALSE)+((HLOOKUP(C:C,$4:$10,7,FALSE)-HLOOKUP(B:B,$4:$10,7,FALSE))*E433/F433)</f>
        <v/>
      </c>
      <c r="AB433" s="198">
        <f>$G433</f>
        <v/>
      </c>
      <c r="AC433" s="199">
        <f>$H433</f>
        <v/>
      </c>
      <c r="AD433" s="199">
        <f>$M433*AD$34</f>
        <v/>
      </c>
      <c r="AE433" s="199">
        <f>$M433*AE$34</f>
        <v/>
      </c>
      <c r="AF433" s="199">
        <f>$M433*AF$34</f>
        <v/>
      </c>
      <c r="AG433" s="199">
        <f>$M433*AG$34</f>
        <v/>
      </c>
      <c r="AH433" s="199">
        <f>$M433*AH$34</f>
        <v/>
      </c>
      <c r="AJ433" s="198">
        <f>$G433</f>
        <v/>
      </c>
      <c r="AK433" s="199">
        <f>$H433</f>
        <v/>
      </c>
      <c r="AL433" s="199">
        <f>$N433*AL$34</f>
        <v/>
      </c>
      <c r="AM433" s="199">
        <f>$N433*AM$34</f>
        <v/>
      </c>
      <c r="AN433" s="199">
        <f>$N433*AN$34</f>
        <v/>
      </c>
      <c r="AO433" s="199">
        <f>$N433*AO$34</f>
        <v/>
      </c>
      <c r="AP433" s="199">
        <f>$N433*AP$34</f>
        <v/>
      </c>
      <c r="AR433" s="198">
        <f>$G433</f>
        <v/>
      </c>
      <c r="AS433" s="199">
        <f>$H433</f>
        <v/>
      </c>
      <c r="AT433" s="199">
        <f>$O433*AT$34-$Q433</f>
        <v/>
      </c>
      <c r="AU433" s="199">
        <f>$O433*AU$34-$Q433</f>
        <v/>
      </c>
      <c r="AV433" s="199">
        <f>$O433*AV$34-$Q433</f>
        <v/>
      </c>
      <c r="AW433" s="199">
        <f>$O433*AW$34-$Q433</f>
        <v/>
      </c>
      <c r="AX433" s="199">
        <f>$O433*AX$34-$Q433</f>
        <v/>
      </c>
      <c r="AZ433" s="198">
        <f>$G433</f>
        <v/>
      </c>
      <c r="BA433" s="199">
        <f>$H433</f>
        <v/>
      </c>
      <c r="BB433" s="199">
        <f>$P433*BB$34-$Q433</f>
        <v/>
      </c>
      <c r="BC433" s="199">
        <f>$P433*BC$34-$Q433</f>
        <v/>
      </c>
      <c r="BD433" s="199">
        <f>$P433*BD$34-$Q433</f>
        <v/>
      </c>
      <c r="BE433" s="199">
        <f>$P433*BE$34-$Q433</f>
        <v/>
      </c>
      <c r="BF433" s="199">
        <f>$P433*BF$34-$Q433</f>
        <v/>
      </c>
      <c r="BH433" s="198">
        <f>$G433</f>
        <v/>
      </c>
      <c r="BI433" s="197">
        <f>$I433</f>
        <v/>
      </c>
      <c r="BJ433" s="197">
        <f>+BJ434</f>
        <v/>
      </c>
      <c r="BK433" s="197">
        <f>+BK434</f>
        <v/>
      </c>
      <c r="BL433" s="197">
        <f>+BL434</f>
        <v/>
      </c>
      <c r="BM433" s="197">
        <f>+BM434</f>
        <v/>
      </c>
      <c r="BN433" s="197">
        <f>+BN434</f>
        <v/>
      </c>
      <c r="BP433" s="198">
        <f>$G433</f>
        <v/>
      </c>
      <c r="BQ433" s="197">
        <f>$J433</f>
        <v/>
      </c>
      <c r="BR433" s="197">
        <f>+BR434</f>
        <v/>
      </c>
      <c r="BS433" s="197">
        <f>+BS434</f>
        <v/>
      </c>
      <c r="BT433" s="197">
        <f>+BT434</f>
        <v/>
      </c>
      <c r="BU433" s="197">
        <f>+BU434</f>
        <v/>
      </c>
      <c r="BV433" s="197">
        <f>+BV434</f>
        <v/>
      </c>
      <c r="BX433" s="198">
        <f>$G433</f>
        <v/>
      </c>
      <c r="BY433" s="197">
        <f>$K433</f>
        <v/>
      </c>
      <c r="BZ433" s="197">
        <f>+BZ434</f>
        <v/>
      </c>
      <c r="CA433" s="197">
        <f>+CA434</f>
        <v/>
      </c>
      <c r="CB433" s="197">
        <f>+CB434</f>
        <v/>
      </c>
      <c r="CC433" s="197">
        <f>+CC434</f>
        <v/>
      </c>
      <c r="CD433" s="197">
        <f>+CD434</f>
        <v/>
      </c>
      <c r="CF433" s="198">
        <f>$G433</f>
        <v/>
      </c>
      <c r="CG433" s="197">
        <f>$L433</f>
        <v/>
      </c>
      <c r="CH433" s="197">
        <f>+CH434</f>
        <v/>
      </c>
      <c r="CI433" s="197">
        <f>+CI434</f>
        <v/>
      </c>
      <c r="CJ433" s="197">
        <f>+CJ434</f>
        <v/>
      </c>
      <c r="CK433" s="197">
        <f>+CK434</f>
        <v/>
      </c>
      <c r="CL433" s="197">
        <f>+CL434</f>
        <v/>
      </c>
      <c r="CO433" s="199" t="n">
        <v>5.368930972630655</v>
      </c>
      <c r="CP433" s="199" t="n">
        <v>3.27</v>
      </c>
      <c r="CR433" s="199" t="n">
        <v>4.4</v>
      </c>
      <c r="CS433" s="970" t="n">
        <v>0.81953</v>
      </c>
    </row>
    <row r="434">
      <c r="B434" s="204">
        <f>+C434-1</f>
        <v/>
      </c>
      <c r="C434" s="204">
        <f>IF('bands_A-H_Avg'!$D$9+1&gt;MONTH(G434),YEAR(G434),YEAR(G434)+1)</f>
        <v/>
      </c>
      <c r="D434" s="204">
        <f>+C434+1</f>
        <v/>
      </c>
      <c r="E434" s="203">
        <f>IF(C434&gt;C433,1,E433+1)</f>
        <v/>
      </c>
      <c r="F434" s="203">
        <f>COUNTIF(C:C,C434)</f>
        <v/>
      </c>
      <c r="G434" s="198">
        <f>+G433+7</f>
        <v/>
      </c>
      <c r="H434" s="361">
        <f>IF(ISBLANK(CO434),CP434,SUMPRODUCT(CO$32:CP$32,CO434:CP434))</f>
        <v/>
      </c>
      <c r="I434" s="968">
        <f>H434/M434</f>
        <v/>
      </c>
      <c r="J434" s="968">
        <f>H434/N434</f>
        <v/>
      </c>
      <c r="K434" s="968">
        <f>(H434+Q434)/O434</f>
        <v/>
      </c>
      <c r="L434" s="968">
        <f>(H434+Q434)/P434</f>
        <v/>
      </c>
      <c r="M434" s="199">
        <f>HLOOKUP(C:C,$4:$10,3,FALSE)+((HLOOKUP(D:D,$4:$10,3,FALSE)-HLOOKUP(C:C,$4:$10,3,FALSE))*E434/F434)</f>
        <v/>
      </c>
      <c r="N434" s="199">
        <f>HLOOKUP(C:C,$4:$10,2,FALSE)+((HLOOKUP(D:D,$4:$10,2,FALSE)-HLOOKUP(C:C,$4:$10,2,FALSE))*E434/F434)</f>
        <v/>
      </c>
      <c r="O434" s="199">
        <f>HLOOKUP(C:C,$4:$10,5,FALSE)+((HLOOKUP(D:D,$4:$10,5,FALSE)-HLOOKUP(C:C,$4:$10,5,FALSE))*E434/F434)</f>
        <v/>
      </c>
      <c r="P434" s="199">
        <f>HLOOKUP(C:C,$4:$10,4,FALSE)+((HLOOKUP(D:D,$4:$10,4,FALSE)-HLOOKUP(C:C,$4:$10,4,FALSE))*E434/F434)</f>
        <v/>
      </c>
      <c r="Q434" s="199">
        <f>HLOOKUP(B:B,$4:$10,6,FALSE)+((HLOOKUP(C:C,$4:$10,6,FALSE)-HLOOKUP(B:B,$4:$10,6,FALSE))*E434/F434)</f>
        <v/>
      </c>
      <c r="T434" s="198">
        <f>$G434</f>
        <v/>
      </c>
      <c r="U434" s="199">
        <f>H434/(HLOOKUP(B:B,$4:$10,3,FALSE)+((HLOOKUP(C:C,$4:$10,3,FALSE)-HLOOKUP(B:B,$4:$10,3,FALSE))*E434/F434))</f>
        <v/>
      </c>
      <c r="V434" s="969">
        <f>HLOOKUP(B:B,$4:$10,7,FALSE)+((HLOOKUP(C:C,$4:$10,7,FALSE)-HLOOKUP(B:B,$4:$10,7,FALSE))*E434/F434)</f>
        <v/>
      </c>
      <c r="AB434" s="198">
        <f>$G434</f>
        <v/>
      </c>
      <c r="AC434" s="199">
        <f>$H434</f>
        <v/>
      </c>
      <c r="AD434" s="199">
        <f>$M434*AD$34</f>
        <v/>
      </c>
      <c r="AE434" s="199">
        <f>$M434*AE$34</f>
        <v/>
      </c>
      <c r="AF434" s="199">
        <f>$M434*AF$34</f>
        <v/>
      </c>
      <c r="AG434" s="199">
        <f>$M434*AG$34</f>
        <v/>
      </c>
      <c r="AH434" s="199">
        <f>$M434*AH$34</f>
        <v/>
      </c>
      <c r="AJ434" s="198">
        <f>$G434</f>
        <v/>
      </c>
      <c r="AK434" s="199">
        <f>$H434</f>
        <v/>
      </c>
      <c r="AL434" s="199">
        <f>$N434*AL$34</f>
        <v/>
      </c>
      <c r="AM434" s="199">
        <f>$N434*AM$34</f>
        <v/>
      </c>
      <c r="AN434" s="199">
        <f>$N434*AN$34</f>
        <v/>
      </c>
      <c r="AO434" s="199">
        <f>$N434*AO$34</f>
        <v/>
      </c>
      <c r="AP434" s="199">
        <f>$N434*AP$34</f>
        <v/>
      </c>
      <c r="AR434" s="198">
        <f>$G434</f>
        <v/>
      </c>
      <c r="AS434" s="199">
        <f>$H434</f>
        <v/>
      </c>
      <c r="AT434" s="199">
        <f>$O434*AT$34-$Q434</f>
        <v/>
      </c>
      <c r="AU434" s="199">
        <f>$O434*AU$34-$Q434</f>
        <v/>
      </c>
      <c r="AV434" s="199">
        <f>$O434*AV$34-$Q434</f>
        <v/>
      </c>
      <c r="AW434" s="199">
        <f>$O434*AW$34-$Q434</f>
        <v/>
      </c>
      <c r="AX434" s="199">
        <f>$O434*AX$34-$Q434</f>
        <v/>
      </c>
      <c r="AZ434" s="198">
        <f>$G434</f>
        <v/>
      </c>
      <c r="BA434" s="199">
        <f>$H434</f>
        <v/>
      </c>
      <c r="BB434" s="199">
        <f>$P434*BB$34-$Q434</f>
        <v/>
      </c>
      <c r="BC434" s="199">
        <f>$P434*BC$34-$Q434</f>
        <v/>
      </c>
      <c r="BD434" s="199">
        <f>$P434*BD$34-$Q434</f>
        <v/>
      </c>
      <c r="BE434" s="199">
        <f>$P434*BE$34-$Q434</f>
        <v/>
      </c>
      <c r="BF434" s="199">
        <f>$P434*BF$34-$Q434</f>
        <v/>
      </c>
      <c r="BH434" s="198">
        <f>$G434</f>
        <v/>
      </c>
      <c r="BI434" s="197">
        <f>$I434</f>
        <v/>
      </c>
      <c r="BJ434" s="197">
        <f>+BJ435</f>
        <v/>
      </c>
      <c r="BK434" s="197">
        <f>+BK435</f>
        <v/>
      </c>
      <c r="BL434" s="197">
        <f>+BL435</f>
        <v/>
      </c>
      <c r="BM434" s="197">
        <f>+BM435</f>
        <v/>
      </c>
      <c r="BN434" s="197">
        <f>+BN435</f>
        <v/>
      </c>
      <c r="BP434" s="198">
        <f>$G434</f>
        <v/>
      </c>
      <c r="BQ434" s="197">
        <f>$J434</f>
        <v/>
      </c>
      <c r="BR434" s="197">
        <f>+BR435</f>
        <v/>
      </c>
      <c r="BS434" s="197">
        <f>+BS435</f>
        <v/>
      </c>
      <c r="BT434" s="197">
        <f>+BT435</f>
        <v/>
      </c>
      <c r="BU434" s="197">
        <f>+BU435</f>
        <v/>
      </c>
      <c r="BV434" s="197">
        <f>+BV435</f>
        <v/>
      </c>
      <c r="BX434" s="198">
        <f>$G434</f>
        <v/>
      </c>
      <c r="BY434" s="197">
        <f>$K434</f>
        <v/>
      </c>
      <c r="BZ434" s="197">
        <f>+BZ435</f>
        <v/>
      </c>
      <c r="CA434" s="197">
        <f>+CA435</f>
        <v/>
      </c>
      <c r="CB434" s="197">
        <f>+CB435</f>
        <v/>
      </c>
      <c r="CC434" s="197">
        <f>+CC435</f>
        <v/>
      </c>
      <c r="CD434" s="197">
        <f>+CD435</f>
        <v/>
      </c>
      <c r="CF434" s="198">
        <f>$G434</f>
        <v/>
      </c>
      <c r="CG434" s="197">
        <f>$L434</f>
        <v/>
      </c>
      <c r="CH434" s="197">
        <f>+CH435</f>
        <v/>
      </c>
      <c r="CI434" s="197">
        <f>+CI435</f>
        <v/>
      </c>
      <c r="CJ434" s="197">
        <f>+CJ435</f>
        <v/>
      </c>
      <c r="CK434" s="197">
        <f>+CK435</f>
        <v/>
      </c>
      <c r="CL434" s="197">
        <f>+CL435</f>
        <v/>
      </c>
      <c r="CO434" s="199" t="n">
        <v>5.220403483521577</v>
      </c>
      <c r="CP434" s="199" t="n">
        <v>3.26</v>
      </c>
      <c r="CR434" s="199" t="n">
        <v>4.28</v>
      </c>
      <c r="CS434" s="970" t="n">
        <v>0.81986</v>
      </c>
    </row>
    <row r="435">
      <c r="B435" s="204">
        <f>+C435-1</f>
        <v/>
      </c>
      <c r="C435" s="204">
        <f>IF('bands_A-H_Avg'!$D$9+1&gt;MONTH(G435),YEAR(G435),YEAR(G435)+1)</f>
        <v/>
      </c>
      <c r="D435" s="204">
        <f>+C435+1</f>
        <v/>
      </c>
      <c r="E435" s="203">
        <f>IF(C435&gt;C434,1,E434+1)</f>
        <v/>
      </c>
      <c r="F435" s="203">
        <f>COUNTIF(C:C,C435)</f>
        <v/>
      </c>
      <c r="G435" s="198">
        <f>+G434+7</f>
        <v/>
      </c>
      <c r="H435" s="361">
        <f>IF(ISBLANK(CO435),CP435,SUMPRODUCT(CO$32:CP$32,CO435:CP435))</f>
        <v/>
      </c>
      <c r="I435" s="968">
        <f>H435/M435</f>
        <v/>
      </c>
      <c r="J435" s="968">
        <f>H435/N435</f>
        <v/>
      </c>
      <c r="K435" s="968">
        <f>(H435+Q435)/O435</f>
        <v/>
      </c>
      <c r="L435" s="968">
        <f>(H435+Q435)/P435</f>
        <v/>
      </c>
      <c r="M435" s="199">
        <f>HLOOKUP(C:C,$4:$10,3,FALSE)+((HLOOKUP(D:D,$4:$10,3,FALSE)-HLOOKUP(C:C,$4:$10,3,FALSE))*E435/F435)</f>
        <v/>
      </c>
      <c r="N435" s="199">
        <f>HLOOKUP(C:C,$4:$10,2,FALSE)+((HLOOKUP(D:D,$4:$10,2,FALSE)-HLOOKUP(C:C,$4:$10,2,FALSE))*E435/F435)</f>
        <v/>
      </c>
      <c r="O435" s="199">
        <f>HLOOKUP(C:C,$4:$10,5,FALSE)+((HLOOKUP(D:D,$4:$10,5,FALSE)-HLOOKUP(C:C,$4:$10,5,FALSE))*E435/F435)</f>
        <v/>
      </c>
      <c r="P435" s="199">
        <f>HLOOKUP(C:C,$4:$10,4,FALSE)+((HLOOKUP(D:D,$4:$10,4,FALSE)-HLOOKUP(C:C,$4:$10,4,FALSE))*E435/F435)</f>
        <v/>
      </c>
      <c r="Q435" s="199">
        <f>HLOOKUP(B:B,$4:$10,6,FALSE)+((HLOOKUP(C:C,$4:$10,6,FALSE)-HLOOKUP(B:B,$4:$10,6,FALSE))*E435/F435)</f>
        <v/>
      </c>
      <c r="T435" s="198">
        <f>$G435</f>
        <v/>
      </c>
      <c r="U435" s="199">
        <f>H435/(HLOOKUP(B:B,$4:$10,3,FALSE)+((HLOOKUP(C:C,$4:$10,3,FALSE)-HLOOKUP(B:B,$4:$10,3,FALSE))*E435/F435))</f>
        <v/>
      </c>
      <c r="V435" s="969">
        <f>HLOOKUP(B:B,$4:$10,7,FALSE)+((HLOOKUP(C:C,$4:$10,7,FALSE)-HLOOKUP(B:B,$4:$10,7,FALSE))*E435/F435)</f>
        <v/>
      </c>
      <c r="AB435" s="198">
        <f>$G435</f>
        <v/>
      </c>
      <c r="AC435" s="199">
        <f>$H435</f>
        <v/>
      </c>
      <c r="AD435" s="199">
        <f>$M435*AD$34</f>
        <v/>
      </c>
      <c r="AE435" s="199">
        <f>$M435*AE$34</f>
        <v/>
      </c>
      <c r="AF435" s="199">
        <f>$M435*AF$34</f>
        <v/>
      </c>
      <c r="AG435" s="199">
        <f>$M435*AG$34</f>
        <v/>
      </c>
      <c r="AH435" s="199">
        <f>$M435*AH$34</f>
        <v/>
      </c>
      <c r="AJ435" s="198">
        <f>$G435</f>
        <v/>
      </c>
      <c r="AK435" s="199">
        <f>$H435</f>
        <v/>
      </c>
      <c r="AL435" s="199">
        <f>$N435*AL$34</f>
        <v/>
      </c>
      <c r="AM435" s="199">
        <f>$N435*AM$34</f>
        <v/>
      </c>
      <c r="AN435" s="199">
        <f>$N435*AN$34</f>
        <v/>
      </c>
      <c r="AO435" s="199">
        <f>$N435*AO$34</f>
        <v/>
      </c>
      <c r="AP435" s="199">
        <f>$N435*AP$34</f>
        <v/>
      </c>
      <c r="AR435" s="198">
        <f>$G435</f>
        <v/>
      </c>
      <c r="AS435" s="199">
        <f>$H435</f>
        <v/>
      </c>
      <c r="AT435" s="199">
        <f>$O435*AT$34-$Q435</f>
        <v/>
      </c>
      <c r="AU435" s="199">
        <f>$O435*AU$34-$Q435</f>
        <v/>
      </c>
      <c r="AV435" s="199">
        <f>$O435*AV$34-$Q435</f>
        <v/>
      </c>
      <c r="AW435" s="199">
        <f>$O435*AW$34-$Q435</f>
        <v/>
      </c>
      <c r="AX435" s="199">
        <f>$O435*AX$34-$Q435</f>
        <v/>
      </c>
      <c r="AZ435" s="198">
        <f>$G435</f>
        <v/>
      </c>
      <c r="BA435" s="199">
        <f>$H435</f>
        <v/>
      </c>
      <c r="BB435" s="199">
        <f>$P435*BB$34-$Q435</f>
        <v/>
      </c>
      <c r="BC435" s="199">
        <f>$P435*BC$34-$Q435</f>
        <v/>
      </c>
      <c r="BD435" s="199">
        <f>$P435*BD$34-$Q435</f>
        <v/>
      </c>
      <c r="BE435" s="199">
        <f>$P435*BE$34-$Q435</f>
        <v/>
      </c>
      <c r="BF435" s="199">
        <f>$P435*BF$34-$Q435</f>
        <v/>
      </c>
      <c r="BH435" s="198">
        <f>$G435</f>
        <v/>
      </c>
      <c r="BI435" s="197">
        <f>$I435</f>
        <v/>
      </c>
      <c r="BJ435" s="197">
        <f>+BJ436</f>
        <v/>
      </c>
      <c r="BK435" s="197">
        <f>+BK436</f>
        <v/>
      </c>
      <c r="BL435" s="197">
        <f>+BL436</f>
        <v/>
      </c>
      <c r="BM435" s="197">
        <f>+BM436</f>
        <v/>
      </c>
      <c r="BN435" s="197">
        <f>+BN436</f>
        <v/>
      </c>
      <c r="BP435" s="198">
        <f>$G435</f>
        <v/>
      </c>
      <c r="BQ435" s="197">
        <f>$J435</f>
        <v/>
      </c>
      <c r="BR435" s="197">
        <f>+BR436</f>
        <v/>
      </c>
      <c r="BS435" s="197">
        <f>+BS436</f>
        <v/>
      </c>
      <c r="BT435" s="197">
        <f>+BT436</f>
        <v/>
      </c>
      <c r="BU435" s="197">
        <f>+BU436</f>
        <v/>
      </c>
      <c r="BV435" s="197">
        <f>+BV436</f>
        <v/>
      </c>
      <c r="BX435" s="198">
        <f>$G435</f>
        <v/>
      </c>
      <c r="BY435" s="197">
        <f>$K435</f>
        <v/>
      </c>
      <c r="BZ435" s="197">
        <f>+BZ436</f>
        <v/>
      </c>
      <c r="CA435" s="197">
        <f>+CA436</f>
        <v/>
      </c>
      <c r="CB435" s="197">
        <f>+CB436</f>
        <v/>
      </c>
      <c r="CC435" s="197">
        <f>+CC436</f>
        <v/>
      </c>
      <c r="CD435" s="197">
        <f>+CD436</f>
        <v/>
      </c>
      <c r="CF435" s="198">
        <f>$G435</f>
        <v/>
      </c>
      <c r="CG435" s="197">
        <f>$L435</f>
        <v/>
      </c>
      <c r="CH435" s="197">
        <f>+CH436</f>
        <v/>
      </c>
      <c r="CI435" s="197">
        <f>+CI436</f>
        <v/>
      </c>
      <c r="CJ435" s="197">
        <f>+CJ436</f>
        <v/>
      </c>
      <c r="CK435" s="197">
        <f>+CK436</f>
        <v/>
      </c>
      <c r="CL435" s="197">
        <f>+CL436</f>
        <v/>
      </c>
      <c r="CO435" s="199" t="n">
        <v>5.150424116677854</v>
      </c>
      <c r="CP435" s="199" t="n">
        <v>3.18</v>
      </c>
      <c r="CR435" s="199" t="n">
        <v>4.22</v>
      </c>
      <c r="CS435" s="970" t="n">
        <v>0.81935</v>
      </c>
    </row>
    <row r="436">
      <c r="B436" s="204">
        <f>+C436-1</f>
        <v/>
      </c>
      <c r="C436" s="204">
        <f>IF('bands_A-H_Avg'!$D$9+1&gt;MONTH(G436),YEAR(G436),YEAR(G436)+1)</f>
        <v/>
      </c>
      <c r="D436" s="204">
        <f>+C436+1</f>
        <v/>
      </c>
      <c r="E436" s="203">
        <f>IF(C436&gt;C435,1,E435+1)</f>
        <v/>
      </c>
      <c r="F436" s="203">
        <f>COUNTIF(C:C,C436)</f>
        <v/>
      </c>
      <c r="G436" s="198">
        <f>+G435+7</f>
        <v/>
      </c>
      <c r="H436" s="361">
        <f>IF(ISBLANK(CO436),CP436,SUMPRODUCT(CO$32:CP$32,CO436:CP436))</f>
        <v/>
      </c>
      <c r="I436" s="968">
        <f>H436/M436</f>
        <v/>
      </c>
      <c r="J436" s="968">
        <f>H436/N436</f>
        <v/>
      </c>
      <c r="K436" s="968">
        <f>(H436+Q436)/O436</f>
        <v/>
      </c>
      <c r="L436" s="968">
        <f>(H436+Q436)/P436</f>
        <v/>
      </c>
      <c r="M436" s="199">
        <f>HLOOKUP(C:C,$4:$10,3,FALSE)+((HLOOKUP(D:D,$4:$10,3,FALSE)-HLOOKUP(C:C,$4:$10,3,FALSE))*E436/F436)</f>
        <v/>
      </c>
      <c r="N436" s="199">
        <f>HLOOKUP(C:C,$4:$10,2,FALSE)+((HLOOKUP(D:D,$4:$10,2,FALSE)-HLOOKUP(C:C,$4:$10,2,FALSE))*E436/F436)</f>
        <v/>
      </c>
      <c r="O436" s="199">
        <f>HLOOKUP(C:C,$4:$10,5,FALSE)+((HLOOKUP(D:D,$4:$10,5,FALSE)-HLOOKUP(C:C,$4:$10,5,FALSE))*E436/F436)</f>
        <v/>
      </c>
      <c r="P436" s="199">
        <f>HLOOKUP(C:C,$4:$10,4,FALSE)+((HLOOKUP(D:D,$4:$10,4,FALSE)-HLOOKUP(C:C,$4:$10,4,FALSE))*E436/F436)</f>
        <v/>
      </c>
      <c r="Q436" s="199">
        <f>HLOOKUP(B:B,$4:$10,6,FALSE)+((HLOOKUP(C:C,$4:$10,6,FALSE)-HLOOKUP(B:B,$4:$10,6,FALSE))*E436/F436)</f>
        <v/>
      </c>
      <c r="T436" s="198">
        <f>$G436</f>
        <v/>
      </c>
      <c r="U436" s="199">
        <f>H436/(HLOOKUP(B:B,$4:$10,3,FALSE)+((HLOOKUP(C:C,$4:$10,3,FALSE)-HLOOKUP(B:B,$4:$10,3,FALSE))*E436/F436))</f>
        <v/>
      </c>
      <c r="V436" s="969">
        <f>HLOOKUP(B:B,$4:$10,7,FALSE)+((HLOOKUP(C:C,$4:$10,7,FALSE)-HLOOKUP(B:B,$4:$10,7,FALSE))*E436/F436)</f>
        <v/>
      </c>
      <c r="AB436" s="198">
        <f>$G436</f>
        <v/>
      </c>
      <c r="AC436" s="199">
        <f>$H436</f>
        <v/>
      </c>
      <c r="AD436" s="199">
        <f>$M436*AD$34</f>
        <v/>
      </c>
      <c r="AE436" s="199">
        <f>$M436*AE$34</f>
        <v/>
      </c>
      <c r="AF436" s="199">
        <f>$M436*AF$34</f>
        <v/>
      </c>
      <c r="AG436" s="199">
        <f>$M436*AG$34</f>
        <v/>
      </c>
      <c r="AH436" s="199">
        <f>$M436*AH$34</f>
        <v/>
      </c>
      <c r="AJ436" s="198">
        <f>$G436</f>
        <v/>
      </c>
      <c r="AK436" s="199">
        <f>$H436</f>
        <v/>
      </c>
      <c r="AL436" s="199">
        <f>$N436*AL$34</f>
        <v/>
      </c>
      <c r="AM436" s="199">
        <f>$N436*AM$34</f>
        <v/>
      </c>
      <c r="AN436" s="199">
        <f>$N436*AN$34</f>
        <v/>
      </c>
      <c r="AO436" s="199">
        <f>$N436*AO$34</f>
        <v/>
      </c>
      <c r="AP436" s="199">
        <f>$N436*AP$34</f>
        <v/>
      </c>
      <c r="AR436" s="198">
        <f>$G436</f>
        <v/>
      </c>
      <c r="AS436" s="199">
        <f>$H436</f>
        <v/>
      </c>
      <c r="AT436" s="199">
        <f>$O436*AT$34-$Q436</f>
        <v/>
      </c>
      <c r="AU436" s="199">
        <f>$O436*AU$34-$Q436</f>
        <v/>
      </c>
      <c r="AV436" s="199">
        <f>$O436*AV$34-$Q436</f>
        <v/>
      </c>
      <c r="AW436" s="199">
        <f>$O436*AW$34-$Q436</f>
        <v/>
      </c>
      <c r="AX436" s="199">
        <f>$O436*AX$34-$Q436</f>
        <v/>
      </c>
      <c r="AZ436" s="198">
        <f>$G436</f>
        <v/>
      </c>
      <c r="BA436" s="199">
        <f>$H436</f>
        <v/>
      </c>
      <c r="BB436" s="199">
        <f>$P436*BB$34-$Q436</f>
        <v/>
      </c>
      <c r="BC436" s="199">
        <f>$P436*BC$34-$Q436</f>
        <v/>
      </c>
      <c r="BD436" s="199">
        <f>$P436*BD$34-$Q436</f>
        <v/>
      </c>
      <c r="BE436" s="199">
        <f>$P436*BE$34-$Q436</f>
        <v/>
      </c>
      <c r="BF436" s="199">
        <f>$P436*BF$34-$Q436</f>
        <v/>
      </c>
      <c r="BH436" s="198">
        <f>$G436</f>
        <v/>
      </c>
      <c r="BI436" s="197">
        <f>$I436</f>
        <v/>
      </c>
      <c r="BJ436" s="197">
        <f>+BJ437</f>
        <v/>
      </c>
      <c r="BK436" s="197">
        <f>+BK437</f>
        <v/>
      </c>
      <c r="BL436" s="197">
        <f>+BL437</f>
        <v/>
      </c>
      <c r="BM436" s="197">
        <f>+BM437</f>
        <v/>
      </c>
      <c r="BN436" s="197">
        <f>+BN437</f>
        <v/>
      </c>
      <c r="BP436" s="198">
        <f>$G436</f>
        <v/>
      </c>
      <c r="BQ436" s="197">
        <f>$J436</f>
        <v/>
      </c>
      <c r="BR436" s="197">
        <f>+BR437</f>
        <v/>
      </c>
      <c r="BS436" s="197">
        <f>+BS437</f>
        <v/>
      </c>
      <c r="BT436" s="197">
        <f>+BT437</f>
        <v/>
      </c>
      <c r="BU436" s="197">
        <f>+BU437</f>
        <v/>
      </c>
      <c r="BV436" s="197">
        <f>+BV437</f>
        <v/>
      </c>
      <c r="BX436" s="198">
        <f>$G436</f>
        <v/>
      </c>
      <c r="BY436" s="197">
        <f>$K436</f>
        <v/>
      </c>
      <c r="BZ436" s="197">
        <f>+BZ437</f>
        <v/>
      </c>
      <c r="CA436" s="197">
        <f>+CA437</f>
        <v/>
      </c>
      <c r="CB436" s="197">
        <f>+CB437</f>
        <v/>
      </c>
      <c r="CC436" s="197">
        <f>+CC437</f>
        <v/>
      </c>
      <c r="CD436" s="197">
        <f>+CD437</f>
        <v/>
      </c>
      <c r="CF436" s="198">
        <f>$G436</f>
        <v/>
      </c>
      <c r="CG436" s="197">
        <f>$L436</f>
        <v/>
      </c>
      <c r="CH436" s="197">
        <f>+CH437</f>
        <v/>
      </c>
      <c r="CI436" s="197">
        <f>+CI437</f>
        <v/>
      </c>
      <c r="CJ436" s="197">
        <f>+CJ437</f>
        <v/>
      </c>
      <c r="CK436" s="197">
        <f>+CK437</f>
        <v/>
      </c>
      <c r="CL436" s="197">
        <f>+CL437</f>
        <v/>
      </c>
      <c r="CO436" s="199" t="n">
        <v>4.934351145038169</v>
      </c>
      <c r="CP436" s="199" t="n">
        <v>3.11</v>
      </c>
      <c r="CR436" s="199" t="n">
        <v>4.04</v>
      </c>
      <c r="CS436" s="970" t="n">
        <v>0.81875</v>
      </c>
    </row>
    <row r="437">
      <c r="B437" s="204">
        <f>+C437-1</f>
        <v/>
      </c>
      <c r="C437" s="204">
        <f>IF('bands_A-H_Avg'!$D$9+1&gt;MONTH(G437),YEAR(G437),YEAR(G437)+1)</f>
        <v/>
      </c>
      <c r="D437" s="204">
        <f>+C437+1</f>
        <v/>
      </c>
      <c r="E437" s="203">
        <f>IF(C437&gt;C436,1,E436+1)</f>
        <v/>
      </c>
      <c r="F437" s="203">
        <f>COUNTIF(C:C,C437)</f>
        <v/>
      </c>
      <c r="G437" s="198">
        <f>+G436+7</f>
        <v/>
      </c>
      <c r="H437" s="361">
        <f>IF(ISBLANK(CO437),CP437,SUMPRODUCT(CO$32:CP$32,CO437:CP437))</f>
        <v/>
      </c>
      <c r="I437" s="968">
        <f>H437/M437</f>
        <v/>
      </c>
      <c r="J437" s="968">
        <f>H437/N437</f>
        <v/>
      </c>
      <c r="K437" s="968">
        <f>(H437+Q437)/O437</f>
        <v/>
      </c>
      <c r="L437" s="968">
        <f>(H437+Q437)/P437</f>
        <v/>
      </c>
      <c r="M437" s="199">
        <f>HLOOKUP(C:C,$4:$10,3,FALSE)+((HLOOKUP(D:D,$4:$10,3,FALSE)-HLOOKUP(C:C,$4:$10,3,FALSE))*E437/F437)</f>
        <v/>
      </c>
      <c r="N437" s="199">
        <f>HLOOKUP(C:C,$4:$10,2,FALSE)+((HLOOKUP(D:D,$4:$10,2,FALSE)-HLOOKUP(C:C,$4:$10,2,FALSE))*E437/F437)</f>
        <v/>
      </c>
      <c r="O437" s="199">
        <f>HLOOKUP(C:C,$4:$10,5,FALSE)+((HLOOKUP(D:D,$4:$10,5,FALSE)-HLOOKUP(C:C,$4:$10,5,FALSE))*E437/F437)</f>
        <v/>
      </c>
      <c r="P437" s="199">
        <f>HLOOKUP(C:C,$4:$10,4,FALSE)+((HLOOKUP(D:D,$4:$10,4,FALSE)-HLOOKUP(C:C,$4:$10,4,FALSE))*E437/F437)</f>
        <v/>
      </c>
      <c r="Q437" s="199">
        <f>HLOOKUP(B:B,$4:$10,6,FALSE)+((HLOOKUP(C:C,$4:$10,6,FALSE)-HLOOKUP(B:B,$4:$10,6,FALSE))*E437/F437)</f>
        <v/>
      </c>
      <c r="T437" s="198">
        <f>$G437</f>
        <v/>
      </c>
      <c r="U437" s="199">
        <f>H437/(HLOOKUP(B:B,$4:$10,3,FALSE)+((HLOOKUP(C:C,$4:$10,3,FALSE)-HLOOKUP(B:B,$4:$10,3,FALSE))*E437/F437))</f>
        <v/>
      </c>
      <c r="V437" s="969">
        <f>HLOOKUP(B:B,$4:$10,7,FALSE)+((HLOOKUP(C:C,$4:$10,7,FALSE)-HLOOKUP(B:B,$4:$10,7,FALSE))*E437/F437)</f>
        <v/>
      </c>
      <c r="AB437" s="198">
        <f>$G437</f>
        <v/>
      </c>
      <c r="AC437" s="199">
        <f>$H437</f>
        <v/>
      </c>
      <c r="AD437" s="199">
        <f>$M437*AD$34</f>
        <v/>
      </c>
      <c r="AE437" s="199">
        <f>$M437*AE$34</f>
        <v/>
      </c>
      <c r="AF437" s="199">
        <f>$M437*AF$34</f>
        <v/>
      </c>
      <c r="AG437" s="199">
        <f>$M437*AG$34</f>
        <v/>
      </c>
      <c r="AH437" s="199">
        <f>$M437*AH$34</f>
        <v/>
      </c>
      <c r="AJ437" s="198">
        <f>$G437</f>
        <v/>
      </c>
      <c r="AK437" s="199">
        <f>$H437</f>
        <v/>
      </c>
      <c r="AL437" s="199">
        <f>$N437*AL$34</f>
        <v/>
      </c>
      <c r="AM437" s="199">
        <f>$N437*AM$34</f>
        <v/>
      </c>
      <c r="AN437" s="199">
        <f>$N437*AN$34</f>
        <v/>
      </c>
      <c r="AO437" s="199">
        <f>$N437*AO$34</f>
        <v/>
      </c>
      <c r="AP437" s="199">
        <f>$N437*AP$34</f>
        <v/>
      </c>
      <c r="AR437" s="198">
        <f>$G437</f>
        <v/>
      </c>
      <c r="AS437" s="199">
        <f>$H437</f>
        <v/>
      </c>
      <c r="AT437" s="199">
        <f>$O437*AT$34-$Q437</f>
        <v/>
      </c>
      <c r="AU437" s="199">
        <f>$O437*AU$34-$Q437</f>
        <v/>
      </c>
      <c r="AV437" s="199">
        <f>$O437*AV$34-$Q437</f>
        <v/>
      </c>
      <c r="AW437" s="199">
        <f>$O437*AW$34-$Q437</f>
        <v/>
      </c>
      <c r="AX437" s="199">
        <f>$O437*AX$34-$Q437</f>
        <v/>
      </c>
      <c r="AZ437" s="198">
        <f>$G437</f>
        <v/>
      </c>
      <c r="BA437" s="199">
        <f>$H437</f>
        <v/>
      </c>
      <c r="BB437" s="199">
        <f>$P437*BB$34-$Q437</f>
        <v/>
      </c>
      <c r="BC437" s="199">
        <f>$P437*BC$34-$Q437</f>
        <v/>
      </c>
      <c r="BD437" s="199">
        <f>$P437*BD$34-$Q437</f>
        <v/>
      </c>
      <c r="BE437" s="199">
        <f>$P437*BE$34-$Q437</f>
        <v/>
      </c>
      <c r="BF437" s="199">
        <f>$P437*BF$34-$Q437</f>
        <v/>
      </c>
      <c r="BH437" s="198">
        <f>$G437</f>
        <v/>
      </c>
      <c r="BI437" s="197">
        <f>$I437</f>
        <v/>
      </c>
      <c r="BJ437" s="197">
        <f>+BJ438</f>
        <v/>
      </c>
      <c r="BK437" s="197">
        <f>+BK438</f>
        <v/>
      </c>
      <c r="BL437" s="197">
        <f>+BL438</f>
        <v/>
      </c>
      <c r="BM437" s="197">
        <f>+BM438</f>
        <v/>
      </c>
      <c r="BN437" s="197">
        <f>+BN438</f>
        <v/>
      </c>
      <c r="BP437" s="198">
        <f>$G437</f>
        <v/>
      </c>
      <c r="BQ437" s="197">
        <f>$J437</f>
        <v/>
      </c>
      <c r="BR437" s="197">
        <f>+BR438</f>
        <v/>
      </c>
      <c r="BS437" s="197">
        <f>+BS438</f>
        <v/>
      </c>
      <c r="BT437" s="197">
        <f>+BT438</f>
        <v/>
      </c>
      <c r="BU437" s="197">
        <f>+BU438</f>
        <v/>
      </c>
      <c r="BV437" s="197">
        <f>+BV438</f>
        <v/>
      </c>
      <c r="BX437" s="198">
        <f>$G437</f>
        <v/>
      </c>
      <c r="BY437" s="197">
        <f>$K437</f>
        <v/>
      </c>
      <c r="BZ437" s="197">
        <f>+BZ438</f>
        <v/>
      </c>
      <c r="CA437" s="197">
        <f>+CA438</f>
        <v/>
      </c>
      <c r="CB437" s="197">
        <f>+CB438</f>
        <v/>
      </c>
      <c r="CC437" s="197">
        <f>+CC438</f>
        <v/>
      </c>
      <c r="CD437" s="197">
        <f>+CD438</f>
        <v/>
      </c>
      <c r="CF437" s="198">
        <f>$G437</f>
        <v/>
      </c>
      <c r="CG437" s="197">
        <f>$L437</f>
        <v/>
      </c>
      <c r="CH437" s="197">
        <f>+CH438</f>
        <v/>
      </c>
      <c r="CI437" s="197">
        <f>+CI438</f>
        <v/>
      </c>
      <c r="CJ437" s="197">
        <f>+CJ438</f>
        <v/>
      </c>
      <c r="CK437" s="197">
        <f>+CK438</f>
        <v/>
      </c>
      <c r="CL437" s="197">
        <f>+CL438</f>
        <v/>
      </c>
      <c r="CO437" s="199" t="n">
        <v>5.159365715892558</v>
      </c>
      <c r="CP437" s="199" t="n">
        <v>3.26</v>
      </c>
      <c r="CR437" s="199" t="n">
        <v>4.22</v>
      </c>
      <c r="CS437" s="970" t="n">
        <v>0.81793</v>
      </c>
    </row>
    <row r="438">
      <c r="B438" s="204">
        <f>+C438-1</f>
        <v/>
      </c>
      <c r="C438" s="204">
        <f>IF('bands_A-H_Avg'!$D$9+1&gt;MONTH(G438),YEAR(G438),YEAR(G438)+1)</f>
        <v/>
      </c>
      <c r="D438" s="204">
        <f>+C438+1</f>
        <v/>
      </c>
      <c r="E438" s="203">
        <f>IF(C438&gt;C437,1,E437+1)</f>
        <v/>
      </c>
      <c r="F438" s="203">
        <f>COUNTIF(C:C,C438)</f>
        <v/>
      </c>
      <c r="G438" s="198">
        <f>+G437+7</f>
        <v/>
      </c>
      <c r="H438" s="361">
        <f>IF(ISBLANK(CO438),CP438,SUMPRODUCT(CO$32:CP$32,CO438:CP438))</f>
        <v/>
      </c>
      <c r="I438" s="968">
        <f>H438/M438</f>
        <v/>
      </c>
      <c r="J438" s="968">
        <f>H438/N438</f>
        <v/>
      </c>
      <c r="K438" s="968">
        <f>(H438+Q438)/O438</f>
        <v/>
      </c>
      <c r="L438" s="968">
        <f>(H438+Q438)/P438</f>
        <v/>
      </c>
      <c r="M438" s="199">
        <f>HLOOKUP(C:C,$4:$10,3,FALSE)+((HLOOKUP(D:D,$4:$10,3,FALSE)-HLOOKUP(C:C,$4:$10,3,FALSE))*E438/F438)</f>
        <v/>
      </c>
      <c r="N438" s="199">
        <f>HLOOKUP(C:C,$4:$10,2,FALSE)+((HLOOKUP(D:D,$4:$10,2,FALSE)-HLOOKUP(C:C,$4:$10,2,FALSE))*E438/F438)</f>
        <v/>
      </c>
      <c r="O438" s="199">
        <f>HLOOKUP(C:C,$4:$10,5,FALSE)+((HLOOKUP(D:D,$4:$10,5,FALSE)-HLOOKUP(C:C,$4:$10,5,FALSE))*E438/F438)</f>
        <v/>
      </c>
      <c r="P438" s="199">
        <f>HLOOKUP(C:C,$4:$10,4,FALSE)+((HLOOKUP(D:D,$4:$10,4,FALSE)-HLOOKUP(C:C,$4:$10,4,FALSE))*E438/F438)</f>
        <v/>
      </c>
      <c r="Q438" s="199">
        <f>HLOOKUP(B:B,$4:$10,6,FALSE)+((HLOOKUP(C:C,$4:$10,6,FALSE)-HLOOKUP(B:B,$4:$10,6,FALSE))*E438/F438)</f>
        <v/>
      </c>
      <c r="T438" s="198">
        <f>$G438</f>
        <v/>
      </c>
      <c r="U438" s="199">
        <f>H438/(HLOOKUP(B:B,$4:$10,3,FALSE)+((HLOOKUP(C:C,$4:$10,3,FALSE)-HLOOKUP(B:B,$4:$10,3,FALSE))*E438/F438))</f>
        <v/>
      </c>
      <c r="V438" s="969">
        <f>HLOOKUP(B:B,$4:$10,7,FALSE)+((HLOOKUP(C:C,$4:$10,7,FALSE)-HLOOKUP(B:B,$4:$10,7,FALSE))*E438/F438)</f>
        <v/>
      </c>
      <c r="AB438" s="198">
        <f>$G438</f>
        <v/>
      </c>
      <c r="AC438" s="199">
        <f>$H438</f>
        <v/>
      </c>
      <c r="AD438" s="199">
        <f>$M438*AD$34</f>
        <v/>
      </c>
      <c r="AE438" s="199">
        <f>$M438*AE$34</f>
        <v/>
      </c>
      <c r="AF438" s="199">
        <f>$M438*AF$34</f>
        <v/>
      </c>
      <c r="AG438" s="199">
        <f>$M438*AG$34</f>
        <v/>
      </c>
      <c r="AH438" s="199">
        <f>$M438*AH$34</f>
        <v/>
      </c>
      <c r="AJ438" s="198">
        <f>$G438</f>
        <v/>
      </c>
      <c r="AK438" s="199">
        <f>$H438</f>
        <v/>
      </c>
      <c r="AL438" s="199">
        <f>$N438*AL$34</f>
        <v/>
      </c>
      <c r="AM438" s="199">
        <f>$N438*AM$34</f>
        <v/>
      </c>
      <c r="AN438" s="199">
        <f>$N438*AN$34</f>
        <v/>
      </c>
      <c r="AO438" s="199">
        <f>$N438*AO$34</f>
        <v/>
      </c>
      <c r="AP438" s="199">
        <f>$N438*AP$34</f>
        <v/>
      </c>
      <c r="AR438" s="198">
        <f>$G438</f>
        <v/>
      </c>
      <c r="AS438" s="199">
        <f>$H438</f>
        <v/>
      </c>
      <c r="AT438" s="199">
        <f>$O438*AT$34-$Q438</f>
        <v/>
      </c>
      <c r="AU438" s="199">
        <f>$O438*AU$34-$Q438</f>
        <v/>
      </c>
      <c r="AV438" s="199">
        <f>$O438*AV$34-$Q438</f>
        <v/>
      </c>
      <c r="AW438" s="199">
        <f>$O438*AW$34-$Q438</f>
        <v/>
      </c>
      <c r="AX438" s="199">
        <f>$O438*AX$34-$Q438</f>
        <v/>
      </c>
      <c r="AZ438" s="198">
        <f>$G438</f>
        <v/>
      </c>
      <c r="BA438" s="199">
        <f>$H438</f>
        <v/>
      </c>
      <c r="BB438" s="199">
        <f>$P438*BB$34-$Q438</f>
        <v/>
      </c>
      <c r="BC438" s="199">
        <f>$P438*BC$34-$Q438</f>
        <v/>
      </c>
      <c r="BD438" s="199">
        <f>$P438*BD$34-$Q438</f>
        <v/>
      </c>
      <c r="BE438" s="199">
        <f>$P438*BE$34-$Q438</f>
        <v/>
      </c>
      <c r="BF438" s="199">
        <f>$P438*BF$34-$Q438</f>
        <v/>
      </c>
      <c r="BH438" s="198">
        <f>$G438</f>
        <v/>
      </c>
      <c r="BI438" s="197">
        <f>$I438</f>
        <v/>
      </c>
      <c r="BJ438" s="197">
        <f>+BJ439</f>
        <v/>
      </c>
      <c r="BK438" s="197">
        <f>+BK439</f>
        <v/>
      </c>
      <c r="BL438" s="197">
        <f>+BL439</f>
        <v/>
      </c>
      <c r="BM438" s="197">
        <f>+BM439</f>
        <v/>
      </c>
      <c r="BN438" s="197">
        <f>+BN439</f>
        <v/>
      </c>
      <c r="BP438" s="198">
        <f>$G438</f>
        <v/>
      </c>
      <c r="BQ438" s="197">
        <f>$J438</f>
        <v/>
      </c>
      <c r="BR438" s="197">
        <f>+BR439</f>
        <v/>
      </c>
      <c r="BS438" s="197">
        <f>+BS439</f>
        <v/>
      </c>
      <c r="BT438" s="197">
        <f>+BT439</f>
        <v/>
      </c>
      <c r="BU438" s="197">
        <f>+BU439</f>
        <v/>
      </c>
      <c r="BV438" s="197">
        <f>+BV439</f>
        <v/>
      </c>
      <c r="BX438" s="198">
        <f>$G438</f>
        <v/>
      </c>
      <c r="BY438" s="197">
        <f>$K438</f>
        <v/>
      </c>
      <c r="BZ438" s="197">
        <f>+BZ439</f>
        <v/>
      </c>
      <c r="CA438" s="197">
        <f>+CA439</f>
        <v/>
      </c>
      <c r="CB438" s="197">
        <f>+CB439</f>
        <v/>
      </c>
      <c r="CC438" s="197">
        <f>+CC439</f>
        <v/>
      </c>
      <c r="CD438" s="197">
        <f>+CD439</f>
        <v/>
      </c>
      <c r="CF438" s="198">
        <f>$G438</f>
        <v/>
      </c>
      <c r="CG438" s="197">
        <f>$L438</f>
        <v/>
      </c>
      <c r="CH438" s="197">
        <f>+CH439</f>
        <v/>
      </c>
      <c r="CI438" s="197">
        <f>+CI439</f>
        <v/>
      </c>
      <c r="CJ438" s="197">
        <f>+CJ439</f>
        <v/>
      </c>
      <c r="CK438" s="197">
        <f>+CK439</f>
        <v/>
      </c>
      <c r="CL438" s="197">
        <f>+CL439</f>
        <v/>
      </c>
      <c r="CO438" s="199" t="n">
        <v>5.216067943887382</v>
      </c>
      <c r="CP438" s="199" t="n">
        <v>3.3</v>
      </c>
      <c r="CR438" s="199" t="n">
        <v>4.25</v>
      </c>
      <c r="CS438" s="970" t="n">
        <v>0.81479</v>
      </c>
    </row>
    <row r="439">
      <c r="B439" s="204">
        <f>+C439-1</f>
        <v/>
      </c>
      <c r="C439" s="204">
        <f>IF('bands_A-H_Avg'!$D$9+1&gt;MONTH(G439),YEAR(G439),YEAR(G439)+1)</f>
        <v/>
      </c>
      <c r="D439" s="204">
        <f>+C439+1</f>
        <v/>
      </c>
      <c r="E439" s="203">
        <f>IF(C439&gt;C438,1,E438+1)</f>
        <v/>
      </c>
      <c r="F439" s="203">
        <f>COUNTIF(C:C,C439)</f>
        <v/>
      </c>
      <c r="G439" s="198">
        <f>+G438+7</f>
        <v/>
      </c>
      <c r="H439" s="361">
        <f>IF(ISBLANK(CO439),CP439,SUMPRODUCT(CO$32:CP$32,CO439:CP439))</f>
        <v/>
      </c>
      <c r="I439" s="968">
        <f>H439/M439</f>
        <v/>
      </c>
      <c r="J439" s="968">
        <f>H439/N439</f>
        <v/>
      </c>
      <c r="K439" s="968">
        <f>(H439+Q439)/O439</f>
        <v/>
      </c>
      <c r="L439" s="968">
        <f>(H439+Q439)/P439</f>
        <v/>
      </c>
      <c r="M439" s="199">
        <f>HLOOKUP(C:C,$4:$10,3,FALSE)+((HLOOKUP(D:D,$4:$10,3,FALSE)-HLOOKUP(C:C,$4:$10,3,FALSE))*E439/F439)</f>
        <v/>
      </c>
      <c r="N439" s="199">
        <f>HLOOKUP(C:C,$4:$10,2,FALSE)+((HLOOKUP(D:D,$4:$10,2,FALSE)-HLOOKUP(C:C,$4:$10,2,FALSE))*E439/F439)</f>
        <v/>
      </c>
      <c r="O439" s="199">
        <f>HLOOKUP(C:C,$4:$10,5,FALSE)+((HLOOKUP(D:D,$4:$10,5,FALSE)-HLOOKUP(C:C,$4:$10,5,FALSE))*E439/F439)</f>
        <v/>
      </c>
      <c r="P439" s="199">
        <f>HLOOKUP(C:C,$4:$10,4,FALSE)+((HLOOKUP(D:D,$4:$10,4,FALSE)-HLOOKUP(C:C,$4:$10,4,FALSE))*E439/F439)</f>
        <v/>
      </c>
      <c r="Q439" s="199">
        <f>HLOOKUP(B:B,$4:$10,6,FALSE)+((HLOOKUP(C:C,$4:$10,6,FALSE)-HLOOKUP(B:B,$4:$10,6,FALSE))*E439/F439)</f>
        <v/>
      </c>
      <c r="T439" s="198">
        <f>$G439</f>
        <v/>
      </c>
      <c r="U439" s="199">
        <f>H439/(HLOOKUP(B:B,$4:$10,3,FALSE)+((HLOOKUP(C:C,$4:$10,3,FALSE)-HLOOKUP(B:B,$4:$10,3,FALSE))*E439/F439))</f>
        <v/>
      </c>
      <c r="V439" s="969">
        <f>HLOOKUP(B:B,$4:$10,7,FALSE)+((HLOOKUP(C:C,$4:$10,7,FALSE)-HLOOKUP(B:B,$4:$10,7,FALSE))*E439/F439)</f>
        <v/>
      </c>
      <c r="AB439" s="198">
        <f>$G439</f>
        <v/>
      </c>
      <c r="AC439" s="199">
        <f>$H439</f>
        <v/>
      </c>
      <c r="AD439" s="199">
        <f>$M439*AD$34</f>
        <v/>
      </c>
      <c r="AE439" s="199">
        <f>$M439*AE$34</f>
        <v/>
      </c>
      <c r="AF439" s="199">
        <f>$M439*AF$34</f>
        <v/>
      </c>
      <c r="AG439" s="199">
        <f>$M439*AG$34</f>
        <v/>
      </c>
      <c r="AH439" s="199">
        <f>$M439*AH$34</f>
        <v/>
      </c>
      <c r="AJ439" s="198">
        <f>$G439</f>
        <v/>
      </c>
      <c r="AK439" s="199">
        <f>$H439</f>
        <v/>
      </c>
      <c r="AL439" s="199">
        <f>$N439*AL$34</f>
        <v/>
      </c>
      <c r="AM439" s="199">
        <f>$N439*AM$34</f>
        <v/>
      </c>
      <c r="AN439" s="199">
        <f>$N439*AN$34</f>
        <v/>
      </c>
      <c r="AO439" s="199">
        <f>$N439*AO$34</f>
        <v/>
      </c>
      <c r="AP439" s="199">
        <f>$N439*AP$34</f>
        <v/>
      </c>
      <c r="AR439" s="198">
        <f>$G439</f>
        <v/>
      </c>
      <c r="AS439" s="199">
        <f>$H439</f>
        <v/>
      </c>
      <c r="AT439" s="199">
        <f>$O439*AT$34-$Q439</f>
        <v/>
      </c>
      <c r="AU439" s="199">
        <f>$O439*AU$34-$Q439</f>
        <v/>
      </c>
      <c r="AV439" s="199">
        <f>$O439*AV$34-$Q439</f>
        <v/>
      </c>
      <c r="AW439" s="199">
        <f>$O439*AW$34-$Q439</f>
        <v/>
      </c>
      <c r="AX439" s="199">
        <f>$O439*AX$34-$Q439</f>
        <v/>
      </c>
      <c r="AZ439" s="198">
        <f>$G439</f>
        <v/>
      </c>
      <c r="BA439" s="199">
        <f>$H439</f>
        <v/>
      </c>
      <c r="BB439" s="199">
        <f>$P439*BB$34-$Q439</f>
        <v/>
      </c>
      <c r="BC439" s="199">
        <f>$P439*BC$34-$Q439</f>
        <v/>
      </c>
      <c r="BD439" s="199">
        <f>$P439*BD$34-$Q439</f>
        <v/>
      </c>
      <c r="BE439" s="199">
        <f>$P439*BE$34-$Q439</f>
        <v/>
      </c>
      <c r="BF439" s="199">
        <f>$P439*BF$34-$Q439</f>
        <v/>
      </c>
      <c r="BH439" s="198">
        <f>$G439</f>
        <v/>
      </c>
      <c r="BI439" s="197">
        <f>$I439</f>
        <v/>
      </c>
      <c r="BJ439" s="197">
        <f>+BJ440</f>
        <v/>
      </c>
      <c r="BK439" s="197">
        <f>+BK440</f>
        <v/>
      </c>
      <c r="BL439" s="197">
        <f>+BL440</f>
        <v/>
      </c>
      <c r="BM439" s="197">
        <f>+BM440</f>
        <v/>
      </c>
      <c r="BN439" s="197">
        <f>+BN440</f>
        <v/>
      </c>
      <c r="BP439" s="198">
        <f>$G439</f>
        <v/>
      </c>
      <c r="BQ439" s="197">
        <f>$J439</f>
        <v/>
      </c>
      <c r="BR439" s="197">
        <f>+BR440</f>
        <v/>
      </c>
      <c r="BS439" s="197">
        <f>+BS440</f>
        <v/>
      </c>
      <c r="BT439" s="197">
        <f>+BT440</f>
        <v/>
      </c>
      <c r="BU439" s="197">
        <f>+BU440</f>
        <v/>
      </c>
      <c r="BV439" s="197">
        <f>+BV440</f>
        <v/>
      </c>
      <c r="BX439" s="198">
        <f>$G439</f>
        <v/>
      </c>
      <c r="BY439" s="197">
        <f>$K439</f>
        <v/>
      </c>
      <c r="BZ439" s="197">
        <f>+BZ440</f>
        <v/>
      </c>
      <c r="CA439" s="197">
        <f>+CA440</f>
        <v/>
      </c>
      <c r="CB439" s="197">
        <f>+CB440</f>
        <v/>
      </c>
      <c r="CC439" s="197">
        <f>+CC440</f>
        <v/>
      </c>
      <c r="CD439" s="197">
        <f>+CD440</f>
        <v/>
      </c>
      <c r="CF439" s="198">
        <f>$G439</f>
        <v/>
      </c>
      <c r="CG439" s="197">
        <f>$L439</f>
        <v/>
      </c>
      <c r="CH439" s="197">
        <f>+CH440</f>
        <v/>
      </c>
      <c r="CI439" s="197">
        <f>+CI440</f>
        <v/>
      </c>
      <c r="CJ439" s="197">
        <f>+CJ440</f>
        <v/>
      </c>
      <c r="CK439" s="197">
        <f>+CK440</f>
        <v/>
      </c>
      <c r="CL439" s="197">
        <f>+CL440</f>
        <v/>
      </c>
      <c r="CO439" s="199" t="n">
        <v>4.919020622993962</v>
      </c>
      <c r="CP439" s="199" t="n">
        <v>3.05</v>
      </c>
      <c r="CR439" s="199" t="n">
        <v>4</v>
      </c>
      <c r="CS439" s="970" t="n">
        <v>0.8131699999999999</v>
      </c>
    </row>
    <row r="440">
      <c r="B440" s="204">
        <f>+C440-1</f>
        <v/>
      </c>
      <c r="C440" s="204">
        <f>IF('bands_A-H_Avg'!$D$9+1&gt;MONTH(G440),YEAR(G440),YEAR(G440)+1)</f>
        <v/>
      </c>
      <c r="D440" s="204">
        <f>+C440+1</f>
        <v/>
      </c>
      <c r="E440" s="203">
        <f>IF(C440&gt;C439,1,E439+1)</f>
        <v/>
      </c>
      <c r="F440" s="203">
        <f>COUNTIF(C:C,C440)</f>
        <v/>
      </c>
      <c r="G440" s="198">
        <f>+G439+7</f>
        <v/>
      </c>
      <c r="H440" s="361">
        <f>IF(ISBLANK(CO440),CP440,SUMPRODUCT(CO$32:CP$32,CO440:CP440))</f>
        <v/>
      </c>
      <c r="I440" s="968">
        <f>H440/M440</f>
        <v/>
      </c>
      <c r="J440" s="968">
        <f>H440/N440</f>
        <v/>
      </c>
      <c r="K440" s="968">
        <f>(H440+Q440)/O440</f>
        <v/>
      </c>
      <c r="L440" s="968">
        <f>(H440+Q440)/P440</f>
        <v/>
      </c>
      <c r="M440" s="199">
        <f>HLOOKUP(C:C,$4:$10,3,FALSE)+((HLOOKUP(D:D,$4:$10,3,FALSE)-HLOOKUP(C:C,$4:$10,3,FALSE))*E440/F440)</f>
        <v/>
      </c>
      <c r="N440" s="199">
        <f>HLOOKUP(C:C,$4:$10,2,FALSE)+((HLOOKUP(D:D,$4:$10,2,FALSE)-HLOOKUP(C:C,$4:$10,2,FALSE))*E440/F440)</f>
        <v/>
      </c>
      <c r="O440" s="199">
        <f>HLOOKUP(C:C,$4:$10,5,FALSE)+((HLOOKUP(D:D,$4:$10,5,FALSE)-HLOOKUP(C:C,$4:$10,5,FALSE))*E440/F440)</f>
        <v/>
      </c>
      <c r="P440" s="199">
        <f>HLOOKUP(C:C,$4:$10,4,FALSE)+((HLOOKUP(D:D,$4:$10,4,FALSE)-HLOOKUP(C:C,$4:$10,4,FALSE))*E440/F440)</f>
        <v/>
      </c>
      <c r="Q440" s="199">
        <f>HLOOKUP(B:B,$4:$10,6,FALSE)+((HLOOKUP(C:C,$4:$10,6,FALSE)-HLOOKUP(B:B,$4:$10,6,FALSE))*E440/F440)</f>
        <v/>
      </c>
      <c r="T440" s="198">
        <f>$G440</f>
        <v/>
      </c>
      <c r="U440" s="199">
        <f>H440/(HLOOKUP(B:B,$4:$10,3,FALSE)+((HLOOKUP(C:C,$4:$10,3,FALSE)-HLOOKUP(B:B,$4:$10,3,FALSE))*E440/F440))</f>
        <v/>
      </c>
      <c r="V440" s="969">
        <f>HLOOKUP(B:B,$4:$10,7,FALSE)+((HLOOKUP(C:C,$4:$10,7,FALSE)-HLOOKUP(B:B,$4:$10,7,FALSE))*E440/F440)</f>
        <v/>
      </c>
      <c r="AB440" s="198">
        <f>$G440</f>
        <v/>
      </c>
      <c r="AC440" s="199">
        <f>$H440</f>
        <v/>
      </c>
      <c r="AD440" s="199">
        <f>$M440*AD$34</f>
        <v/>
      </c>
      <c r="AE440" s="199">
        <f>$M440*AE$34</f>
        <v/>
      </c>
      <c r="AF440" s="199">
        <f>$M440*AF$34</f>
        <v/>
      </c>
      <c r="AG440" s="199">
        <f>$M440*AG$34</f>
        <v/>
      </c>
      <c r="AH440" s="199">
        <f>$M440*AH$34</f>
        <v/>
      </c>
      <c r="AJ440" s="198">
        <f>$G440</f>
        <v/>
      </c>
      <c r="AK440" s="199">
        <f>$H440</f>
        <v/>
      </c>
      <c r="AL440" s="199">
        <f>$N440*AL$34</f>
        <v/>
      </c>
      <c r="AM440" s="199">
        <f>$N440*AM$34</f>
        <v/>
      </c>
      <c r="AN440" s="199">
        <f>$N440*AN$34</f>
        <v/>
      </c>
      <c r="AO440" s="199">
        <f>$N440*AO$34</f>
        <v/>
      </c>
      <c r="AP440" s="199">
        <f>$N440*AP$34</f>
        <v/>
      </c>
      <c r="AR440" s="198">
        <f>$G440</f>
        <v/>
      </c>
      <c r="AS440" s="199">
        <f>$H440</f>
        <v/>
      </c>
      <c r="AT440" s="199">
        <f>$O440*AT$34-$Q440</f>
        <v/>
      </c>
      <c r="AU440" s="199">
        <f>$O440*AU$34-$Q440</f>
        <v/>
      </c>
      <c r="AV440" s="199">
        <f>$O440*AV$34-$Q440</f>
        <v/>
      </c>
      <c r="AW440" s="199">
        <f>$O440*AW$34-$Q440</f>
        <v/>
      </c>
      <c r="AX440" s="199">
        <f>$O440*AX$34-$Q440</f>
        <v/>
      </c>
      <c r="AZ440" s="198">
        <f>$G440</f>
        <v/>
      </c>
      <c r="BA440" s="199">
        <f>$H440</f>
        <v/>
      </c>
      <c r="BB440" s="199">
        <f>$P440*BB$34-$Q440</f>
        <v/>
      </c>
      <c r="BC440" s="199">
        <f>$P440*BC$34-$Q440</f>
        <v/>
      </c>
      <c r="BD440" s="199">
        <f>$P440*BD$34-$Q440</f>
        <v/>
      </c>
      <c r="BE440" s="199">
        <f>$P440*BE$34-$Q440</f>
        <v/>
      </c>
      <c r="BF440" s="199">
        <f>$P440*BF$34-$Q440</f>
        <v/>
      </c>
      <c r="BH440" s="198">
        <f>$G440</f>
        <v/>
      </c>
      <c r="BI440" s="197">
        <f>$I440</f>
        <v/>
      </c>
      <c r="BJ440" s="197">
        <f>+BJ441</f>
        <v/>
      </c>
      <c r="BK440" s="197">
        <f>+BK441</f>
        <v/>
      </c>
      <c r="BL440" s="197">
        <f>+BL441</f>
        <v/>
      </c>
      <c r="BM440" s="197">
        <f>+BM441</f>
        <v/>
      </c>
      <c r="BN440" s="197">
        <f>+BN441</f>
        <v/>
      </c>
      <c r="BP440" s="198">
        <f>$G440</f>
        <v/>
      </c>
      <c r="BQ440" s="197">
        <f>$J440</f>
        <v/>
      </c>
      <c r="BR440" s="197">
        <f>+BR441</f>
        <v/>
      </c>
      <c r="BS440" s="197">
        <f>+BS441</f>
        <v/>
      </c>
      <c r="BT440" s="197">
        <f>+BT441</f>
        <v/>
      </c>
      <c r="BU440" s="197">
        <f>+BU441</f>
        <v/>
      </c>
      <c r="BV440" s="197">
        <f>+BV441</f>
        <v/>
      </c>
      <c r="BX440" s="198">
        <f>$G440</f>
        <v/>
      </c>
      <c r="BY440" s="197">
        <f>$K440</f>
        <v/>
      </c>
      <c r="BZ440" s="197">
        <f>+BZ441</f>
        <v/>
      </c>
      <c r="CA440" s="197">
        <f>+CA441</f>
        <v/>
      </c>
      <c r="CB440" s="197">
        <f>+CB441</f>
        <v/>
      </c>
      <c r="CC440" s="197">
        <f>+CC441</f>
        <v/>
      </c>
      <c r="CD440" s="197">
        <f>+CD441</f>
        <v/>
      </c>
      <c r="CF440" s="198">
        <f>$G440</f>
        <v/>
      </c>
      <c r="CG440" s="197">
        <f>$L440</f>
        <v/>
      </c>
      <c r="CH440" s="197">
        <f>+CH441</f>
        <v/>
      </c>
      <c r="CI440" s="197">
        <f>+CI441</f>
        <v/>
      </c>
      <c r="CJ440" s="197">
        <f>+CJ441</f>
        <v/>
      </c>
      <c r="CK440" s="197">
        <f>+CK441</f>
        <v/>
      </c>
      <c r="CL440" s="197">
        <f>+CL441</f>
        <v/>
      </c>
      <c r="CO440" s="199" t="n">
        <v>4.983901012817507</v>
      </c>
      <c r="CP440" s="199" t="n">
        <v>2.76</v>
      </c>
      <c r="CR440" s="199" t="n">
        <v>4.04</v>
      </c>
      <c r="CS440" s="970" t="n">
        <v>0.8106100000000001</v>
      </c>
    </row>
    <row r="441">
      <c r="B441" s="204">
        <f>+C441-1</f>
        <v/>
      </c>
      <c r="C441" s="204">
        <f>IF('bands_A-H_Avg'!$D$9+1&gt;MONTH(G441),YEAR(G441),YEAR(G441)+1)</f>
        <v/>
      </c>
      <c r="D441" s="204">
        <f>+C441+1</f>
        <v/>
      </c>
      <c r="E441" s="203">
        <f>IF(C441&gt;C440,1,E440+1)</f>
        <v/>
      </c>
      <c r="F441" s="203">
        <f>COUNTIF(C:C,C441)</f>
        <v/>
      </c>
      <c r="G441" s="198">
        <f>+G440+7</f>
        <v/>
      </c>
      <c r="H441" s="361">
        <f>IF(ISBLANK(CO441),CP441,SUMPRODUCT(CO$32:CP$32,CO441:CP441))</f>
        <v/>
      </c>
      <c r="I441" s="968">
        <f>H441/M441</f>
        <v/>
      </c>
      <c r="J441" s="968">
        <f>H441/N441</f>
        <v/>
      </c>
      <c r="K441" s="968">
        <f>(H441+Q441)/O441</f>
        <v/>
      </c>
      <c r="L441" s="968">
        <f>(H441+Q441)/P441</f>
        <v/>
      </c>
      <c r="M441" s="199">
        <f>HLOOKUP(C:C,$4:$10,3,FALSE)+((HLOOKUP(D:D,$4:$10,3,FALSE)-HLOOKUP(C:C,$4:$10,3,FALSE))*E441/F441)</f>
        <v/>
      </c>
      <c r="N441" s="199">
        <f>HLOOKUP(C:C,$4:$10,2,FALSE)+((HLOOKUP(D:D,$4:$10,2,FALSE)-HLOOKUP(C:C,$4:$10,2,FALSE))*E441/F441)</f>
        <v/>
      </c>
      <c r="O441" s="199">
        <f>HLOOKUP(C:C,$4:$10,5,FALSE)+((HLOOKUP(D:D,$4:$10,5,FALSE)-HLOOKUP(C:C,$4:$10,5,FALSE))*E441/F441)</f>
        <v/>
      </c>
      <c r="P441" s="199">
        <f>HLOOKUP(C:C,$4:$10,4,FALSE)+((HLOOKUP(D:D,$4:$10,4,FALSE)-HLOOKUP(C:C,$4:$10,4,FALSE))*E441/F441)</f>
        <v/>
      </c>
      <c r="Q441" s="199">
        <f>HLOOKUP(B:B,$4:$10,6,FALSE)+((HLOOKUP(C:C,$4:$10,6,FALSE)-HLOOKUP(B:B,$4:$10,6,FALSE))*E441/F441)</f>
        <v/>
      </c>
      <c r="T441" s="198">
        <f>$G441</f>
        <v/>
      </c>
      <c r="U441" s="199">
        <f>H441/(HLOOKUP(B:B,$4:$10,3,FALSE)+((HLOOKUP(C:C,$4:$10,3,FALSE)-HLOOKUP(B:B,$4:$10,3,FALSE))*E441/F441))</f>
        <v/>
      </c>
      <c r="V441" s="969">
        <f>HLOOKUP(B:B,$4:$10,7,FALSE)+((HLOOKUP(C:C,$4:$10,7,FALSE)-HLOOKUP(B:B,$4:$10,7,FALSE))*E441/F441)</f>
        <v/>
      </c>
      <c r="AB441" s="198">
        <f>$G441</f>
        <v/>
      </c>
      <c r="AC441" s="199">
        <f>$H441</f>
        <v/>
      </c>
      <c r="AD441" s="199">
        <f>$M441*AD$34</f>
        <v/>
      </c>
      <c r="AE441" s="199">
        <f>$M441*AE$34</f>
        <v/>
      </c>
      <c r="AF441" s="199">
        <f>$M441*AF$34</f>
        <v/>
      </c>
      <c r="AG441" s="199">
        <f>$M441*AG$34</f>
        <v/>
      </c>
      <c r="AH441" s="199">
        <f>$M441*AH$34</f>
        <v/>
      </c>
      <c r="AJ441" s="198">
        <f>$G441</f>
        <v/>
      </c>
      <c r="AK441" s="199">
        <f>$H441</f>
        <v/>
      </c>
      <c r="AL441" s="199">
        <f>$N441*AL$34</f>
        <v/>
      </c>
      <c r="AM441" s="199">
        <f>$N441*AM$34</f>
        <v/>
      </c>
      <c r="AN441" s="199">
        <f>$N441*AN$34</f>
        <v/>
      </c>
      <c r="AO441" s="199">
        <f>$N441*AO$34</f>
        <v/>
      </c>
      <c r="AP441" s="199">
        <f>$N441*AP$34</f>
        <v/>
      </c>
      <c r="AR441" s="198">
        <f>$G441</f>
        <v/>
      </c>
      <c r="AS441" s="199">
        <f>$H441</f>
        <v/>
      </c>
      <c r="AT441" s="199">
        <f>$O441*AT$34-$Q441</f>
        <v/>
      </c>
      <c r="AU441" s="199">
        <f>$O441*AU$34-$Q441</f>
        <v/>
      </c>
      <c r="AV441" s="199">
        <f>$O441*AV$34-$Q441</f>
        <v/>
      </c>
      <c r="AW441" s="199">
        <f>$O441*AW$34-$Q441</f>
        <v/>
      </c>
      <c r="AX441" s="199">
        <f>$O441*AX$34-$Q441</f>
        <v/>
      </c>
      <c r="AZ441" s="198">
        <f>$G441</f>
        <v/>
      </c>
      <c r="BA441" s="199">
        <f>$H441</f>
        <v/>
      </c>
      <c r="BB441" s="199">
        <f>$P441*BB$34-$Q441</f>
        <v/>
      </c>
      <c r="BC441" s="199">
        <f>$P441*BC$34-$Q441</f>
        <v/>
      </c>
      <c r="BD441" s="199">
        <f>$P441*BD$34-$Q441</f>
        <v/>
      </c>
      <c r="BE441" s="199">
        <f>$P441*BE$34-$Q441</f>
        <v/>
      </c>
      <c r="BF441" s="199">
        <f>$P441*BF$34-$Q441</f>
        <v/>
      </c>
      <c r="BH441" s="198">
        <f>$G441</f>
        <v/>
      </c>
      <c r="BI441" s="197">
        <f>$I441</f>
        <v/>
      </c>
      <c r="BJ441" s="197">
        <f>+BJ442</f>
        <v/>
      </c>
      <c r="BK441" s="197">
        <f>+BK442</f>
        <v/>
      </c>
      <c r="BL441" s="197">
        <f>+BL442</f>
        <v/>
      </c>
      <c r="BM441" s="197">
        <f>+BM442</f>
        <v/>
      </c>
      <c r="BN441" s="197">
        <f>+BN442</f>
        <v/>
      </c>
      <c r="BP441" s="198">
        <f>$G441</f>
        <v/>
      </c>
      <c r="BQ441" s="197">
        <f>$J441</f>
        <v/>
      </c>
      <c r="BR441" s="197">
        <f>+BR442</f>
        <v/>
      </c>
      <c r="BS441" s="197">
        <f>+BS442</f>
        <v/>
      </c>
      <c r="BT441" s="197">
        <f>+BT442</f>
        <v/>
      </c>
      <c r="BU441" s="197">
        <f>+BU442</f>
        <v/>
      </c>
      <c r="BV441" s="197">
        <f>+BV442</f>
        <v/>
      </c>
      <c r="BX441" s="198">
        <f>$G441</f>
        <v/>
      </c>
      <c r="BY441" s="197">
        <f>$K441</f>
        <v/>
      </c>
      <c r="BZ441" s="197">
        <f>+BZ442</f>
        <v/>
      </c>
      <c r="CA441" s="197">
        <f>+CA442</f>
        <v/>
      </c>
      <c r="CB441" s="197">
        <f>+CB442</f>
        <v/>
      </c>
      <c r="CC441" s="197">
        <f>+CC442</f>
        <v/>
      </c>
      <c r="CD441" s="197">
        <f>+CD442</f>
        <v/>
      </c>
      <c r="CF441" s="198">
        <f>$G441</f>
        <v/>
      </c>
      <c r="CG441" s="197">
        <f>$L441</f>
        <v/>
      </c>
      <c r="CH441" s="197">
        <f>+CH442</f>
        <v/>
      </c>
      <c r="CI441" s="197">
        <f>+CI442</f>
        <v/>
      </c>
      <c r="CJ441" s="197">
        <f>+CJ442</f>
        <v/>
      </c>
      <c r="CK441" s="197">
        <f>+CK442</f>
        <v/>
      </c>
      <c r="CL441" s="197">
        <f>+CL442</f>
        <v/>
      </c>
      <c r="CO441" s="199" t="n">
        <v>4.947463812486223</v>
      </c>
      <c r="CP441" s="199" t="n">
        <v>2.79</v>
      </c>
      <c r="CR441" s="199" t="n">
        <v>4.04</v>
      </c>
      <c r="CS441" s="970" t="n">
        <v>0.81658</v>
      </c>
    </row>
    <row r="442">
      <c r="B442" s="204">
        <f>+C442-1</f>
        <v/>
      </c>
      <c r="C442" s="204">
        <f>IF('bands_A-H_Avg'!$D$9+1&gt;MONTH(G442),YEAR(G442),YEAR(G442)+1)</f>
        <v/>
      </c>
      <c r="D442" s="204">
        <f>+C442+1</f>
        <v/>
      </c>
      <c r="E442" s="203">
        <f>IF(C442&gt;C441,1,E441+1)</f>
        <v/>
      </c>
      <c r="F442" s="203">
        <f>COUNTIF(C:C,C442)</f>
        <v/>
      </c>
      <c r="G442" s="198">
        <f>+G441+7</f>
        <v/>
      </c>
      <c r="H442" s="361">
        <f>IF(ISBLANK(CO442),CP442,SUMPRODUCT(CO$32:CP$32,CO442:CP442))</f>
        <v/>
      </c>
      <c r="I442" s="968">
        <f>H442/M442</f>
        <v/>
      </c>
      <c r="J442" s="968">
        <f>H442/N442</f>
        <v/>
      </c>
      <c r="K442" s="968">
        <f>(H442+Q442)/O442</f>
        <v/>
      </c>
      <c r="L442" s="968">
        <f>(H442+Q442)/P442</f>
        <v/>
      </c>
      <c r="M442" s="199">
        <f>HLOOKUP(C:C,$4:$10,3,FALSE)+((HLOOKUP(D:D,$4:$10,3,FALSE)-HLOOKUP(C:C,$4:$10,3,FALSE))*E442/F442)</f>
        <v/>
      </c>
      <c r="N442" s="199">
        <f>HLOOKUP(C:C,$4:$10,2,FALSE)+((HLOOKUP(D:D,$4:$10,2,FALSE)-HLOOKUP(C:C,$4:$10,2,FALSE))*E442/F442)</f>
        <v/>
      </c>
      <c r="O442" s="199">
        <f>HLOOKUP(C:C,$4:$10,5,FALSE)+((HLOOKUP(D:D,$4:$10,5,FALSE)-HLOOKUP(C:C,$4:$10,5,FALSE))*E442/F442)</f>
        <v/>
      </c>
      <c r="P442" s="199">
        <f>HLOOKUP(C:C,$4:$10,4,FALSE)+((HLOOKUP(D:D,$4:$10,4,FALSE)-HLOOKUP(C:C,$4:$10,4,FALSE))*E442/F442)</f>
        <v/>
      </c>
      <c r="Q442" s="199">
        <f>HLOOKUP(B:B,$4:$10,6,FALSE)+((HLOOKUP(C:C,$4:$10,6,FALSE)-HLOOKUP(B:B,$4:$10,6,FALSE))*E442/F442)</f>
        <v/>
      </c>
      <c r="T442" s="198">
        <f>$G442</f>
        <v/>
      </c>
      <c r="U442" s="199">
        <f>H442/(HLOOKUP(B:B,$4:$10,3,FALSE)+((HLOOKUP(C:C,$4:$10,3,FALSE)-HLOOKUP(B:B,$4:$10,3,FALSE))*E442/F442))</f>
        <v/>
      </c>
      <c r="V442" s="969">
        <f>HLOOKUP(B:B,$4:$10,7,FALSE)+((HLOOKUP(C:C,$4:$10,7,FALSE)-HLOOKUP(B:B,$4:$10,7,FALSE))*E442/F442)</f>
        <v/>
      </c>
      <c r="AB442" s="198">
        <f>$G442</f>
        <v/>
      </c>
      <c r="AC442" s="199">
        <f>$H442</f>
        <v/>
      </c>
      <c r="AD442" s="199">
        <f>$M442*AD$34</f>
        <v/>
      </c>
      <c r="AE442" s="199">
        <f>$M442*AE$34</f>
        <v/>
      </c>
      <c r="AF442" s="199">
        <f>$M442*AF$34</f>
        <v/>
      </c>
      <c r="AG442" s="199">
        <f>$M442*AG$34</f>
        <v/>
      </c>
      <c r="AH442" s="199">
        <f>$M442*AH$34</f>
        <v/>
      </c>
      <c r="AJ442" s="198">
        <f>$G442</f>
        <v/>
      </c>
      <c r="AK442" s="199">
        <f>$H442</f>
        <v/>
      </c>
      <c r="AL442" s="199">
        <f>$N442*AL$34</f>
        <v/>
      </c>
      <c r="AM442" s="199">
        <f>$N442*AM$34</f>
        <v/>
      </c>
      <c r="AN442" s="199">
        <f>$N442*AN$34</f>
        <v/>
      </c>
      <c r="AO442" s="199">
        <f>$N442*AO$34</f>
        <v/>
      </c>
      <c r="AP442" s="199">
        <f>$N442*AP$34</f>
        <v/>
      </c>
      <c r="AR442" s="198">
        <f>$G442</f>
        <v/>
      </c>
      <c r="AS442" s="199">
        <f>$H442</f>
        <v/>
      </c>
      <c r="AT442" s="199">
        <f>$O442*AT$34-$Q442</f>
        <v/>
      </c>
      <c r="AU442" s="199">
        <f>$O442*AU$34-$Q442</f>
        <v/>
      </c>
      <c r="AV442" s="199">
        <f>$O442*AV$34-$Q442</f>
        <v/>
      </c>
      <c r="AW442" s="199">
        <f>$O442*AW$34-$Q442</f>
        <v/>
      </c>
      <c r="AX442" s="199">
        <f>$O442*AX$34-$Q442</f>
        <v/>
      </c>
      <c r="AZ442" s="198">
        <f>$G442</f>
        <v/>
      </c>
      <c r="BA442" s="199">
        <f>$H442</f>
        <v/>
      </c>
      <c r="BB442" s="199">
        <f>$P442*BB$34-$Q442</f>
        <v/>
      </c>
      <c r="BC442" s="199">
        <f>$P442*BC$34-$Q442</f>
        <v/>
      </c>
      <c r="BD442" s="199">
        <f>$P442*BD$34-$Q442</f>
        <v/>
      </c>
      <c r="BE442" s="199">
        <f>$P442*BE$34-$Q442</f>
        <v/>
      </c>
      <c r="BF442" s="199">
        <f>$P442*BF$34-$Q442</f>
        <v/>
      </c>
      <c r="BH442" s="198">
        <f>$G442</f>
        <v/>
      </c>
      <c r="BI442" s="197">
        <f>$I442</f>
        <v/>
      </c>
      <c r="BJ442" s="197">
        <f>+BJ443</f>
        <v/>
      </c>
      <c r="BK442" s="197">
        <f>+BK443</f>
        <v/>
      </c>
      <c r="BL442" s="197">
        <f>+BL443</f>
        <v/>
      </c>
      <c r="BM442" s="197">
        <f>+BM443</f>
        <v/>
      </c>
      <c r="BN442" s="197">
        <f>+BN443</f>
        <v/>
      </c>
      <c r="BP442" s="198">
        <f>$G442</f>
        <v/>
      </c>
      <c r="BQ442" s="197">
        <f>$J442</f>
        <v/>
      </c>
      <c r="BR442" s="197">
        <f>+BR443</f>
        <v/>
      </c>
      <c r="BS442" s="197">
        <f>+BS443</f>
        <v/>
      </c>
      <c r="BT442" s="197">
        <f>+BT443</f>
        <v/>
      </c>
      <c r="BU442" s="197">
        <f>+BU443</f>
        <v/>
      </c>
      <c r="BV442" s="197">
        <f>+BV443</f>
        <v/>
      </c>
      <c r="BX442" s="198">
        <f>$G442</f>
        <v/>
      </c>
      <c r="BY442" s="197">
        <f>$K442</f>
        <v/>
      </c>
      <c r="BZ442" s="197">
        <f>+BZ443</f>
        <v/>
      </c>
      <c r="CA442" s="197">
        <f>+CA443</f>
        <v/>
      </c>
      <c r="CB442" s="197">
        <f>+CB443</f>
        <v/>
      </c>
      <c r="CC442" s="197">
        <f>+CC443</f>
        <v/>
      </c>
      <c r="CD442" s="197">
        <f>+CD443</f>
        <v/>
      </c>
      <c r="CF442" s="198">
        <f>$G442</f>
        <v/>
      </c>
      <c r="CG442" s="197">
        <f>$L442</f>
        <v/>
      </c>
      <c r="CH442" s="197">
        <f>+CH443</f>
        <v/>
      </c>
      <c r="CI442" s="197">
        <f>+CI443</f>
        <v/>
      </c>
      <c r="CJ442" s="197">
        <f>+CJ443</f>
        <v/>
      </c>
      <c r="CK442" s="197">
        <f>+CK443</f>
        <v/>
      </c>
      <c r="CL442" s="197">
        <f>+CL443</f>
        <v/>
      </c>
      <c r="CO442" s="199" t="n">
        <v>5.03382682151559</v>
      </c>
      <c r="CP442" s="199" t="n">
        <v>2.84</v>
      </c>
      <c r="CR442" s="199" t="n">
        <v>4.07</v>
      </c>
      <c r="CS442" s="970" t="n">
        <v>0.80853</v>
      </c>
    </row>
    <row r="443">
      <c r="B443" s="204">
        <f>+C443-1</f>
        <v/>
      </c>
      <c r="C443" s="204">
        <f>IF('bands_A-H_Avg'!$D$9+1&gt;MONTH(G443),YEAR(G443),YEAR(G443)+1)</f>
        <v/>
      </c>
      <c r="D443" s="204">
        <f>+C443+1</f>
        <v/>
      </c>
      <c r="E443" s="203">
        <f>IF(C443&gt;C442,1,E442+1)</f>
        <v/>
      </c>
      <c r="F443" s="203">
        <f>COUNTIF(C:C,C443)</f>
        <v/>
      </c>
      <c r="G443" s="198">
        <f>+G442+7</f>
        <v/>
      </c>
      <c r="H443" s="361">
        <f>IF(ISBLANK(CO443),CP443,SUMPRODUCT(CO$32:CP$32,CO443:CP443))</f>
        <v/>
      </c>
      <c r="I443" s="968">
        <f>H443/M443</f>
        <v/>
      </c>
      <c r="J443" s="968">
        <f>H443/N443</f>
        <v/>
      </c>
      <c r="K443" s="968">
        <f>(H443+Q443)/O443</f>
        <v/>
      </c>
      <c r="L443" s="968">
        <f>(H443+Q443)/P443</f>
        <v/>
      </c>
      <c r="M443" s="199">
        <f>HLOOKUP(C:C,$4:$10,3,FALSE)+((HLOOKUP(D:D,$4:$10,3,FALSE)-HLOOKUP(C:C,$4:$10,3,FALSE))*E443/F443)</f>
        <v/>
      </c>
      <c r="N443" s="199">
        <f>HLOOKUP(C:C,$4:$10,2,FALSE)+((HLOOKUP(D:D,$4:$10,2,FALSE)-HLOOKUP(C:C,$4:$10,2,FALSE))*E443/F443)</f>
        <v/>
      </c>
      <c r="O443" s="199">
        <f>HLOOKUP(C:C,$4:$10,5,FALSE)+((HLOOKUP(D:D,$4:$10,5,FALSE)-HLOOKUP(C:C,$4:$10,5,FALSE))*E443/F443)</f>
        <v/>
      </c>
      <c r="P443" s="199">
        <f>HLOOKUP(C:C,$4:$10,4,FALSE)+((HLOOKUP(D:D,$4:$10,4,FALSE)-HLOOKUP(C:C,$4:$10,4,FALSE))*E443/F443)</f>
        <v/>
      </c>
      <c r="Q443" s="199">
        <f>HLOOKUP(B:B,$4:$10,6,FALSE)+((HLOOKUP(C:C,$4:$10,6,FALSE)-HLOOKUP(B:B,$4:$10,6,FALSE))*E443/F443)</f>
        <v/>
      </c>
      <c r="T443" s="198">
        <f>$G443</f>
        <v/>
      </c>
      <c r="U443" s="199">
        <f>H443/(HLOOKUP(B:B,$4:$10,3,FALSE)+((HLOOKUP(C:C,$4:$10,3,FALSE)-HLOOKUP(B:B,$4:$10,3,FALSE))*E443/F443))</f>
        <v/>
      </c>
      <c r="V443" s="969">
        <f>HLOOKUP(B:B,$4:$10,7,FALSE)+((HLOOKUP(C:C,$4:$10,7,FALSE)-HLOOKUP(B:B,$4:$10,7,FALSE))*E443/F443)</f>
        <v/>
      </c>
      <c r="AB443" s="198">
        <f>$G443</f>
        <v/>
      </c>
      <c r="AC443" s="199">
        <f>$H443</f>
        <v/>
      </c>
      <c r="AD443" s="199">
        <f>$M443*AD$34</f>
        <v/>
      </c>
      <c r="AE443" s="199">
        <f>$M443*AE$34</f>
        <v/>
      </c>
      <c r="AF443" s="199">
        <f>$M443*AF$34</f>
        <v/>
      </c>
      <c r="AG443" s="199">
        <f>$M443*AG$34</f>
        <v/>
      </c>
      <c r="AH443" s="199">
        <f>$M443*AH$34</f>
        <v/>
      </c>
      <c r="AJ443" s="198">
        <f>$G443</f>
        <v/>
      </c>
      <c r="AK443" s="199">
        <f>$H443</f>
        <v/>
      </c>
      <c r="AL443" s="199">
        <f>$N443*AL$34</f>
        <v/>
      </c>
      <c r="AM443" s="199">
        <f>$N443*AM$34</f>
        <v/>
      </c>
      <c r="AN443" s="199">
        <f>$N443*AN$34</f>
        <v/>
      </c>
      <c r="AO443" s="199">
        <f>$N443*AO$34</f>
        <v/>
      </c>
      <c r="AP443" s="199">
        <f>$N443*AP$34</f>
        <v/>
      </c>
      <c r="AR443" s="198">
        <f>$G443</f>
        <v/>
      </c>
      <c r="AS443" s="199">
        <f>$H443</f>
        <v/>
      </c>
      <c r="AT443" s="199">
        <f>$O443*AT$34-$Q443</f>
        <v/>
      </c>
      <c r="AU443" s="199">
        <f>$O443*AU$34-$Q443</f>
        <v/>
      </c>
      <c r="AV443" s="199">
        <f>$O443*AV$34-$Q443</f>
        <v/>
      </c>
      <c r="AW443" s="199">
        <f>$O443*AW$34-$Q443</f>
        <v/>
      </c>
      <c r="AX443" s="199">
        <f>$O443*AX$34-$Q443</f>
        <v/>
      </c>
      <c r="AZ443" s="198">
        <f>$G443</f>
        <v/>
      </c>
      <c r="BA443" s="199">
        <f>$H443</f>
        <v/>
      </c>
      <c r="BB443" s="199">
        <f>$P443*BB$34-$Q443</f>
        <v/>
      </c>
      <c r="BC443" s="199">
        <f>$P443*BC$34-$Q443</f>
        <v/>
      </c>
      <c r="BD443" s="199">
        <f>$P443*BD$34-$Q443</f>
        <v/>
      </c>
      <c r="BE443" s="199">
        <f>$P443*BE$34-$Q443</f>
        <v/>
      </c>
      <c r="BF443" s="199">
        <f>$P443*BF$34-$Q443</f>
        <v/>
      </c>
      <c r="BH443" s="198">
        <f>$G443</f>
        <v/>
      </c>
      <c r="BI443" s="197">
        <f>$I443</f>
        <v/>
      </c>
      <c r="BJ443" s="197">
        <f>+BJ444</f>
        <v/>
      </c>
      <c r="BK443" s="197">
        <f>+BK444</f>
        <v/>
      </c>
      <c r="BL443" s="197">
        <f>+BL444</f>
        <v/>
      </c>
      <c r="BM443" s="197">
        <f>+BM444</f>
        <v/>
      </c>
      <c r="BN443" s="197">
        <f>+BN444</f>
        <v/>
      </c>
      <c r="BP443" s="198">
        <f>$G443</f>
        <v/>
      </c>
      <c r="BQ443" s="197">
        <f>$J443</f>
        <v/>
      </c>
      <c r="BR443" s="197">
        <f>+BR444</f>
        <v/>
      </c>
      <c r="BS443" s="197">
        <f>+BS444</f>
        <v/>
      </c>
      <c r="BT443" s="197">
        <f>+BT444</f>
        <v/>
      </c>
      <c r="BU443" s="197">
        <f>+BU444</f>
        <v/>
      </c>
      <c r="BV443" s="197">
        <f>+BV444</f>
        <v/>
      </c>
      <c r="BX443" s="198">
        <f>$G443</f>
        <v/>
      </c>
      <c r="BY443" s="197">
        <f>$K443</f>
        <v/>
      </c>
      <c r="BZ443" s="197">
        <f>+BZ444</f>
        <v/>
      </c>
      <c r="CA443" s="197">
        <f>+CA444</f>
        <v/>
      </c>
      <c r="CB443" s="197">
        <f>+CB444</f>
        <v/>
      </c>
      <c r="CC443" s="197">
        <f>+CC444</f>
        <v/>
      </c>
      <c r="CD443" s="197">
        <f>+CD444</f>
        <v/>
      </c>
      <c r="CF443" s="198">
        <f>$G443</f>
        <v/>
      </c>
      <c r="CG443" s="197">
        <f>$L443</f>
        <v/>
      </c>
      <c r="CH443" s="197">
        <f>+CH444</f>
        <v/>
      </c>
      <c r="CI443" s="197">
        <f>+CI444</f>
        <v/>
      </c>
      <c r="CJ443" s="197">
        <f>+CJ444</f>
        <v/>
      </c>
      <c r="CK443" s="197">
        <f>+CK444</f>
        <v/>
      </c>
      <c r="CL443" s="197">
        <f>+CL444</f>
        <v/>
      </c>
      <c r="CO443" s="199" t="n">
        <v>5.167670458770169</v>
      </c>
      <c r="CP443" s="199" t="n">
        <v>3.31</v>
      </c>
      <c r="CR443" s="199" t="n">
        <v>4.17</v>
      </c>
      <c r="CS443" s="970" t="n">
        <v>0.80694</v>
      </c>
    </row>
    <row r="444">
      <c r="B444" s="204">
        <f>+C444-1</f>
        <v/>
      </c>
      <c r="C444" s="204">
        <f>IF('bands_A-H_Avg'!$D$9+1&gt;MONTH(G444),YEAR(G444),YEAR(G444)+1)</f>
        <v/>
      </c>
      <c r="D444" s="204">
        <f>+C444+1</f>
        <v/>
      </c>
      <c r="E444" s="203">
        <f>IF(C444&gt;C443,1,E443+1)</f>
        <v/>
      </c>
      <c r="F444" s="203">
        <f>COUNTIF(C:C,C444)</f>
        <v/>
      </c>
      <c r="G444" s="198">
        <f>+G443+7</f>
        <v/>
      </c>
      <c r="H444" s="361">
        <f>IF(ISBLANK(CO444),CP444,SUMPRODUCT(CO$32:CP$32,CO444:CP444))</f>
        <v/>
      </c>
      <c r="I444" s="968">
        <f>H444/M444</f>
        <v/>
      </c>
      <c r="J444" s="968">
        <f>H444/N444</f>
        <v/>
      </c>
      <c r="K444" s="968">
        <f>(H444+Q444)/O444</f>
        <v/>
      </c>
      <c r="L444" s="968">
        <f>(H444+Q444)/P444</f>
        <v/>
      </c>
      <c r="M444" s="199">
        <f>HLOOKUP(C:C,$4:$10,3,FALSE)+((HLOOKUP(D:D,$4:$10,3,FALSE)-HLOOKUP(C:C,$4:$10,3,FALSE))*E444/F444)</f>
        <v/>
      </c>
      <c r="N444" s="199">
        <f>HLOOKUP(C:C,$4:$10,2,FALSE)+((HLOOKUP(D:D,$4:$10,2,FALSE)-HLOOKUP(C:C,$4:$10,2,FALSE))*E444/F444)</f>
        <v/>
      </c>
      <c r="O444" s="199">
        <f>HLOOKUP(C:C,$4:$10,5,FALSE)+((HLOOKUP(D:D,$4:$10,5,FALSE)-HLOOKUP(C:C,$4:$10,5,FALSE))*E444/F444)</f>
        <v/>
      </c>
      <c r="P444" s="199">
        <f>HLOOKUP(C:C,$4:$10,4,FALSE)+((HLOOKUP(D:D,$4:$10,4,FALSE)-HLOOKUP(C:C,$4:$10,4,FALSE))*E444/F444)</f>
        <v/>
      </c>
      <c r="Q444" s="199">
        <f>HLOOKUP(B:B,$4:$10,6,FALSE)+((HLOOKUP(C:C,$4:$10,6,FALSE)-HLOOKUP(B:B,$4:$10,6,FALSE))*E444/F444)</f>
        <v/>
      </c>
      <c r="T444" s="198">
        <f>$G444</f>
        <v/>
      </c>
      <c r="U444" s="199">
        <f>H444/(HLOOKUP(B:B,$4:$10,3,FALSE)+((HLOOKUP(C:C,$4:$10,3,FALSE)-HLOOKUP(B:B,$4:$10,3,FALSE))*E444/F444))</f>
        <v/>
      </c>
      <c r="V444" s="969">
        <f>HLOOKUP(B:B,$4:$10,7,FALSE)+((HLOOKUP(C:C,$4:$10,7,FALSE)-HLOOKUP(B:B,$4:$10,7,FALSE))*E444/F444)</f>
        <v/>
      </c>
      <c r="AB444" s="198">
        <f>$G444</f>
        <v/>
      </c>
      <c r="AC444" s="199">
        <f>$H444</f>
        <v/>
      </c>
      <c r="AD444" s="199">
        <f>$M444*AD$34</f>
        <v/>
      </c>
      <c r="AE444" s="199">
        <f>$M444*AE$34</f>
        <v/>
      </c>
      <c r="AF444" s="199">
        <f>$M444*AF$34</f>
        <v/>
      </c>
      <c r="AG444" s="199">
        <f>$M444*AG$34</f>
        <v/>
      </c>
      <c r="AH444" s="199">
        <f>$M444*AH$34</f>
        <v/>
      </c>
      <c r="AJ444" s="198">
        <f>$G444</f>
        <v/>
      </c>
      <c r="AK444" s="199">
        <f>$H444</f>
        <v/>
      </c>
      <c r="AL444" s="199">
        <f>$N444*AL$34</f>
        <v/>
      </c>
      <c r="AM444" s="199">
        <f>$N444*AM$34</f>
        <v/>
      </c>
      <c r="AN444" s="199">
        <f>$N444*AN$34</f>
        <v/>
      </c>
      <c r="AO444" s="199">
        <f>$N444*AO$34</f>
        <v/>
      </c>
      <c r="AP444" s="199">
        <f>$N444*AP$34</f>
        <v/>
      </c>
      <c r="AR444" s="198">
        <f>$G444</f>
        <v/>
      </c>
      <c r="AS444" s="199">
        <f>$H444</f>
        <v/>
      </c>
      <c r="AT444" s="199">
        <f>$O444*AT$34-$Q444</f>
        <v/>
      </c>
      <c r="AU444" s="199">
        <f>$O444*AU$34-$Q444</f>
        <v/>
      </c>
      <c r="AV444" s="199">
        <f>$O444*AV$34-$Q444</f>
        <v/>
      </c>
      <c r="AW444" s="199">
        <f>$O444*AW$34-$Q444</f>
        <v/>
      </c>
      <c r="AX444" s="199">
        <f>$O444*AX$34-$Q444</f>
        <v/>
      </c>
      <c r="AZ444" s="198">
        <f>$G444</f>
        <v/>
      </c>
      <c r="BA444" s="199">
        <f>$H444</f>
        <v/>
      </c>
      <c r="BB444" s="199">
        <f>$P444*BB$34-$Q444</f>
        <v/>
      </c>
      <c r="BC444" s="199">
        <f>$P444*BC$34-$Q444</f>
        <v/>
      </c>
      <c r="BD444" s="199">
        <f>$P444*BD$34-$Q444</f>
        <v/>
      </c>
      <c r="BE444" s="199">
        <f>$P444*BE$34-$Q444</f>
        <v/>
      </c>
      <c r="BF444" s="199">
        <f>$P444*BF$34-$Q444</f>
        <v/>
      </c>
      <c r="BH444" s="198">
        <f>$G444</f>
        <v/>
      </c>
      <c r="BI444" s="197">
        <f>$I444</f>
        <v/>
      </c>
      <c r="BJ444" s="197">
        <f>+BJ445</f>
        <v/>
      </c>
      <c r="BK444" s="197">
        <f>+BK445</f>
        <v/>
      </c>
      <c r="BL444" s="197">
        <f>+BL445</f>
        <v/>
      </c>
      <c r="BM444" s="197">
        <f>+BM445</f>
        <v/>
      </c>
      <c r="BN444" s="197">
        <f>+BN445</f>
        <v/>
      </c>
      <c r="BP444" s="198">
        <f>$G444</f>
        <v/>
      </c>
      <c r="BQ444" s="197">
        <f>$J444</f>
        <v/>
      </c>
      <c r="BR444" s="197">
        <f>+BR445</f>
        <v/>
      </c>
      <c r="BS444" s="197">
        <f>+BS445</f>
        <v/>
      </c>
      <c r="BT444" s="197">
        <f>+BT445</f>
        <v/>
      </c>
      <c r="BU444" s="197">
        <f>+BU445</f>
        <v/>
      </c>
      <c r="BV444" s="197">
        <f>+BV445</f>
        <v/>
      </c>
      <c r="BX444" s="198">
        <f>$G444</f>
        <v/>
      </c>
      <c r="BY444" s="197">
        <f>$K444</f>
        <v/>
      </c>
      <c r="BZ444" s="197">
        <f>+BZ445</f>
        <v/>
      </c>
      <c r="CA444" s="197">
        <f>+CA445</f>
        <v/>
      </c>
      <c r="CB444" s="197">
        <f>+CB445</f>
        <v/>
      </c>
      <c r="CC444" s="197">
        <f>+CC445</f>
        <v/>
      </c>
      <c r="CD444" s="197">
        <f>+CD445</f>
        <v/>
      </c>
      <c r="CF444" s="198">
        <f>$G444</f>
        <v/>
      </c>
      <c r="CG444" s="197">
        <f>$L444</f>
        <v/>
      </c>
      <c r="CH444" s="197">
        <f>+CH445</f>
        <v/>
      </c>
      <c r="CI444" s="197">
        <f>+CI445</f>
        <v/>
      </c>
      <c r="CJ444" s="197">
        <f>+CJ445</f>
        <v/>
      </c>
      <c r="CK444" s="197">
        <f>+CK445</f>
        <v/>
      </c>
      <c r="CL444" s="197">
        <f>+CL445</f>
        <v/>
      </c>
      <c r="CO444" s="199" t="n">
        <v>5.122353554020365</v>
      </c>
      <c r="CP444" s="199" t="n">
        <v>3.21</v>
      </c>
      <c r="CR444" s="199" t="n">
        <v>4.13</v>
      </c>
      <c r="CS444" s="970" t="n">
        <v>0.80627</v>
      </c>
    </row>
    <row r="445">
      <c r="B445" s="204">
        <f>+C445-1</f>
        <v/>
      </c>
      <c r="C445" s="204">
        <f>IF('bands_A-H_Avg'!$D$9+1&gt;MONTH(G445),YEAR(G445),YEAR(G445)+1)</f>
        <v/>
      </c>
      <c r="D445" s="204">
        <f>+C445+1</f>
        <v/>
      </c>
      <c r="E445" s="203">
        <f>IF(C445&gt;C444,1,E444+1)</f>
        <v/>
      </c>
      <c r="F445" s="203">
        <f>COUNTIF(C:C,C445)</f>
        <v/>
      </c>
      <c r="G445" s="198">
        <f>+G444+7</f>
        <v/>
      </c>
      <c r="H445" s="361">
        <f>IF(ISBLANK(CO445),CP445,SUMPRODUCT(CO$32:CP$32,CO445:CP445))</f>
        <v/>
      </c>
      <c r="I445" s="968">
        <f>H445/M445</f>
        <v/>
      </c>
      <c r="J445" s="968">
        <f>H445/N445</f>
        <v/>
      </c>
      <c r="K445" s="968">
        <f>(H445+Q445)/O445</f>
        <v/>
      </c>
      <c r="L445" s="968">
        <f>(H445+Q445)/P445</f>
        <v/>
      </c>
      <c r="M445" s="199">
        <f>HLOOKUP(C:C,$4:$10,3,FALSE)+((HLOOKUP(D:D,$4:$10,3,FALSE)-HLOOKUP(C:C,$4:$10,3,FALSE))*E445/F445)</f>
        <v/>
      </c>
      <c r="N445" s="199">
        <f>HLOOKUP(C:C,$4:$10,2,FALSE)+((HLOOKUP(D:D,$4:$10,2,FALSE)-HLOOKUP(C:C,$4:$10,2,FALSE))*E445/F445)</f>
        <v/>
      </c>
      <c r="O445" s="199">
        <f>HLOOKUP(C:C,$4:$10,5,FALSE)+((HLOOKUP(D:D,$4:$10,5,FALSE)-HLOOKUP(C:C,$4:$10,5,FALSE))*E445/F445)</f>
        <v/>
      </c>
      <c r="P445" s="199">
        <f>HLOOKUP(C:C,$4:$10,4,FALSE)+((HLOOKUP(D:D,$4:$10,4,FALSE)-HLOOKUP(C:C,$4:$10,4,FALSE))*E445/F445)</f>
        <v/>
      </c>
      <c r="Q445" s="199">
        <f>HLOOKUP(B:B,$4:$10,6,FALSE)+((HLOOKUP(C:C,$4:$10,6,FALSE)-HLOOKUP(B:B,$4:$10,6,FALSE))*E445/F445)</f>
        <v/>
      </c>
      <c r="T445" s="198">
        <f>$G445</f>
        <v/>
      </c>
      <c r="U445" s="199">
        <f>H445/(HLOOKUP(B:B,$4:$10,3,FALSE)+((HLOOKUP(C:C,$4:$10,3,FALSE)-HLOOKUP(B:B,$4:$10,3,FALSE))*E445/F445))</f>
        <v/>
      </c>
      <c r="V445" s="969">
        <f>HLOOKUP(B:B,$4:$10,7,FALSE)+((HLOOKUP(C:C,$4:$10,7,FALSE)-HLOOKUP(B:B,$4:$10,7,FALSE))*E445/F445)</f>
        <v/>
      </c>
      <c r="AB445" s="198">
        <f>$G445</f>
        <v/>
      </c>
      <c r="AC445" s="199">
        <f>$H445</f>
        <v/>
      </c>
      <c r="AD445" s="199">
        <f>$M445*AD$34</f>
        <v/>
      </c>
      <c r="AE445" s="199">
        <f>$M445*AE$34</f>
        <v/>
      </c>
      <c r="AF445" s="199">
        <f>$M445*AF$34</f>
        <v/>
      </c>
      <c r="AG445" s="199">
        <f>$M445*AG$34</f>
        <v/>
      </c>
      <c r="AH445" s="199">
        <f>$M445*AH$34</f>
        <v/>
      </c>
      <c r="AJ445" s="198">
        <f>$G445</f>
        <v/>
      </c>
      <c r="AK445" s="199">
        <f>$H445</f>
        <v/>
      </c>
      <c r="AL445" s="199">
        <f>$N445*AL$34</f>
        <v/>
      </c>
      <c r="AM445" s="199">
        <f>$N445*AM$34</f>
        <v/>
      </c>
      <c r="AN445" s="199">
        <f>$N445*AN$34</f>
        <v/>
      </c>
      <c r="AO445" s="199">
        <f>$N445*AO$34</f>
        <v/>
      </c>
      <c r="AP445" s="199">
        <f>$N445*AP$34</f>
        <v/>
      </c>
      <c r="AR445" s="198">
        <f>$G445</f>
        <v/>
      </c>
      <c r="AS445" s="199">
        <f>$H445</f>
        <v/>
      </c>
      <c r="AT445" s="199">
        <f>$O445*AT$34-$Q445</f>
        <v/>
      </c>
      <c r="AU445" s="199">
        <f>$O445*AU$34-$Q445</f>
        <v/>
      </c>
      <c r="AV445" s="199">
        <f>$O445*AV$34-$Q445</f>
        <v/>
      </c>
      <c r="AW445" s="199">
        <f>$O445*AW$34-$Q445</f>
        <v/>
      </c>
      <c r="AX445" s="199">
        <f>$O445*AX$34-$Q445</f>
        <v/>
      </c>
      <c r="AZ445" s="198">
        <f>$G445</f>
        <v/>
      </c>
      <c r="BA445" s="199">
        <f>$H445</f>
        <v/>
      </c>
      <c r="BB445" s="199">
        <f>$P445*BB$34-$Q445</f>
        <v/>
      </c>
      <c r="BC445" s="199">
        <f>$P445*BC$34-$Q445</f>
        <v/>
      </c>
      <c r="BD445" s="199">
        <f>$P445*BD$34-$Q445</f>
        <v/>
      </c>
      <c r="BE445" s="199">
        <f>$P445*BE$34-$Q445</f>
        <v/>
      </c>
      <c r="BF445" s="199">
        <f>$P445*BF$34-$Q445</f>
        <v/>
      </c>
      <c r="BH445" s="198">
        <f>$G445</f>
        <v/>
      </c>
      <c r="BI445" s="197">
        <f>$I445</f>
        <v/>
      </c>
      <c r="BJ445" s="197">
        <f>+BJ446</f>
        <v/>
      </c>
      <c r="BK445" s="197">
        <f>+BK446</f>
        <v/>
      </c>
      <c r="BL445" s="197">
        <f>+BL446</f>
        <v/>
      </c>
      <c r="BM445" s="197">
        <f>+BM446</f>
        <v/>
      </c>
      <c r="BN445" s="197">
        <f>+BN446</f>
        <v/>
      </c>
      <c r="BP445" s="198">
        <f>$G445</f>
        <v/>
      </c>
      <c r="BQ445" s="197">
        <f>$J445</f>
        <v/>
      </c>
      <c r="BR445" s="197">
        <f>+BR446</f>
        <v/>
      </c>
      <c r="BS445" s="197">
        <f>+BS446</f>
        <v/>
      </c>
      <c r="BT445" s="197">
        <f>+BT446</f>
        <v/>
      </c>
      <c r="BU445" s="197">
        <f>+BU446</f>
        <v/>
      </c>
      <c r="BV445" s="197">
        <f>+BV446</f>
        <v/>
      </c>
      <c r="BX445" s="198">
        <f>$G445</f>
        <v/>
      </c>
      <c r="BY445" s="197">
        <f>$K445</f>
        <v/>
      </c>
      <c r="BZ445" s="197">
        <f>+BZ446</f>
        <v/>
      </c>
      <c r="CA445" s="197">
        <f>+CA446</f>
        <v/>
      </c>
      <c r="CB445" s="197">
        <f>+CB446</f>
        <v/>
      </c>
      <c r="CC445" s="197">
        <f>+CC446</f>
        <v/>
      </c>
      <c r="CD445" s="197">
        <f>+CD446</f>
        <v/>
      </c>
      <c r="CF445" s="198">
        <f>$G445</f>
        <v/>
      </c>
      <c r="CG445" s="197">
        <f>$L445</f>
        <v/>
      </c>
      <c r="CH445" s="197">
        <f>+CH446</f>
        <v/>
      </c>
      <c r="CI445" s="197">
        <f>+CI446</f>
        <v/>
      </c>
      <c r="CJ445" s="197">
        <f>+CJ446</f>
        <v/>
      </c>
      <c r="CK445" s="197">
        <f>+CK446</f>
        <v/>
      </c>
      <c r="CL445" s="197">
        <f>+CL446</f>
        <v/>
      </c>
      <c r="CO445" s="199" t="n">
        <v>5.240022847492984</v>
      </c>
      <c r="CP445" s="199" t="n">
        <v>3.22</v>
      </c>
      <c r="CR445" s="199" t="n">
        <v>4.22</v>
      </c>
      <c r="CS445" s="970" t="n">
        <v>0.8053399999999999</v>
      </c>
    </row>
    <row r="446">
      <c r="B446" s="204">
        <f>+C446-1</f>
        <v/>
      </c>
      <c r="C446" s="204">
        <f>IF('bands_A-H_Avg'!$D$9+1&gt;MONTH(G446),YEAR(G446),YEAR(G446)+1)</f>
        <v/>
      </c>
      <c r="D446" s="204">
        <f>+C446+1</f>
        <v/>
      </c>
      <c r="E446" s="203">
        <f>IF(C446&gt;C445,1,E445+1)</f>
        <v/>
      </c>
      <c r="F446" s="203">
        <f>COUNTIF(C:C,C446)</f>
        <v/>
      </c>
      <c r="G446" s="198">
        <f>+G445+7</f>
        <v/>
      </c>
      <c r="H446" s="361">
        <f>IF(ISBLANK(CO446),CP446,SUMPRODUCT(CO$32:CP$32,CO446:CP446))</f>
        <v/>
      </c>
      <c r="I446" s="968">
        <f>H446/M446</f>
        <v/>
      </c>
      <c r="J446" s="968">
        <f>H446/N446</f>
        <v/>
      </c>
      <c r="K446" s="968">
        <f>(H446+Q446)/O446</f>
        <v/>
      </c>
      <c r="L446" s="968">
        <f>(H446+Q446)/P446</f>
        <v/>
      </c>
      <c r="M446" s="199">
        <f>HLOOKUP(C:C,$4:$10,3,FALSE)+((HLOOKUP(D:D,$4:$10,3,FALSE)-HLOOKUP(C:C,$4:$10,3,FALSE))*E446/F446)</f>
        <v/>
      </c>
      <c r="N446" s="199">
        <f>HLOOKUP(C:C,$4:$10,2,FALSE)+((HLOOKUP(D:D,$4:$10,2,FALSE)-HLOOKUP(C:C,$4:$10,2,FALSE))*E446/F446)</f>
        <v/>
      </c>
      <c r="O446" s="199">
        <f>HLOOKUP(C:C,$4:$10,5,FALSE)+((HLOOKUP(D:D,$4:$10,5,FALSE)-HLOOKUP(C:C,$4:$10,5,FALSE))*E446/F446)</f>
        <v/>
      </c>
      <c r="P446" s="199">
        <f>HLOOKUP(C:C,$4:$10,4,FALSE)+((HLOOKUP(D:D,$4:$10,4,FALSE)-HLOOKUP(C:C,$4:$10,4,FALSE))*E446/F446)</f>
        <v/>
      </c>
      <c r="Q446" s="199">
        <f>HLOOKUP(B:B,$4:$10,6,FALSE)+((HLOOKUP(C:C,$4:$10,6,FALSE)-HLOOKUP(B:B,$4:$10,6,FALSE))*E446/F446)</f>
        <v/>
      </c>
      <c r="T446" s="198">
        <f>$G446</f>
        <v/>
      </c>
      <c r="U446" s="199">
        <f>H446/(HLOOKUP(B:B,$4:$10,3,FALSE)+((HLOOKUP(C:C,$4:$10,3,FALSE)-HLOOKUP(B:B,$4:$10,3,FALSE))*E446/F446))</f>
        <v/>
      </c>
      <c r="V446" s="969">
        <f>HLOOKUP(B:B,$4:$10,7,FALSE)+((HLOOKUP(C:C,$4:$10,7,FALSE)-HLOOKUP(B:B,$4:$10,7,FALSE))*E446/F446)</f>
        <v/>
      </c>
      <c r="AB446" s="198">
        <f>$G446</f>
        <v/>
      </c>
      <c r="AC446" s="199">
        <f>$H446</f>
        <v/>
      </c>
      <c r="AD446" s="199">
        <f>$M446*AD$34</f>
        <v/>
      </c>
      <c r="AE446" s="199">
        <f>$M446*AE$34</f>
        <v/>
      </c>
      <c r="AF446" s="199">
        <f>$M446*AF$34</f>
        <v/>
      </c>
      <c r="AG446" s="199">
        <f>$M446*AG$34</f>
        <v/>
      </c>
      <c r="AH446" s="199">
        <f>$M446*AH$34</f>
        <v/>
      </c>
      <c r="AJ446" s="198">
        <f>$G446</f>
        <v/>
      </c>
      <c r="AK446" s="199">
        <f>$H446</f>
        <v/>
      </c>
      <c r="AL446" s="199">
        <f>$N446*AL$34</f>
        <v/>
      </c>
      <c r="AM446" s="199">
        <f>$N446*AM$34</f>
        <v/>
      </c>
      <c r="AN446" s="199">
        <f>$N446*AN$34</f>
        <v/>
      </c>
      <c r="AO446" s="199">
        <f>$N446*AO$34</f>
        <v/>
      </c>
      <c r="AP446" s="199">
        <f>$N446*AP$34</f>
        <v/>
      </c>
      <c r="AR446" s="198">
        <f>$G446</f>
        <v/>
      </c>
      <c r="AS446" s="199">
        <f>$H446</f>
        <v/>
      </c>
      <c r="AT446" s="199">
        <f>$O446*AT$34-$Q446</f>
        <v/>
      </c>
      <c r="AU446" s="199">
        <f>$O446*AU$34-$Q446</f>
        <v/>
      </c>
      <c r="AV446" s="199">
        <f>$O446*AV$34-$Q446</f>
        <v/>
      </c>
      <c r="AW446" s="199">
        <f>$O446*AW$34-$Q446</f>
        <v/>
      </c>
      <c r="AX446" s="199">
        <f>$O446*AX$34-$Q446</f>
        <v/>
      </c>
      <c r="AZ446" s="198">
        <f>$G446</f>
        <v/>
      </c>
      <c r="BA446" s="199">
        <f>$H446</f>
        <v/>
      </c>
      <c r="BB446" s="199">
        <f>$P446*BB$34-$Q446</f>
        <v/>
      </c>
      <c r="BC446" s="199">
        <f>$P446*BC$34-$Q446</f>
        <v/>
      </c>
      <c r="BD446" s="199">
        <f>$P446*BD$34-$Q446</f>
        <v/>
      </c>
      <c r="BE446" s="199">
        <f>$P446*BE$34-$Q446</f>
        <v/>
      </c>
      <c r="BF446" s="199">
        <f>$P446*BF$34-$Q446</f>
        <v/>
      </c>
      <c r="BH446" s="198">
        <f>$G446</f>
        <v/>
      </c>
      <c r="BI446" s="197">
        <f>$I446</f>
        <v/>
      </c>
      <c r="BJ446" s="197">
        <f>+BJ447</f>
        <v/>
      </c>
      <c r="BK446" s="197">
        <f>+BK447</f>
        <v/>
      </c>
      <c r="BL446" s="197">
        <f>+BL447</f>
        <v/>
      </c>
      <c r="BM446" s="197">
        <f>+BM447</f>
        <v/>
      </c>
      <c r="BN446" s="197">
        <f>+BN447</f>
        <v/>
      </c>
      <c r="BP446" s="198">
        <f>$G446</f>
        <v/>
      </c>
      <c r="BQ446" s="197">
        <f>$J446</f>
        <v/>
      </c>
      <c r="BR446" s="197">
        <f>+BR447</f>
        <v/>
      </c>
      <c r="BS446" s="197">
        <f>+BS447</f>
        <v/>
      </c>
      <c r="BT446" s="197">
        <f>+BT447</f>
        <v/>
      </c>
      <c r="BU446" s="197">
        <f>+BU447</f>
        <v/>
      </c>
      <c r="BV446" s="197">
        <f>+BV447</f>
        <v/>
      </c>
      <c r="BX446" s="198">
        <f>$G446</f>
        <v/>
      </c>
      <c r="BY446" s="197">
        <f>$K446</f>
        <v/>
      </c>
      <c r="BZ446" s="197">
        <f>+BZ447</f>
        <v/>
      </c>
      <c r="CA446" s="197">
        <f>+CA447</f>
        <v/>
      </c>
      <c r="CB446" s="197">
        <f>+CB447</f>
        <v/>
      </c>
      <c r="CC446" s="197">
        <f>+CC447</f>
        <v/>
      </c>
      <c r="CD446" s="197">
        <f>+CD447</f>
        <v/>
      </c>
      <c r="CF446" s="198">
        <f>$G446</f>
        <v/>
      </c>
      <c r="CG446" s="197">
        <f>$L446</f>
        <v/>
      </c>
      <c r="CH446" s="197">
        <f>+CH447</f>
        <v/>
      </c>
      <c r="CI446" s="197">
        <f>+CI447</f>
        <v/>
      </c>
      <c r="CJ446" s="197">
        <f>+CJ447</f>
        <v/>
      </c>
      <c r="CK446" s="197">
        <f>+CK447</f>
        <v/>
      </c>
      <c r="CL446" s="197">
        <f>+CL447</f>
        <v/>
      </c>
      <c r="CO446" s="199" t="n">
        <v>5.068260021614639</v>
      </c>
      <c r="CP446" s="199" t="n">
        <v>3.13</v>
      </c>
      <c r="CR446" s="199" t="n">
        <v>4.08</v>
      </c>
      <c r="CS446" s="970" t="n">
        <v>0.80501</v>
      </c>
    </row>
    <row r="447">
      <c r="B447" s="204">
        <f>+C447-1</f>
        <v/>
      </c>
      <c r="C447" s="204">
        <f>IF('bands_A-H_Avg'!$D$9+1&gt;MONTH(G447),YEAR(G447),YEAR(G447)+1)</f>
        <v/>
      </c>
      <c r="D447" s="204">
        <f>+C447+1</f>
        <v/>
      </c>
      <c r="E447" s="203">
        <f>IF(C447&gt;C446,1,E446+1)</f>
        <v/>
      </c>
      <c r="F447" s="203">
        <f>COUNTIF(C:C,C447)</f>
        <v/>
      </c>
      <c r="G447" s="198">
        <f>+G446+7</f>
        <v/>
      </c>
      <c r="H447" s="361">
        <f>IF(ISBLANK(CO447),CP447,SUMPRODUCT(CO$32:CP$32,CO447:CP447))</f>
        <v/>
      </c>
      <c r="I447" s="968">
        <f>H447/M447</f>
        <v/>
      </c>
      <c r="J447" s="968">
        <f>H447/N447</f>
        <v/>
      </c>
      <c r="K447" s="968">
        <f>(H447+Q447)/O447</f>
        <v/>
      </c>
      <c r="L447" s="968">
        <f>(H447+Q447)/P447</f>
        <v/>
      </c>
      <c r="M447" s="199">
        <f>HLOOKUP(C:C,$4:$10,3,FALSE)+((HLOOKUP(D:D,$4:$10,3,FALSE)-HLOOKUP(C:C,$4:$10,3,FALSE))*E447/F447)</f>
        <v/>
      </c>
      <c r="N447" s="199">
        <f>HLOOKUP(C:C,$4:$10,2,FALSE)+((HLOOKUP(D:D,$4:$10,2,FALSE)-HLOOKUP(C:C,$4:$10,2,FALSE))*E447/F447)</f>
        <v/>
      </c>
      <c r="O447" s="199">
        <f>HLOOKUP(C:C,$4:$10,5,FALSE)+((HLOOKUP(D:D,$4:$10,5,FALSE)-HLOOKUP(C:C,$4:$10,5,FALSE))*E447/F447)</f>
        <v/>
      </c>
      <c r="P447" s="199">
        <f>HLOOKUP(C:C,$4:$10,4,FALSE)+((HLOOKUP(D:D,$4:$10,4,FALSE)-HLOOKUP(C:C,$4:$10,4,FALSE))*E447/F447)</f>
        <v/>
      </c>
      <c r="Q447" s="199">
        <f>HLOOKUP(B:B,$4:$10,6,FALSE)+((HLOOKUP(C:C,$4:$10,6,FALSE)-HLOOKUP(B:B,$4:$10,6,FALSE))*E447/F447)</f>
        <v/>
      </c>
      <c r="T447" s="198">
        <f>$G447</f>
        <v/>
      </c>
      <c r="U447" s="199">
        <f>H447/(HLOOKUP(B:B,$4:$10,3,FALSE)+((HLOOKUP(C:C,$4:$10,3,FALSE)-HLOOKUP(B:B,$4:$10,3,FALSE))*E447/F447))</f>
        <v/>
      </c>
      <c r="V447" s="969">
        <f>HLOOKUP(B:B,$4:$10,7,FALSE)+((HLOOKUP(C:C,$4:$10,7,FALSE)-HLOOKUP(B:B,$4:$10,7,FALSE))*E447/F447)</f>
        <v/>
      </c>
      <c r="AB447" s="198">
        <f>$G447</f>
        <v/>
      </c>
      <c r="AC447" s="199">
        <f>$H447</f>
        <v/>
      </c>
      <c r="AD447" s="199">
        <f>$M447*AD$34</f>
        <v/>
      </c>
      <c r="AE447" s="199">
        <f>$M447*AE$34</f>
        <v/>
      </c>
      <c r="AF447" s="199">
        <f>$M447*AF$34</f>
        <v/>
      </c>
      <c r="AG447" s="199">
        <f>$M447*AG$34</f>
        <v/>
      </c>
      <c r="AH447" s="199">
        <f>$M447*AH$34</f>
        <v/>
      </c>
      <c r="AJ447" s="198">
        <f>$G447</f>
        <v/>
      </c>
      <c r="AK447" s="199">
        <f>$H447</f>
        <v/>
      </c>
      <c r="AL447" s="199">
        <f>$N447*AL$34</f>
        <v/>
      </c>
      <c r="AM447" s="199">
        <f>$N447*AM$34</f>
        <v/>
      </c>
      <c r="AN447" s="199">
        <f>$N447*AN$34</f>
        <v/>
      </c>
      <c r="AO447" s="199">
        <f>$N447*AO$34</f>
        <v/>
      </c>
      <c r="AP447" s="199">
        <f>$N447*AP$34</f>
        <v/>
      </c>
      <c r="AR447" s="198">
        <f>$G447</f>
        <v/>
      </c>
      <c r="AS447" s="199">
        <f>$H447</f>
        <v/>
      </c>
      <c r="AT447" s="199">
        <f>$O447*AT$34-$Q447</f>
        <v/>
      </c>
      <c r="AU447" s="199">
        <f>$O447*AU$34-$Q447</f>
        <v/>
      </c>
      <c r="AV447" s="199">
        <f>$O447*AV$34-$Q447</f>
        <v/>
      </c>
      <c r="AW447" s="199">
        <f>$O447*AW$34-$Q447</f>
        <v/>
      </c>
      <c r="AX447" s="199">
        <f>$O447*AX$34-$Q447</f>
        <v/>
      </c>
      <c r="AZ447" s="198">
        <f>$G447</f>
        <v/>
      </c>
      <c r="BA447" s="199">
        <f>$H447</f>
        <v/>
      </c>
      <c r="BB447" s="199">
        <f>$P447*BB$34-$Q447</f>
        <v/>
      </c>
      <c r="BC447" s="199">
        <f>$P447*BC$34-$Q447</f>
        <v/>
      </c>
      <c r="BD447" s="199">
        <f>$P447*BD$34-$Q447</f>
        <v/>
      </c>
      <c r="BE447" s="199">
        <f>$P447*BE$34-$Q447</f>
        <v/>
      </c>
      <c r="BF447" s="199">
        <f>$P447*BF$34-$Q447</f>
        <v/>
      </c>
      <c r="BH447" s="198">
        <f>$G447</f>
        <v/>
      </c>
      <c r="BI447" s="197">
        <f>$I447</f>
        <v/>
      </c>
      <c r="BJ447" s="197">
        <f>+BJ448</f>
        <v/>
      </c>
      <c r="BK447" s="197">
        <f>+BK448</f>
        <v/>
      </c>
      <c r="BL447" s="197">
        <f>+BL448</f>
        <v/>
      </c>
      <c r="BM447" s="197">
        <f>+BM448</f>
        <v/>
      </c>
      <c r="BN447" s="197">
        <f>+BN448</f>
        <v/>
      </c>
      <c r="BP447" s="198">
        <f>$G447</f>
        <v/>
      </c>
      <c r="BQ447" s="197">
        <f>$J447</f>
        <v/>
      </c>
      <c r="BR447" s="197">
        <f>+BR448</f>
        <v/>
      </c>
      <c r="BS447" s="197">
        <f>+BS448</f>
        <v/>
      </c>
      <c r="BT447" s="197">
        <f>+BT448</f>
        <v/>
      </c>
      <c r="BU447" s="197">
        <f>+BU448</f>
        <v/>
      </c>
      <c r="BV447" s="197">
        <f>+BV448</f>
        <v/>
      </c>
      <c r="BX447" s="198">
        <f>$G447</f>
        <v/>
      </c>
      <c r="BY447" s="197">
        <f>$K447</f>
        <v/>
      </c>
      <c r="BZ447" s="197">
        <f>+BZ448</f>
        <v/>
      </c>
      <c r="CA447" s="197">
        <f>+CA448</f>
        <v/>
      </c>
      <c r="CB447" s="197">
        <f>+CB448</f>
        <v/>
      </c>
      <c r="CC447" s="197">
        <f>+CC448</f>
        <v/>
      </c>
      <c r="CD447" s="197">
        <f>+CD448</f>
        <v/>
      </c>
      <c r="CF447" s="198">
        <f>$G447</f>
        <v/>
      </c>
      <c r="CG447" s="197">
        <f>$L447</f>
        <v/>
      </c>
      <c r="CH447" s="197">
        <f>+CH448</f>
        <v/>
      </c>
      <c r="CI447" s="197">
        <f>+CI448</f>
        <v/>
      </c>
      <c r="CJ447" s="197">
        <f>+CJ448</f>
        <v/>
      </c>
      <c r="CK447" s="197">
        <f>+CK448</f>
        <v/>
      </c>
      <c r="CL447" s="197">
        <f>+CL448</f>
        <v/>
      </c>
      <c r="CO447" s="199" t="n">
        <v>4.811338347734195</v>
      </c>
      <c r="CP447" s="199" t="n">
        <v>3.1</v>
      </c>
      <c r="CR447" s="199" t="n">
        <v>3.87</v>
      </c>
      <c r="CS447" s="970" t="n">
        <v>0.80435</v>
      </c>
    </row>
    <row r="448">
      <c r="B448" s="204">
        <f>+C448-1</f>
        <v/>
      </c>
      <c r="C448" s="204">
        <f>IF('bands_A-H_Avg'!$D$9+1&gt;MONTH(G448),YEAR(G448),YEAR(G448)+1)</f>
        <v/>
      </c>
      <c r="D448" s="204">
        <f>+C448+1</f>
        <v/>
      </c>
      <c r="E448" s="203">
        <f>IF(C448&gt;C447,1,E447+1)</f>
        <v/>
      </c>
      <c r="F448" s="203">
        <f>COUNTIF(C:C,C448)</f>
        <v/>
      </c>
      <c r="G448" s="198">
        <f>+G447+7</f>
        <v/>
      </c>
      <c r="H448" s="361">
        <f>IF(ISBLANK(CO448),CP448,SUMPRODUCT(CO$32:CP$32,CO448:CP448))</f>
        <v/>
      </c>
      <c r="I448" s="968">
        <f>H448/M448</f>
        <v/>
      </c>
      <c r="J448" s="968">
        <f>H448/N448</f>
        <v/>
      </c>
      <c r="K448" s="968">
        <f>(H448+Q448)/O448</f>
        <v/>
      </c>
      <c r="L448" s="968">
        <f>(H448+Q448)/P448</f>
        <v/>
      </c>
      <c r="M448" s="199">
        <f>HLOOKUP(C:C,$4:$10,3,FALSE)+((HLOOKUP(D:D,$4:$10,3,FALSE)-HLOOKUP(C:C,$4:$10,3,FALSE))*E448/F448)</f>
        <v/>
      </c>
      <c r="N448" s="199">
        <f>HLOOKUP(C:C,$4:$10,2,FALSE)+((HLOOKUP(D:D,$4:$10,2,FALSE)-HLOOKUP(C:C,$4:$10,2,FALSE))*E448/F448)</f>
        <v/>
      </c>
      <c r="O448" s="199">
        <f>HLOOKUP(C:C,$4:$10,5,FALSE)+((HLOOKUP(D:D,$4:$10,5,FALSE)-HLOOKUP(C:C,$4:$10,5,FALSE))*E448/F448)</f>
        <v/>
      </c>
      <c r="P448" s="199">
        <f>HLOOKUP(C:C,$4:$10,4,FALSE)+((HLOOKUP(D:D,$4:$10,4,FALSE)-HLOOKUP(C:C,$4:$10,4,FALSE))*E448/F448)</f>
        <v/>
      </c>
      <c r="Q448" s="199">
        <f>HLOOKUP(B:B,$4:$10,6,FALSE)+((HLOOKUP(C:C,$4:$10,6,FALSE)-HLOOKUP(B:B,$4:$10,6,FALSE))*E448/F448)</f>
        <v/>
      </c>
      <c r="T448" s="198">
        <f>$G448</f>
        <v/>
      </c>
      <c r="U448" s="199">
        <f>H448/(HLOOKUP(B:B,$4:$10,3,FALSE)+((HLOOKUP(C:C,$4:$10,3,FALSE)-HLOOKUP(B:B,$4:$10,3,FALSE))*E448/F448))</f>
        <v/>
      </c>
      <c r="V448" s="969">
        <f>HLOOKUP(B:B,$4:$10,7,FALSE)+((HLOOKUP(C:C,$4:$10,7,FALSE)-HLOOKUP(B:B,$4:$10,7,FALSE))*E448/F448)</f>
        <v/>
      </c>
      <c r="AB448" s="198">
        <f>$G448</f>
        <v/>
      </c>
      <c r="AC448" s="199">
        <f>$H448</f>
        <v/>
      </c>
      <c r="AD448" s="199">
        <f>$M448*AD$34</f>
        <v/>
      </c>
      <c r="AE448" s="199">
        <f>$M448*AE$34</f>
        <v/>
      </c>
      <c r="AF448" s="199">
        <f>$M448*AF$34</f>
        <v/>
      </c>
      <c r="AG448" s="199">
        <f>$M448*AG$34</f>
        <v/>
      </c>
      <c r="AH448" s="199">
        <f>$M448*AH$34</f>
        <v/>
      </c>
      <c r="AJ448" s="198">
        <f>$G448</f>
        <v/>
      </c>
      <c r="AK448" s="199">
        <f>$H448</f>
        <v/>
      </c>
      <c r="AL448" s="199">
        <f>$N448*AL$34</f>
        <v/>
      </c>
      <c r="AM448" s="199">
        <f>$N448*AM$34</f>
        <v/>
      </c>
      <c r="AN448" s="199">
        <f>$N448*AN$34</f>
        <v/>
      </c>
      <c r="AO448" s="199">
        <f>$N448*AO$34</f>
        <v/>
      </c>
      <c r="AP448" s="199">
        <f>$N448*AP$34</f>
        <v/>
      </c>
      <c r="AR448" s="198">
        <f>$G448</f>
        <v/>
      </c>
      <c r="AS448" s="199">
        <f>$H448</f>
        <v/>
      </c>
      <c r="AT448" s="199">
        <f>$O448*AT$34-$Q448</f>
        <v/>
      </c>
      <c r="AU448" s="199">
        <f>$O448*AU$34-$Q448</f>
        <v/>
      </c>
      <c r="AV448" s="199">
        <f>$O448*AV$34-$Q448</f>
        <v/>
      </c>
      <c r="AW448" s="199">
        <f>$O448*AW$34-$Q448</f>
        <v/>
      </c>
      <c r="AX448" s="199">
        <f>$O448*AX$34-$Q448</f>
        <v/>
      </c>
      <c r="AZ448" s="198">
        <f>$G448</f>
        <v/>
      </c>
      <c r="BA448" s="199">
        <f>$H448</f>
        <v/>
      </c>
      <c r="BB448" s="199">
        <f>$P448*BB$34-$Q448</f>
        <v/>
      </c>
      <c r="BC448" s="199">
        <f>$P448*BC$34-$Q448</f>
        <v/>
      </c>
      <c r="BD448" s="199">
        <f>$P448*BD$34-$Q448</f>
        <v/>
      </c>
      <c r="BE448" s="199">
        <f>$P448*BE$34-$Q448</f>
        <v/>
      </c>
      <c r="BF448" s="199">
        <f>$P448*BF$34-$Q448</f>
        <v/>
      </c>
      <c r="BH448" s="198">
        <f>$G448</f>
        <v/>
      </c>
      <c r="BI448" s="197">
        <f>$I448</f>
        <v/>
      </c>
      <c r="BJ448" s="197">
        <f>+BJ449</f>
        <v/>
      </c>
      <c r="BK448" s="197">
        <f>+BK449</f>
        <v/>
      </c>
      <c r="BL448" s="197">
        <f>+BL449</f>
        <v/>
      </c>
      <c r="BM448" s="197">
        <f>+BM449</f>
        <v/>
      </c>
      <c r="BN448" s="197">
        <f>+BN449</f>
        <v/>
      </c>
      <c r="BP448" s="198">
        <f>$G448</f>
        <v/>
      </c>
      <c r="BQ448" s="197">
        <f>$J448</f>
        <v/>
      </c>
      <c r="BR448" s="197">
        <f>+BR449</f>
        <v/>
      </c>
      <c r="BS448" s="197">
        <f>+BS449</f>
        <v/>
      </c>
      <c r="BT448" s="197">
        <f>+BT449</f>
        <v/>
      </c>
      <c r="BU448" s="197">
        <f>+BU449</f>
        <v/>
      </c>
      <c r="BV448" s="197">
        <f>+BV449</f>
        <v/>
      </c>
      <c r="BX448" s="198">
        <f>$G448</f>
        <v/>
      </c>
      <c r="BY448" s="197">
        <f>$K448</f>
        <v/>
      </c>
      <c r="BZ448" s="197">
        <f>+BZ449</f>
        <v/>
      </c>
      <c r="CA448" s="197">
        <f>+CA449</f>
        <v/>
      </c>
      <c r="CB448" s="197">
        <f>+CB449</f>
        <v/>
      </c>
      <c r="CC448" s="197">
        <f>+CC449</f>
        <v/>
      </c>
      <c r="CD448" s="197">
        <f>+CD449</f>
        <v/>
      </c>
      <c r="CF448" s="198">
        <f>$G448</f>
        <v/>
      </c>
      <c r="CG448" s="197">
        <f>$L448</f>
        <v/>
      </c>
      <c r="CH448" s="197">
        <f>+CH449</f>
        <v/>
      </c>
      <c r="CI448" s="197">
        <f>+CI449</f>
        <v/>
      </c>
      <c r="CJ448" s="197">
        <f>+CJ449</f>
        <v/>
      </c>
      <c r="CK448" s="197">
        <f>+CK449</f>
        <v/>
      </c>
      <c r="CL448" s="197">
        <f>+CL449</f>
        <v/>
      </c>
      <c r="CO448" s="199" t="n">
        <v>4.881328916892885</v>
      </c>
      <c r="CP448" s="199" t="n">
        <v>3.19</v>
      </c>
      <c r="CR448" s="199" t="n">
        <v>3.92</v>
      </c>
      <c r="CS448" s="970" t="n">
        <v>0.80306</v>
      </c>
    </row>
    <row r="449">
      <c r="B449" s="204">
        <f>+C449-1</f>
        <v/>
      </c>
      <c r="C449" s="204">
        <f>IF('bands_A-H_Avg'!$D$9+1&gt;MONTH(G449),YEAR(G449),YEAR(G449)+1)</f>
        <v/>
      </c>
      <c r="D449" s="204">
        <f>+C449+1</f>
        <v/>
      </c>
      <c r="E449" s="203">
        <f>IF(C449&gt;C448,1,E448+1)</f>
        <v/>
      </c>
      <c r="F449" s="203">
        <f>COUNTIF(C:C,C449)</f>
        <v/>
      </c>
      <c r="G449" s="198">
        <f>+G448+7</f>
        <v/>
      </c>
      <c r="H449" s="361">
        <f>IF(ISBLANK(CO449),CP449,SUMPRODUCT(CO$32:CP$32,CO449:CP449))</f>
        <v/>
      </c>
      <c r="I449" s="968">
        <f>H449/M449</f>
        <v/>
      </c>
      <c r="J449" s="968">
        <f>H449/N449</f>
        <v/>
      </c>
      <c r="K449" s="968">
        <f>(H449+Q449)/O449</f>
        <v/>
      </c>
      <c r="L449" s="968">
        <f>(H449+Q449)/P449</f>
        <v/>
      </c>
      <c r="M449" s="199">
        <f>HLOOKUP(C:C,$4:$10,3,FALSE)+((HLOOKUP(D:D,$4:$10,3,FALSE)-HLOOKUP(C:C,$4:$10,3,FALSE))*E449/F449)</f>
        <v/>
      </c>
      <c r="N449" s="199">
        <f>HLOOKUP(C:C,$4:$10,2,FALSE)+((HLOOKUP(D:D,$4:$10,2,FALSE)-HLOOKUP(C:C,$4:$10,2,FALSE))*E449/F449)</f>
        <v/>
      </c>
      <c r="O449" s="199">
        <f>HLOOKUP(C:C,$4:$10,5,FALSE)+((HLOOKUP(D:D,$4:$10,5,FALSE)-HLOOKUP(C:C,$4:$10,5,FALSE))*E449/F449)</f>
        <v/>
      </c>
      <c r="P449" s="199">
        <f>HLOOKUP(C:C,$4:$10,4,FALSE)+((HLOOKUP(D:D,$4:$10,4,FALSE)-HLOOKUP(C:C,$4:$10,4,FALSE))*E449/F449)</f>
        <v/>
      </c>
      <c r="Q449" s="199">
        <f>HLOOKUP(B:B,$4:$10,6,FALSE)+((HLOOKUP(C:C,$4:$10,6,FALSE)-HLOOKUP(B:B,$4:$10,6,FALSE))*E449/F449)</f>
        <v/>
      </c>
      <c r="T449" s="198">
        <f>$G449</f>
        <v/>
      </c>
      <c r="U449" s="199">
        <f>H449/(HLOOKUP(B:B,$4:$10,3,FALSE)+((HLOOKUP(C:C,$4:$10,3,FALSE)-HLOOKUP(B:B,$4:$10,3,FALSE))*E449/F449))</f>
        <v/>
      </c>
      <c r="V449" s="969">
        <f>HLOOKUP(B:B,$4:$10,7,FALSE)+((HLOOKUP(C:C,$4:$10,7,FALSE)-HLOOKUP(B:B,$4:$10,7,FALSE))*E449/F449)</f>
        <v/>
      </c>
      <c r="AB449" s="198">
        <f>$G449</f>
        <v/>
      </c>
      <c r="AC449" s="199">
        <f>$H449</f>
        <v/>
      </c>
      <c r="AD449" s="199">
        <f>$M449*AD$34</f>
        <v/>
      </c>
      <c r="AE449" s="199">
        <f>$M449*AE$34</f>
        <v/>
      </c>
      <c r="AF449" s="199">
        <f>$M449*AF$34</f>
        <v/>
      </c>
      <c r="AG449" s="199">
        <f>$M449*AG$34</f>
        <v/>
      </c>
      <c r="AH449" s="199">
        <f>$M449*AH$34</f>
        <v/>
      </c>
      <c r="AJ449" s="198">
        <f>$G449</f>
        <v/>
      </c>
      <c r="AK449" s="199">
        <f>$H449</f>
        <v/>
      </c>
      <c r="AL449" s="199">
        <f>$N449*AL$34</f>
        <v/>
      </c>
      <c r="AM449" s="199">
        <f>$N449*AM$34</f>
        <v/>
      </c>
      <c r="AN449" s="199">
        <f>$N449*AN$34</f>
        <v/>
      </c>
      <c r="AO449" s="199">
        <f>$N449*AO$34</f>
        <v/>
      </c>
      <c r="AP449" s="199">
        <f>$N449*AP$34</f>
        <v/>
      </c>
      <c r="AR449" s="198">
        <f>$G449</f>
        <v/>
      </c>
      <c r="AS449" s="199">
        <f>$H449</f>
        <v/>
      </c>
      <c r="AT449" s="199">
        <f>$O449*AT$34-$Q449</f>
        <v/>
      </c>
      <c r="AU449" s="199">
        <f>$O449*AU$34-$Q449</f>
        <v/>
      </c>
      <c r="AV449" s="199">
        <f>$O449*AV$34-$Q449</f>
        <v/>
      </c>
      <c r="AW449" s="199">
        <f>$O449*AW$34-$Q449</f>
        <v/>
      </c>
      <c r="AX449" s="199">
        <f>$O449*AX$34-$Q449</f>
        <v/>
      </c>
      <c r="AZ449" s="198">
        <f>$G449</f>
        <v/>
      </c>
      <c r="BA449" s="199">
        <f>$H449</f>
        <v/>
      </c>
      <c r="BB449" s="199">
        <f>$P449*BB$34-$Q449</f>
        <v/>
      </c>
      <c r="BC449" s="199">
        <f>$P449*BC$34-$Q449</f>
        <v/>
      </c>
      <c r="BD449" s="199">
        <f>$P449*BD$34-$Q449</f>
        <v/>
      </c>
      <c r="BE449" s="199">
        <f>$P449*BE$34-$Q449</f>
        <v/>
      </c>
      <c r="BF449" s="199">
        <f>$P449*BF$34-$Q449</f>
        <v/>
      </c>
      <c r="BH449" s="198">
        <f>$G449</f>
        <v/>
      </c>
      <c r="BI449" s="197">
        <f>$I449</f>
        <v/>
      </c>
      <c r="BJ449" s="197">
        <f>+BJ450</f>
        <v/>
      </c>
      <c r="BK449" s="197">
        <f>+BK450</f>
        <v/>
      </c>
      <c r="BL449" s="197">
        <f>+BL450</f>
        <v/>
      </c>
      <c r="BM449" s="197">
        <f>+BM450</f>
        <v/>
      </c>
      <c r="BN449" s="197">
        <f>+BN450</f>
        <v/>
      </c>
      <c r="BP449" s="198">
        <f>$G449</f>
        <v/>
      </c>
      <c r="BQ449" s="197">
        <f>$J449</f>
        <v/>
      </c>
      <c r="BR449" s="197">
        <f>+BR450</f>
        <v/>
      </c>
      <c r="BS449" s="197">
        <f>+BS450</f>
        <v/>
      </c>
      <c r="BT449" s="197">
        <f>+BT450</f>
        <v/>
      </c>
      <c r="BU449" s="197">
        <f>+BU450</f>
        <v/>
      </c>
      <c r="BV449" s="197">
        <f>+BV450</f>
        <v/>
      </c>
      <c r="BX449" s="198">
        <f>$G449</f>
        <v/>
      </c>
      <c r="BY449" s="197">
        <f>$K449</f>
        <v/>
      </c>
      <c r="BZ449" s="197">
        <f>+BZ450</f>
        <v/>
      </c>
      <c r="CA449" s="197">
        <f>+CA450</f>
        <v/>
      </c>
      <c r="CB449" s="197">
        <f>+CB450</f>
        <v/>
      </c>
      <c r="CC449" s="197">
        <f>+CC450</f>
        <v/>
      </c>
      <c r="CD449" s="197">
        <f>+CD450</f>
        <v/>
      </c>
      <c r="CF449" s="198">
        <f>$G449</f>
        <v/>
      </c>
      <c r="CG449" s="197">
        <f>$L449</f>
        <v/>
      </c>
      <c r="CH449" s="197">
        <f>+CH450</f>
        <v/>
      </c>
      <c r="CI449" s="197">
        <f>+CI450</f>
        <v/>
      </c>
      <c r="CJ449" s="197">
        <f>+CJ450</f>
        <v/>
      </c>
      <c r="CK449" s="197">
        <f>+CK450</f>
        <v/>
      </c>
      <c r="CL449" s="197">
        <f>+CL450</f>
        <v/>
      </c>
      <c r="CO449" s="199" t="n">
        <v>4.555525130068955</v>
      </c>
      <c r="CP449" s="199" t="n">
        <v>3.05</v>
      </c>
      <c r="CR449" s="199" t="n">
        <v>3.66</v>
      </c>
      <c r="CS449" s="970" t="n">
        <v>0.80342</v>
      </c>
    </row>
    <row r="450">
      <c r="B450" s="204">
        <f>+C450-1</f>
        <v/>
      </c>
      <c r="C450" s="204">
        <f>IF('bands_A-H_Avg'!$D$9+1&gt;MONTH(G450),YEAR(G450),YEAR(G450)+1)</f>
        <v/>
      </c>
      <c r="D450" s="204">
        <f>+C450+1</f>
        <v/>
      </c>
      <c r="E450" s="203">
        <f>IF(C450&gt;C449,1,E449+1)</f>
        <v/>
      </c>
      <c r="F450" s="203">
        <f>COUNTIF(C:C,C450)</f>
        <v/>
      </c>
      <c r="G450" s="198">
        <f>+G449+7</f>
        <v/>
      </c>
      <c r="H450" s="361">
        <f>IF(ISBLANK(CO450),CP450,SUMPRODUCT(CO$32:CP$32,CO450:CP450))</f>
        <v/>
      </c>
      <c r="I450" s="968">
        <f>H450/M450</f>
        <v/>
      </c>
      <c r="J450" s="968">
        <f>H450/N450</f>
        <v/>
      </c>
      <c r="K450" s="968">
        <f>(H450+Q450)/O450</f>
        <v/>
      </c>
      <c r="L450" s="968">
        <f>(H450+Q450)/P450</f>
        <v/>
      </c>
      <c r="M450" s="199">
        <f>HLOOKUP(C:C,$4:$10,3,FALSE)+((HLOOKUP(D:D,$4:$10,3,FALSE)-HLOOKUP(C:C,$4:$10,3,FALSE))*E450/F450)</f>
        <v/>
      </c>
      <c r="N450" s="199">
        <f>HLOOKUP(C:C,$4:$10,2,FALSE)+((HLOOKUP(D:D,$4:$10,2,FALSE)-HLOOKUP(C:C,$4:$10,2,FALSE))*E450/F450)</f>
        <v/>
      </c>
      <c r="O450" s="199">
        <f>HLOOKUP(C:C,$4:$10,5,FALSE)+((HLOOKUP(D:D,$4:$10,5,FALSE)-HLOOKUP(C:C,$4:$10,5,FALSE))*E450/F450)</f>
        <v/>
      </c>
      <c r="P450" s="199">
        <f>HLOOKUP(C:C,$4:$10,4,FALSE)+((HLOOKUP(D:D,$4:$10,4,FALSE)-HLOOKUP(C:C,$4:$10,4,FALSE))*E450/F450)</f>
        <v/>
      </c>
      <c r="Q450" s="199">
        <f>HLOOKUP(B:B,$4:$10,6,FALSE)+((HLOOKUP(C:C,$4:$10,6,FALSE)-HLOOKUP(B:B,$4:$10,6,FALSE))*E450/F450)</f>
        <v/>
      </c>
      <c r="T450" s="198">
        <f>$G450</f>
        <v/>
      </c>
      <c r="U450" s="199">
        <f>H450/(HLOOKUP(B:B,$4:$10,3,FALSE)+((HLOOKUP(C:C,$4:$10,3,FALSE)-HLOOKUP(B:B,$4:$10,3,FALSE))*E450/F450))</f>
        <v/>
      </c>
      <c r="V450" s="969">
        <f>HLOOKUP(B:B,$4:$10,7,FALSE)+((HLOOKUP(C:C,$4:$10,7,FALSE)-HLOOKUP(B:B,$4:$10,7,FALSE))*E450/F450)</f>
        <v/>
      </c>
      <c r="AB450" s="198">
        <f>$G450</f>
        <v/>
      </c>
      <c r="AC450" s="199">
        <f>$H450</f>
        <v/>
      </c>
      <c r="AD450" s="199">
        <f>$M450*AD$34</f>
        <v/>
      </c>
      <c r="AE450" s="199">
        <f>$M450*AE$34</f>
        <v/>
      </c>
      <c r="AF450" s="199">
        <f>$M450*AF$34</f>
        <v/>
      </c>
      <c r="AG450" s="199">
        <f>$M450*AG$34</f>
        <v/>
      </c>
      <c r="AH450" s="199">
        <f>$M450*AH$34</f>
        <v/>
      </c>
      <c r="AJ450" s="198">
        <f>$G450</f>
        <v/>
      </c>
      <c r="AK450" s="199">
        <f>$H450</f>
        <v/>
      </c>
      <c r="AL450" s="199">
        <f>$N450*AL$34</f>
        <v/>
      </c>
      <c r="AM450" s="199">
        <f>$N450*AM$34</f>
        <v/>
      </c>
      <c r="AN450" s="199">
        <f>$N450*AN$34</f>
        <v/>
      </c>
      <c r="AO450" s="199">
        <f>$N450*AO$34</f>
        <v/>
      </c>
      <c r="AP450" s="199">
        <f>$N450*AP$34</f>
        <v/>
      </c>
      <c r="AR450" s="198">
        <f>$G450</f>
        <v/>
      </c>
      <c r="AS450" s="199">
        <f>$H450</f>
        <v/>
      </c>
      <c r="AT450" s="199">
        <f>$O450*AT$34-$Q450</f>
        <v/>
      </c>
      <c r="AU450" s="199">
        <f>$O450*AU$34-$Q450</f>
        <v/>
      </c>
      <c r="AV450" s="199">
        <f>$O450*AV$34-$Q450</f>
        <v/>
      </c>
      <c r="AW450" s="199">
        <f>$O450*AW$34-$Q450</f>
        <v/>
      </c>
      <c r="AX450" s="199">
        <f>$O450*AX$34-$Q450</f>
        <v/>
      </c>
      <c r="AZ450" s="198">
        <f>$G450</f>
        <v/>
      </c>
      <c r="BA450" s="199">
        <f>$H450</f>
        <v/>
      </c>
      <c r="BB450" s="199">
        <f>$P450*BB$34-$Q450</f>
        <v/>
      </c>
      <c r="BC450" s="199">
        <f>$P450*BC$34-$Q450</f>
        <v/>
      </c>
      <c r="BD450" s="199">
        <f>$P450*BD$34-$Q450</f>
        <v/>
      </c>
      <c r="BE450" s="199">
        <f>$P450*BE$34-$Q450</f>
        <v/>
      </c>
      <c r="BF450" s="199">
        <f>$P450*BF$34-$Q450</f>
        <v/>
      </c>
      <c r="BH450" s="198">
        <f>$G450</f>
        <v/>
      </c>
      <c r="BI450" s="197">
        <f>$I450</f>
        <v/>
      </c>
      <c r="BJ450" s="197">
        <f>+BJ451</f>
        <v/>
      </c>
      <c r="BK450" s="197">
        <f>+BK451</f>
        <v/>
      </c>
      <c r="BL450" s="197">
        <f>+BL451</f>
        <v/>
      </c>
      <c r="BM450" s="197">
        <f>+BM451</f>
        <v/>
      </c>
      <c r="BN450" s="197">
        <f>+BN451</f>
        <v/>
      </c>
      <c r="BP450" s="198">
        <f>$G450</f>
        <v/>
      </c>
      <c r="BQ450" s="197">
        <f>$J450</f>
        <v/>
      </c>
      <c r="BR450" s="197">
        <f>+BR451</f>
        <v/>
      </c>
      <c r="BS450" s="197">
        <f>+BS451</f>
        <v/>
      </c>
      <c r="BT450" s="197">
        <f>+BT451</f>
        <v/>
      </c>
      <c r="BU450" s="197">
        <f>+BU451</f>
        <v/>
      </c>
      <c r="BV450" s="197">
        <f>+BV451</f>
        <v/>
      </c>
      <c r="BX450" s="198">
        <f>$G450</f>
        <v/>
      </c>
      <c r="BY450" s="197">
        <f>$K450</f>
        <v/>
      </c>
      <c r="BZ450" s="197">
        <f>+BZ451</f>
        <v/>
      </c>
      <c r="CA450" s="197">
        <f>+CA451</f>
        <v/>
      </c>
      <c r="CB450" s="197">
        <f>+CB451</f>
        <v/>
      </c>
      <c r="CC450" s="197">
        <f>+CC451</f>
        <v/>
      </c>
      <c r="CD450" s="197">
        <f>+CD451</f>
        <v/>
      </c>
      <c r="CF450" s="198">
        <f>$G450</f>
        <v/>
      </c>
      <c r="CG450" s="197">
        <f>$L450</f>
        <v/>
      </c>
      <c r="CH450" s="197">
        <f>+CH451</f>
        <v/>
      </c>
      <c r="CI450" s="197">
        <f>+CI451</f>
        <v/>
      </c>
      <c r="CJ450" s="197">
        <f>+CJ451</f>
        <v/>
      </c>
      <c r="CK450" s="197">
        <f>+CK451</f>
        <v/>
      </c>
      <c r="CL450" s="197">
        <f>+CL451</f>
        <v/>
      </c>
      <c r="CO450" s="199" t="n">
        <v>4.723724283672074</v>
      </c>
      <c r="CP450" s="199" t="n">
        <v>3.13</v>
      </c>
      <c r="CR450" s="199" t="n">
        <v>3.8</v>
      </c>
      <c r="CS450" s="970" t="n">
        <v>0.80445</v>
      </c>
    </row>
    <row r="451">
      <c r="B451" s="204">
        <f>+C451-1</f>
        <v/>
      </c>
      <c r="C451" s="204">
        <f>IF('bands_A-H_Avg'!$D$9+1&gt;MONTH(G451),YEAR(G451),YEAR(G451)+1)</f>
        <v/>
      </c>
      <c r="D451" s="204">
        <f>+C451+1</f>
        <v/>
      </c>
      <c r="E451" s="203">
        <f>IF(C451&gt;C450,1,E450+1)</f>
        <v/>
      </c>
      <c r="F451" s="203">
        <f>COUNTIF(C:C,C451)</f>
        <v/>
      </c>
      <c r="G451" s="198">
        <f>+G450+7</f>
        <v/>
      </c>
      <c r="H451" s="361">
        <f>IF(ISBLANK(CO451),CP451,SUMPRODUCT(CO$32:CP$32,CO451:CP451))</f>
        <v/>
      </c>
      <c r="I451" s="968">
        <f>H451/M451</f>
        <v/>
      </c>
      <c r="J451" s="968">
        <f>H451/N451</f>
        <v/>
      </c>
      <c r="K451" s="968">
        <f>(H451+Q451)/O451</f>
        <v/>
      </c>
      <c r="L451" s="968">
        <f>(H451+Q451)/P451</f>
        <v/>
      </c>
      <c r="M451" s="199">
        <f>HLOOKUP(C:C,$4:$10,3,FALSE)+((HLOOKUP(D:D,$4:$10,3,FALSE)-HLOOKUP(C:C,$4:$10,3,FALSE))*E451/F451)</f>
        <v/>
      </c>
      <c r="N451" s="199">
        <f>HLOOKUP(C:C,$4:$10,2,FALSE)+((HLOOKUP(D:D,$4:$10,2,FALSE)-HLOOKUP(C:C,$4:$10,2,FALSE))*E451/F451)</f>
        <v/>
      </c>
      <c r="O451" s="199">
        <f>HLOOKUP(C:C,$4:$10,5,FALSE)+((HLOOKUP(D:D,$4:$10,5,FALSE)-HLOOKUP(C:C,$4:$10,5,FALSE))*E451/F451)</f>
        <v/>
      </c>
      <c r="P451" s="199">
        <f>HLOOKUP(C:C,$4:$10,4,FALSE)+((HLOOKUP(D:D,$4:$10,4,FALSE)-HLOOKUP(C:C,$4:$10,4,FALSE))*E451/F451)</f>
        <v/>
      </c>
      <c r="Q451" s="199">
        <f>HLOOKUP(B:B,$4:$10,6,FALSE)+((HLOOKUP(C:C,$4:$10,6,FALSE)-HLOOKUP(B:B,$4:$10,6,FALSE))*E451/F451)</f>
        <v/>
      </c>
      <c r="T451" s="198">
        <f>$G451</f>
        <v/>
      </c>
      <c r="U451" s="199">
        <f>H451/(HLOOKUP(B:B,$4:$10,3,FALSE)+((HLOOKUP(C:C,$4:$10,3,FALSE)-HLOOKUP(B:B,$4:$10,3,FALSE))*E451/F451))</f>
        <v/>
      </c>
      <c r="V451" s="969">
        <f>HLOOKUP(B:B,$4:$10,7,FALSE)+((HLOOKUP(C:C,$4:$10,7,FALSE)-HLOOKUP(B:B,$4:$10,7,FALSE))*E451/F451)</f>
        <v/>
      </c>
      <c r="AB451" s="198">
        <f>$G451</f>
        <v/>
      </c>
      <c r="AC451" s="199">
        <f>$H451</f>
        <v/>
      </c>
      <c r="AD451" s="199">
        <f>$M451*AD$34</f>
        <v/>
      </c>
      <c r="AE451" s="199">
        <f>$M451*AE$34</f>
        <v/>
      </c>
      <c r="AF451" s="199">
        <f>$M451*AF$34</f>
        <v/>
      </c>
      <c r="AG451" s="199">
        <f>$M451*AG$34</f>
        <v/>
      </c>
      <c r="AH451" s="199">
        <f>$M451*AH$34</f>
        <v/>
      </c>
      <c r="AJ451" s="198">
        <f>$G451</f>
        <v/>
      </c>
      <c r="AK451" s="199">
        <f>$H451</f>
        <v/>
      </c>
      <c r="AL451" s="199">
        <f>$N451*AL$34</f>
        <v/>
      </c>
      <c r="AM451" s="199">
        <f>$N451*AM$34</f>
        <v/>
      </c>
      <c r="AN451" s="199">
        <f>$N451*AN$34</f>
        <v/>
      </c>
      <c r="AO451" s="199">
        <f>$N451*AO$34</f>
        <v/>
      </c>
      <c r="AP451" s="199">
        <f>$N451*AP$34</f>
        <v/>
      </c>
      <c r="AR451" s="198">
        <f>$G451</f>
        <v/>
      </c>
      <c r="AS451" s="199">
        <f>$H451</f>
        <v/>
      </c>
      <c r="AT451" s="199">
        <f>$O451*AT$34-$Q451</f>
        <v/>
      </c>
      <c r="AU451" s="199">
        <f>$O451*AU$34-$Q451</f>
        <v/>
      </c>
      <c r="AV451" s="199">
        <f>$O451*AV$34-$Q451</f>
        <v/>
      </c>
      <c r="AW451" s="199">
        <f>$O451*AW$34-$Q451</f>
        <v/>
      </c>
      <c r="AX451" s="199">
        <f>$O451*AX$34-$Q451</f>
        <v/>
      </c>
      <c r="AZ451" s="198">
        <f>$G451</f>
        <v/>
      </c>
      <c r="BA451" s="199">
        <f>$H451</f>
        <v/>
      </c>
      <c r="BB451" s="199">
        <f>$P451*BB$34-$Q451</f>
        <v/>
      </c>
      <c r="BC451" s="199">
        <f>$P451*BC$34-$Q451</f>
        <v/>
      </c>
      <c r="BD451" s="199">
        <f>$P451*BD$34-$Q451</f>
        <v/>
      </c>
      <c r="BE451" s="199">
        <f>$P451*BE$34-$Q451</f>
        <v/>
      </c>
      <c r="BF451" s="199">
        <f>$P451*BF$34-$Q451</f>
        <v/>
      </c>
      <c r="BH451" s="198">
        <f>$G451</f>
        <v/>
      </c>
      <c r="BI451" s="197">
        <f>$I451</f>
        <v/>
      </c>
      <c r="BJ451" s="197">
        <f>+BJ452</f>
        <v/>
      </c>
      <c r="BK451" s="197">
        <f>+BK452</f>
        <v/>
      </c>
      <c r="BL451" s="197">
        <f>+BL452</f>
        <v/>
      </c>
      <c r="BM451" s="197">
        <f>+BM452</f>
        <v/>
      </c>
      <c r="BN451" s="197">
        <f>+BN452</f>
        <v/>
      </c>
      <c r="BP451" s="198">
        <f>$G451</f>
        <v/>
      </c>
      <c r="BQ451" s="197">
        <f>$J451</f>
        <v/>
      </c>
      <c r="BR451" s="197">
        <f>+BR452</f>
        <v/>
      </c>
      <c r="BS451" s="197">
        <f>+BS452</f>
        <v/>
      </c>
      <c r="BT451" s="197">
        <f>+BT452</f>
        <v/>
      </c>
      <c r="BU451" s="197">
        <f>+BU452</f>
        <v/>
      </c>
      <c r="BV451" s="197">
        <f>+BV452</f>
        <v/>
      </c>
      <c r="BX451" s="198">
        <f>$G451</f>
        <v/>
      </c>
      <c r="BY451" s="197">
        <f>$K451</f>
        <v/>
      </c>
      <c r="BZ451" s="197">
        <f>+BZ452</f>
        <v/>
      </c>
      <c r="CA451" s="197">
        <f>+CA452</f>
        <v/>
      </c>
      <c r="CB451" s="197">
        <f>+CB452</f>
        <v/>
      </c>
      <c r="CC451" s="197">
        <f>+CC452</f>
        <v/>
      </c>
      <c r="CD451" s="197">
        <f>+CD452</f>
        <v/>
      </c>
      <c r="CF451" s="198">
        <f>$G451</f>
        <v/>
      </c>
      <c r="CG451" s="197">
        <f>$L451</f>
        <v/>
      </c>
      <c r="CH451" s="197">
        <f>+CH452</f>
        <v/>
      </c>
      <c r="CI451" s="197">
        <f>+CI452</f>
        <v/>
      </c>
      <c r="CJ451" s="197">
        <f>+CJ452</f>
        <v/>
      </c>
      <c r="CK451" s="197">
        <f>+CK452</f>
        <v/>
      </c>
      <c r="CL451" s="197">
        <f>+CL452</f>
        <v/>
      </c>
      <c r="CO451" s="199" t="n">
        <v>4.80178671133445</v>
      </c>
      <c r="CP451" s="199" t="n">
        <v>3.39</v>
      </c>
      <c r="CR451" s="199" t="n">
        <v>3.87</v>
      </c>
      <c r="CS451" s="970" t="n">
        <v>0.8059500000000001</v>
      </c>
    </row>
    <row r="452">
      <c r="B452" s="204">
        <f>+C452-1</f>
        <v/>
      </c>
      <c r="C452" s="204">
        <f>IF('bands_A-H_Avg'!$D$9+1&gt;MONTH(G452),YEAR(G452),YEAR(G452)+1)</f>
        <v/>
      </c>
      <c r="D452" s="204">
        <f>+C452+1</f>
        <v/>
      </c>
      <c r="E452" s="203">
        <f>IF(C452&gt;C451,1,E451+1)</f>
        <v/>
      </c>
      <c r="F452" s="203">
        <f>COUNTIF(C:C,C452)</f>
        <v/>
      </c>
      <c r="G452" s="198">
        <f>+G451+7</f>
        <v/>
      </c>
      <c r="H452" s="361">
        <f>IF(ISBLANK(CO452),CP452,SUMPRODUCT(CO$32:CP$32,CO452:CP452))</f>
        <v/>
      </c>
      <c r="I452" s="968">
        <f>H452/M452</f>
        <v/>
      </c>
      <c r="J452" s="968">
        <f>H452/N452</f>
        <v/>
      </c>
      <c r="K452" s="968">
        <f>(H452+Q452)/O452</f>
        <v/>
      </c>
      <c r="L452" s="968">
        <f>(H452+Q452)/P452</f>
        <v/>
      </c>
      <c r="M452" s="199">
        <f>HLOOKUP(C:C,$4:$10,3,FALSE)+((HLOOKUP(D:D,$4:$10,3,FALSE)-HLOOKUP(C:C,$4:$10,3,FALSE))*E452/F452)</f>
        <v/>
      </c>
      <c r="N452" s="199">
        <f>HLOOKUP(C:C,$4:$10,2,FALSE)+((HLOOKUP(D:D,$4:$10,2,FALSE)-HLOOKUP(C:C,$4:$10,2,FALSE))*E452/F452)</f>
        <v/>
      </c>
      <c r="O452" s="199">
        <f>HLOOKUP(C:C,$4:$10,5,FALSE)+((HLOOKUP(D:D,$4:$10,5,FALSE)-HLOOKUP(C:C,$4:$10,5,FALSE))*E452/F452)</f>
        <v/>
      </c>
      <c r="P452" s="199">
        <f>HLOOKUP(C:C,$4:$10,4,FALSE)+((HLOOKUP(D:D,$4:$10,4,FALSE)-HLOOKUP(C:C,$4:$10,4,FALSE))*E452/F452)</f>
        <v/>
      </c>
      <c r="Q452" s="199">
        <f>HLOOKUP(B:B,$4:$10,6,FALSE)+((HLOOKUP(C:C,$4:$10,6,FALSE)-HLOOKUP(B:B,$4:$10,6,FALSE))*E452/F452)</f>
        <v/>
      </c>
      <c r="T452" s="198">
        <f>$G452</f>
        <v/>
      </c>
      <c r="U452" s="199">
        <f>H452/(HLOOKUP(B:B,$4:$10,3,FALSE)+((HLOOKUP(C:C,$4:$10,3,FALSE)-HLOOKUP(B:B,$4:$10,3,FALSE))*E452/F452))</f>
        <v/>
      </c>
      <c r="V452" s="969">
        <f>HLOOKUP(B:B,$4:$10,7,FALSE)+((HLOOKUP(C:C,$4:$10,7,FALSE)-HLOOKUP(B:B,$4:$10,7,FALSE))*E452/F452)</f>
        <v/>
      </c>
      <c r="AB452" s="198">
        <f>$G452</f>
        <v/>
      </c>
      <c r="AC452" s="199">
        <f>$H452</f>
        <v/>
      </c>
      <c r="AD452" s="199">
        <f>$M452*AD$34</f>
        <v/>
      </c>
      <c r="AE452" s="199">
        <f>$M452*AE$34</f>
        <v/>
      </c>
      <c r="AF452" s="199">
        <f>$M452*AF$34</f>
        <v/>
      </c>
      <c r="AG452" s="199">
        <f>$M452*AG$34</f>
        <v/>
      </c>
      <c r="AH452" s="199">
        <f>$M452*AH$34</f>
        <v/>
      </c>
      <c r="AJ452" s="198">
        <f>$G452</f>
        <v/>
      </c>
      <c r="AK452" s="199">
        <f>$H452</f>
        <v/>
      </c>
      <c r="AL452" s="199">
        <f>$N452*AL$34</f>
        <v/>
      </c>
      <c r="AM452" s="199">
        <f>$N452*AM$34</f>
        <v/>
      </c>
      <c r="AN452" s="199">
        <f>$N452*AN$34</f>
        <v/>
      </c>
      <c r="AO452" s="199">
        <f>$N452*AO$34</f>
        <v/>
      </c>
      <c r="AP452" s="199">
        <f>$N452*AP$34</f>
        <v/>
      </c>
      <c r="AR452" s="198">
        <f>$G452</f>
        <v/>
      </c>
      <c r="AS452" s="199">
        <f>$H452</f>
        <v/>
      </c>
      <c r="AT452" s="199">
        <f>$O452*AT$34-$Q452</f>
        <v/>
      </c>
      <c r="AU452" s="199">
        <f>$O452*AU$34-$Q452</f>
        <v/>
      </c>
      <c r="AV452" s="199">
        <f>$O452*AV$34-$Q452</f>
        <v/>
      </c>
      <c r="AW452" s="199">
        <f>$O452*AW$34-$Q452</f>
        <v/>
      </c>
      <c r="AX452" s="199">
        <f>$O452*AX$34-$Q452</f>
        <v/>
      </c>
      <c r="AZ452" s="198">
        <f>$G452</f>
        <v/>
      </c>
      <c r="BA452" s="199">
        <f>$H452</f>
        <v/>
      </c>
      <c r="BB452" s="199">
        <f>$P452*BB$34-$Q452</f>
        <v/>
      </c>
      <c r="BC452" s="199">
        <f>$P452*BC$34-$Q452</f>
        <v/>
      </c>
      <c r="BD452" s="199">
        <f>$P452*BD$34-$Q452</f>
        <v/>
      </c>
      <c r="BE452" s="199">
        <f>$P452*BE$34-$Q452</f>
        <v/>
      </c>
      <c r="BF452" s="199">
        <f>$P452*BF$34-$Q452</f>
        <v/>
      </c>
      <c r="BH452" s="198">
        <f>$G452</f>
        <v/>
      </c>
      <c r="BI452" s="197">
        <f>$I452</f>
        <v/>
      </c>
      <c r="BJ452" s="197">
        <f>+BJ453</f>
        <v/>
      </c>
      <c r="BK452" s="197">
        <f>+BK453</f>
        <v/>
      </c>
      <c r="BL452" s="197">
        <f>+BL453</f>
        <v/>
      </c>
      <c r="BM452" s="197">
        <f>+BM453</f>
        <v/>
      </c>
      <c r="BN452" s="197">
        <f>+BN453</f>
        <v/>
      </c>
      <c r="BP452" s="198">
        <f>$G452</f>
        <v/>
      </c>
      <c r="BQ452" s="197">
        <f>$J452</f>
        <v/>
      </c>
      <c r="BR452" s="197">
        <f>+BR453</f>
        <v/>
      </c>
      <c r="BS452" s="197">
        <f>+BS453</f>
        <v/>
      </c>
      <c r="BT452" s="197">
        <f>+BT453</f>
        <v/>
      </c>
      <c r="BU452" s="197">
        <f>+BU453</f>
        <v/>
      </c>
      <c r="BV452" s="197">
        <f>+BV453</f>
        <v/>
      </c>
      <c r="BX452" s="198">
        <f>$G452</f>
        <v/>
      </c>
      <c r="BY452" s="197">
        <f>$K452</f>
        <v/>
      </c>
      <c r="BZ452" s="197">
        <f>+BZ453</f>
        <v/>
      </c>
      <c r="CA452" s="197">
        <f>+CA453</f>
        <v/>
      </c>
      <c r="CB452" s="197">
        <f>+CB453</f>
        <v/>
      </c>
      <c r="CC452" s="197">
        <f>+CC453</f>
        <v/>
      </c>
      <c r="CD452" s="197">
        <f>+CD453</f>
        <v/>
      </c>
      <c r="CF452" s="198">
        <f>$G452</f>
        <v/>
      </c>
      <c r="CG452" s="197">
        <f>$L452</f>
        <v/>
      </c>
      <c r="CH452" s="197">
        <f>+CH453</f>
        <v/>
      </c>
      <c r="CI452" s="197">
        <f>+CI453</f>
        <v/>
      </c>
      <c r="CJ452" s="197">
        <f>+CJ453</f>
        <v/>
      </c>
      <c r="CK452" s="197">
        <f>+CK453</f>
        <v/>
      </c>
      <c r="CL452" s="197">
        <f>+CL453</f>
        <v/>
      </c>
      <c r="CO452" s="199" t="n">
        <v>4.810261892036345</v>
      </c>
      <c r="CP452" s="199" t="n">
        <v>3.44</v>
      </c>
      <c r="CR452" s="199" t="n">
        <v>3.87</v>
      </c>
      <c r="CS452" s="970" t="n">
        <v>0.80453</v>
      </c>
    </row>
    <row r="453">
      <c r="B453" s="204">
        <f>+C453-1</f>
        <v/>
      </c>
      <c r="C453" s="204">
        <f>IF('bands_A-H_Avg'!$D$9+1&gt;MONTH(G453),YEAR(G453),YEAR(G453)+1)</f>
        <v/>
      </c>
      <c r="D453" s="204">
        <f>+C453+1</f>
        <v/>
      </c>
      <c r="E453" s="203">
        <f>IF(C453&gt;C452,1,E452+1)</f>
        <v/>
      </c>
      <c r="F453" s="203">
        <f>COUNTIF(C:C,C453)</f>
        <v/>
      </c>
      <c r="G453" s="198">
        <f>+G452+7</f>
        <v/>
      </c>
      <c r="H453" s="361">
        <f>IF(ISBLANK(CO453),CP453,SUMPRODUCT(CO$32:CP$32,CO453:CP453))</f>
        <v/>
      </c>
      <c r="I453" s="968">
        <f>H453/M453</f>
        <v/>
      </c>
      <c r="J453" s="968">
        <f>H453/N453</f>
        <v/>
      </c>
      <c r="K453" s="968">
        <f>(H453+Q453)/O453</f>
        <v/>
      </c>
      <c r="L453" s="968">
        <f>(H453+Q453)/P453</f>
        <v/>
      </c>
      <c r="M453" s="199">
        <f>HLOOKUP(C:C,$4:$10,3,FALSE)+((HLOOKUP(D:D,$4:$10,3,FALSE)-HLOOKUP(C:C,$4:$10,3,FALSE))*E453/F453)</f>
        <v/>
      </c>
      <c r="N453" s="199">
        <f>HLOOKUP(C:C,$4:$10,2,FALSE)+((HLOOKUP(D:D,$4:$10,2,FALSE)-HLOOKUP(C:C,$4:$10,2,FALSE))*E453/F453)</f>
        <v/>
      </c>
      <c r="O453" s="199">
        <f>HLOOKUP(C:C,$4:$10,5,FALSE)+((HLOOKUP(D:D,$4:$10,5,FALSE)-HLOOKUP(C:C,$4:$10,5,FALSE))*E453/F453)</f>
        <v/>
      </c>
      <c r="P453" s="199">
        <f>HLOOKUP(C:C,$4:$10,4,FALSE)+((HLOOKUP(D:D,$4:$10,4,FALSE)-HLOOKUP(C:C,$4:$10,4,FALSE))*E453/F453)</f>
        <v/>
      </c>
      <c r="Q453" s="199">
        <f>HLOOKUP(B:B,$4:$10,6,FALSE)+((HLOOKUP(C:C,$4:$10,6,FALSE)-HLOOKUP(B:B,$4:$10,6,FALSE))*E453/F453)</f>
        <v/>
      </c>
      <c r="T453" s="198">
        <f>$G453</f>
        <v/>
      </c>
      <c r="U453" s="199">
        <f>H453/(HLOOKUP(B:B,$4:$10,3,FALSE)+((HLOOKUP(C:C,$4:$10,3,FALSE)-HLOOKUP(B:B,$4:$10,3,FALSE))*E453/F453))</f>
        <v/>
      </c>
      <c r="V453" s="969">
        <f>HLOOKUP(B:B,$4:$10,7,FALSE)+((HLOOKUP(C:C,$4:$10,7,FALSE)-HLOOKUP(B:B,$4:$10,7,FALSE))*E453/F453)</f>
        <v/>
      </c>
      <c r="AB453" s="198">
        <f>$G453</f>
        <v/>
      </c>
      <c r="AC453" s="199">
        <f>$H453</f>
        <v/>
      </c>
      <c r="AD453" s="199">
        <f>$M453*AD$34</f>
        <v/>
      </c>
      <c r="AE453" s="199">
        <f>$M453*AE$34</f>
        <v/>
      </c>
      <c r="AF453" s="199">
        <f>$M453*AF$34</f>
        <v/>
      </c>
      <c r="AG453" s="199">
        <f>$M453*AG$34</f>
        <v/>
      </c>
      <c r="AH453" s="199">
        <f>$M453*AH$34</f>
        <v/>
      </c>
      <c r="AJ453" s="198">
        <f>$G453</f>
        <v/>
      </c>
      <c r="AK453" s="199">
        <f>$H453</f>
        <v/>
      </c>
      <c r="AL453" s="199">
        <f>$N453*AL$34</f>
        <v/>
      </c>
      <c r="AM453" s="199">
        <f>$N453*AM$34</f>
        <v/>
      </c>
      <c r="AN453" s="199">
        <f>$N453*AN$34</f>
        <v/>
      </c>
      <c r="AO453" s="199">
        <f>$N453*AO$34</f>
        <v/>
      </c>
      <c r="AP453" s="199">
        <f>$N453*AP$34</f>
        <v/>
      </c>
      <c r="AR453" s="198">
        <f>$G453</f>
        <v/>
      </c>
      <c r="AS453" s="199">
        <f>$H453</f>
        <v/>
      </c>
      <c r="AT453" s="199">
        <f>$O453*AT$34-$Q453</f>
        <v/>
      </c>
      <c r="AU453" s="199">
        <f>$O453*AU$34-$Q453</f>
        <v/>
      </c>
      <c r="AV453" s="199">
        <f>$O453*AV$34-$Q453</f>
        <v/>
      </c>
      <c r="AW453" s="199">
        <f>$O453*AW$34-$Q453</f>
        <v/>
      </c>
      <c r="AX453" s="199">
        <f>$O453*AX$34-$Q453</f>
        <v/>
      </c>
      <c r="AZ453" s="198">
        <f>$G453</f>
        <v/>
      </c>
      <c r="BA453" s="199">
        <f>$H453</f>
        <v/>
      </c>
      <c r="BB453" s="199">
        <f>$P453*BB$34-$Q453</f>
        <v/>
      </c>
      <c r="BC453" s="199">
        <f>$P453*BC$34-$Q453</f>
        <v/>
      </c>
      <c r="BD453" s="199">
        <f>$P453*BD$34-$Q453</f>
        <v/>
      </c>
      <c r="BE453" s="199">
        <f>$P453*BE$34-$Q453</f>
        <v/>
      </c>
      <c r="BF453" s="199">
        <f>$P453*BF$34-$Q453</f>
        <v/>
      </c>
      <c r="BH453" s="198">
        <f>$G453</f>
        <v/>
      </c>
      <c r="BI453" s="197">
        <f>$I453</f>
        <v/>
      </c>
      <c r="BJ453" s="197">
        <f>+BJ454</f>
        <v/>
      </c>
      <c r="BK453" s="197">
        <f>+BK454</f>
        <v/>
      </c>
      <c r="BL453" s="197">
        <f>+BL454</f>
        <v/>
      </c>
      <c r="BM453" s="197">
        <f>+BM454</f>
        <v/>
      </c>
      <c r="BN453" s="197">
        <f>+BN454</f>
        <v/>
      </c>
      <c r="BP453" s="198">
        <f>$G453</f>
        <v/>
      </c>
      <c r="BQ453" s="197">
        <f>$J453</f>
        <v/>
      </c>
      <c r="BR453" s="197">
        <f>+BR454</f>
        <v/>
      </c>
      <c r="BS453" s="197">
        <f>+BS454</f>
        <v/>
      </c>
      <c r="BT453" s="197">
        <f>+BT454</f>
        <v/>
      </c>
      <c r="BU453" s="197">
        <f>+BU454</f>
        <v/>
      </c>
      <c r="BV453" s="197">
        <f>+BV454</f>
        <v/>
      </c>
      <c r="BX453" s="198">
        <f>$G453</f>
        <v/>
      </c>
      <c r="BY453" s="197">
        <f>$K453</f>
        <v/>
      </c>
      <c r="BZ453" s="197">
        <f>+BZ454</f>
        <v/>
      </c>
      <c r="CA453" s="197">
        <f>+CA454</f>
        <v/>
      </c>
      <c r="CB453" s="197">
        <f>+CB454</f>
        <v/>
      </c>
      <c r="CC453" s="197">
        <f>+CC454</f>
        <v/>
      </c>
      <c r="CD453" s="197">
        <f>+CD454</f>
        <v/>
      </c>
      <c r="CF453" s="198">
        <f>$G453</f>
        <v/>
      </c>
      <c r="CG453" s="197">
        <f>$L453</f>
        <v/>
      </c>
      <c r="CH453" s="197">
        <f>+CH454</f>
        <v/>
      </c>
      <c r="CI453" s="197">
        <f>+CI454</f>
        <v/>
      </c>
      <c r="CJ453" s="197">
        <f>+CJ454</f>
        <v/>
      </c>
      <c r="CK453" s="197">
        <f>+CK454</f>
        <v/>
      </c>
      <c r="CL453" s="197">
        <f>+CL454</f>
        <v/>
      </c>
      <c r="CO453" s="199" t="n">
        <v>5.009633911368016</v>
      </c>
      <c r="CP453" s="199" t="n">
        <v>3.35</v>
      </c>
      <c r="CR453" s="199" t="n">
        <v>4.03</v>
      </c>
      <c r="CS453" s="970" t="n">
        <v>0.80445</v>
      </c>
    </row>
    <row r="454">
      <c r="B454" s="204">
        <f>+C454-1</f>
        <v/>
      </c>
      <c r="C454" s="204">
        <f>IF('bands_A-H_Avg'!$D$9+1&gt;MONTH(G454),YEAR(G454),YEAR(G454)+1)</f>
        <v/>
      </c>
      <c r="D454" s="204">
        <f>+C454+1</f>
        <v/>
      </c>
      <c r="E454" s="203">
        <f>IF(C454&gt;C453,1,E453+1)</f>
        <v/>
      </c>
      <c r="F454" s="203">
        <f>COUNTIF(C:C,C454)</f>
        <v/>
      </c>
      <c r="G454" s="198">
        <f>+G453+7</f>
        <v/>
      </c>
      <c r="H454" s="361">
        <f>IF(ISBLANK(CO454),CP454,SUMPRODUCT(CO$32:CP$32,CO454:CP454))</f>
        <v/>
      </c>
      <c r="I454" s="968">
        <f>H454/M454</f>
        <v/>
      </c>
      <c r="J454" s="968">
        <f>H454/N454</f>
        <v/>
      </c>
      <c r="K454" s="968">
        <f>(H454+Q454)/O454</f>
        <v/>
      </c>
      <c r="L454" s="968">
        <f>(H454+Q454)/P454</f>
        <v/>
      </c>
      <c r="M454" s="199">
        <f>HLOOKUP(C:C,$4:$10,3,FALSE)+((HLOOKUP(D:D,$4:$10,3,FALSE)-HLOOKUP(C:C,$4:$10,3,FALSE))*E454/F454)</f>
        <v/>
      </c>
      <c r="N454" s="199">
        <f>HLOOKUP(C:C,$4:$10,2,FALSE)+((HLOOKUP(D:D,$4:$10,2,FALSE)-HLOOKUP(C:C,$4:$10,2,FALSE))*E454/F454)</f>
        <v/>
      </c>
      <c r="O454" s="199">
        <f>HLOOKUP(C:C,$4:$10,5,FALSE)+((HLOOKUP(D:D,$4:$10,5,FALSE)-HLOOKUP(C:C,$4:$10,5,FALSE))*E454/F454)</f>
        <v/>
      </c>
      <c r="P454" s="199">
        <f>HLOOKUP(C:C,$4:$10,4,FALSE)+((HLOOKUP(D:D,$4:$10,4,FALSE)-HLOOKUP(C:C,$4:$10,4,FALSE))*E454/F454)</f>
        <v/>
      </c>
      <c r="Q454" s="199">
        <f>HLOOKUP(B:B,$4:$10,6,FALSE)+((HLOOKUP(C:C,$4:$10,6,FALSE)-HLOOKUP(B:B,$4:$10,6,FALSE))*E454/F454)</f>
        <v/>
      </c>
      <c r="T454" s="198">
        <f>$G454</f>
        <v/>
      </c>
      <c r="U454" s="199">
        <f>H454/(HLOOKUP(B:B,$4:$10,3,FALSE)+((HLOOKUP(C:C,$4:$10,3,FALSE)-HLOOKUP(B:B,$4:$10,3,FALSE))*E454/F454))</f>
        <v/>
      </c>
      <c r="V454" s="969">
        <f>HLOOKUP(B:B,$4:$10,7,FALSE)+((HLOOKUP(C:C,$4:$10,7,FALSE)-HLOOKUP(B:B,$4:$10,7,FALSE))*E454/F454)</f>
        <v/>
      </c>
      <c r="AB454" s="198">
        <f>$G454</f>
        <v/>
      </c>
      <c r="AC454" s="199">
        <f>$H454</f>
        <v/>
      </c>
      <c r="AD454" s="199">
        <f>$M454*AD$34</f>
        <v/>
      </c>
      <c r="AE454" s="199">
        <f>$M454*AE$34</f>
        <v/>
      </c>
      <c r="AF454" s="199">
        <f>$M454*AF$34</f>
        <v/>
      </c>
      <c r="AG454" s="199">
        <f>$M454*AG$34</f>
        <v/>
      </c>
      <c r="AH454" s="199">
        <f>$M454*AH$34</f>
        <v/>
      </c>
      <c r="AJ454" s="198">
        <f>$G454</f>
        <v/>
      </c>
      <c r="AK454" s="199">
        <f>$H454</f>
        <v/>
      </c>
      <c r="AL454" s="199">
        <f>$N454*AL$34</f>
        <v/>
      </c>
      <c r="AM454" s="199">
        <f>$N454*AM$34</f>
        <v/>
      </c>
      <c r="AN454" s="199">
        <f>$N454*AN$34</f>
        <v/>
      </c>
      <c r="AO454" s="199">
        <f>$N454*AO$34</f>
        <v/>
      </c>
      <c r="AP454" s="199">
        <f>$N454*AP$34</f>
        <v/>
      </c>
      <c r="AR454" s="198">
        <f>$G454</f>
        <v/>
      </c>
      <c r="AS454" s="199">
        <f>$H454</f>
        <v/>
      </c>
      <c r="AT454" s="199">
        <f>$O454*AT$34-$Q454</f>
        <v/>
      </c>
      <c r="AU454" s="199">
        <f>$O454*AU$34-$Q454</f>
        <v/>
      </c>
      <c r="AV454" s="199">
        <f>$O454*AV$34-$Q454</f>
        <v/>
      </c>
      <c r="AW454" s="199">
        <f>$O454*AW$34-$Q454</f>
        <v/>
      </c>
      <c r="AX454" s="199">
        <f>$O454*AX$34-$Q454</f>
        <v/>
      </c>
      <c r="AZ454" s="198">
        <f>$G454</f>
        <v/>
      </c>
      <c r="BA454" s="199">
        <f>$H454</f>
        <v/>
      </c>
      <c r="BB454" s="199">
        <f>$P454*BB$34-$Q454</f>
        <v/>
      </c>
      <c r="BC454" s="199">
        <f>$P454*BC$34-$Q454</f>
        <v/>
      </c>
      <c r="BD454" s="199">
        <f>$P454*BD$34-$Q454</f>
        <v/>
      </c>
      <c r="BE454" s="199">
        <f>$P454*BE$34-$Q454</f>
        <v/>
      </c>
      <c r="BF454" s="199">
        <f>$P454*BF$34-$Q454</f>
        <v/>
      </c>
      <c r="BH454" s="198">
        <f>$G454</f>
        <v/>
      </c>
      <c r="BI454" s="197">
        <f>$I454</f>
        <v/>
      </c>
      <c r="BJ454" s="197">
        <f>+BJ455</f>
        <v/>
      </c>
      <c r="BK454" s="197">
        <f>+BK455</f>
        <v/>
      </c>
      <c r="BL454" s="197">
        <f>+BL455</f>
        <v/>
      </c>
      <c r="BM454" s="197">
        <f>+BM455</f>
        <v/>
      </c>
      <c r="BN454" s="197">
        <f>+BN455</f>
        <v/>
      </c>
      <c r="BP454" s="198">
        <f>$G454</f>
        <v/>
      </c>
      <c r="BQ454" s="197">
        <f>$J454</f>
        <v/>
      </c>
      <c r="BR454" s="197">
        <f>+BR455</f>
        <v/>
      </c>
      <c r="BS454" s="197">
        <f>+BS455</f>
        <v/>
      </c>
      <c r="BT454" s="197">
        <f>+BT455</f>
        <v/>
      </c>
      <c r="BU454" s="197">
        <f>+BU455</f>
        <v/>
      </c>
      <c r="BV454" s="197">
        <f>+BV455</f>
        <v/>
      </c>
      <c r="BX454" s="198">
        <f>$G454</f>
        <v/>
      </c>
      <c r="BY454" s="197">
        <f>$K454</f>
        <v/>
      </c>
      <c r="BZ454" s="197">
        <f>+BZ455</f>
        <v/>
      </c>
      <c r="CA454" s="197">
        <f>+CA455</f>
        <v/>
      </c>
      <c r="CB454" s="197">
        <f>+CB455</f>
        <v/>
      </c>
      <c r="CC454" s="197">
        <f>+CC455</f>
        <v/>
      </c>
      <c r="CD454" s="197">
        <f>+CD455</f>
        <v/>
      </c>
      <c r="CF454" s="198">
        <f>$G454</f>
        <v/>
      </c>
      <c r="CG454" s="197">
        <f>$L454</f>
        <v/>
      </c>
      <c r="CH454" s="197">
        <f>+CH455</f>
        <v/>
      </c>
      <c r="CI454" s="197">
        <f>+CI455</f>
        <v/>
      </c>
      <c r="CJ454" s="197">
        <f>+CJ455</f>
        <v/>
      </c>
      <c r="CK454" s="197">
        <f>+CK455</f>
        <v/>
      </c>
      <c r="CL454" s="197">
        <f>+CL455</f>
        <v/>
      </c>
      <c r="CO454" s="199" t="n">
        <v>5.050567877890703</v>
      </c>
      <c r="CP454" s="199" t="n">
        <v>3.55</v>
      </c>
      <c r="CR454" s="199" t="n">
        <v>4.06</v>
      </c>
      <c r="CS454" s="970" t="n">
        <v>0.80387</v>
      </c>
    </row>
    <row r="455">
      <c r="B455" s="204">
        <f>+C455-1</f>
        <v/>
      </c>
      <c r="C455" s="204">
        <f>IF('bands_A-H_Avg'!$D$9+1&gt;MONTH(G455),YEAR(G455),YEAR(G455)+1)</f>
        <v/>
      </c>
      <c r="D455" s="204">
        <f>+C455+1</f>
        <v/>
      </c>
      <c r="E455" s="203">
        <f>IF(C455&gt;C454,1,E454+1)</f>
        <v/>
      </c>
      <c r="F455" s="203">
        <f>COUNTIF(C:C,C455)</f>
        <v/>
      </c>
      <c r="G455" s="198">
        <f>+G454+7</f>
        <v/>
      </c>
      <c r="H455" s="361">
        <f>IF(ISBLANK(CO455),CP455,SUMPRODUCT(CO$32:CP$32,CO455:CP455))</f>
        <v/>
      </c>
      <c r="I455" s="968">
        <f>H455/M455</f>
        <v/>
      </c>
      <c r="J455" s="968">
        <f>H455/N455</f>
        <v/>
      </c>
      <c r="K455" s="968">
        <f>(H455+Q455)/O455</f>
        <v/>
      </c>
      <c r="L455" s="968">
        <f>(H455+Q455)/P455</f>
        <v/>
      </c>
      <c r="M455" s="199">
        <f>HLOOKUP(C:C,$4:$10,3,FALSE)+((HLOOKUP(D:D,$4:$10,3,FALSE)-HLOOKUP(C:C,$4:$10,3,FALSE))*E455/F455)</f>
        <v/>
      </c>
      <c r="N455" s="199">
        <f>HLOOKUP(C:C,$4:$10,2,FALSE)+((HLOOKUP(D:D,$4:$10,2,FALSE)-HLOOKUP(C:C,$4:$10,2,FALSE))*E455/F455)</f>
        <v/>
      </c>
      <c r="O455" s="199">
        <f>HLOOKUP(C:C,$4:$10,5,FALSE)+((HLOOKUP(D:D,$4:$10,5,FALSE)-HLOOKUP(C:C,$4:$10,5,FALSE))*E455/F455)</f>
        <v/>
      </c>
      <c r="P455" s="199">
        <f>HLOOKUP(C:C,$4:$10,4,FALSE)+((HLOOKUP(D:D,$4:$10,4,FALSE)-HLOOKUP(C:C,$4:$10,4,FALSE))*E455/F455)</f>
        <v/>
      </c>
      <c r="Q455" s="199">
        <f>HLOOKUP(B:B,$4:$10,6,FALSE)+((HLOOKUP(C:C,$4:$10,6,FALSE)-HLOOKUP(B:B,$4:$10,6,FALSE))*E455/F455)</f>
        <v/>
      </c>
      <c r="T455" s="198">
        <f>$G455</f>
        <v/>
      </c>
      <c r="U455" s="199">
        <f>H455/(HLOOKUP(B:B,$4:$10,3,FALSE)+((HLOOKUP(C:C,$4:$10,3,FALSE)-HLOOKUP(B:B,$4:$10,3,FALSE))*E455/F455))</f>
        <v/>
      </c>
      <c r="V455" s="969">
        <f>HLOOKUP(B:B,$4:$10,7,FALSE)+((HLOOKUP(C:C,$4:$10,7,FALSE)-HLOOKUP(B:B,$4:$10,7,FALSE))*E455/F455)</f>
        <v/>
      </c>
      <c r="AB455" s="198">
        <f>$G455</f>
        <v/>
      </c>
      <c r="AC455" s="199">
        <f>$H455</f>
        <v/>
      </c>
      <c r="AD455" s="199">
        <f>$M455*AD$34</f>
        <v/>
      </c>
      <c r="AE455" s="199">
        <f>$M455*AE$34</f>
        <v/>
      </c>
      <c r="AF455" s="199">
        <f>$M455*AF$34</f>
        <v/>
      </c>
      <c r="AG455" s="199">
        <f>$M455*AG$34</f>
        <v/>
      </c>
      <c r="AH455" s="199">
        <f>$M455*AH$34</f>
        <v/>
      </c>
      <c r="AJ455" s="198">
        <f>$G455</f>
        <v/>
      </c>
      <c r="AK455" s="199">
        <f>$H455</f>
        <v/>
      </c>
      <c r="AL455" s="199">
        <f>$N455*AL$34</f>
        <v/>
      </c>
      <c r="AM455" s="199">
        <f>$N455*AM$34</f>
        <v/>
      </c>
      <c r="AN455" s="199">
        <f>$N455*AN$34</f>
        <v/>
      </c>
      <c r="AO455" s="199">
        <f>$N455*AO$34</f>
        <v/>
      </c>
      <c r="AP455" s="199">
        <f>$N455*AP$34</f>
        <v/>
      </c>
      <c r="AR455" s="198">
        <f>$G455</f>
        <v/>
      </c>
      <c r="AS455" s="199">
        <f>$H455</f>
        <v/>
      </c>
      <c r="AT455" s="199">
        <f>$O455*AT$34-$Q455</f>
        <v/>
      </c>
      <c r="AU455" s="199">
        <f>$O455*AU$34-$Q455</f>
        <v/>
      </c>
      <c r="AV455" s="199">
        <f>$O455*AV$34-$Q455</f>
        <v/>
      </c>
      <c r="AW455" s="199">
        <f>$O455*AW$34-$Q455</f>
        <v/>
      </c>
      <c r="AX455" s="199">
        <f>$O455*AX$34-$Q455</f>
        <v/>
      </c>
      <c r="AZ455" s="198">
        <f>$G455</f>
        <v/>
      </c>
      <c r="BA455" s="199">
        <f>$H455</f>
        <v/>
      </c>
      <c r="BB455" s="199">
        <f>$P455*BB$34-$Q455</f>
        <v/>
      </c>
      <c r="BC455" s="199">
        <f>$P455*BC$34-$Q455</f>
        <v/>
      </c>
      <c r="BD455" s="199">
        <f>$P455*BD$34-$Q455</f>
        <v/>
      </c>
      <c r="BE455" s="199">
        <f>$P455*BE$34-$Q455</f>
        <v/>
      </c>
      <c r="BF455" s="199">
        <f>$P455*BF$34-$Q455</f>
        <v/>
      </c>
      <c r="BH455" s="198">
        <f>$G455</f>
        <v/>
      </c>
      <c r="BI455" s="197">
        <f>$I455</f>
        <v/>
      </c>
      <c r="BJ455" s="197">
        <f>+BJ456</f>
        <v/>
      </c>
      <c r="BK455" s="197">
        <f>+BK456</f>
        <v/>
      </c>
      <c r="BL455" s="197">
        <f>+BL456</f>
        <v/>
      </c>
      <c r="BM455" s="197">
        <f>+BM456</f>
        <v/>
      </c>
      <c r="BN455" s="197">
        <f>+BN456</f>
        <v/>
      </c>
      <c r="BP455" s="198">
        <f>$G455</f>
        <v/>
      </c>
      <c r="BQ455" s="197">
        <f>$J455</f>
        <v/>
      </c>
      <c r="BR455" s="197">
        <f>+BR456</f>
        <v/>
      </c>
      <c r="BS455" s="197">
        <f>+BS456</f>
        <v/>
      </c>
      <c r="BT455" s="197">
        <f>+BT456</f>
        <v/>
      </c>
      <c r="BU455" s="197">
        <f>+BU456</f>
        <v/>
      </c>
      <c r="BV455" s="197">
        <f>+BV456</f>
        <v/>
      </c>
      <c r="BX455" s="198">
        <f>$G455</f>
        <v/>
      </c>
      <c r="BY455" s="197">
        <f>$K455</f>
        <v/>
      </c>
      <c r="BZ455" s="197">
        <f>+BZ456</f>
        <v/>
      </c>
      <c r="CA455" s="197">
        <f>+CA456</f>
        <v/>
      </c>
      <c r="CB455" s="197">
        <f>+CB456</f>
        <v/>
      </c>
      <c r="CC455" s="197">
        <f>+CC456</f>
        <v/>
      </c>
      <c r="CD455" s="197">
        <f>+CD456</f>
        <v/>
      </c>
      <c r="CF455" s="198">
        <f>$G455</f>
        <v/>
      </c>
      <c r="CG455" s="197">
        <f>$L455</f>
        <v/>
      </c>
      <c r="CH455" s="197">
        <f>+CH456</f>
        <v/>
      </c>
      <c r="CI455" s="197">
        <f>+CI456</f>
        <v/>
      </c>
      <c r="CJ455" s="197">
        <f>+CJ456</f>
        <v/>
      </c>
      <c r="CK455" s="197">
        <f>+CK456</f>
        <v/>
      </c>
      <c r="CL455" s="197">
        <f>+CL456</f>
        <v/>
      </c>
      <c r="CO455" s="199" t="n">
        <v>5.124816080201501</v>
      </c>
      <c r="CP455" s="199" t="n">
        <v>3.81</v>
      </c>
      <c r="CR455" s="199" t="n">
        <v>4.11</v>
      </c>
      <c r="CS455" s="970" t="n">
        <v>0.80198</v>
      </c>
    </row>
    <row r="456">
      <c r="B456" s="204">
        <f>+C456-1</f>
        <v/>
      </c>
      <c r="C456" s="204">
        <f>IF('bands_A-H_Avg'!$D$9+1&gt;MONTH(G456),YEAR(G456),YEAR(G456)+1)</f>
        <v/>
      </c>
      <c r="D456" s="204">
        <f>+C456+1</f>
        <v/>
      </c>
      <c r="E456" s="203">
        <f>IF(C456&gt;C455,1,E455+1)</f>
        <v/>
      </c>
      <c r="F456" s="203">
        <f>COUNTIF(C:C,C456)</f>
        <v/>
      </c>
      <c r="G456" s="198">
        <f>+G455+7</f>
        <v/>
      </c>
      <c r="H456" s="361">
        <f>IF(ISBLANK(CO456),CP456,SUMPRODUCT(CO$32:CP$32,CO456:CP456))</f>
        <v/>
      </c>
      <c r="I456" s="968">
        <f>H456/M456</f>
        <v/>
      </c>
      <c r="J456" s="968">
        <f>H456/N456</f>
        <v/>
      </c>
      <c r="K456" s="968">
        <f>(H456+Q456)/O456</f>
        <v/>
      </c>
      <c r="L456" s="968">
        <f>(H456+Q456)/P456</f>
        <v/>
      </c>
      <c r="M456" s="199">
        <f>HLOOKUP(C:C,$4:$10,3,FALSE)+((HLOOKUP(D:D,$4:$10,3,FALSE)-HLOOKUP(C:C,$4:$10,3,FALSE))*E456/F456)</f>
        <v/>
      </c>
      <c r="N456" s="199">
        <f>HLOOKUP(C:C,$4:$10,2,FALSE)+((HLOOKUP(D:D,$4:$10,2,FALSE)-HLOOKUP(C:C,$4:$10,2,FALSE))*E456/F456)</f>
        <v/>
      </c>
      <c r="O456" s="199">
        <f>HLOOKUP(C:C,$4:$10,5,FALSE)+((HLOOKUP(D:D,$4:$10,5,FALSE)-HLOOKUP(C:C,$4:$10,5,FALSE))*E456/F456)</f>
        <v/>
      </c>
      <c r="P456" s="199">
        <f>HLOOKUP(C:C,$4:$10,4,FALSE)+((HLOOKUP(D:D,$4:$10,4,FALSE)-HLOOKUP(C:C,$4:$10,4,FALSE))*E456/F456)</f>
        <v/>
      </c>
      <c r="Q456" s="199">
        <f>HLOOKUP(B:B,$4:$10,6,FALSE)+((HLOOKUP(C:C,$4:$10,6,FALSE)-HLOOKUP(B:B,$4:$10,6,FALSE))*E456/F456)</f>
        <v/>
      </c>
      <c r="T456" s="198">
        <f>$G456</f>
        <v/>
      </c>
      <c r="U456" s="199">
        <f>H456/(HLOOKUP(B:B,$4:$10,3,FALSE)+((HLOOKUP(C:C,$4:$10,3,FALSE)-HLOOKUP(B:B,$4:$10,3,FALSE))*E456/F456))</f>
        <v/>
      </c>
      <c r="V456" s="969">
        <f>HLOOKUP(B:B,$4:$10,7,FALSE)+((HLOOKUP(C:C,$4:$10,7,FALSE)-HLOOKUP(B:B,$4:$10,7,FALSE))*E456/F456)</f>
        <v/>
      </c>
      <c r="AB456" s="198">
        <f>$G456</f>
        <v/>
      </c>
      <c r="AC456" s="199">
        <f>$H456</f>
        <v/>
      </c>
      <c r="AD456" s="199">
        <f>$M456*AD$34</f>
        <v/>
      </c>
      <c r="AE456" s="199">
        <f>$M456*AE$34</f>
        <v/>
      </c>
      <c r="AF456" s="199">
        <f>$M456*AF$34</f>
        <v/>
      </c>
      <c r="AG456" s="199">
        <f>$M456*AG$34</f>
        <v/>
      </c>
      <c r="AH456" s="199">
        <f>$M456*AH$34</f>
        <v/>
      </c>
      <c r="AJ456" s="198">
        <f>$G456</f>
        <v/>
      </c>
      <c r="AK456" s="199">
        <f>$H456</f>
        <v/>
      </c>
      <c r="AL456" s="199">
        <f>$N456*AL$34</f>
        <v/>
      </c>
      <c r="AM456" s="199">
        <f>$N456*AM$34</f>
        <v/>
      </c>
      <c r="AN456" s="199">
        <f>$N456*AN$34</f>
        <v/>
      </c>
      <c r="AO456" s="199">
        <f>$N456*AO$34</f>
        <v/>
      </c>
      <c r="AP456" s="199">
        <f>$N456*AP$34</f>
        <v/>
      </c>
      <c r="AR456" s="198">
        <f>$G456</f>
        <v/>
      </c>
      <c r="AS456" s="199">
        <f>$H456</f>
        <v/>
      </c>
      <c r="AT456" s="199">
        <f>$O456*AT$34-$Q456</f>
        <v/>
      </c>
      <c r="AU456" s="199">
        <f>$O456*AU$34-$Q456</f>
        <v/>
      </c>
      <c r="AV456" s="199">
        <f>$O456*AV$34-$Q456</f>
        <v/>
      </c>
      <c r="AW456" s="199">
        <f>$O456*AW$34-$Q456</f>
        <v/>
      </c>
      <c r="AX456" s="199">
        <f>$O456*AX$34-$Q456</f>
        <v/>
      </c>
      <c r="AZ456" s="198">
        <f>$G456</f>
        <v/>
      </c>
      <c r="BA456" s="199">
        <f>$H456</f>
        <v/>
      </c>
      <c r="BB456" s="199">
        <f>$P456*BB$34-$Q456</f>
        <v/>
      </c>
      <c r="BC456" s="199">
        <f>$P456*BC$34-$Q456</f>
        <v/>
      </c>
      <c r="BD456" s="199">
        <f>$P456*BD$34-$Q456</f>
        <v/>
      </c>
      <c r="BE456" s="199">
        <f>$P456*BE$34-$Q456</f>
        <v/>
      </c>
      <c r="BF456" s="199">
        <f>$P456*BF$34-$Q456</f>
        <v/>
      </c>
      <c r="BH456" s="198">
        <f>$G456</f>
        <v/>
      </c>
      <c r="BI456" s="197">
        <f>$I456</f>
        <v/>
      </c>
      <c r="BJ456" s="197">
        <f>+BJ457</f>
        <v/>
      </c>
      <c r="BK456" s="197">
        <f>+BK457</f>
        <v/>
      </c>
      <c r="BL456" s="197">
        <f>+BL457</f>
        <v/>
      </c>
      <c r="BM456" s="197">
        <f>+BM457</f>
        <v/>
      </c>
      <c r="BN456" s="197">
        <f>+BN457</f>
        <v/>
      </c>
      <c r="BP456" s="198">
        <f>$G456</f>
        <v/>
      </c>
      <c r="BQ456" s="197">
        <f>$J456</f>
        <v/>
      </c>
      <c r="BR456" s="197">
        <f>+BR457</f>
        <v/>
      </c>
      <c r="BS456" s="197">
        <f>+BS457</f>
        <v/>
      </c>
      <c r="BT456" s="197">
        <f>+BT457</f>
        <v/>
      </c>
      <c r="BU456" s="197">
        <f>+BU457</f>
        <v/>
      </c>
      <c r="BV456" s="197">
        <f>+BV457</f>
        <v/>
      </c>
      <c r="BX456" s="198">
        <f>$G456</f>
        <v/>
      </c>
      <c r="BY456" s="197">
        <f>$K456</f>
        <v/>
      </c>
      <c r="BZ456" s="197">
        <f>+BZ457</f>
        <v/>
      </c>
      <c r="CA456" s="197">
        <f>+CA457</f>
        <v/>
      </c>
      <c r="CB456" s="197">
        <f>+CB457</f>
        <v/>
      </c>
      <c r="CC456" s="197">
        <f>+CC457</f>
        <v/>
      </c>
      <c r="CD456" s="197">
        <f>+CD457</f>
        <v/>
      </c>
      <c r="CF456" s="198">
        <f>$G456</f>
        <v/>
      </c>
      <c r="CG456" s="197">
        <f>$L456</f>
        <v/>
      </c>
      <c r="CH456" s="197">
        <f>+CH457</f>
        <v/>
      </c>
      <c r="CI456" s="197">
        <f>+CI457</f>
        <v/>
      </c>
      <c r="CJ456" s="197">
        <f>+CJ457</f>
        <v/>
      </c>
      <c r="CK456" s="197">
        <f>+CK457</f>
        <v/>
      </c>
      <c r="CL456" s="197">
        <f>+CL457</f>
        <v/>
      </c>
      <c r="CO456" s="199" t="n">
        <v>5.260599109936549</v>
      </c>
      <c r="CP456" s="199" t="n">
        <v>3.5</v>
      </c>
      <c r="CR456" s="199" t="n">
        <v>4.22</v>
      </c>
      <c r="CS456" s="970" t="n">
        <v>0.80219</v>
      </c>
    </row>
    <row r="457">
      <c r="B457" s="204">
        <f>+C457-1</f>
        <v/>
      </c>
      <c r="C457" s="204">
        <f>IF('bands_A-H_Avg'!$D$9+1&gt;MONTH(G457),YEAR(G457),YEAR(G457)+1)</f>
        <v/>
      </c>
      <c r="D457" s="204">
        <f>+C457+1</f>
        <v/>
      </c>
      <c r="E457" s="203">
        <f>IF(C457&gt;C456,1,E456+1)</f>
        <v/>
      </c>
      <c r="F457" s="203">
        <f>COUNTIF(C:C,C457)</f>
        <v/>
      </c>
      <c r="G457" s="198">
        <f>+G456+7</f>
        <v/>
      </c>
      <c r="H457" s="361">
        <f>IF(ISBLANK(CO457),CP457,SUMPRODUCT(CO$32:CP$32,CO457:CP457))</f>
        <v/>
      </c>
      <c r="I457" s="968">
        <f>H457/M457</f>
        <v/>
      </c>
      <c r="J457" s="968">
        <f>H457/N457</f>
        <v/>
      </c>
      <c r="K457" s="968">
        <f>(H457+Q457)/O457</f>
        <v/>
      </c>
      <c r="L457" s="968">
        <f>(H457+Q457)/P457</f>
        <v/>
      </c>
      <c r="M457" s="199">
        <f>HLOOKUP(C:C,$4:$10,3,FALSE)+((HLOOKUP(D:D,$4:$10,3,FALSE)-HLOOKUP(C:C,$4:$10,3,FALSE))*E457/F457)</f>
        <v/>
      </c>
      <c r="N457" s="199">
        <f>HLOOKUP(C:C,$4:$10,2,FALSE)+((HLOOKUP(D:D,$4:$10,2,FALSE)-HLOOKUP(C:C,$4:$10,2,FALSE))*E457/F457)</f>
        <v/>
      </c>
      <c r="O457" s="199">
        <f>HLOOKUP(C:C,$4:$10,5,FALSE)+((HLOOKUP(D:D,$4:$10,5,FALSE)-HLOOKUP(C:C,$4:$10,5,FALSE))*E457/F457)</f>
        <v/>
      </c>
      <c r="P457" s="199">
        <f>HLOOKUP(C:C,$4:$10,4,FALSE)+((HLOOKUP(D:D,$4:$10,4,FALSE)-HLOOKUP(C:C,$4:$10,4,FALSE))*E457/F457)</f>
        <v/>
      </c>
      <c r="Q457" s="199">
        <f>HLOOKUP(B:B,$4:$10,6,FALSE)+((HLOOKUP(C:C,$4:$10,6,FALSE)-HLOOKUP(B:B,$4:$10,6,FALSE))*E457/F457)</f>
        <v/>
      </c>
      <c r="T457" s="198">
        <f>$G457</f>
        <v/>
      </c>
      <c r="U457" s="199">
        <f>H457/(HLOOKUP(B:B,$4:$10,3,FALSE)+((HLOOKUP(C:C,$4:$10,3,FALSE)-HLOOKUP(B:B,$4:$10,3,FALSE))*E457/F457))</f>
        <v/>
      </c>
      <c r="V457" s="969">
        <f>HLOOKUP(B:B,$4:$10,7,FALSE)+((HLOOKUP(C:C,$4:$10,7,FALSE)-HLOOKUP(B:B,$4:$10,7,FALSE))*E457/F457)</f>
        <v/>
      </c>
      <c r="AB457" s="198">
        <f>$G457</f>
        <v/>
      </c>
      <c r="AC457" s="199">
        <f>$H457</f>
        <v/>
      </c>
      <c r="AD457" s="199">
        <f>$M457*AD$34</f>
        <v/>
      </c>
      <c r="AE457" s="199">
        <f>$M457*AE$34</f>
        <v/>
      </c>
      <c r="AF457" s="199">
        <f>$M457*AF$34</f>
        <v/>
      </c>
      <c r="AG457" s="199">
        <f>$M457*AG$34</f>
        <v/>
      </c>
      <c r="AH457" s="199">
        <f>$M457*AH$34</f>
        <v/>
      </c>
      <c r="AJ457" s="198">
        <f>$G457</f>
        <v/>
      </c>
      <c r="AK457" s="199">
        <f>$H457</f>
        <v/>
      </c>
      <c r="AL457" s="199">
        <f>$N457*AL$34</f>
        <v/>
      </c>
      <c r="AM457" s="199">
        <f>$N457*AM$34</f>
        <v/>
      </c>
      <c r="AN457" s="199">
        <f>$N457*AN$34</f>
        <v/>
      </c>
      <c r="AO457" s="199">
        <f>$N457*AO$34</f>
        <v/>
      </c>
      <c r="AP457" s="199">
        <f>$N457*AP$34</f>
        <v/>
      </c>
      <c r="AR457" s="198">
        <f>$G457</f>
        <v/>
      </c>
      <c r="AS457" s="199">
        <f>$H457</f>
        <v/>
      </c>
      <c r="AT457" s="199">
        <f>$O457*AT$34-$Q457</f>
        <v/>
      </c>
      <c r="AU457" s="199">
        <f>$O457*AU$34-$Q457</f>
        <v/>
      </c>
      <c r="AV457" s="199">
        <f>$O457*AV$34-$Q457</f>
        <v/>
      </c>
      <c r="AW457" s="199">
        <f>$O457*AW$34-$Q457</f>
        <v/>
      </c>
      <c r="AX457" s="199">
        <f>$O457*AX$34-$Q457</f>
        <v/>
      </c>
      <c r="AZ457" s="198">
        <f>$G457</f>
        <v/>
      </c>
      <c r="BA457" s="199">
        <f>$H457</f>
        <v/>
      </c>
      <c r="BB457" s="199">
        <f>$P457*BB$34-$Q457</f>
        <v/>
      </c>
      <c r="BC457" s="199">
        <f>$P457*BC$34-$Q457</f>
        <v/>
      </c>
      <c r="BD457" s="199">
        <f>$P457*BD$34-$Q457</f>
        <v/>
      </c>
      <c r="BE457" s="199">
        <f>$P457*BE$34-$Q457</f>
        <v/>
      </c>
      <c r="BF457" s="199">
        <f>$P457*BF$34-$Q457</f>
        <v/>
      </c>
      <c r="BH457" s="198">
        <f>$G457</f>
        <v/>
      </c>
      <c r="BI457" s="197">
        <f>$I457</f>
        <v/>
      </c>
      <c r="BJ457" s="197">
        <f>+BJ458</f>
        <v/>
      </c>
      <c r="BK457" s="197">
        <f>+BK458</f>
        <v/>
      </c>
      <c r="BL457" s="197">
        <f>+BL458</f>
        <v/>
      </c>
      <c r="BM457" s="197">
        <f>+BM458</f>
        <v/>
      </c>
      <c r="BN457" s="197">
        <f>+BN458</f>
        <v/>
      </c>
      <c r="BP457" s="198">
        <f>$G457</f>
        <v/>
      </c>
      <c r="BQ457" s="197">
        <f>$J457</f>
        <v/>
      </c>
      <c r="BR457" s="197">
        <f>+BR458</f>
        <v/>
      </c>
      <c r="BS457" s="197">
        <f>+BS458</f>
        <v/>
      </c>
      <c r="BT457" s="197">
        <f>+BT458</f>
        <v/>
      </c>
      <c r="BU457" s="197">
        <f>+BU458</f>
        <v/>
      </c>
      <c r="BV457" s="197">
        <f>+BV458</f>
        <v/>
      </c>
      <c r="BX457" s="198">
        <f>$G457</f>
        <v/>
      </c>
      <c r="BY457" s="197">
        <f>$K457</f>
        <v/>
      </c>
      <c r="BZ457" s="197">
        <f>+BZ458</f>
        <v/>
      </c>
      <c r="CA457" s="197">
        <f>+CA458</f>
        <v/>
      </c>
      <c r="CB457" s="197">
        <f>+CB458</f>
        <v/>
      </c>
      <c r="CC457" s="197">
        <f>+CC458</f>
        <v/>
      </c>
      <c r="CD457" s="197">
        <f>+CD458</f>
        <v/>
      </c>
      <c r="CF457" s="198">
        <f>$G457</f>
        <v/>
      </c>
      <c r="CG457" s="197">
        <f>$L457</f>
        <v/>
      </c>
      <c r="CH457" s="197">
        <f>+CH458</f>
        <v/>
      </c>
      <c r="CI457" s="197">
        <f>+CI458</f>
        <v/>
      </c>
      <c r="CJ457" s="197">
        <f>+CJ458</f>
        <v/>
      </c>
      <c r="CK457" s="197">
        <f>+CK458</f>
        <v/>
      </c>
      <c r="CL457" s="197">
        <f>+CL458</f>
        <v/>
      </c>
      <c r="CO457" s="199" t="n">
        <v>5.046791860334708</v>
      </c>
      <c r="CP457" s="199" t="n">
        <v>3.22</v>
      </c>
      <c r="CR457" s="199" t="n">
        <v>4.05</v>
      </c>
      <c r="CS457" s="970" t="n">
        <v>0.80249</v>
      </c>
    </row>
    <row r="458">
      <c r="B458" s="204">
        <f>+C458-1</f>
        <v/>
      </c>
      <c r="C458" s="204">
        <f>IF('bands_A-H_Avg'!$D$9+1&gt;MONTH(G458),YEAR(G458),YEAR(G458)+1)</f>
        <v/>
      </c>
      <c r="D458" s="204">
        <f>+C458+1</f>
        <v/>
      </c>
      <c r="E458" s="203">
        <f>IF(C458&gt;C457,1,E457+1)</f>
        <v/>
      </c>
      <c r="F458" s="203">
        <f>COUNTIF(C:C,C458)</f>
        <v/>
      </c>
      <c r="G458" s="198">
        <f>+G457+7</f>
        <v/>
      </c>
      <c r="H458" s="361">
        <f>IF(ISBLANK(CO458),CP458,SUMPRODUCT(CO$32:CP$32,CO458:CP458))</f>
        <v/>
      </c>
      <c r="I458" s="968">
        <f>H458/M458</f>
        <v/>
      </c>
      <c r="J458" s="968">
        <f>H458/N458</f>
        <v/>
      </c>
      <c r="K458" s="968">
        <f>(H458+Q458)/O458</f>
        <v/>
      </c>
      <c r="L458" s="968">
        <f>(H458+Q458)/P458</f>
        <v/>
      </c>
      <c r="M458" s="199">
        <f>HLOOKUP(C:C,$4:$10,3,FALSE)+((HLOOKUP(D:D,$4:$10,3,FALSE)-HLOOKUP(C:C,$4:$10,3,FALSE))*E458/F458)</f>
        <v/>
      </c>
      <c r="N458" s="199">
        <f>HLOOKUP(C:C,$4:$10,2,FALSE)+((HLOOKUP(D:D,$4:$10,2,FALSE)-HLOOKUP(C:C,$4:$10,2,FALSE))*E458/F458)</f>
        <v/>
      </c>
      <c r="O458" s="199">
        <f>HLOOKUP(C:C,$4:$10,5,FALSE)+((HLOOKUP(D:D,$4:$10,5,FALSE)-HLOOKUP(C:C,$4:$10,5,FALSE))*E458/F458)</f>
        <v/>
      </c>
      <c r="P458" s="199">
        <f>HLOOKUP(C:C,$4:$10,4,FALSE)+((HLOOKUP(D:D,$4:$10,4,FALSE)-HLOOKUP(C:C,$4:$10,4,FALSE))*E458/F458)</f>
        <v/>
      </c>
      <c r="Q458" s="199">
        <f>HLOOKUP(B:B,$4:$10,6,FALSE)+((HLOOKUP(C:C,$4:$10,6,FALSE)-HLOOKUP(B:B,$4:$10,6,FALSE))*E458/F458)</f>
        <v/>
      </c>
      <c r="T458" s="198">
        <f>$G458</f>
        <v/>
      </c>
      <c r="U458" s="199">
        <f>H458/(HLOOKUP(B:B,$4:$10,3,FALSE)+((HLOOKUP(C:C,$4:$10,3,FALSE)-HLOOKUP(B:B,$4:$10,3,FALSE))*E458/F458))</f>
        <v/>
      </c>
      <c r="V458" s="969">
        <f>HLOOKUP(B:B,$4:$10,7,FALSE)+((HLOOKUP(C:C,$4:$10,7,FALSE)-HLOOKUP(B:B,$4:$10,7,FALSE))*E458/F458)</f>
        <v/>
      </c>
      <c r="AB458" s="198">
        <f>$G458</f>
        <v/>
      </c>
      <c r="AC458" s="199">
        <f>$H458</f>
        <v/>
      </c>
      <c r="AD458" s="199">
        <f>$M458*AD$34</f>
        <v/>
      </c>
      <c r="AE458" s="199">
        <f>$M458*AE$34</f>
        <v/>
      </c>
      <c r="AF458" s="199">
        <f>$M458*AF$34</f>
        <v/>
      </c>
      <c r="AG458" s="199">
        <f>$M458*AG$34</f>
        <v/>
      </c>
      <c r="AH458" s="199">
        <f>$M458*AH$34</f>
        <v/>
      </c>
      <c r="AJ458" s="198">
        <f>$G458</f>
        <v/>
      </c>
      <c r="AK458" s="199">
        <f>$H458</f>
        <v/>
      </c>
      <c r="AL458" s="199">
        <f>$N458*AL$34</f>
        <v/>
      </c>
      <c r="AM458" s="199">
        <f>$N458*AM$34</f>
        <v/>
      </c>
      <c r="AN458" s="199">
        <f>$N458*AN$34</f>
        <v/>
      </c>
      <c r="AO458" s="199">
        <f>$N458*AO$34</f>
        <v/>
      </c>
      <c r="AP458" s="199">
        <f>$N458*AP$34</f>
        <v/>
      </c>
      <c r="AR458" s="198">
        <f>$G458</f>
        <v/>
      </c>
      <c r="AS458" s="199">
        <f>$H458</f>
        <v/>
      </c>
      <c r="AT458" s="199">
        <f>$O458*AT$34-$Q458</f>
        <v/>
      </c>
      <c r="AU458" s="199">
        <f>$O458*AU$34-$Q458</f>
        <v/>
      </c>
      <c r="AV458" s="199">
        <f>$O458*AV$34-$Q458</f>
        <v/>
      </c>
      <c r="AW458" s="199">
        <f>$O458*AW$34-$Q458</f>
        <v/>
      </c>
      <c r="AX458" s="199">
        <f>$O458*AX$34-$Q458</f>
        <v/>
      </c>
      <c r="AZ458" s="198">
        <f>$G458</f>
        <v/>
      </c>
      <c r="BA458" s="199">
        <f>$H458</f>
        <v/>
      </c>
      <c r="BB458" s="199">
        <f>$P458*BB$34-$Q458</f>
        <v/>
      </c>
      <c r="BC458" s="199">
        <f>$P458*BC$34-$Q458</f>
        <v/>
      </c>
      <c r="BD458" s="199">
        <f>$P458*BD$34-$Q458</f>
        <v/>
      </c>
      <c r="BE458" s="199">
        <f>$P458*BE$34-$Q458</f>
        <v/>
      </c>
      <c r="BF458" s="199">
        <f>$P458*BF$34-$Q458</f>
        <v/>
      </c>
      <c r="BH458" s="198">
        <f>$G458</f>
        <v/>
      </c>
      <c r="BI458" s="197">
        <f>$I458</f>
        <v/>
      </c>
      <c r="BJ458" s="197">
        <f>+BJ459</f>
        <v/>
      </c>
      <c r="BK458" s="197">
        <f>+BK459</f>
        <v/>
      </c>
      <c r="BL458" s="197">
        <f>+BL459</f>
        <v/>
      </c>
      <c r="BM458" s="197">
        <f>+BM459</f>
        <v/>
      </c>
      <c r="BN458" s="197">
        <f>+BN459</f>
        <v/>
      </c>
      <c r="BP458" s="198">
        <f>$G458</f>
        <v/>
      </c>
      <c r="BQ458" s="197">
        <f>$J458</f>
        <v/>
      </c>
      <c r="BR458" s="197">
        <f>+BR459</f>
        <v/>
      </c>
      <c r="BS458" s="197">
        <f>+BS459</f>
        <v/>
      </c>
      <c r="BT458" s="197">
        <f>+BT459</f>
        <v/>
      </c>
      <c r="BU458" s="197">
        <f>+BU459</f>
        <v/>
      </c>
      <c r="BV458" s="197">
        <f>+BV459</f>
        <v/>
      </c>
      <c r="BX458" s="198">
        <f>$G458</f>
        <v/>
      </c>
      <c r="BY458" s="197">
        <f>$K458</f>
        <v/>
      </c>
      <c r="BZ458" s="197">
        <f>+BZ459</f>
        <v/>
      </c>
      <c r="CA458" s="197">
        <f>+CA459</f>
        <v/>
      </c>
      <c r="CB458" s="197">
        <f>+CB459</f>
        <v/>
      </c>
      <c r="CC458" s="197">
        <f>+CC459</f>
        <v/>
      </c>
      <c r="CD458" s="197">
        <f>+CD459</f>
        <v/>
      </c>
      <c r="CF458" s="198">
        <f>$G458</f>
        <v/>
      </c>
      <c r="CG458" s="197">
        <f>$L458</f>
        <v/>
      </c>
      <c r="CH458" s="197">
        <f>+CH459</f>
        <v/>
      </c>
      <c r="CI458" s="197">
        <f>+CI459</f>
        <v/>
      </c>
      <c r="CJ458" s="197">
        <f>+CJ459</f>
        <v/>
      </c>
      <c r="CK458" s="197">
        <f>+CK459</f>
        <v/>
      </c>
      <c r="CL458" s="197">
        <f>+CL459</f>
        <v/>
      </c>
      <c r="CO458" s="199" t="n">
        <v>5.227977146271332</v>
      </c>
      <c r="CP458" s="199" t="n">
        <v>3.16</v>
      </c>
      <c r="CR458" s="199" t="n">
        <v>4.2</v>
      </c>
      <c r="CS458" s="970" t="n">
        <v>0.80337</v>
      </c>
    </row>
    <row r="459">
      <c r="B459" s="204">
        <f>+C459-1</f>
        <v/>
      </c>
      <c r="C459" s="204">
        <f>IF('bands_A-H_Avg'!$D$9+1&gt;MONTH(G459),YEAR(G459),YEAR(G459)+1)</f>
        <v/>
      </c>
      <c r="D459" s="204">
        <f>+C459+1</f>
        <v/>
      </c>
      <c r="E459" s="203">
        <f>IF(C459&gt;C458,1,E458+1)</f>
        <v/>
      </c>
      <c r="F459" s="203">
        <f>COUNTIF(C:C,C459)</f>
        <v/>
      </c>
      <c r="G459" s="198">
        <f>+G458+7</f>
        <v/>
      </c>
      <c r="H459" s="361">
        <f>IF(ISBLANK(CO459),CP459,SUMPRODUCT(CO$32:CP$32,CO459:CP459))</f>
        <v/>
      </c>
      <c r="I459" s="968">
        <f>H459/M459</f>
        <v/>
      </c>
      <c r="J459" s="968">
        <f>H459/N459</f>
        <v/>
      </c>
      <c r="K459" s="968">
        <f>(H459+Q459)/O459</f>
        <v/>
      </c>
      <c r="L459" s="968">
        <f>(H459+Q459)/P459</f>
        <v/>
      </c>
      <c r="M459" s="199">
        <f>HLOOKUP(C:C,$4:$10,3,FALSE)+((HLOOKUP(D:D,$4:$10,3,FALSE)-HLOOKUP(C:C,$4:$10,3,FALSE))*E459/F459)</f>
        <v/>
      </c>
      <c r="N459" s="199">
        <f>HLOOKUP(C:C,$4:$10,2,FALSE)+((HLOOKUP(D:D,$4:$10,2,FALSE)-HLOOKUP(C:C,$4:$10,2,FALSE))*E459/F459)</f>
        <v/>
      </c>
      <c r="O459" s="199">
        <f>HLOOKUP(C:C,$4:$10,5,FALSE)+((HLOOKUP(D:D,$4:$10,5,FALSE)-HLOOKUP(C:C,$4:$10,5,FALSE))*E459/F459)</f>
        <v/>
      </c>
      <c r="P459" s="199">
        <f>HLOOKUP(C:C,$4:$10,4,FALSE)+((HLOOKUP(D:D,$4:$10,4,FALSE)-HLOOKUP(C:C,$4:$10,4,FALSE))*E459/F459)</f>
        <v/>
      </c>
      <c r="Q459" s="199">
        <f>HLOOKUP(B:B,$4:$10,6,FALSE)+((HLOOKUP(C:C,$4:$10,6,FALSE)-HLOOKUP(B:B,$4:$10,6,FALSE))*E459/F459)</f>
        <v/>
      </c>
      <c r="T459" s="198">
        <f>$G459</f>
        <v/>
      </c>
      <c r="U459" s="199">
        <f>H459/(HLOOKUP(B:B,$4:$10,3,FALSE)+((HLOOKUP(C:C,$4:$10,3,FALSE)-HLOOKUP(B:B,$4:$10,3,FALSE))*E459/F459))</f>
        <v/>
      </c>
      <c r="V459" s="969">
        <f>HLOOKUP(B:B,$4:$10,7,FALSE)+((HLOOKUP(C:C,$4:$10,7,FALSE)-HLOOKUP(B:B,$4:$10,7,FALSE))*E459/F459)</f>
        <v/>
      </c>
      <c r="AB459" s="198">
        <f>$G459</f>
        <v/>
      </c>
      <c r="AC459" s="199">
        <f>$H459</f>
        <v/>
      </c>
      <c r="AD459" s="199">
        <f>$M459*AD$34</f>
        <v/>
      </c>
      <c r="AE459" s="199">
        <f>$M459*AE$34</f>
        <v/>
      </c>
      <c r="AF459" s="199">
        <f>$M459*AF$34</f>
        <v/>
      </c>
      <c r="AG459" s="199">
        <f>$M459*AG$34</f>
        <v/>
      </c>
      <c r="AH459" s="199">
        <f>$M459*AH$34</f>
        <v/>
      </c>
      <c r="AJ459" s="198">
        <f>$G459</f>
        <v/>
      </c>
      <c r="AK459" s="199">
        <f>$H459</f>
        <v/>
      </c>
      <c r="AL459" s="199">
        <f>$N459*AL$34</f>
        <v/>
      </c>
      <c r="AM459" s="199">
        <f>$N459*AM$34</f>
        <v/>
      </c>
      <c r="AN459" s="199">
        <f>$N459*AN$34</f>
        <v/>
      </c>
      <c r="AO459" s="199">
        <f>$N459*AO$34</f>
        <v/>
      </c>
      <c r="AP459" s="199">
        <f>$N459*AP$34</f>
        <v/>
      </c>
      <c r="AR459" s="198">
        <f>$G459</f>
        <v/>
      </c>
      <c r="AS459" s="199">
        <f>$H459</f>
        <v/>
      </c>
      <c r="AT459" s="199">
        <f>$O459*AT$34-$Q459</f>
        <v/>
      </c>
      <c r="AU459" s="199">
        <f>$O459*AU$34-$Q459</f>
        <v/>
      </c>
      <c r="AV459" s="199">
        <f>$O459*AV$34-$Q459</f>
        <v/>
      </c>
      <c r="AW459" s="199">
        <f>$O459*AW$34-$Q459</f>
        <v/>
      </c>
      <c r="AX459" s="199">
        <f>$O459*AX$34-$Q459</f>
        <v/>
      </c>
      <c r="AZ459" s="198">
        <f>$G459</f>
        <v/>
      </c>
      <c r="BA459" s="199">
        <f>$H459</f>
        <v/>
      </c>
      <c r="BB459" s="199">
        <f>$P459*BB$34-$Q459</f>
        <v/>
      </c>
      <c r="BC459" s="199">
        <f>$P459*BC$34-$Q459</f>
        <v/>
      </c>
      <c r="BD459" s="199">
        <f>$P459*BD$34-$Q459</f>
        <v/>
      </c>
      <c r="BE459" s="199">
        <f>$P459*BE$34-$Q459</f>
        <v/>
      </c>
      <c r="BF459" s="199">
        <f>$P459*BF$34-$Q459</f>
        <v/>
      </c>
      <c r="BH459" s="198">
        <f>$G459</f>
        <v/>
      </c>
      <c r="BI459" s="197">
        <f>$I459</f>
        <v/>
      </c>
      <c r="BJ459" s="197">
        <f>+BJ460</f>
        <v/>
      </c>
      <c r="BK459" s="197">
        <f>+BK460</f>
        <v/>
      </c>
      <c r="BL459" s="197">
        <f>+BL460</f>
        <v/>
      </c>
      <c r="BM459" s="197">
        <f>+BM460</f>
        <v/>
      </c>
      <c r="BN459" s="197">
        <f>+BN460</f>
        <v/>
      </c>
      <c r="BP459" s="198">
        <f>$G459</f>
        <v/>
      </c>
      <c r="BQ459" s="197">
        <f>$J459</f>
        <v/>
      </c>
      <c r="BR459" s="197">
        <f>+BR460</f>
        <v/>
      </c>
      <c r="BS459" s="197">
        <f>+BS460</f>
        <v/>
      </c>
      <c r="BT459" s="197">
        <f>+BT460</f>
        <v/>
      </c>
      <c r="BU459" s="197">
        <f>+BU460</f>
        <v/>
      </c>
      <c r="BV459" s="197">
        <f>+BV460</f>
        <v/>
      </c>
      <c r="BX459" s="198">
        <f>$G459</f>
        <v/>
      </c>
      <c r="BY459" s="197">
        <f>$K459</f>
        <v/>
      </c>
      <c r="BZ459" s="197">
        <f>+BZ460</f>
        <v/>
      </c>
      <c r="CA459" s="197">
        <f>+CA460</f>
        <v/>
      </c>
      <c r="CB459" s="197">
        <f>+CB460</f>
        <v/>
      </c>
      <c r="CC459" s="197">
        <f>+CC460</f>
        <v/>
      </c>
      <c r="CD459" s="197">
        <f>+CD460</f>
        <v/>
      </c>
      <c r="CF459" s="198">
        <f>$G459</f>
        <v/>
      </c>
      <c r="CG459" s="197">
        <f>$L459</f>
        <v/>
      </c>
      <c r="CH459" s="197">
        <f>+CH460</f>
        <v/>
      </c>
      <c r="CI459" s="197">
        <f>+CI460</f>
        <v/>
      </c>
      <c r="CJ459" s="197">
        <f>+CJ460</f>
        <v/>
      </c>
      <c r="CK459" s="197">
        <f>+CK460</f>
        <v/>
      </c>
      <c r="CL459" s="197">
        <f>+CL460</f>
        <v/>
      </c>
      <c r="CO459" s="199" t="n">
        <v>5.276650820120965</v>
      </c>
      <c r="CP459" s="199" t="n">
        <v>3.25</v>
      </c>
      <c r="CR459" s="199" t="n">
        <v>4.24</v>
      </c>
      <c r="CS459" s="970" t="n">
        <v>0.80354</v>
      </c>
    </row>
    <row r="460">
      <c r="B460" s="204">
        <f>+C460-1</f>
        <v/>
      </c>
      <c r="C460" s="204">
        <f>IF('bands_A-H_Avg'!$D$9+1&gt;MONTH(G460),YEAR(G460),YEAR(G460)+1)</f>
        <v/>
      </c>
      <c r="D460" s="204">
        <f>+C460+1</f>
        <v/>
      </c>
      <c r="E460" s="203">
        <f>IF(C460&gt;C459,1,E459+1)</f>
        <v/>
      </c>
      <c r="F460" s="203">
        <f>COUNTIF(C:C,C460)</f>
        <v/>
      </c>
      <c r="G460" s="198">
        <f>+G459+7</f>
        <v/>
      </c>
      <c r="H460" s="361">
        <f>IF(ISBLANK(CO460),CP460,SUMPRODUCT(CO$32:CP$32,CO460:CP460))</f>
        <v/>
      </c>
      <c r="I460" s="968">
        <f>H460/M460</f>
        <v/>
      </c>
      <c r="J460" s="968">
        <f>H460/N460</f>
        <v/>
      </c>
      <c r="K460" s="968">
        <f>(H460+Q460)/O460</f>
        <v/>
      </c>
      <c r="L460" s="968">
        <f>(H460+Q460)/P460</f>
        <v/>
      </c>
      <c r="M460" s="199">
        <f>HLOOKUP(C:C,$4:$10,3,FALSE)+((HLOOKUP(D:D,$4:$10,3,FALSE)-HLOOKUP(C:C,$4:$10,3,FALSE))*E460/F460)</f>
        <v/>
      </c>
      <c r="N460" s="199">
        <f>HLOOKUP(C:C,$4:$10,2,FALSE)+((HLOOKUP(D:D,$4:$10,2,FALSE)-HLOOKUP(C:C,$4:$10,2,FALSE))*E460/F460)</f>
        <v/>
      </c>
      <c r="O460" s="199">
        <f>HLOOKUP(C:C,$4:$10,5,FALSE)+((HLOOKUP(D:D,$4:$10,5,FALSE)-HLOOKUP(C:C,$4:$10,5,FALSE))*E460/F460)</f>
        <v/>
      </c>
      <c r="P460" s="199">
        <f>HLOOKUP(C:C,$4:$10,4,FALSE)+((HLOOKUP(D:D,$4:$10,4,FALSE)-HLOOKUP(C:C,$4:$10,4,FALSE))*E460/F460)</f>
        <v/>
      </c>
      <c r="Q460" s="199">
        <f>HLOOKUP(B:B,$4:$10,6,FALSE)+((HLOOKUP(C:C,$4:$10,6,FALSE)-HLOOKUP(B:B,$4:$10,6,FALSE))*E460/F460)</f>
        <v/>
      </c>
      <c r="T460" s="198">
        <f>$G460</f>
        <v/>
      </c>
      <c r="U460" s="199">
        <f>H460/(HLOOKUP(B:B,$4:$10,3,FALSE)+((HLOOKUP(C:C,$4:$10,3,FALSE)-HLOOKUP(B:B,$4:$10,3,FALSE))*E460/F460))</f>
        <v/>
      </c>
      <c r="V460" s="969">
        <f>HLOOKUP(B:B,$4:$10,7,FALSE)+((HLOOKUP(C:C,$4:$10,7,FALSE)-HLOOKUP(B:B,$4:$10,7,FALSE))*E460/F460)</f>
        <v/>
      </c>
      <c r="AB460" s="198">
        <f>$G460</f>
        <v/>
      </c>
      <c r="AC460" s="199">
        <f>$H460</f>
        <v/>
      </c>
      <c r="AD460" s="199">
        <f>$M460*AD$34</f>
        <v/>
      </c>
      <c r="AE460" s="199">
        <f>$M460*AE$34</f>
        <v/>
      </c>
      <c r="AF460" s="199">
        <f>$M460*AF$34</f>
        <v/>
      </c>
      <c r="AG460" s="199">
        <f>$M460*AG$34</f>
        <v/>
      </c>
      <c r="AH460" s="199">
        <f>$M460*AH$34</f>
        <v/>
      </c>
      <c r="AJ460" s="198">
        <f>$G460</f>
        <v/>
      </c>
      <c r="AK460" s="199">
        <f>$H460</f>
        <v/>
      </c>
      <c r="AL460" s="199">
        <f>$N460*AL$34</f>
        <v/>
      </c>
      <c r="AM460" s="199">
        <f>$N460*AM$34</f>
        <v/>
      </c>
      <c r="AN460" s="199">
        <f>$N460*AN$34</f>
        <v/>
      </c>
      <c r="AO460" s="199">
        <f>$N460*AO$34</f>
        <v/>
      </c>
      <c r="AP460" s="199">
        <f>$N460*AP$34</f>
        <v/>
      </c>
      <c r="AR460" s="198">
        <f>$G460</f>
        <v/>
      </c>
      <c r="AS460" s="199">
        <f>$H460</f>
        <v/>
      </c>
      <c r="AT460" s="199">
        <f>$O460*AT$34-$Q460</f>
        <v/>
      </c>
      <c r="AU460" s="199">
        <f>$O460*AU$34-$Q460</f>
        <v/>
      </c>
      <c r="AV460" s="199">
        <f>$O460*AV$34-$Q460</f>
        <v/>
      </c>
      <c r="AW460" s="199">
        <f>$O460*AW$34-$Q460</f>
        <v/>
      </c>
      <c r="AX460" s="199">
        <f>$O460*AX$34-$Q460</f>
        <v/>
      </c>
      <c r="AZ460" s="198">
        <f>$G460</f>
        <v/>
      </c>
      <c r="BA460" s="199">
        <f>$H460</f>
        <v/>
      </c>
      <c r="BB460" s="199">
        <f>$P460*BB$34-$Q460</f>
        <v/>
      </c>
      <c r="BC460" s="199">
        <f>$P460*BC$34-$Q460</f>
        <v/>
      </c>
      <c r="BD460" s="199">
        <f>$P460*BD$34-$Q460</f>
        <v/>
      </c>
      <c r="BE460" s="199">
        <f>$P460*BE$34-$Q460</f>
        <v/>
      </c>
      <c r="BF460" s="199">
        <f>$P460*BF$34-$Q460</f>
        <v/>
      </c>
      <c r="BH460" s="198">
        <f>$G460</f>
        <v/>
      </c>
      <c r="BI460" s="197">
        <f>$I460</f>
        <v/>
      </c>
      <c r="BJ460" s="197">
        <f>+BJ461</f>
        <v/>
      </c>
      <c r="BK460" s="197">
        <f>+BK461</f>
        <v/>
      </c>
      <c r="BL460" s="197">
        <f>+BL461</f>
        <v/>
      </c>
      <c r="BM460" s="197">
        <f>+BM461</f>
        <v/>
      </c>
      <c r="BN460" s="197">
        <f>+BN461</f>
        <v/>
      </c>
      <c r="BP460" s="198">
        <f>$G460</f>
        <v/>
      </c>
      <c r="BQ460" s="197">
        <f>$J460</f>
        <v/>
      </c>
      <c r="BR460" s="197">
        <f>+BR461</f>
        <v/>
      </c>
      <c r="BS460" s="197">
        <f>+BS461</f>
        <v/>
      </c>
      <c r="BT460" s="197">
        <f>+BT461</f>
        <v/>
      </c>
      <c r="BU460" s="197">
        <f>+BU461</f>
        <v/>
      </c>
      <c r="BV460" s="197">
        <f>+BV461</f>
        <v/>
      </c>
      <c r="BX460" s="198">
        <f>$G460</f>
        <v/>
      </c>
      <c r="BY460" s="197">
        <f>$K460</f>
        <v/>
      </c>
      <c r="BZ460" s="197">
        <f>+BZ461</f>
        <v/>
      </c>
      <c r="CA460" s="197">
        <f>+CA461</f>
        <v/>
      </c>
      <c r="CB460" s="197">
        <f>+CB461</f>
        <v/>
      </c>
      <c r="CC460" s="197">
        <f>+CC461</f>
        <v/>
      </c>
      <c r="CD460" s="197">
        <f>+CD461</f>
        <v/>
      </c>
      <c r="CF460" s="198">
        <f>$G460</f>
        <v/>
      </c>
      <c r="CG460" s="197">
        <f>$L460</f>
        <v/>
      </c>
      <c r="CH460" s="197">
        <f>+CH461</f>
        <v/>
      </c>
      <c r="CI460" s="197">
        <f>+CI461</f>
        <v/>
      </c>
      <c r="CJ460" s="197">
        <f>+CJ461</f>
        <v/>
      </c>
      <c r="CK460" s="197">
        <f>+CK461</f>
        <v/>
      </c>
      <c r="CL460" s="197">
        <f>+CL461</f>
        <v/>
      </c>
      <c r="CO460" s="199" t="n">
        <v>5.275272161741835</v>
      </c>
      <c r="CP460" s="199" t="n">
        <v>3.26</v>
      </c>
      <c r="CR460" s="199" t="n">
        <v>4.24</v>
      </c>
      <c r="CS460" s="970" t="n">
        <v>0.80375</v>
      </c>
    </row>
    <row r="461">
      <c r="B461" s="204">
        <f>+C461-1</f>
        <v/>
      </c>
      <c r="C461" s="204">
        <f>IF('bands_A-H_Avg'!$D$9+1&gt;MONTH(G461),YEAR(G461),YEAR(G461)+1)</f>
        <v/>
      </c>
      <c r="D461" s="204">
        <f>+C461+1</f>
        <v/>
      </c>
      <c r="E461" s="203">
        <f>IF(C461&gt;C460,1,E460+1)</f>
        <v/>
      </c>
      <c r="F461" s="203">
        <f>COUNTIF(C:C,C461)</f>
        <v/>
      </c>
      <c r="G461" s="198">
        <f>+G460+7</f>
        <v/>
      </c>
      <c r="H461" s="361">
        <f>IF(ISBLANK(CO461),CP461,SUMPRODUCT(CO$32:CP$32,CO461:CP461))</f>
        <v/>
      </c>
      <c r="I461" s="968">
        <f>H461/M461</f>
        <v/>
      </c>
      <c r="J461" s="968">
        <f>H461/N461</f>
        <v/>
      </c>
      <c r="K461" s="968">
        <f>(H461+Q461)/O461</f>
        <v/>
      </c>
      <c r="L461" s="968">
        <f>(H461+Q461)/P461</f>
        <v/>
      </c>
      <c r="M461" s="199">
        <f>HLOOKUP(C:C,$4:$10,3,FALSE)+((HLOOKUP(D:D,$4:$10,3,FALSE)-HLOOKUP(C:C,$4:$10,3,FALSE))*E461/F461)</f>
        <v/>
      </c>
      <c r="N461" s="199">
        <f>HLOOKUP(C:C,$4:$10,2,FALSE)+((HLOOKUP(D:D,$4:$10,2,FALSE)-HLOOKUP(C:C,$4:$10,2,FALSE))*E461/F461)</f>
        <v/>
      </c>
      <c r="O461" s="199">
        <f>HLOOKUP(C:C,$4:$10,5,FALSE)+((HLOOKUP(D:D,$4:$10,5,FALSE)-HLOOKUP(C:C,$4:$10,5,FALSE))*E461/F461)</f>
        <v/>
      </c>
      <c r="P461" s="199">
        <f>HLOOKUP(C:C,$4:$10,4,FALSE)+((HLOOKUP(D:D,$4:$10,4,FALSE)-HLOOKUP(C:C,$4:$10,4,FALSE))*E461/F461)</f>
        <v/>
      </c>
      <c r="Q461" s="199">
        <f>HLOOKUP(B:B,$4:$10,6,FALSE)+((HLOOKUP(C:C,$4:$10,6,FALSE)-HLOOKUP(B:B,$4:$10,6,FALSE))*E461/F461)</f>
        <v/>
      </c>
      <c r="T461" s="198">
        <f>$G461</f>
        <v/>
      </c>
      <c r="U461" s="199">
        <f>H461/(HLOOKUP(B:B,$4:$10,3,FALSE)+((HLOOKUP(C:C,$4:$10,3,FALSE)-HLOOKUP(B:B,$4:$10,3,FALSE))*E461/F461))</f>
        <v/>
      </c>
      <c r="V461" s="969">
        <f>HLOOKUP(B:B,$4:$10,7,FALSE)+((HLOOKUP(C:C,$4:$10,7,FALSE)-HLOOKUP(B:B,$4:$10,7,FALSE))*E461/F461)</f>
        <v/>
      </c>
      <c r="AB461" s="198">
        <f>$G461</f>
        <v/>
      </c>
      <c r="AC461" s="199">
        <f>$H461</f>
        <v/>
      </c>
      <c r="AD461" s="199">
        <f>$M461*AD$34</f>
        <v/>
      </c>
      <c r="AE461" s="199">
        <f>$M461*AE$34</f>
        <v/>
      </c>
      <c r="AF461" s="199">
        <f>$M461*AF$34</f>
        <v/>
      </c>
      <c r="AG461" s="199">
        <f>$M461*AG$34</f>
        <v/>
      </c>
      <c r="AH461" s="199">
        <f>$M461*AH$34</f>
        <v/>
      </c>
      <c r="AJ461" s="198">
        <f>$G461</f>
        <v/>
      </c>
      <c r="AK461" s="199">
        <f>$H461</f>
        <v/>
      </c>
      <c r="AL461" s="199">
        <f>$N461*AL$34</f>
        <v/>
      </c>
      <c r="AM461" s="199">
        <f>$N461*AM$34</f>
        <v/>
      </c>
      <c r="AN461" s="199">
        <f>$N461*AN$34</f>
        <v/>
      </c>
      <c r="AO461" s="199">
        <f>$N461*AO$34</f>
        <v/>
      </c>
      <c r="AP461" s="199">
        <f>$N461*AP$34</f>
        <v/>
      </c>
      <c r="AR461" s="198">
        <f>$G461</f>
        <v/>
      </c>
      <c r="AS461" s="199">
        <f>$H461</f>
        <v/>
      </c>
      <c r="AT461" s="199">
        <f>$O461*AT$34-$Q461</f>
        <v/>
      </c>
      <c r="AU461" s="199">
        <f>$O461*AU$34-$Q461</f>
        <v/>
      </c>
      <c r="AV461" s="199">
        <f>$O461*AV$34-$Q461</f>
        <v/>
      </c>
      <c r="AW461" s="199">
        <f>$O461*AW$34-$Q461</f>
        <v/>
      </c>
      <c r="AX461" s="199">
        <f>$O461*AX$34-$Q461</f>
        <v/>
      </c>
      <c r="AZ461" s="198">
        <f>$G461</f>
        <v/>
      </c>
      <c r="BA461" s="199">
        <f>$H461</f>
        <v/>
      </c>
      <c r="BB461" s="199">
        <f>$P461*BB$34-$Q461</f>
        <v/>
      </c>
      <c r="BC461" s="199">
        <f>$P461*BC$34-$Q461</f>
        <v/>
      </c>
      <c r="BD461" s="199">
        <f>$P461*BD$34-$Q461</f>
        <v/>
      </c>
      <c r="BE461" s="199">
        <f>$P461*BE$34-$Q461</f>
        <v/>
      </c>
      <c r="BF461" s="199">
        <f>$P461*BF$34-$Q461</f>
        <v/>
      </c>
      <c r="BH461" s="198">
        <f>$G461</f>
        <v/>
      </c>
      <c r="BI461" s="197">
        <f>$I461</f>
        <v/>
      </c>
      <c r="BJ461" s="197">
        <f>+BJ462</f>
        <v/>
      </c>
      <c r="BK461" s="197">
        <f>+BK462</f>
        <v/>
      </c>
      <c r="BL461" s="197">
        <f>+BL462</f>
        <v/>
      </c>
      <c r="BM461" s="197">
        <f>+BM462</f>
        <v/>
      </c>
      <c r="BN461" s="197">
        <f>+BN462</f>
        <v/>
      </c>
      <c r="BP461" s="198">
        <f>$G461</f>
        <v/>
      </c>
      <c r="BQ461" s="197">
        <f>$J461</f>
        <v/>
      </c>
      <c r="BR461" s="197">
        <f>+BR462</f>
        <v/>
      </c>
      <c r="BS461" s="197">
        <f>+BS462</f>
        <v/>
      </c>
      <c r="BT461" s="197">
        <f>+BT462</f>
        <v/>
      </c>
      <c r="BU461" s="197">
        <f>+BU462</f>
        <v/>
      </c>
      <c r="BV461" s="197">
        <f>+BV462</f>
        <v/>
      </c>
      <c r="BX461" s="198">
        <f>$G461</f>
        <v/>
      </c>
      <c r="BY461" s="197">
        <f>$K461</f>
        <v/>
      </c>
      <c r="BZ461" s="197">
        <f>+BZ462</f>
        <v/>
      </c>
      <c r="CA461" s="197">
        <f>+CA462</f>
        <v/>
      </c>
      <c r="CB461" s="197">
        <f>+CB462</f>
        <v/>
      </c>
      <c r="CC461" s="197">
        <f>+CC462</f>
        <v/>
      </c>
      <c r="CD461" s="197">
        <f>+CD462</f>
        <v/>
      </c>
      <c r="CF461" s="198">
        <f>$G461</f>
        <v/>
      </c>
      <c r="CG461" s="197">
        <f>$L461</f>
        <v/>
      </c>
      <c r="CH461" s="197">
        <f>+CH462</f>
        <v/>
      </c>
      <c r="CI461" s="197">
        <f>+CI462</f>
        <v/>
      </c>
      <c r="CJ461" s="197">
        <f>+CJ462</f>
        <v/>
      </c>
      <c r="CK461" s="197">
        <f>+CK462</f>
        <v/>
      </c>
      <c r="CL461" s="197">
        <f>+CL462</f>
        <v/>
      </c>
      <c r="CO461" s="199" t="n">
        <v>5.050944875032656</v>
      </c>
      <c r="CP461" s="199" t="n">
        <v>3.08</v>
      </c>
      <c r="CR461" s="199" t="n">
        <v>4.06</v>
      </c>
      <c r="CS461" s="970" t="n">
        <v>0.80381</v>
      </c>
    </row>
    <row r="462">
      <c r="B462" s="204">
        <f>+C462-1</f>
        <v/>
      </c>
      <c r="C462" s="204">
        <f>IF('bands_A-H_Avg'!$D$9+1&gt;MONTH(G462),YEAR(G462),YEAR(G462)+1)</f>
        <v/>
      </c>
      <c r="D462" s="204">
        <f>+C462+1</f>
        <v/>
      </c>
      <c r="E462" s="203">
        <f>IF(C462&gt;C461,1,E461+1)</f>
        <v/>
      </c>
      <c r="F462" s="203">
        <f>COUNTIF(C:C,C462)</f>
        <v/>
      </c>
      <c r="G462" s="198">
        <f>+G461+7</f>
        <v/>
      </c>
      <c r="H462" s="361">
        <f>IF(ISBLANK(CO462),CP462,SUMPRODUCT(CO$32:CP$32,CO462:CP462))</f>
        <v/>
      </c>
      <c r="I462" s="968">
        <f>H462/M462</f>
        <v/>
      </c>
      <c r="J462" s="968">
        <f>H462/N462</f>
        <v/>
      </c>
      <c r="K462" s="968">
        <f>(H462+Q462)/O462</f>
        <v/>
      </c>
      <c r="L462" s="968">
        <f>(H462+Q462)/P462</f>
        <v/>
      </c>
      <c r="M462" s="199">
        <f>HLOOKUP(C:C,$4:$10,3,FALSE)+((HLOOKUP(D:D,$4:$10,3,FALSE)-HLOOKUP(C:C,$4:$10,3,FALSE))*E462/F462)</f>
        <v/>
      </c>
      <c r="N462" s="199">
        <f>HLOOKUP(C:C,$4:$10,2,FALSE)+((HLOOKUP(D:D,$4:$10,2,FALSE)-HLOOKUP(C:C,$4:$10,2,FALSE))*E462/F462)</f>
        <v/>
      </c>
      <c r="O462" s="199">
        <f>HLOOKUP(C:C,$4:$10,5,FALSE)+((HLOOKUP(D:D,$4:$10,5,FALSE)-HLOOKUP(C:C,$4:$10,5,FALSE))*E462/F462)</f>
        <v/>
      </c>
      <c r="P462" s="199">
        <f>HLOOKUP(C:C,$4:$10,4,FALSE)+((HLOOKUP(D:D,$4:$10,4,FALSE)-HLOOKUP(C:C,$4:$10,4,FALSE))*E462/F462)</f>
        <v/>
      </c>
      <c r="Q462" s="199">
        <f>HLOOKUP(B:B,$4:$10,6,FALSE)+((HLOOKUP(C:C,$4:$10,6,FALSE)-HLOOKUP(B:B,$4:$10,6,FALSE))*E462/F462)</f>
        <v/>
      </c>
      <c r="T462" s="198">
        <f>$G462</f>
        <v/>
      </c>
      <c r="U462" s="199">
        <f>H462/(HLOOKUP(B:B,$4:$10,3,FALSE)+((HLOOKUP(C:C,$4:$10,3,FALSE)-HLOOKUP(B:B,$4:$10,3,FALSE))*E462/F462))</f>
        <v/>
      </c>
      <c r="V462" s="969">
        <f>HLOOKUP(B:B,$4:$10,7,FALSE)+((HLOOKUP(C:C,$4:$10,7,FALSE)-HLOOKUP(B:B,$4:$10,7,FALSE))*E462/F462)</f>
        <v/>
      </c>
      <c r="AB462" s="198">
        <f>$G462</f>
        <v/>
      </c>
      <c r="AC462" s="199">
        <f>$H462</f>
        <v/>
      </c>
      <c r="AD462" s="199">
        <f>$M462*AD$34</f>
        <v/>
      </c>
      <c r="AE462" s="199">
        <f>$M462*AE$34</f>
        <v/>
      </c>
      <c r="AF462" s="199">
        <f>$M462*AF$34</f>
        <v/>
      </c>
      <c r="AG462" s="199">
        <f>$M462*AG$34</f>
        <v/>
      </c>
      <c r="AH462" s="199">
        <f>$M462*AH$34</f>
        <v/>
      </c>
      <c r="AJ462" s="198">
        <f>$G462</f>
        <v/>
      </c>
      <c r="AK462" s="199">
        <f>$H462</f>
        <v/>
      </c>
      <c r="AL462" s="199">
        <f>$N462*AL$34</f>
        <v/>
      </c>
      <c r="AM462" s="199">
        <f>$N462*AM$34</f>
        <v/>
      </c>
      <c r="AN462" s="199">
        <f>$N462*AN$34</f>
        <v/>
      </c>
      <c r="AO462" s="199">
        <f>$N462*AO$34</f>
        <v/>
      </c>
      <c r="AP462" s="199">
        <f>$N462*AP$34</f>
        <v/>
      </c>
      <c r="AR462" s="198">
        <f>$G462</f>
        <v/>
      </c>
      <c r="AS462" s="199">
        <f>$H462</f>
        <v/>
      </c>
      <c r="AT462" s="199">
        <f>$O462*AT$34-$Q462</f>
        <v/>
      </c>
      <c r="AU462" s="199">
        <f>$O462*AU$34-$Q462</f>
        <v/>
      </c>
      <c r="AV462" s="199">
        <f>$O462*AV$34-$Q462</f>
        <v/>
      </c>
      <c r="AW462" s="199">
        <f>$O462*AW$34-$Q462</f>
        <v/>
      </c>
      <c r="AX462" s="199">
        <f>$O462*AX$34-$Q462</f>
        <v/>
      </c>
      <c r="AZ462" s="198">
        <f>$G462</f>
        <v/>
      </c>
      <c r="BA462" s="199">
        <f>$H462</f>
        <v/>
      </c>
      <c r="BB462" s="199">
        <f>$P462*BB$34-$Q462</f>
        <v/>
      </c>
      <c r="BC462" s="199">
        <f>$P462*BC$34-$Q462</f>
        <v/>
      </c>
      <c r="BD462" s="199">
        <f>$P462*BD$34-$Q462</f>
        <v/>
      </c>
      <c r="BE462" s="199">
        <f>$P462*BE$34-$Q462</f>
        <v/>
      </c>
      <c r="BF462" s="199">
        <f>$P462*BF$34-$Q462</f>
        <v/>
      </c>
      <c r="BH462" s="198">
        <f>$G462</f>
        <v/>
      </c>
      <c r="BI462" s="197">
        <f>$I462</f>
        <v/>
      </c>
      <c r="BJ462" s="197">
        <f>+BJ463</f>
        <v/>
      </c>
      <c r="BK462" s="197">
        <f>+BK463</f>
        <v/>
      </c>
      <c r="BL462" s="197">
        <f>+BL463</f>
        <v/>
      </c>
      <c r="BM462" s="197">
        <f>+BM463</f>
        <v/>
      </c>
      <c r="BN462" s="197">
        <f>+BN463</f>
        <v/>
      </c>
      <c r="BP462" s="198">
        <f>$G462</f>
        <v/>
      </c>
      <c r="BQ462" s="197">
        <f>$J462</f>
        <v/>
      </c>
      <c r="BR462" s="197">
        <f>+BR463</f>
        <v/>
      </c>
      <c r="BS462" s="197">
        <f>+BS463</f>
        <v/>
      </c>
      <c r="BT462" s="197">
        <f>+BT463</f>
        <v/>
      </c>
      <c r="BU462" s="197">
        <f>+BU463</f>
        <v/>
      </c>
      <c r="BV462" s="197">
        <f>+BV463</f>
        <v/>
      </c>
      <c r="BX462" s="198">
        <f>$G462</f>
        <v/>
      </c>
      <c r="BY462" s="197">
        <f>$K462</f>
        <v/>
      </c>
      <c r="BZ462" s="197">
        <f>+BZ463</f>
        <v/>
      </c>
      <c r="CA462" s="197">
        <f>+CA463</f>
        <v/>
      </c>
      <c r="CB462" s="197">
        <f>+CB463</f>
        <v/>
      </c>
      <c r="CC462" s="197">
        <f>+CC463</f>
        <v/>
      </c>
      <c r="CD462" s="197">
        <f>+CD463</f>
        <v/>
      </c>
      <c r="CF462" s="198">
        <f>$G462</f>
        <v/>
      </c>
      <c r="CG462" s="197">
        <f>$L462</f>
        <v/>
      </c>
      <c r="CH462" s="197">
        <f>+CH463</f>
        <v/>
      </c>
      <c r="CI462" s="197">
        <f>+CI463</f>
        <v/>
      </c>
      <c r="CJ462" s="197">
        <f>+CJ463</f>
        <v/>
      </c>
      <c r="CK462" s="197">
        <f>+CK463</f>
        <v/>
      </c>
      <c r="CL462" s="197">
        <f>+CL463</f>
        <v/>
      </c>
      <c r="CO462" s="199" t="n">
        <v>5.109034267912772</v>
      </c>
      <c r="CP462" s="199" t="n">
        <v>3.2</v>
      </c>
      <c r="CR462" s="199" t="n">
        <v>4.1</v>
      </c>
      <c r="CS462" s="970" t="n">
        <v>0.8025</v>
      </c>
    </row>
    <row r="463">
      <c r="B463" s="204">
        <f>+C463-1</f>
        <v/>
      </c>
      <c r="C463" s="204">
        <f>IF('bands_A-H_Avg'!$D$9+1&gt;MONTH(G463),YEAR(G463),YEAR(G463)+1)</f>
        <v/>
      </c>
      <c r="D463" s="204">
        <f>+C463+1</f>
        <v/>
      </c>
      <c r="E463" s="203">
        <f>IF(C463&gt;C462,1,E462+1)</f>
        <v/>
      </c>
      <c r="F463" s="203">
        <f>COUNTIF(C:C,C463)</f>
        <v/>
      </c>
      <c r="G463" s="198">
        <f>+G462+7</f>
        <v/>
      </c>
      <c r="H463" s="361">
        <f>IF(ISBLANK(CO463),CP463,SUMPRODUCT(CO$32:CP$32,CO463:CP463))</f>
        <v/>
      </c>
      <c r="I463" s="968">
        <f>H463/M463</f>
        <v/>
      </c>
      <c r="J463" s="968">
        <f>H463/N463</f>
        <v/>
      </c>
      <c r="K463" s="968">
        <f>(H463+Q463)/O463</f>
        <v/>
      </c>
      <c r="L463" s="968">
        <f>(H463+Q463)/P463</f>
        <v/>
      </c>
      <c r="M463" s="199">
        <f>HLOOKUP(C:C,$4:$10,3,FALSE)+((HLOOKUP(D:D,$4:$10,3,FALSE)-HLOOKUP(C:C,$4:$10,3,FALSE))*E463/F463)</f>
        <v/>
      </c>
      <c r="N463" s="199">
        <f>HLOOKUP(C:C,$4:$10,2,FALSE)+((HLOOKUP(D:D,$4:$10,2,FALSE)-HLOOKUP(C:C,$4:$10,2,FALSE))*E463/F463)</f>
        <v/>
      </c>
      <c r="O463" s="199">
        <f>HLOOKUP(C:C,$4:$10,5,FALSE)+((HLOOKUP(D:D,$4:$10,5,FALSE)-HLOOKUP(C:C,$4:$10,5,FALSE))*E463/F463)</f>
        <v/>
      </c>
      <c r="P463" s="199">
        <f>HLOOKUP(C:C,$4:$10,4,FALSE)+((HLOOKUP(D:D,$4:$10,4,FALSE)-HLOOKUP(C:C,$4:$10,4,FALSE))*E463/F463)</f>
        <v/>
      </c>
      <c r="Q463" s="199">
        <f>HLOOKUP(B:B,$4:$10,6,FALSE)+((HLOOKUP(C:C,$4:$10,6,FALSE)-HLOOKUP(B:B,$4:$10,6,FALSE))*E463/F463)</f>
        <v/>
      </c>
      <c r="T463" s="198">
        <f>$G463</f>
        <v/>
      </c>
      <c r="U463" s="199">
        <f>H463/(HLOOKUP(B:B,$4:$10,3,FALSE)+((HLOOKUP(C:C,$4:$10,3,FALSE)-HLOOKUP(B:B,$4:$10,3,FALSE))*E463/F463))</f>
        <v/>
      </c>
      <c r="V463" s="969">
        <f>HLOOKUP(B:B,$4:$10,7,FALSE)+((HLOOKUP(C:C,$4:$10,7,FALSE)-HLOOKUP(B:B,$4:$10,7,FALSE))*E463/F463)</f>
        <v/>
      </c>
      <c r="AB463" s="198">
        <f>$G463</f>
        <v/>
      </c>
      <c r="AC463" s="199">
        <f>$H463</f>
        <v/>
      </c>
      <c r="AD463" s="199">
        <f>$M463*AD$34</f>
        <v/>
      </c>
      <c r="AE463" s="199">
        <f>$M463*AE$34</f>
        <v/>
      </c>
      <c r="AF463" s="199">
        <f>$M463*AF$34</f>
        <v/>
      </c>
      <c r="AG463" s="199">
        <f>$M463*AG$34</f>
        <v/>
      </c>
      <c r="AH463" s="199">
        <f>$M463*AH$34</f>
        <v/>
      </c>
      <c r="AJ463" s="198">
        <f>$G463</f>
        <v/>
      </c>
      <c r="AK463" s="199">
        <f>$H463</f>
        <v/>
      </c>
      <c r="AL463" s="199">
        <f>$N463*AL$34</f>
        <v/>
      </c>
      <c r="AM463" s="199">
        <f>$N463*AM$34</f>
        <v/>
      </c>
      <c r="AN463" s="199">
        <f>$N463*AN$34</f>
        <v/>
      </c>
      <c r="AO463" s="199">
        <f>$N463*AO$34</f>
        <v/>
      </c>
      <c r="AP463" s="199">
        <f>$N463*AP$34</f>
        <v/>
      </c>
      <c r="AR463" s="198">
        <f>$G463</f>
        <v/>
      </c>
      <c r="AS463" s="199">
        <f>$H463</f>
        <v/>
      </c>
      <c r="AT463" s="199">
        <f>$O463*AT$34-$Q463</f>
        <v/>
      </c>
      <c r="AU463" s="199">
        <f>$O463*AU$34-$Q463</f>
        <v/>
      </c>
      <c r="AV463" s="199">
        <f>$O463*AV$34-$Q463</f>
        <v/>
      </c>
      <c r="AW463" s="199">
        <f>$O463*AW$34-$Q463</f>
        <v/>
      </c>
      <c r="AX463" s="199">
        <f>$O463*AX$34-$Q463</f>
        <v/>
      </c>
      <c r="AZ463" s="198">
        <f>$G463</f>
        <v/>
      </c>
      <c r="BA463" s="199">
        <f>$H463</f>
        <v/>
      </c>
      <c r="BB463" s="199">
        <f>$P463*BB$34-$Q463</f>
        <v/>
      </c>
      <c r="BC463" s="199">
        <f>$P463*BC$34-$Q463</f>
        <v/>
      </c>
      <c r="BD463" s="199">
        <f>$P463*BD$34-$Q463</f>
        <v/>
      </c>
      <c r="BE463" s="199">
        <f>$P463*BE$34-$Q463</f>
        <v/>
      </c>
      <c r="BF463" s="199">
        <f>$P463*BF$34-$Q463</f>
        <v/>
      </c>
      <c r="BH463" s="198">
        <f>$G463</f>
        <v/>
      </c>
      <c r="BI463" s="197">
        <f>$I463</f>
        <v/>
      </c>
      <c r="BJ463" s="197">
        <f>+BJ464</f>
        <v/>
      </c>
      <c r="BK463" s="197">
        <f>+BK464</f>
        <v/>
      </c>
      <c r="BL463" s="197">
        <f>+BL464</f>
        <v/>
      </c>
      <c r="BM463" s="197">
        <f>+BM464</f>
        <v/>
      </c>
      <c r="BN463" s="197">
        <f>+BN464</f>
        <v/>
      </c>
      <c r="BP463" s="198">
        <f>$G463</f>
        <v/>
      </c>
      <c r="BQ463" s="197">
        <f>$J463</f>
        <v/>
      </c>
      <c r="BR463" s="197">
        <f>+BR464</f>
        <v/>
      </c>
      <c r="BS463" s="197">
        <f>+BS464</f>
        <v/>
      </c>
      <c r="BT463" s="197">
        <f>+BT464</f>
        <v/>
      </c>
      <c r="BU463" s="197">
        <f>+BU464</f>
        <v/>
      </c>
      <c r="BV463" s="197">
        <f>+BV464</f>
        <v/>
      </c>
      <c r="BX463" s="198">
        <f>$G463</f>
        <v/>
      </c>
      <c r="BY463" s="197">
        <f>$K463</f>
        <v/>
      </c>
      <c r="BZ463" s="197">
        <f>+BZ464</f>
        <v/>
      </c>
      <c r="CA463" s="197">
        <f>+CA464</f>
        <v/>
      </c>
      <c r="CB463" s="197">
        <f>+CB464</f>
        <v/>
      </c>
      <c r="CC463" s="197">
        <f>+CC464</f>
        <v/>
      </c>
      <c r="CD463" s="197">
        <f>+CD464</f>
        <v/>
      </c>
      <c r="CF463" s="198">
        <f>$G463</f>
        <v/>
      </c>
      <c r="CG463" s="197">
        <f>$L463</f>
        <v/>
      </c>
      <c r="CH463" s="197">
        <f>+CH464</f>
        <v/>
      </c>
      <c r="CI463" s="197">
        <f>+CI464</f>
        <v/>
      </c>
      <c r="CJ463" s="197">
        <f>+CJ464</f>
        <v/>
      </c>
      <c r="CK463" s="197">
        <f>+CK464</f>
        <v/>
      </c>
      <c r="CL463" s="197">
        <f>+CL464</f>
        <v/>
      </c>
      <c r="CO463" s="199" t="n">
        <v>5.079373003194888</v>
      </c>
      <c r="CP463" s="199" t="n">
        <v>3.26</v>
      </c>
      <c r="CR463" s="199" t="n">
        <v>4.07</v>
      </c>
      <c r="CS463" s="970" t="n">
        <v>0.80128</v>
      </c>
    </row>
    <row r="464">
      <c r="B464" s="204">
        <f>+C464-1</f>
        <v/>
      </c>
      <c r="C464" s="204">
        <f>IF('bands_A-H_Avg'!$D$9+1&gt;MONTH(G464),YEAR(G464),YEAR(G464)+1)</f>
        <v/>
      </c>
      <c r="D464" s="204">
        <f>+C464+1</f>
        <v/>
      </c>
      <c r="E464" s="203">
        <f>IF(C464&gt;C463,1,E463+1)</f>
        <v/>
      </c>
      <c r="F464" s="203">
        <f>COUNTIF(C:C,C464)</f>
        <v/>
      </c>
      <c r="G464" s="198">
        <f>+G463+7</f>
        <v/>
      </c>
      <c r="H464" s="361">
        <f>IF(ISBLANK(CO464),CP464,SUMPRODUCT(CO$32:CP$32,CO464:CP464))</f>
        <v/>
      </c>
      <c r="I464" s="968">
        <f>H464/M464</f>
        <v/>
      </c>
      <c r="J464" s="968">
        <f>H464/N464</f>
        <v/>
      </c>
      <c r="K464" s="968">
        <f>(H464+Q464)/O464</f>
        <v/>
      </c>
      <c r="L464" s="968">
        <f>(H464+Q464)/P464</f>
        <v/>
      </c>
      <c r="M464" s="199">
        <f>HLOOKUP(C:C,$4:$10,3,FALSE)+((HLOOKUP(D:D,$4:$10,3,FALSE)-HLOOKUP(C:C,$4:$10,3,FALSE))*E464/F464)</f>
        <v/>
      </c>
      <c r="N464" s="199">
        <f>HLOOKUP(C:C,$4:$10,2,FALSE)+((HLOOKUP(D:D,$4:$10,2,FALSE)-HLOOKUP(C:C,$4:$10,2,FALSE))*E464/F464)</f>
        <v/>
      </c>
      <c r="O464" s="199">
        <f>HLOOKUP(C:C,$4:$10,5,FALSE)+((HLOOKUP(D:D,$4:$10,5,FALSE)-HLOOKUP(C:C,$4:$10,5,FALSE))*E464/F464)</f>
        <v/>
      </c>
      <c r="P464" s="199">
        <f>HLOOKUP(C:C,$4:$10,4,FALSE)+((HLOOKUP(D:D,$4:$10,4,FALSE)-HLOOKUP(C:C,$4:$10,4,FALSE))*E464/F464)</f>
        <v/>
      </c>
      <c r="Q464" s="199">
        <f>HLOOKUP(B:B,$4:$10,6,FALSE)+((HLOOKUP(C:C,$4:$10,6,FALSE)-HLOOKUP(B:B,$4:$10,6,FALSE))*E464/F464)</f>
        <v/>
      </c>
      <c r="T464" s="198">
        <f>$G464</f>
        <v/>
      </c>
      <c r="U464" s="199">
        <f>H464/(HLOOKUP(B:B,$4:$10,3,FALSE)+((HLOOKUP(C:C,$4:$10,3,FALSE)-HLOOKUP(B:B,$4:$10,3,FALSE))*E464/F464))</f>
        <v/>
      </c>
      <c r="V464" s="969">
        <f>HLOOKUP(B:B,$4:$10,7,FALSE)+((HLOOKUP(C:C,$4:$10,7,FALSE)-HLOOKUP(B:B,$4:$10,7,FALSE))*E464/F464)</f>
        <v/>
      </c>
      <c r="AB464" s="198">
        <f>$G464</f>
        <v/>
      </c>
      <c r="AC464" s="199">
        <f>$H464</f>
        <v/>
      </c>
      <c r="AD464" s="199">
        <f>$M464*AD$34</f>
        <v/>
      </c>
      <c r="AE464" s="199">
        <f>$M464*AE$34</f>
        <v/>
      </c>
      <c r="AF464" s="199">
        <f>$M464*AF$34</f>
        <v/>
      </c>
      <c r="AG464" s="199">
        <f>$M464*AG$34</f>
        <v/>
      </c>
      <c r="AH464" s="199">
        <f>$M464*AH$34</f>
        <v/>
      </c>
      <c r="AJ464" s="198">
        <f>$G464</f>
        <v/>
      </c>
      <c r="AK464" s="199">
        <f>$H464</f>
        <v/>
      </c>
      <c r="AL464" s="199">
        <f>$N464*AL$34</f>
        <v/>
      </c>
      <c r="AM464" s="199">
        <f>$N464*AM$34</f>
        <v/>
      </c>
      <c r="AN464" s="199">
        <f>$N464*AN$34</f>
        <v/>
      </c>
      <c r="AO464" s="199">
        <f>$N464*AO$34</f>
        <v/>
      </c>
      <c r="AP464" s="199">
        <f>$N464*AP$34</f>
        <v/>
      </c>
      <c r="AR464" s="198">
        <f>$G464</f>
        <v/>
      </c>
      <c r="AS464" s="199">
        <f>$H464</f>
        <v/>
      </c>
      <c r="AT464" s="199">
        <f>$O464*AT$34-$Q464</f>
        <v/>
      </c>
      <c r="AU464" s="199">
        <f>$O464*AU$34-$Q464</f>
        <v/>
      </c>
      <c r="AV464" s="199">
        <f>$O464*AV$34-$Q464</f>
        <v/>
      </c>
      <c r="AW464" s="199">
        <f>$O464*AW$34-$Q464</f>
        <v/>
      </c>
      <c r="AX464" s="199">
        <f>$O464*AX$34-$Q464</f>
        <v/>
      </c>
      <c r="AZ464" s="198">
        <f>$G464</f>
        <v/>
      </c>
      <c r="BA464" s="199">
        <f>$H464</f>
        <v/>
      </c>
      <c r="BB464" s="199">
        <f>$P464*BB$34-$Q464</f>
        <v/>
      </c>
      <c r="BC464" s="199">
        <f>$P464*BC$34-$Q464</f>
        <v/>
      </c>
      <c r="BD464" s="199">
        <f>$P464*BD$34-$Q464</f>
        <v/>
      </c>
      <c r="BE464" s="199">
        <f>$P464*BE$34-$Q464</f>
        <v/>
      </c>
      <c r="BF464" s="199">
        <f>$P464*BF$34-$Q464</f>
        <v/>
      </c>
      <c r="BH464" s="198">
        <f>$G464</f>
        <v/>
      </c>
      <c r="BI464" s="197">
        <f>$I464</f>
        <v/>
      </c>
      <c r="BJ464" s="197">
        <f>+BJ465</f>
        <v/>
      </c>
      <c r="BK464" s="197">
        <f>+BK465</f>
        <v/>
      </c>
      <c r="BL464" s="197">
        <f>+BL465</f>
        <v/>
      </c>
      <c r="BM464" s="197">
        <f>+BM465</f>
        <v/>
      </c>
      <c r="BN464" s="197">
        <f>+BN465</f>
        <v/>
      </c>
      <c r="BP464" s="198">
        <f>$G464</f>
        <v/>
      </c>
      <c r="BQ464" s="197">
        <f>$J464</f>
        <v/>
      </c>
      <c r="BR464" s="197">
        <f>+BR465</f>
        <v/>
      </c>
      <c r="BS464" s="197">
        <f>+BS465</f>
        <v/>
      </c>
      <c r="BT464" s="197">
        <f>+BT465</f>
        <v/>
      </c>
      <c r="BU464" s="197">
        <f>+BU465</f>
        <v/>
      </c>
      <c r="BV464" s="197">
        <f>+BV465</f>
        <v/>
      </c>
      <c r="BX464" s="198">
        <f>$G464</f>
        <v/>
      </c>
      <c r="BY464" s="197">
        <f>$K464</f>
        <v/>
      </c>
      <c r="BZ464" s="197">
        <f>+BZ465</f>
        <v/>
      </c>
      <c r="CA464" s="197">
        <f>+CA465</f>
        <v/>
      </c>
      <c r="CB464" s="197">
        <f>+CB465</f>
        <v/>
      </c>
      <c r="CC464" s="197">
        <f>+CC465</f>
        <v/>
      </c>
      <c r="CD464" s="197">
        <f>+CD465</f>
        <v/>
      </c>
      <c r="CF464" s="198">
        <f>$G464</f>
        <v/>
      </c>
      <c r="CG464" s="197">
        <f>$L464</f>
        <v/>
      </c>
      <c r="CH464" s="197">
        <f>+CH465</f>
        <v/>
      </c>
      <c r="CI464" s="197">
        <f>+CI465</f>
        <v/>
      </c>
      <c r="CJ464" s="197">
        <f>+CJ465</f>
        <v/>
      </c>
      <c r="CK464" s="197">
        <f>+CK465</f>
        <v/>
      </c>
      <c r="CL464" s="197">
        <f>+CL465</f>
        <v/>
      </c>
      <c r="CO464" s="199" t="n">
        <v>5.347459956520654</v>
      </c>
      <c r="CP464" s="199" t="n">
        <v>3.06</v>
      </c>
      <c r="CR464" s="199" t="n">
        <v>4.28</v>
      </c>
      <c r="CS464" s="970" t="n">
        <v>0.80038</v>
      </c>
    </row>
    <row r="465">
      <c r="B465" s="204">
        <f>+C465-1</f>
        <v/>
      </c>
      <c r="C465" s="204">
        <f>IF('bands_A-H_Avg'!$D$9+1&gt;MONTH(G465),YEAR(G465),YEAR(G465)+1)</f>
        <v/>
      </c>
      <c r="D465" s="204">
        <f>+C465+1</f>
        <v/>
      </c>
      <c r="E465" s="203">
        <f>IF(C465&gt;C464,1,E464+1)</f>
        <v/>
      </c>
      <c r="F465" s="203">
        <f>COUNTIF(C:C,C465)</f>
        <v/>
      </c>
      <c r="G465" s="198">
        <f>+G464+7</f>
        <v/>
      </c>
      <c r="H465" s="361">
        <f>IF(ISBLANK(CO465),CP465,SUMPRODUCT(CO$32:CP$32,CO465:CP465))</f>
        <v/>
      </c>
      <c r="I465" s="968">
        <f>H465/M465</f>
        <v/>
      </c>
      <c r="J465" s="968">
        <f>H465/N465</f>
        <v/>
      </c>
      <c r="K465" s="968">
        <f>(H465+Q465)/O465</f>
        <v/>
      </c>
      <c r="L465" s="968">
        <f>(H465+Q465)/P465</f>
        <v/>
      </c>
      <c r="M465" s="199">
        <f>HLOOKUP(C:C,$4:$10,3,FALSE)+((HLOOKUP(D:D,$4:$10,3,FALSE)-HLOOKUP(C:C,$4:$10,3,FALSE))*E465/F465)</f>
        <v/>
      </c>
      <c r="N465" s="199">
        <f>HLOOKUP(C:C,$4:$10,2,FALSE)+((HLOOKUP(D:D,$4:$10,2,FALSE)-HLOOKUP(C:C,$4:$10,2,FALSE))*E465/F465)</f>
        <v/>
      </c>
      <c r="O465" s="199">
        <f>HLOOKUP(C:C,$4:$10,5,FALSE)+((HLOOKUP(D:D,$4:$10,5,FALSE)-HLOOKUP(C:C,$4:$10,5,FALSE))*E465/F465)</f>
        <v/>
      </c>
      <c r="P465" s="199">
        <f>HLOOKUP(C:C,$4:$10,4,FALSE)+((HLOOKUP(D:D,$4:$10,4,FALSE)-HLOOKUP(C:C,$4:$10,4,FALSE))*E465/F465)</f>
        <v/>
      </c>
      <c r="Q465" s="199">
        <f>HLOOKUP(B:B,$4:$10,6,FALSE)+((HLOOKUP(C:C,$4:$10,6,FALSE)-HLOOKUP(B:B,$4:$10,6,FALSE))*E465/F465)</f>
        <v/>
      </c>
      <c r="T465" s="198">
        <f>$G465</f>
        <v/>
      </c>
      <c r="U465" s="199">
        <f>H465/(HLOOKUP(B:B,$4:$10,3,FALSE)+((HLOOKUP(C:C,$4:$10,3,FALSE)-HLOOKUP(B:B,$4:$10,3,FALSE))*E465/F465))</f>
        <v/>
      </c>
      <c r="V465" s="969">
        <f>HLOOKUP(B:B,$4:$10,7,FALSE)+((HLOOKUP(C:C,$4:$10,7,FALSE)-HLOOKUP(B:B,$4:$10,7,FALSE))*E465/F465)</f>
        <v/>
      </c>
      <c r="AB465" s="198">
        <f>$G465</f>
        <v/>
      </c>
      <c r="AC465" s="199">
        <f>$H465</f>
        <v/>
      </c>
      <c r="AD465" s="199">
        <f>$M465*AD$34</f>
        <v/>
      </c>
      <c r="AE465" s="199">
        <f>$M465*AE$34</f>
        <v/>
      </c>
      <c r="AF465" s="199">
        <f>$M465*AF$34</f>
        <v/>
      </c>
      <c r="AG465" s="199">
        <f>$M465*AG$34</f>
        <v/>
      </c>
      <c r="AH465" s="199">
        <f>$M465*AH$34</f>
        <v/>
      </c>
      <c r="AJ465" s="198">
        <f>$G465</f>
        <v/>
      </c>
      <c r="AK465" s="199">
        <f>$H465</f>
        <v/>
      </c>
      <c r="AL465" s="199">
        <f>$N465*AL$34</f>
        <v/>
      </c>
      <c r="AM465" s="199">
        <f>$N465*AM$34</f>
        <v/>
      </c>
      <c r="AN465" s="199">
        <f>$N465*AN$34</f>
        <v/>
      </c>
      <c r="AO465" s="199">
        <f>$N465*AO$34</f>
        <v/>
      </c>
      <c r="AP465" s="199">
        <f>$N465*AP$34</f>
        <v/>
      </c>
      <c r="AR465" s="198">
        <f>$G465</f>
        <v/>
      </c>
      <c r="AS465" s="199">
        <f>$H465</f>
        <v/>
      </c>
      <c r="AT465" s="199">
        <f>$O465*AT$34-$Q465</f>
        <v/>
      </c>
      <c r="AU465" s="199">
        <f>$O465*AU$34-$Q465</f>
        <v/>
      </c>
      <c r="AV465" s="199">
        <f>$O465*AV$34-$Q465</f>
        <v/>
      </c>
      <c r="AW465" s="199">
        <f>$O465*AW$34-$Q465</f>
        <v/>
      </c>
      <c r="AX465" s="199">
        <f>$O465*AX$34-$Q465</f>
        <v/>
      </c>
      <c r="AZ465" s="198">
        <f>$G465</f>
        <v/>
      </c>
      <c r="BA465" s="199">
        <f>$H465</f>
        <v/>
      </c>
      <c r="BB465" s="199">
        <f>$P465*BB$34-$Q465</f>
        <v/>
      </c>
      <c r="BC465" s="199">
        <f>$P465*BC$34-$Q465</f>
        <v/>
      </c>
      <c r="BD465" s="199">
        <f>$P465*BD$34-$Q465</f>
        <v/>
      </c>
      <c r="BE465" s="199">
        <f>$P465*BE$34-$Q465</f>
        <v/>
      </c>
      <c r="BF465" s="199">
        <f>$P465*BF$34-$Q465</f>
        <v/>
      </c>
      <c r="BH465" s="198">
        <f>$G465</f>
        <v/>
      </c>
      <c r="BI465" s="197">
        <f>$I465</f>
        <v/>
      </c>
      <c r="BJ465" s="197">
        <f>+BJ466</f>
        <v/>
      </c>
      <c r="BK465" s="197">
        <f>+BK466</f>
        <v/>
      </c>
      <c r="BL465" s="197">
        <f>+BL466</f>
        <v/>
      </c>
      <c r="BM465" s="197">
        <f>+BM466</f>
        <v/>
      </c>
      <c r="BN465" s="197">
        <f>+BN466</f>
        <v/>
      </c>
      <c r="BP465" s="198">
        <f>$G465</f>
        <v/>
      </c>
      <c r="BQ465" s="197">
        <f>$J465</f>
        <v/>
      </c>
      <c r="BR465" s="197">
        <f>+BR466</f>
        <v/>
      </c>
      <c r="BS465" s="197">
        <f>+BS466</f>
        <v/>
      </c>
      <c r="BT465" s="197">
        <f>+BT466</f>
        <v/>
      </c>
      <c r="BU465" s="197">
        <f>+BU466</f>
        <v/>
      </c>
      <c r="BV465" s="197">
        <f>+BV466</f>
        <v/>
      </c>
      <c r="BX465" s="198">
        <f>$G465</f>
        <v/>
      </c>
      <c r="BY465" s="197">
        <f>$K465</f>
        <v/>
      </c>
      <c r="BZ465" s="197">
        <f>+BZ466</f>
        <v/>
      </c>
      <c r="CA465" s="197">
        <f>+CA466</f>
        <v/>
      </c>
      <c r="CB465" s="197">
        <f>+CB466</f>
        <v/>
      </c>
      <c r="CC465" s="197">
        <f>+CC466</f>
        <v/>
      </c>
      <c r="CD465" s="197">
        <f>+CD466</f>
        <v/>
      </c>
      <c r="CF465" s="198">
        <f>$G465</f>
        <v/>
      </c>
      <c r="CG465" s="197">
        <f>$L465</f>
        <v/>
      </c>
      <c r="CH465" s="197">
        <f>+CH466</f>
        <v/>
      </c>
      <c r="CI465" s="197">
        <f>+CI466</f>
        <v/>
      </c>
      <c r="CJ465" s="197">
        <f>+CJ466</f>
        <v/>
      </c>
      <c r="CK465" s="197">
        <f>+CK466</f>
        <v/>
      </c>
      <c r="CL465" s="197">
        <f>+CL466</f>
        <v/>
      </c>
      <c r="CO465" s="199" t="n">
        <v>5.249868753281168</v>
      </c>
      <c r="CP465" s="199" t="n">
        <v>3.19</v>
      </c>
      <c r="CR465" s="199" t="n">
        <v>4.2</v>
      </c>
      <c r="CS465" s="970" t="n">
        <v>0.80002</v>
      </c>
    </row>
    <row r="466">
      <c r="B466" s="204">
        <f>+C466-1</f>
        <v/>
      </c>
      <c r="C466" s="204">
        <f>IF('bands_A-H_Avg'!$D$9+1&gt;MONTH(G466),YEAR(G466),YEAR(G466)+1)</f>
        <v/>
      </c>
      <c r="D466" s="204">
        <f>+C466+1</f>
        <v/>
      </c>
      <c r="E466" s="203">
        <f>IF(C466&gt;C465,1,E465+1)</f>
        <v/>
      </c>
      <c r="F466" s="203">
        <f>COUNTIF(C:C,C466)</f>
        <v/>
      </c>
      <c r="G466" s="198">
        <f>+G465+7</f>
        <v/>
      </c>
      <c r="H466" s="361">
        <f>IF(ISBLANK(CO466),CP466,SUMPRODUCT(CO$32:CP$32,CO466:CP466))</f>
        <v/>
      </c>
      <c r="I466" s="968">
        <f>H466/M466</f>
        <v/>
      </c>
      <c r="J466" s="968">
        <f>H466/N466</f>
        <v/>
      </c>
      <c r="K466" s="968">
        <f>(H466+Q466)/O466</f>
        <v/>
      </c>
      <c r="L466" s="968">
        <f>(H466+Q466)/P466</f>
        <v/>
      </c>
      <c r="M466" s="199">
        <f>HLOOKUP(C:C,$4:$10,3,FALSE)+((HLOOKUP(D:D,$4:$10,3,FALSE)-HLOOKUP(C:C,$4:$10,3,FALSE))*E466/F466)</f>
        <v/>
      </c>
      <c r="N466" s="199">
        <f>HLOOKUP(C:C,$4:$10,2,FALSE)+((HLOOKUP(D:D,$4:$10,2,FALSE)-HLOOKUP(C:C,$4:$10,2,FALSE))*E466/F466)</f>
        <v/>
      </c>
      <c r="O466" s="199">
        <f>HLOOKUP(C:C,$4:$10,5,FALSE)+((HLOOKUP(D:D,$4:$10,5,FALSE)-HLOOKUP(C:C,$4:$10,5,FALSE))*E466/F466)</f>
        <v/>
      </c>
      <c r="P466" s="199">
        <f>HLOOKUP(C:C,$4:$10,4,FALSE)+((HLOOKUP(D:D,$4:$10,4,FALSE)-HLOOKUP(C:C,$4:$10,4,FALSE))*E466/F466)</f>
        <v/>
      </c>
      <c r="Q466" s="199">
        <f>HLOOKUP(B:B,$4:$10,6,FALSE)+((HLOOKUP(C:C,$4:$10,6,FALSE)-HLOOKUP(B:B,$4:$10,6,FALSE))*E466/F466)</f>
        <v/>
      </c>
      <c r="T466" s="198">
        <f>$G466</f>
        <v/>
      </c>
      <c r="U466" s="199">
        <f>H466/(HLOOKUP(B:B,$4:$10,3,FALSE)+((HLOOKUP(C:C,$4:$10,3,FALSE)-HLOOKUP(B:B,$4:$10,3,FALSE))*E466/F466))</f>
        <v/>
      </c>
      <c r="V466" s="969">
        <f>HLOOKUP(B:B,$4:$10,7,FALSE)+((HLOOKUP(C:C,$4:$10,7,FALSE)-HLOOKUP(B:B,$4:$10,7,FALSE))*E466/F466)</f>
        <v/>
      </c>
      <c r="AB466" s="198">
        <f>$G466</f>
        <v/>
      </c>
      <c r="AC466" s="199">
        <f>$H466</f>
        <v/>
      </c>
      <c r="AD466" s="199">
        <f>$M466*AD$34</f>
        <v/>
      </c>
      <c r="AE466" s="199">
        <f>$M466*AE$34</f>
        <v/>
      </c>
      <c r="AF466" s="199">
        <f>$M466*AF$34</f>
        <v/>
      </c>
      <c r="AG466" s="199">
        <f>$M466*AG$34</f>
        <v/>
      </c>
      <c r="AH466" s="199">
        <f>$M466*AH$34</f>
        <v/>
      </c>
      <c r="AJ466" s="198">
        <f>$G466</f>
        <v/>
      </c>
      <c r="AK466" s="199">
        <f>$H466</f>
        <v/>
      </c>
      <c r="AL466" s="199">
        <f>$N466*AL$34</f>
        <v/>
      </c>
      <c r="AM466" s="199">
        <f>$N466*AM$34</f>
        <v/>
      </c>
      <c r="AN466" s="199">
        <f>$N466*AN$34</f>
        <v/>
      </c>
      <c r="AO466" s="199">
        <f>$N466*AO$34</f>
        <v/>
      </c>
      <c r="AP466" s="199">
        <f>$N466*AP$34</f>
        <v/>
      </c>
      <c r="AR466" s="198">
        <f>$G466</f>
        <v/>
      </c>
      <c r="AS466" s="199">
        <f>$H466</f>
        <v/>
      </c>
      <c r="AT466" s="199">
        <f>$O466*AT$34-$Q466</f>
        <v/>
      </c>
      <c r="AU466" s="199">
        <f>$O466*AU$34-$Q466</f>
        <v/>
      </c>
      <c r="AV466" s="199">
        <f>$O466*AV$34-$Q466</f>
        <v/>
      </c>
      <c r="AW466" s="199">
        <f>$O466*AW$34-$Q466</f>
        <v/>
      </c>
      <c r="AX466" s="199">
        <f>$O466*AX$34-$Q466</f>
        <v/>
      </c>
      <c r="AZ466" s="198">
        <f>$G466</f>
        <v/>
      </c>
      <c r="BA466" s="199">
        <f>$H466</f>
        <v/>
      </c>
      <c r="BB466" s="199">
        <f>$P466*BB$34-$Q466</f>
        <v/>
      </c>
      <c r="BC466" s="199">
        <f>$P466*BC$34-$Q466</f>
        <v/>
      </c>
      <c r="BD466" s="199">
        <f>$P466*BD$34-$Q466</f>
        <v/>
      </c>
      <c r="BE466" s="199">
        <f>$P466*BE$34-$Q466</f>
        <v/>
      </c>
      <c r="BF466" s="199">
        <f>$P466*BF$34-$Q466</f>
        <v/>
      </c>
      <c r="BH466" s="198">
        <f>$G466</f>
        <v/>
      </c>
      <c r="BI466" s="197">
        <f>$I466</f>
        <v/>
      </c>
      <c r="BJ466" s="197">
        <f>+BJ467</f>
        <v/>
      </c>
      <c r="BK466" s="197">
        <f>+BK467</f>
        <v/>
      </c>
      <c r="BL466" s="197">
        <f>+BL467</f>
        <v/>
      </c>
      <c r="BM466" s="197">
        <f>+BM467</f>
        <v/>
      </c>
      <c r="BN466" s="197">
        <f>+BN467</f>
        <v/>
      </c>
      <c r="BP466" s="198">
        <f>$G466</f>
        <v/>
      </c>
      <c r="BQ466" s="197">
        <f>$J466</f>
        <v/>
      </c>
      <c r="BR466" s="197">
        <f>+BR467</f>
        <v/>
      </c>
      <c r="BS466" s="197">
        <f>+BS467</f>
        <v/>
      </c>
      <c r="BT466" s="197">
        <f>+BT467</f>
        <v/>
      </c>
      <c r="BU466" s="197">
        <f>+BU467</f>
        <v/>
      </c>
      <c r="BV466" s="197">
        <f>+BV467</f>
        <v/>
      </c>
      <c r="BX466" s="198">
        <f>$G466</f>
        <v/>
      </c>
      <c r="BY466" s="197">
        <f>$K466</f>
        <v/>
      </c>
      <c r="BZ466" s="197">
        <f>+BZ467</f>
        <v/>
      </c>
      <c r="CA466" s="197">
        <f>+CA467</f>
        <v/>
      </c>
      <c r="CB466" s="197">
        <f>+CB467</f>
        <v/>
      </c>
      <c r="CC466" s="197">
        <f>+CC467</f>
        <v/>
      </c>
      <c r="CD466" s="197">
        <f>+CD467</f>
        <v/>
      </c>
      <c r="CF466" s="198">
        <f>$G466</f>
        <v/>
      </c>
      <c r="CG466" s="197">
        <f>$L466</f>
        <v/>
      </c>
      <c r="CH466" s="197">
        <f>+CH467</f>
        <v/>
      </c>
      <c r="CI466" s="197">
        <f>+CI467</f>
        <v/>
      </c>
      <c r="CJ466" s="197">
        <f>+CJ467</f>
        <v/>
      </c>
      <c r="CK466" s="197">
        <f>+CK467</f>
        <v/>
      </c>
      <c r="CL466" s="197">
        <f>+CL467</f>
        <v/>
      </c>
      <c r="CO466" s="199" t="n">
        <v>4.962686100728777</v>
      </c>
      <c r="CP466" s="199" t="n">
        <v>3.02</v>
      </c>
      <c r="CR466" s="199" t="n">
        <v>3.97</v>
      </c>
      <c r="CS466" s="970" t="n">
        <v>0.79997</v>
      </c>
    </row>
    <row r="467">
      <c r="B467" s="204">
        <f>+C467-1</f>
        <v/>
      </c>
      <c r="C467" s="204">
        <f>IF('bands_A-H_Avg'!$D$9+1&gt;MONTH(G467),YEAR(G467),YEAR(G467)+1)</f>
        <v/>
      </c>
      <c r="D467" s="204">
        <f>+C467+1</f>
        <v/>
      </c>
      <c r="E467" s="203">
        <f>IF(C467&gt;C466,1,E466+1)</f>
        <v/>
      </c>
      <c r="F467" s="203">
        <f>COUNTIF(C:C,C467)</f>
        <v/>
      </c>
      <c r="G467" s="198">
        <f>+G466+7</f>
        <v/>
      </c>
      <c r="H467" s="361">
        <f>IF(ISBLANK(CO467),CP467,SUMPRODUCT(CO$32:CP$32,CO467:CP467))</f>
        <v/>
      </c>
      <c r="I467" s="968">
        <f>H467/M467</f>
        <v/>
      </c>
      <c r="J467" s="968">
        <f>H467/N467</f>
        <v/>
      </c>
      <c r="K467" s="968">
        <f>(H467+Q467)/O467</f>
        <v/>
      </c>
      <c r="L467" s="968">
        <f>(H467+Q467)/P467</f>
        <v/>
      </c>
      <c r="M467" s="199">
        <f>HLOOKUP(C:C,$4:$10,3,FALSE)+((HLOOKUP(D:D,$4:$10,3,FALSE)-HLOOKUP(C:C,$4:$10,3,FALSE))*E467/F467)</f>
        <v/>
      </c>
      <c r="N467" s="199">
        <f>HLOOKUP(C:C,$4:$10,2,FALSE)+((HLOOKUP(D:D,$4:$10,2,FALSE)-HLOOKUP(C:C,$4:$10,2,FALSE))*E467/F467)</f>
        <v/>
      </c>
      <c r="O467" s="199">
        <f>HLOOKUP(C:C,$4:$10,5,FALSE)+((HLOOKUP(D:D,$4:$10,5,FALSE)-HLOOKUP(C:C,$4:$10,5,FALSE))*E467/F467)</f>
        <v/>
      </c>
      <c r="P467" s="199">
        <f>HLOOKUP(C:C,$4:$10,4,FALSE)+((HLOOKUP(D:D,$4:$10,4,FALSE)-HLOOKUP(C:C,$4:$10,4,FALSE))*E467/F467)</f>
        <v/>
      </c>
      <c r="Q467" s="199">
        <f>HLOOKUP(B:B,$4:$10,6,FALSE)+((HLOOKUP(C:C,$4:$10,6,FALSE)-HLOOKUP(B:B,$4:$10,6,FALSE))*E467/F467)</f>
        <v/>
      </c>
      <c r="T467" s="198">
        <f>$G467</f>
        <v/>
      </c>
      <c r="U467" s="199">
        <f>H467/(HLOOKUP(B:B,$4:$10,3,FALSE)+((HLOOKUP(C:C,$4:$10,3,FALSE)-HLOOKUP(B:B,$4:$10,3,FALSE))*E467/F467))</f>
        <v/>
      </c>
      <c r="V467" s="969">
        <f>HLOOKUP(B:B,$4:$10,7,FALSE)+((HLOOKUP(C:C,$4:$10,7,FALSE)-HLOOKUP(B:B,$4:$10,7,FALSE))*E467/F467)</f>
        <v/>
      </c>
      <c r="AB467" s="198">
        <f>$G467</f>
        <v/>
      </c>
      <c r="AC467" s="199">
        <f>$H467</f>
        <v/>
      </c>
      <c r="AD467" s="199">
        <f>$M467*AD$34</f>
        <v/>
      </c>
      <c r="AE467" s="199">
        <f>$M467*AE$34</f>
        <v/>
      </c>
      <c r="AF467" s="199">
        <f>$M467*AF$34</f>
        <v/>
      </c>
      <c r="AG467" s="199">
        <f>$M467*AG$34</f>
        <v/>
      </c>
      <c r="AH467" s="199">
        <f>$M467*AH$34</f>
        <v/>
      </c>
      <c r="AJ467" s="198">
        <f>$G467</f>
        <v/>
      </c>
      <c r="AK467" s="199">
        <f>$H467</f>
        <v/>
      </c>
      <c r="AL467" s="199">
        <f>$N467*AL$34</f>
        <v/>
      </c>
      <c r="AM467" s="199">
        <f>$N467*AM$34</f>
        <v/>
      </c>
      <c r="AN467" s="199">
        <f>$N467*AN$34</f>
        <v/>
      </c>
      <c r="AO467" s="199">
        <f>$N467*AO$34</f>
        <v/>
      </c>
      <c r="AP467" s="199">
        <f>$N467*AP$34</f>
        <v/>
      </c>
      <c r="AR467" s="198">
        <f>$G467</f>
        <v/>
      </c>
      <c r="AS467" s="199">
        <f>$H467</f>
        <v/>
      </c>
      <c r="AT467" s="199">
        <f>$O467*AT$34-$Q467</f>
        <v/>
      </c>
      <c r="AU467" s="199">
        <f>$O467*AU$34-$Q467</f>
        <v/>
      </c>
      <c r="AV467" s="199">
        <f>$O467*AV$34-$Q467</f>
        <v/>
      </c>
      <c r="AW467" s="199">
        <f>$O467*AW$34-$Q467</f>
        <v/>
      </c>
      <c r="AX467" s="199">
        <f>$O467*AX$34-$Q467</f>
        <v/>
      </c>
      <c r="AZ467" s="198">
        <f>$G467</f>
        <v/>
      </c>
      <c r="BA467" s="199">
        <f>$H467</f>
        <v/>
      </c>
      <c r="BB467" s="199">
        <f>$P467*BB$34-$Q467</f>
        <v/>
      </c>
      <c r="BC467" s="199">
        <f>$P467*BC$34-$Q467</f>
        <v/>
      </c>
      <c r="BD467" s="199">
        <f>$P467*BD$34-$Q467</f>
        <v/>
      </c>
      <c r="BE467" s="199">
        <f>$P467*BE$34-$Q467</f>
        <v/>
      </c>
      <c r="BF467" s="199">
        <f>$P467*BF$34-$Q467</f>
        <v/>
      </c>
      <c r="BH467" s="198">
        <f>$G467</f>
        <v/>
      </c>
      <c r="BI467" s="197">
        <f>$I467</f>
        <v/>
      </c>
      <c r="BJ467" s="197">
        <f>+BJ468</f>
        <v/>
      </c>
      <c r="BK467" s="197">
        <f>+BK468</f>
        <v/>
      </c>
      <c r="BL467" s="197">
        <f>+BL468</f>
        <v/>
      </c>
      <c r="BM467" s="197">
        <f>+BM468</f>
        <v/>
      </c>
      <c r="BN467" s="197">
        <f>+BN468</f>
        <v/>
      </c>
      <c r="BP467" s="198">
        <f>$G467</f>
        <v/>
      </c>
      <c r="BQ467" s="197">
        <f>$J467</f>
        <v/>
      </c>
      <c r="BR467" s="197">
        <f>+BR468</f>
        <v/>
      </c>
      <c r="BS467" s="197">
        <f>+BS468</f>
        <v/>
      </c>
      <c r="BT467" s="197">
        <f>+BT468</f>
        <v/>
      </c>
      <c r="BU467" s="197">
        <f>+BU468</f>
        <v/>
      </c>
      <c r="BV467" s="197">
        <f>+BV468</f>
        <v/>
      </c>
      <c r="BX467" s="198">
        <f>$G467</f>
        <v/>
      </c>
      <c r="BY467" s="197">
        <f>$K467</f>
        <v/>
      </c>
      <c r="BZ467" s="197">
        <f>+BZ468</f>
        <v/>
      </c>
      <c r="CA467" s="197">
        <f>+CA468</f>
        <v/>
      </c>
      <c r="CB467" s="197">
        <f>+CB468</f>
        <v/>
      </c>
      <c r="CC467" s="197">
        <f>+CC468</f>
        <v/>
      </c>
      <c r="CD467" s="197">
        <f>+CD468</f>
        <v/>
      </c>
      <c r="CF467" s="198">
        <f>$G467</f>
        <v/>
      </c>
      <c r="CG467" s="197">
        <f>$L467</f>
        <v/>
      </c>
      <c r="CH467" s="197">
        <f>+CH468</f>
        <v/>
      </c>
      <c r="CI467" s="197">
        <f>+CI468</f>
        <v/>
      </c>
      <c r="CJ467" s="197">
        <f>+CJ468</f>
        <v/>
      </c>
      <c r="CK467" s="197">
        <f>+CK468</f>
        <v/>
      </c>
      <c r="CL467" s="197">
        <f>+CL468</f>
        <v/>
      </c>
      <c r="CO467" s="199" t="n">
        <v>4.883423906238261</v>
      </c>
      <c r="CP467" s="199" t="n">
        <v>2.76</v>
      </c>
      <c r="CR467" s="199" t="n">
        <v>3.9</v>
      </c>
      <c r="CS467" s="970" t="n">
        <v>0.79862</v>
      </c>
    </row>
    <row r="468">
      <c r="B468" s="204">
        <f>+C468-1</f>
        <v/>
      </c>
      <c r="C468" s="204">
        <f>IF('bands_A-H_Avg'!$D$9+1&gt;MONTH(G468),YEAR(G468),YEAR(G468)+1)</f>
        <v/>
      </c>
      <c r="D468" s="204">
        <f>+C468+1</f>
        <v/>
      </c>
      <c r="E468" s="203">
        <f>IF(C468&gt;C467,1,E467+1)</f>
        <v/>
      </c>
      <c r="F468" s="203">
        <f>COUNTIF(C:C,C468)</f>
        <v/>
      </c>
      <c r="G468" s="198">
        <f>+G467+7</f>
        <v/>
      </c>
      <c r="H468" s="361">
        <f>IF(ISBLANK(CO468),CP468,SUMPRODUCT(CO$32:CP$32,CO468:CP468))</f>
        <v/>
      </c>
      <c r="I468" s="968">
        <f>H468/M468</f>
        <v/>
      </c>
      <c r="J468" s="968">
        <f>H468/N468</f>
        <v/>
      </c>
      <c r="K468" s="968">
        <f>(H468+Q468)/O468</f>
        <v/>
      </c>
      <c r="L468" s="968">
        <f>(H468+Q468)/P468</f>
        <v/>
      </c>
      <c r="M468" s="199">
        <f>HLOOKUP(C:C,$4:$10,3,FALSE)+((HLOOKUP(D:D,$4:$10,3,FALSE)-HLOOKUP(C:C,$4:$10,3,FALSE))*E468/F468)</f>
        <v/>
      </c>
      <c r="N468" s="199">
        <f>HLOOKUP(C:C,$4:$10,2,FALSE)+((HLOOKUP(D:D,$4:$10,2,FALSE)-HLOOKUP(C:C,$4:$10,2,FALSE))*E468/F468)</f>
        <v/>
      </c>
      <c r="O468" s="199">
        <f>HLOOKUP(C:C,$4:$10,5,FALSE)+((HLOOKUP(D:D,$4:$10,5,FALSE)-HLOOKUP(C:C,$4:$10,5,FALSE))*E468/F468)</f>
        <v/>
      </c>
      <c r="P468" s="199">
        <f>HLOOKUP(C:C,$4:$10,4,FALSE)+((HLOOKUP(D:D,$4:$10,4,FALSE)-HLOOKUP(C:C,$4:$10,4,FALSE))*E468/F468)</f>
        <v/>
      </c>
      <c r="Q468" s="199">
        <f>HLOOKUP(B:B,$4:$10,6,FALSE)+((HLOOKUP(C:C,$4:$10,6,FALSE)-HLOOKUP(B:B,$4:$10,6,FALSE))*E468/F468)</f>
        <v/>
      </c>
      <c r="T468" s="198">
        <f>$G468</f>
        <v/>
      </c>
      <c r="U468" s="199">
        <f>H468/(HLOOKUP(B:B,$4:$10,3,FALSE)+((HLOOKUP(C:C,$4:$10,3,FALSE)-HLOOKUP(B:B,$4:$10,3,FALSE))*E468/F468))</f>
        <v/>
      </c>
      <c r="V468" s="969">
        <f>HLOOKUP(B:B,$4:$10,7,FALSE)+((HLOOKUP(C:C,$4:$10,7,FALSE)-HLOOKUP(B:B,$4:$10,7,FALSE))*E468/F468)</f>
        <v/>
      </c>
      <c r="AB468" s="198">
        <f>$G468</f>
        <v/>
      </c>
      <c r="AC468" s="199">
        <f>$H468</f>
        <v/>
      </c>
      <c r="AD468" s="199">
        <f>$M468*AD$34</f>
        <v/>
      </c>
      <c r="AE468" s="199">
        <f>$M468*AE$34</f>
        <v/>
      </c>
      <c r="AF468" s="199">
        <f>$M468*AF$34</f>
        <v/>
      </c>
      <c r="AG468" s="199">
        <f>$M468*AG$34</f>
        <v/>
      </c>
      <c r="AH468" s="199">
        <f>$M468*AH$34</f>
        <v/>
      </c>
      <c r="AJ468" s="198">
        <f>$G468</f>
        <v/>
      </c>
      <c r="AK468" s="199">
        <f>$H468</f>
        <v/>
      </c>
      <c r="AL468" s="199">
        <f>$N468*AL$34</f>
        <v/>
      </c>
      <c r="AM468" s="199">
        <f>$N468*AM$34</f>
        <v/>
      </c>
      <c r="AN468" s="199">
        <f>$N468*AN$34</f>
        <v/>
      </c>
      <c r="AO468" s="199">
        <f>$N468*AO$34</f>
        <v/>
      </c>
      <c r="AP468" s="199">
        <f>$N468*AP$34</f>
        <v/>
      </c>
      <c r="AR468" s="198">
        <f>$G468</f>
        <v/>
      </c>
      <c r="AS468" s="199">
        <f>$H468</f>
        <v/>
      </c>
      <c r="AT468" s="199">
        <f>$O468*AT$34-$Q468</f>
        <v/>
      </c>
      <c r="AU468" s="199">
        <f>$O468*AU$34-$Q468</f>
        <v/>
      </c>
      <c r="AV468" s="199">
        <f>$O468*AV$34-$Q468</f>
        <v/>
      </c>
      <c r="AW468" s="199">
        <f>$O468*AW$34-$Q468</f>
        <v/>
      </c>
      <c r="AX468" s="199">
        <f>$O468*AX$34-$Q468</f>
        <v/>
      </c>
      <c r="AZ468" s="198">
        <f>$G468</f>
        <v/>
      </c>
      <c r="BA468" s="199">
        <f>$H468</f>
        <v/>
      </c>
      <c r="BB468" s="199">
        <f>$P468*BB$34-$Q468</f>
        <v/>
      </c>
      <c r="BC468" s="199">
        <f>$P468*BC$34-$Q468</f>
        <v/>
      </c>
      <c r="BD468" s="199">
        <f>$P468*BD$34-$Q468</f>
        <v/>
      </c>
      <c r="BE468" s="199">
        <f>$P468*BE$34-$Q468</f>
        <v/>
      </c>
      <c r="BF468" s="199">
        <f>$P468*BF$34-$Q468</f>
        <v/>
      </c>
      <c r="BH468" s="198">
        <f>$G468</f>
        <v/>
      </c>
      <c r="BI468" s="197">
        <f>$I468</f>
        <v/>
      </c>
      <c r="BJ468" s="197">
        <f>+BJ469</f>
        <v/>
      </c>
      <c r="BK468" s="197">
        <f>+BK469</f>
        <v/>
      </c>
      <c r="BL468" s="197">
        <f>+BL469</f>
        <v/>
      </c>
      <c r="BM468" s="197">
        <f>+BM469</f>
        <v/>
      </c>
      <c r="BN468" s="197">
        <f>+BN469</f>
        <v/>
      </c>
      <c r="BP468" s="198">
        <f>$G468</f>
        <v/>
      </c>
      <c r="BQ468" s="197">
        <f>$J468</f>
        <v/>
      </c>
      <c r="BR468" s="197">
        <f>+BR469</f>
        <v/>
      </c>
      <c r="BS468" s="197">
        <f>+BS469</f>
        <v/>
      </c>
      <c r="BT468" s="197">
        <f>+BT469</f>
        <v/>
      </c>
      <c r="BU468" s="197">
        <f>+BU469</f>
        <v/>
      </c>
      <c r="BV468" s="197">
        <f>+BV469</f>
        <v/>
      </c>
      <c r="BX468" s="198">
        <f>$G468</f>
        <v/>
      </c>
      <c r="BY468" s="197">
        <f>$K468</f>
        <v/>
      </c>
      <c r="BZ468" s="197">
        <f>+BZ469</f>
        <v/>
      </c>
      <c r="CA468" s="197">
        <f>+CA469</f>
        <v/>
      </c>
      <c r="CB468" s="197">
        <f>+CB469</f>
        <v/>
      </c>
      <c r="CC468" s="197">
        <f>+CC469</f>
        <v/>
      </c>
      <c r="CD468" s="197">
        <f>+CD469</f>
        <v/>
      </c>
      <c r="CF468" s="198">
        <f>$G468</f>
        <v/>
      </c>
      <c r="CG468" s="197">
        <f>$L468</f>
        <v/>
      </c>
      <c r="CH468" s="197">
        <f>+CH469</f>
        <v/>
      </c>
      <c r="CI468" s="197">
        <f>+CI469</f>
        <v/>
      </c>
      <c r="CJ468" s="197">
        <f>+CJ469</f>
        <v/>
      </c>
      <c r="CK468" s="197">
        <f>+CK469</f>
        <v/>
      </c>
      <c r="CL468" s="197">
        <f>+CL469</f>
        <v/>
      </c>
      <c r="CO468" s="199" t="n">
        <v>4.860206433510371</v>
      </c>
      <c r="CP468" s="199" t="n">
        <v>2.74</v>
      </c>
      <c r="CR468" s="199" t="n">
        <v>3.88</v>
      </c>
      <c r="CS468" s="970" t="n">
        <v>0.79832</v>
      </c>
    </row>
    <row r="469">
      <c r="B469" s="204">
        <f>+C469-1</f>
        <v/>
      </c>
      <c r="C469" s="204">
        <f>IF('bands_A-H_Avg'!$D$9+1&gt;MONTH(G469),YEAR(G469),YEAR(G469)+1)</f>
        <v/>
      </c>
      <c r="D469" s="204">
        <f>+C469+1</f>
        <v/>
      </c>
      <c r="E469" s="203">
        <f>IF(C469&gt;C468,1,E468+1)</f>
        <v/>
      </c>
      <c r="F469" s="203">
        <f>COUNTIF(C:C,C469)</f>
        <v/>
      </c>
      <c r="G469" s="198">
        <f>+G468+7</f>
        <v/>
      </c>
      <c r="H469" s="361">
        <f>IF(ISBLANK(CO469),CP469,SUMPRODUCT(CO$32:CP$32,CO469:CP469))</f>
        <v/>
      </c>
      <c r="I469" s="968">
        <f>H469/M469</f>
        <v/>
      </c>
      <c r="J469" s="968">
        <f>H469/N469</f>
        <v/>
      </c>
      <c r="K469" s="968">
        <f>(H469+Q469)/O469</f>
        <v/>
      </c>
      <c r="L469" s="968">
        <f>(H469+Q469)/P469</f>
        <v/>
      </c>
      <c r="M469" s="199">
        <f>HLOOKUP(C:C,$4:$10,3,FALSE)+((HLOOKUP(D:D,$4:$10,3,FALSE)-HLOOKUP(C:C,$4:$10,3,FALSE))*E469/F469)</f>
        <v/>
      </c>
      <c r="N469" s="199">
        <f>HLOOKUP(C:C,$4:$10,2,FALSE)+((HLOOKUP(D:D,$4:$10,2,FALSE)-HLOOKUP(C:C,$4:$10,2,FALSE))*E469/F469)</f>
        <v/>
      </c>
      <c r="O469" s="199">
        <f>HLOOKUP(C:C,$4:$10,5,FALSE)+((HLOOKUP(D:D,$4:$10,5,FALSE)-HLOOKUP(C:C,$4:$10,5,FALSE))*E469/F469)</f>
        <v/>
      </c>
      <c r="P469" s="199">
        <f>HLOOKUP(C:C,$4:$10,4,FALSE)+((HLOOKUP(D:D,$4:$10,4,FALSE)-HLOOKUP(C:C,$4:$10,4,FALSE))*E469/F469)</f>
        <v/>
      </c>
      <c r="Q469" s="199">
        <f>HLOOKUP(B:B,$4:$10,6,FALSE)+((HLOOKUP(C:C,$4:$10,6,FALSE)-HLOOKUP(B:B,$4:$10,6,FALSE))*E469/F469)</f>
        <v/>
      </c>
      <c r="T469" s="198">
        <f>$G469</f>
        <v/>
      </c>
      <c r="U469" s="199">
        <f>H469/(HLOOKUP(B:B,$4:$10,3,FALSE)+((HLOOKUP(C:C,$4:$10,3,FALSE)-HLOOKUP(B:B,$4:$10,3,FALSE))*E469/F469))</f>
        <v/>
      </c>
      <c r="V469" s="969">
        <f>HLOOKUP(B:B,$4:$10,7,FALSE)+((HLOOKUP(C:C,$4:$10,7,FALSE)-HLOOKUP(B:B,$4:$10,7,FALSE))*E469/F469)</f>
        <v/>
      </c>
      <c r="AB469" s="198">
        <f>$G469</f>
        <v/>
      </c>
      <c r="AC469" s="199">
        <f>$H469</f>
        <v/>
      </c>
      <c r="AD469" s="199">
        <f>$M469*AD$34</f>
        <v/>
      </c>
      <c r="AE469" s="199">
        <f>$M469*AE$34</f>
        <v/>
      </c>
      <c r="AF469" s="199">
        <f>$M469*AF$34</f>
        <v/>
      </c>
      <c r="AG469" s="199">
        <f>$M469*AG$34</f>
        <v/>
      </c>
      <c r="AH469" s="199">
        <f>$M469*AH$34</f>
        <v/>
      </c>
      <c r="AJ469" s="198">
        <f>$G469</f>
        <v/>
      </c>
      <c r="AK469" s="199">
        <f>$H469</f>
        <v/>
      </c>
      <c r="AL469" s="199">
        <f>$N469*AL$34</f>
        <v/>
      </c>
      <c r="AM469" s="199">
        <f>$N469*AM$34</f>
        <v/>
      </c>
      <c r="AN469" s="199">
        <f>$N469*AN$34</f>
        <v/>
      </c>
      <c r="AO469" s="199">
        <f>$N469*AO$34</f>
        <v/>
      </c>
      <c r="AP469" s="199">
        <f>$N469*AP$34</f>
        <v/>
      </c>
      <c r="AR469" s="198">
        <f>$G469</f>
        <v/>
      </c>
      <c r="AS469" s="199">
        <f>$H469</f>
        <v/>
      </c>
      <c r="AT469" s="199">
        <f>$O469*AT$34-$Q469</f>
        <v/>
      </c>
      <c r="AU469" s="199">
        <f>$O469*AU$34-$Q469</f>
        <v/>
      </c>
      <c r="AV469" s="199">
        <f>$O469*AV$34-$Q469</f>
        <v/>
      </c>
      <c r="AW469" s="199">
        <f>$O469*AW$34-$Q469</f>
        <v/>
      </c>
      <c r="AX469" s="199">
        <f>$O469*AX$34-$Q469</f>
        <v/>
      </c>
      <c r="AZ469" s="198">
        <f>$G469</f>
        <v/>
      </c>
      <c r="BA469" s="199">
        <f>$H469</f>
        <v/>
      </c>
      <c r="BB469" s="199">
        <f>$P469*BB$34-$Q469</f>
        <v/>
      </c>
      <c r="BC469" s="199">
        <f>$P469*BC$34-$Q469</f>
        <v/>
      </c>
      <c r="BD469" s="199">
        <f>$P469*BD$34-$Q469</f>
        <v/>
      </c>
      <c r="BE469" s="199">
        <f>$P469*BE$34-$Q469</f>
        <v/>
      </c>
      <c r="BF469" s="199">
        <f>$P469*BF$34-$Q469</f>
        <v/>
      </c>
      <c r="BH469" s="198">
        <f>$G469</f>
        <v/>
      </c>
      <c r="BI469" s="197">
        <f>$I469</f>
        <v/>
      </c>
      <c r="BJ469" s="197">
        <f>+BJ470</f>
        <v/>
      </c>
      <c r="BK469" s="197">
        <f>+BK470</f>
        <v/>
      </c>
      <c r="BL469" s="197">
        <f>+BL470</f>
        <v/>
      </c>
      <c r="BM469" s="197">
        <f>+BM470</f>
        <v/>
      </c>
      <c r="BN469" s="197">
        <f>+BN470</f>
        <v/>
      </c>
      <c r="BP469" s="198">
        <f>$G469</f>
        <v/>
      </c>
      <c r="BQ469" s="197">
        <f>$J469</f>
        <v/>
      </c>
      <c r="BR469" s="197">
        <f>+BR470</f>
        <v/>
      </c>
      <c r="BS469" s="197">
        <f>+BS470</f>
        <v/>
      </c>
      <c r="BT469" s="197">
        <f>+BT470</f>
        <v/>
      </c>
      <c r="BU469" s="197">
        <f>+BU470</f>
        <v/>
      </c>
      <c r="BV469" s="197">
        <f>+BV470</f>
        <v/>
      </c>
      <c r="BX469" s="198">
        <f>$G469</f>
        <v/>
      </c>
      <c r="BY469" s="197">
        <f>$K469</f>
        <v/>
      </c>
      <c r="BZ469" s="197">
        <f>+BZ470</f>
        <v/>
      </c>
      <c r="CA469" s="197">
        <f>+CA470</f>
        <v/>
      </c>
      <c r="CB469" s="197">
        <f>+CB470</f>
        <v/>
      </c>
      <c r="CC469" s="197">
        <f>+CC470</f>
        <v/>
      </c>
      <c r="CD469" s="197">
        <f>+CD470</f>
        <v/>
      </c>
      <c r="CF469" s="198">
        <f>$G469</f>
        <v/>
      </c>
      <c r="CG469" s="197">
        <f>$L469</f>
        <v/>
      </c>
      <c r="CH469" s="197">
        <f>+CH470</f>
        <v/>
      </c>
      <c r="CI469" s="197">
        <f>+CI470</f>
        <v/>
      </c>
      <c r="CJ469" s="197">
        <f>+CJ470</f>
        <v/>
      </c>
      <c r="CK469" s="197">
        <f>+CK470</f>
        <v/>
      </c>
      <c r="CL469" s="197">
        <f>+CL470</f>
        <v/>
      </c>
      <c r="CO469" s="199" t="n">
        <v>4.905105082443497</v>
      </c>
      <c r="CP469" s="199" t="n">
        <v>2.67</v>
      </c>
      <c r="CR469" s="199" t="n">
        <v>3.9</v>
      </c>
      <c r="CS469" s="970" t="n">
        <v>0.79509</v>
      </c>
    </row>
    <row r="470">
      <c r="B470" s="204">
        <f>+C470-1</f>
        <v/>
      </c>
      <c r="C470" s="204">
        <f>IF('bands_A-H_Avg'!$D$9+1&gt;MONTH(G470),YEAR(G470),YEAR(G470)+1)</f>
        <v/>
      </c>
      <c r="D470" s="204">
        <f>+C470+1</f>
        <v/>
      </c>
      <c r="E470" s="203">
        <f>IF(C470&gt;C469,1,E469+1)</f>
        <v/>
      </c>
      <c r="F470" s="203">
        <f>COUNTIF(C:C,C470)</f>
        <v/>
      </c>
      <c r="G470" s="198">
        <f>+G469+7</f>
        <v/>
      </c>
      <c r="H470" s="361">
        <f>IF(ISBLANK(CO470),CP470,SUMPRODUCT(CO$32:CP$32,CO470:CP470))</f>
        <v/>
      </c>
      <c r="I470" s="968">
        <f>H470/M470</f>
        <v/>
      </c>
      <c r="J470" s="968">
        <f>H470/N470</f>
        <v/>
      </c>
      <c r="K470" s="968">
        <f>(H470+Q470)/O470</f>
        <v/>
      </c>
      <c r="L470" s="968">
        <f>(H470+Q470)/P470</f>
        <v/>
      </c>
      <c r="M470" s="199">
        <f>HLOOKUP(C:C,$4:$10,3,FALSE)+((HLOOKUP(D:D,$4:$10,3,FALSE)-HLOOKUP(C:C,$4:$10,3,FALSE))*E470/F470)</f>
        <v/>
      </c>
      <c r="N470" s="199">
        <f>HLOOKUP(C:C,$4:$10,2,FALSE)+((HLOOKUP(D:D,$4:$10,2,FALSE)-HLOOKUP(C:C,$4:$10,2,FALSE))*E470/F470)</f>
        <v/>
      </c>
      <c r="O470" s="199">
        <f>HLOOKUP(C:C,$4:$10,5,FALSE)+((HLOOKUP(D:D,$4:$10,5,FALSE)-HLOOKUP(C:C,$4:$10,5,FALSE))*E470/F470)</f>
        <v/>
      </c>
      <c r="P470" s="199">
        <f>HLOOKUP(C:C,$4:$10,4,FALSE)+((HLOOKUP(D:D,$4:$10,4,FALSE)-HLOOKUP(C:C,$4:$10,4,FALSE))*E470/F470)</f>
        <v/>
      </c>
      <c r="Q470" s="199">
        <f>HLOOKUP(B:B,$4:$10,6,FALSE)+((HLOOKUP(C:C,$4:$10,6,FALSE)-HLOOKUP(B:B,$4:$10,6,FALSE))*E470/F470)</f>
        <v/>
      </c>
      <c r="T470" s="198">
        <f>$G470</f>
        <v/>
      </c>
      <c r="U470" s="199">
        <f>H470/(HLOOKUP(B:B,$4:$10,3,FALSE)+((HLOOKUP(C:C,$4:$10,3,FALSE)-HLOOKUP(B:B,$4:$10,3,FALSE))*E470/F470))</f>
        <v/>
      </c>
      <c r="V470" s="969">
        <f>HLOOKUP(B:B,$4:$10,7,FALSE)+((HLOOKUP(C:C,$4:$10,7,FALSE)-HLOOKUP(B:B,$4:$10,7,FALSE))*E470/F470)</f>
        <v/>
      </c>
      <c r="AB470" s="198">
        <f>$G470</f>
        <v/>
      </c>
      <c r="AC470" s="199">
        <f>$H470</f>
        <v/>
      </c>
      <c r="AD470" s="199">
        <f>$M470*AD$34</f>
        <v/>
      </c>
      <c r="AE470" s="199">
        <f>$M470*AE$34</f>
        <v/>
      </c>
      <c r="AF470" s="199">
        <f>$M470*AF$34</f>
        <v/>
      </c>
      <c r="AG470" s="199">
        <f>$M470*AG$34</f>
        <v/>
      </c>
      <c r="AH470" s="199">
        <f>$M470*AH$34</f>
        <v/>
      </c>
      <c r="AJ470" s="198">
        <f>$G470</f>
        <v/>
      </c>
      <c r="AK470" s="199">
        <f>$H470</f>
        <v/>
      </c>
      <c r="AL470" s="199">
        <f>$N470*AL$34</f>
        <v/>
      </c>
      <c r="AM470" s="199">
        <f>$N470*AM$34</f>
        <v/>
      </c>
      <c r="AN470" s="199">
        <f>$N470*AN$34</f>
        <v/>
      </c>
      <c r="AO470" s="199">
        <f>$N470*AO$34</f>
        <v/>
      </c>
      <c r="AP470" s="199">
        <f>$N470*AP$34</f>
        <v/>
      </c>
      <c r="AR470" s="198">
        <f>$G470</f>
        <v/>
      </c>
      <c r="AS470" s="199">
        <f>$H470</f>
        <v/>
      </c>
      <c r="AT470" s="199">
        <f>$O470*AT$34-$Q470</f>
        <v/>
      </c>
      <c r="AU470" s="199">
        <f>$O470*AU$34-$Q470</f>
        <v/>
      </c>
      <c r="AV470" s="199">
        <f>$O470*AV$34-$Q470</f>
        <v/>
      </c>
      <c r="AW470" s="199">
        <f>$O470*AW$34-$Q470</f>
        <v/>
      </c>
      <c r="AX470" s="199">
        <f>$O470*AX$34-$Q470</f>
        <v/>
      </c>
      <c r="AZ470" s="198">
        <f>$G470</f>
        <v/>
      </c>
      <c r="BA470" s="199">
        <f>$H470</f>
        <v/>
      </c>
      <c r="BB470" s="199">
        <f>$P470*BB$34-$Q470</f>
        <v/>
      </c>
      <c r="BC470" s="199">
        <f>$P470*BC$34-$Q470</f>
        <v/>
      </c>
      <c r="BD470" s="199">
        <f>$P470*BD$34-$Q470</f>
        <v/>
      </c>
      <c r="BE470" s="199">
        <f>$P470*BE$34-$Q470</f>
        <v/>
      </c>
      <c r="BF470" s="199">
        <f>$P470*BF$34-$Q470</f>
        <v/>
      </c>
      <c r="BH470" s="198">
        <f>$G470</f>
        <v/>
      </c>
      <c r="BI470" s="197">
        <f>$I470</f>
        <v/>
      </c>
      <c r="BJ470" s="197">
        <f>+BJ471</f>
        <v/>
      </c>
      <c r="BK470" s="197">
        <f>+BK471</f>
        <v/>
      </c>
      <c r="BL470" s="197">
        <f>+BL471</f>
        <v/>
      </c>
      <c r="BM470" s="197">
        <f>+BM471</f>
        <v/>
      </c>
      <c r="BN470" s="197">
        <f>+BN471</f>
        <v/>
      </c>
      <c r="BP470" s="198">
        <f>$G470</f>
        <v/>
      </c>
      <c r="BQ470" s="197">
        <f>$J470</f>
        <v/>
      </c>
      <c r="BR470" s="197">
        <f>+BR471</f>
        <v/>
      </c>
      <c r="BS470" s="197">
        <f>+BS471</f>
        <v/>
      </c>
      <c r="BT470" s="197">
        <f>+BT471</f>
        <v/>
      </c>
      <c r="BU470" s="197">
        <f>+BU471</f>
        <v/>
      </c>
      <c r="BV470" s="197">
        <f>+BV471</f>
        <v/>
      </c>
      <c r="BX470" s="198">
        <f>$G470</f>
        <v/>
      </c>
      <c r="BY470" s="197">
        <f>$K470</f>
        <v/>
      </c>
      <c r="BZ470" s="197">
        <f>+BZ471</f>
        <v/>
      </c>
      <c r="CA470" s="197">
        <f>+CA471</f>
        <v/>
      </c>
      <c r="CB470" s="197">
        <f>+CB471</f>
        <v/>
      </c>
      <c r="CC470" s="197">
        <f>+CC471</f>
        <v/>
      </c>
      <c r="CD470" s="197">
        <f>+CD471</f>
        <v/>
      </c>
      <c r="CF470" s="198">
        <f>$G470</f>
        <v/>
      </c>
      <c r="CG470" s="197">
        <f>$L470</f>
        <v/>
      </c>
      <c r="CH470" s="197">
        <f>+CH471</f>
        <v/>
      </c>
      <c r="CI470" s="197">
        <f>+CI471</f>
        <v/>
      </c>
      <c r="CJ470" s="197">
        <f>+CJ471</f>
        <v/>
      </c>
      <c r="CK470" s="197">
        <f>+CK471</f>
        <v/>
      </c>
      <c r="CL470" s="197">
        <f>+CL471</f>
        <v/>
      </c>
      <c r="CO470" s="199" t="n">
        <v>4.700456183683242</v>
      </c>
      <c r="CP470" s="199" t="n">
        <v>2.82</v>
      </c>
      <c r="CR470" s="199" t="n">
        <v>3.73</v>
      </c>
      <c r="CS470" s="970" t="n">
        <v>0.79354</v>
      </c>
    </row>
    <row r="471">
      <c r="B471" s="204">
        <f>+C471-1</f>
        <v/>
      </c>
      <c r="C471" s="204">
        <f>IF('bands_A-H_Avg'!$D$9+1&gt;MONTH(G471),YEAR(G471),YEAR(G471)+1)</f>
        <v/>
      </c>
      <c r="D471" s="204">
        <f>+C471+1</f>
        <v/>
      </c>
      <c r="E471" s="203">
        <f>IF(C471&gt;C470,1,E470+1)</f>
        <v/>
      </c>
      <c r="F471" s="203">
        <f>COUNTIF(C:C,C471)</f>
        <v/>
      </c>
      <c r="G471" s="198">
        <f>+G470+7</f>
        <v/>
      </c>
      <c r="H471" s="361">
        <f>IF(ISBLANK(CO471),CP471,SUMPRODUCT(CO$32:CP$32,CO471:CP471))</f>
        <v/>
      </c>
      <c r="I471" s="968">
        <f>H471/M471</f>
        <v/>
      </c>
      <c r="J471" s="968">
        <f>H471/N471</f>
        <v/>
      </c>
      <c r="K471" s="968">
        <f>(H471+Q471)/O471</f>
        <v/>
      </c>
      <c r="L471" s="968">
        <f>(H471+Q471)/P471</f>
        <v/>
      </c>
      <c r="M471" s="199">
        <f>HLOOKUP(C:C,$4:$10,3,FALSE)+((HLOOKUP(D:D,$4:$10,3,FALSE)-HLOOKUP(C:C,$4:$10,3,FALSE))*E471/F471)</f>
        <v/>
      </c>
      <c r="N471" s="199">
        <f>HLOOKUP(C:C,$4:$10,2,FALSE)+((HLOOKUP(D:D,$4:$10,2,FALSE)-HLOOKUP(C:C,$4:$10,2,FALSE))*E471/F471)</f>
        <v/>
      </c>
      <c r="O471" s="199">
        <f>HLOOKUP(C:C,$4:$10,5,FALSE)+((HLOOKUP(D:D,$4:$10,5,FALSE)-HLOOKUP(C:C,$4:$10,5,FALSE))*E471/F471)</f>
        <v/>
      </c>
      <c r="P471" s="199">
        <f>HLOOKUP(C:C,$4:$10,4,FALSE)+((HLOOKUP(D:D,$4:$10,4,FALSE)-HLOOKUP(C:C,$4:$10,4,FALSE))*E471/F471)</f>
        <v/>
      </c>
      <c r="Q471" s="199">
        <f>HLOOKUP(B:B,$4:$10,6,FALSE)+((HLOOKUP(C:C,$4:$10,6,FALSE)-HLOOKUP(B:B,$4:$10,6,FALSE))*E471/F471)</f>
        <v/>
      </c>
      <c r="T471" s="198">
        <f>$G471</f>
        <v/>
      </c>
      <c r="U471" s="199">
        <f>H471/(HLOOKUP(B:B,$4:$10,3,FALSE)+((HLOOKUP(C:C,$4:$10,3,FALSE)-HLOOKUP(B:B,$4:$10,3,FALSE))*E471/F471))</f>
        <v/>
      </c>
      <c r="V471" s="969">
        <f>HLOOKUP(B:B,$4:$10,7,FALSE)+((HLOOKUP(C:C,$4:$10,7,FALSE)-HLOOKUP(B:B,$4:$10,7,FALSE))*E471/F471)</f>
        <v/>
      </c>
      <c r="AB471" s="198">
        <f>$G471</f>
        <v/>
      </c>
      <c r="AC471" s="199">
        <f>$H471</f>
        <v/>
      </c>
      <c r="AD471" s="199">
        <f>$M471*AD$34</f>
        <v/>
      </c>
      <c r="AE471" s="199">
        <f>$M471*AE$34</f>
        <v/>
      </c>
      <c r="AF471" s="199">
        <f>$M471*AF$34</f>
        <v/>
      </c>
      <c r="AG471" s="199">
        <f>$M471*AG$34</f>
        <v/>
      </c>
      <c r="AH471" s="199">
        <f>$M471*AH$34</f>
        <v/>
      </c>
      <c r="AJ471" s="198">
        <f>$G471</f>
        <v/>
      </c>
      <c r="AK471" s="199">
        <f>$H471</f>
        <v/>
      </c>
      <c r="AL471" s="199">
        <f>$N471*AL$34</f>
        <v/>
      </c>
      <c r="AM471" s="199">
        <f>$N471*AM$34</f>
        <v/>
      </c>
      <c r="AN471" s="199">
        <f>$N471*AN$34</f>
        <v/>
      </c>
      <c r="AO471" s="199">
        <f>$N471*AO$34</f>
        <v/>
      </c>
      <c r="AP471" s="199">
        <f>$N471*AP$34</f>
        <v/>
      </c>
      <c r="AR471" s="198">
        <f>$G471</f>
        <v/>
      </c>
      <c r="AS471" s="199">
        <f>$H471</f>
        <v/>
      </c>
      <c r="AT471" s="199">
        <f>$O471*AT$34-$Q471</f>
        <v/>
      </c>
      <c r="AU471" s="199">
        <f>$O471*AU$34-$Q471</f>
        <v/>
      </c>
      <c r="AV471" s="199">
        <f>$O471*AV$34-$Q471</f>
        <v/>
      </c>
      <c r="AW471" s="199">
        <f>$O471*AW$34-$Q471</f>
        <v/>
      </c>
      <c r="AX471" s="199">
        <f>$O471*AX$34-$Q471</f>
        <v/>
      </c>
      <c r="AZ471" s="198">
        <f>$G471</f>
        <v/>
      </c>
      <c r="BA471" s="199">
        <f>$H471</f>
        <v/>
      </c>
      <c r="BB471" s="199">
        <f>$P471*BB$34-$Q471</f>
        <v/>
      </c>
      <c r="BC471" s="199">
        <f>$P471*BC$34-$Q471</f>
        <v/>
      </c>
      <c r="BD471" s="199">
        <f>$P471*BD$34-$Q471</f>
        <v/>
      </c>
      <c r="BE471" s="199">
        <f>$P471*BE$34-$Q471</f>
        <v/>
      </c>
      <c r="BF471" s="199">
        <f>$P471*BF$34-$Q471</f>
        <v/>
      </c>
      <c r="BH471" s="198">
        <f>$G471</f>
        <v/>
      </c>
      <c r="BI471" s="197">
        <f>$I471</f>
        <v/>
      </c>
      <c r="BJ471" s="197">
        <f>+BJ472</f>
        <v/>
      </c>
      <c r="BK471" s="197">
        <f>+BK472</f>
        <v/>
      </c>
      <c r="BL471" s="197">
        <f>+BL472</f>
        <v/>
      </c>
      <c r="BM471" s="197">
        <f>+BM472</f>
        <v/>
      </c>
      <c r="BN471" s="197">
        <f>+BN472</f>
        <v/>
      </c>
      <c r="BP471" s="198">
        <f>$G471</f>
        <v/>
      </c>
      <c r="BQ471" s="197">
        <f>$J471</f>
        <v/>
      </c>
      <c r="BR471" s="197">
        <f>+BR472</f>
        <v/>
      </c>
      <c r="BS471" s="197">
        <f>+BS472</f>
        <v/>
      </c>
      <c r="BT471" s="197">
        <f>+BT472</f>
        <v/>
      </c>
      <c r="BU471" s="197">
        <f>+BU472</f>
        <v/>
      </c>
      <c r="BV471" s="197">
        <f>+BV472</f>
        <v/>
      </c>
      <c r="BX471" s="198">
        <f>$G471</f>
        <v/>
      </c>
      <c r="BY471" s="197">
        <f>$K471</f>
        <v/>
      </c>
      <c r="BZ471" s="197">
        <f>+BZ472</f>
        <v/>
      </c>
      <c r="CA471" s="197">
        <f>+CA472</f>
        <v/>
      </c>
      <c r="CB471" s="197">
        <f>+CB472</f>
        <v/>
      </c>
      <c r="CC471" s="197">
        <f>+CC472</f>
        <v/>
      </c>
      <c r="CD471" s="197">
        <f>+CD472</f>
        <v/>
      </c>
      <c r="CF471" s="198">
        <f>$G471</f>
        <v/>
      </c>
      <c r="CG471" s="197">
        <f>$L471</f>
        <v/>
      </c>
      <c r="CH471" s="197">
        <f>+CH472</f>
        <v/>
      </c>
      <c r="CI471" s="197">
        <f>+CI472</f>
        <v/>
      </c>
      <c r="CJ471" s="197">
        <f>+CJ472</f>
        <v/>
      </c>
      <c r="CK471" s="197">
        <f>+CK472</f>
        <v/>
      </c>
      <c r="CL471" s="197">
        <f>+CL472</f>
        <v/>
      </c>
      <c r="CO471" s="199" t="n">
        <v>4.726731874558839</v>
      </c>
      <c r="CP471" s="199" t="n">
        <v>2.83</v>
      </c>
      <c r="CR471" s="199" t="n">
        <v>3.75</v>
      </c>
      <c r="CS471" s="970" t="n">
        <v>0.79336</v>
      </c>
    </row>
    <row r="472">
      <c r="B472" s="204">
        <f>+C472-1</f>
        <v/>
      </c>
      <c r="C472" s="204">
        <f>IF('bands_A-H_Avg'!$D$9+1&gt;MONTH(G472),YEAR(G472),YEAR(G472)+1)</f>
        <v/>
      </c>
      <c r="D472" s="204">
        <f>+C472+1</f>
        <v/>
      </c>
      <c r="E472" s="203">
        <f>IF(C472&gt;C471,1,E471+1)</f>
        <v/>
      </c>
      <c r="F472" s="203">
        <f>COUNTIF(C:C,C472)</f>
        <v/>
      </c>
      <c r="G472" s="198">
        <f>+G471+7</f>
        <v/>
      </c>
      <c r="H472" s="361">
        <f>IF(ISBLANK(CO472),CP472,SUMPRODUCT(CO$32:CP$32,CO472:CP472))</f>
        <v/>
      </c>
      <c r="I472" s="968">
        <f>H472/M472</f>
        <v/>
      </c>
      <c r="J472" s="968">
        <f>H472/N472</f>
        <v/>
      </c>
      <c r="K472" s="968">
        <f>(H472+Q472)/O472</f>
        <v/>
      </c>
      <c r="L472" s="968">
        <f>(H472+Q472)/P472</f>
        <v/>
      </c>
      <c r="M472" s="199">
        <f>HLOOKUP(C:C,$4:$10,3,FALSE)+((HLOOKUP(D:D,$4:$10,3,FALSE)-HLOOKUP(C:C,$4:$10,3,FALSE))*E472/F472)</f>
        <v/>
      </c>
      <c r="N472" s="199">
        <f>HLOOKUP(C:C,$4:$10,2,FALSE)+((HLOOKUP(D:D,$4:$10,2,FALSE)-HLOOKUP(C:C,$4:$10,2,FALSE))*E472/F472)</f>
        <v/>
      </c>
      <c r="O472" s="199">
        <f>HLOOKUP(C:C,$4:$10,5,FALSE)+((HLOOKUP(D:D,$4:$10,5,FALSE)-HLOOKUP(C:C,$4:$10,5,FALSE))*E472/F472)</f>
        <v/>
      </c>
      <c r="P472" s="199">
        <f>HLOOKUP(C:C,$4:$10,4,FALSE)+((HLOOKUP(D:D,$4:$10,4,FALSE)-HLOOKUP(C:C,$4:$10,4,FALSE))*E472/F472)</f>
        <v/>
      </c>
      <c r="Q472" s="199">
        <f>HLOOKUP(B:B,$4:$10,6,FALSE)+((HLOOKUP(C:C,$4:$10,6,FALSE)-HLOOKUP(B:B,$4:$10,6,FALSE))*E472/F472)</f>
        <v/>
      </c>
      <c r="T472" s="198">
        <f>$G472</f>
        <v/>
      </c>
      <c r="U472" s="199">
        <f>H472/(HLOOKUP(B:B,$4:$10,3,FALSE)+((HLOOKUP(C:C,$4:$10,3,FALSE)-HLOOKUP(B:B,$4:$10,3,FALSE))*E472/F472))</f>
        <v/>
      </c>
      <c r="V472" s="969">
        <f>HLOOKUP(B:B,$4:$10,7,FALSE)+((HLOOKUP(C:C,$4:$10,7,FALSE)-HLOOKUP(B:B,$4:$10,7,FALSE))*E472/F472)</f>
        <v/>
      </c>
      <c r="AB472" s="198">
        <f>$G472</f>
        <v/>
      </c>
      <c r="AC472" s="199">
        <f>$H472</f>
        <v/>
      </c>
      <c r="AD472" s="199">
        <f>$M472*AD$34</f>
        <v/>
      </c>
      <c r="AE472" s="199">
        <f>$M472*AE$34</f>
        <v/>
      </c>
      <c r="AF472" s="199">
        <f>$M472*AF$34</f>
        <v/>
      </c>
      <c r="AG472" s="199">
        <f>$M472*AG$34</f>
        <v/>
      </c>
      <c r="AH472" s="199">
        <f>$M472*AH$34</f>
        <v/>
      </c>
      <c r="AJ472" s="198">
        <f>$G472</f>
        <v/>
      </c>
      <c r="AK472" s="199">
        <f>$H472</f>
        <v/>
      </c>
      <c r="AL472" s="199">
        <f>$N472*AL$34</f>
        <v/>
      </c>
      <c r="AM472" s="199">
        <f>$N472*AM$34</f>
        <v/>
      </c>
      <c r="AN472" s="199">
        <f>$N472*AN$34</f>
        <v/>
      </c>
      <c r="AO472" s="199">
        <f>$N472*AO$34</f>
        <v/>
      </c>
      <c r="AP472" s="199">
        <f>$N472*AP$34</f>
        <v/>
      </c>
      <c r="AR472" s="198">
        <f>$G472</f>
        <v/>
      </c>
      <c r="AS472" s="199">
        <f>$H472</f>
        <v/>
      </c>
      <c r="AT472" s="199">
        <f>$O472*AT$34-$Q472</f>
        <v/>
      </c>
      <c r="AU472" s="199">
        <f>$O472*AU$34-$Q472</f>
        <v/>
      </c>
      <c r="AV472" s="199">
        <f>$O472*AV$34-$Q472</f>
        <v/>
      </c>
      <c r="AW472" s="199">
        <f>$O472*AW$34-$Q472</f>
        <v/>
      </c>
      <c r="AX472" s="199">
        <f>$O472*AX$34-$Q472</f>
        <v/>
      </c>
      <c r="AZ472" s="198">
        <f>$G472</f>
        <v/>
      </c>
      <c r="BA472" s="199">
        <f>$H472</f>
        <v/>
      </c>
      <c r="BB472" s="199">
        <f>$P472*BB$34-$Q472</f>
        <v/>
      </c>
      <c r="BC472" s="199">
        <f>$P472*BC$34-$Q472</f>
        <v/>
      </c>
      <c r="BD472" s="199">
        <f>$P472*BD$34-$Q472</f>
        <v/>
      </c>
      <c r="BE472" s="199">
        <f>$P472*BE$34-$Q472</f>
        <v/>
      </c>
      <c r="BF472" s="199">
        <f>$P472*BF$34-$Q472</f>
        <v/>
      </c>
      <c r="BH472" s="198">
        <f>$G472</f>
        <v/>
      </c>
      <c r="BI472" s="197">
        <f>$I472</f>
        <v/>
      </c>
      <c r="BJ472" s="197">
        <f>+BJ473</f>
        <v/>
      </c>
      <c r="BK472" s="197">
        <f>+BK473</f>
        <v/>
      </c>
      <c r="BL472" s="197">
        <f>+BL473</f>
        <v/>
      </c>
      <c r="BM472" s="197">
        <f>+BM473</f>
        <v/>
      </c>
      <c r="BN472" s="197">
        <f>+BN473</f>
        <v/>
      </c>
      <c r="BP472" s="198">
        <f>$G472</f>
        <v/>
      </c>
      <c r="BQ472" s="197">
        <f>$J472</f>
        <v/>
      </c>
      <c r="BR472" s="197">
        <f>+BR473</f>
        <v/>
      </c>
      <c r="BS472" s="197">
        <f>+BS473</f>
        <v/>
      </c>
      <c r="BT472" s="197">
        <f>+BT473</f>
        <v/>
      </c>
      <c r="BU472" s="197">
        <f>+BU473</f>
        <v/>
      </c>
      <c r="BV472" s="197">
        <f>+BV473</f>
        <v/>
      </c>
      <c r="BX472" s="198">
        <f>$G472</f>
        <v/>
      </c>
      <c r="BY472" s="197">
        <f>$K472</f>
        <v/>
      </c>
      <c r="BZ472" s="197">
        <f>+BZ473</f>
        <v/>
      </c>
      <c r="CA472" s="197">
        <f>+CA473</f>
        <v/>
      </c>
      <c r="CB472" s="197">
        <f>+CB473</f>
        <v/>
      </c>
      <c r="CC472" s="197">
        <f>+CC473</f>
        <v/>
      </c>
      <c r="CD472" s="197">
        <f>+CD473</f>
        <v/>
      </c>
      <c r="CF472" s="198">
        <f>$G472</f>
        <v/>
      </c>
      <c r="CG472" s="197">
        <f>$L472</f>
        <v/>
      </c>
      <c r="CH472" s="197">
        <f>+CH473</f>
        <v/>
      </c>
      <c r="CI472" s="197">
        <f>+CI473</f>
        <v/>
      </c>
      <c r="CJ472" s="197">
        <f>+CJ473</f>
        <v/>
      </c>
      <c r="CK472" s="197">
        <f>+CK473</f>
        <v/>
      </c>
      <c r="CL472" s="197">
        <f>+CL473</f>
        <v/>
      </c>
      <c r="CO472" s="199" t="n">
        <v>4.903075795486137</v>
      </c>
      <c r="CP472" s="199" t="n">
        <v>3.05</v>
      </c>
      <c r="CR472" s="199" t="n">
        <v>3.88</v>
      </c>
      <c r="CS472" s="970" t="n">
        <v>0.79134</v>
      </c>
    </row>
    <row r="473">
      <c r="B473" s="204">
        <f>+C473-1</f>
        <v/>
      </c>
      <c r="C473" s="204">
        <f>IF('bands_A-H_Avg'!$D$9+1&gt;MONTH(G473),YEAR(G473),YEAR(G473)+1)</f>
        <v/>
      </c>
      <c r="D473" s="204">
        <f>+C473+1</f>
        <v/>
      </c>
      <c r="E473" s="203">
        <f>IF(C473&gt;C472,1,E472+1)</f>
        <v/>
      </c>
      <c r="F473" s="203">
        <f>COUNTIF(C:C,C473)</f>
        <v/>
      </c>
      <c r="G473" s="198">
        <f>+G472+7</f>
        <v/>
      </c>
      <c r="H473" s="361">
        <f>IF(ISBLANK(CO473),CP473,SUMPRODUCT(CO$32:CP$32,CO473:CP473))</f>
        <v/>
      </c>
      <c r="I473" s="968">
        <f>H473/M473</f>
        <v/>
      </c>
      <c r="J473" s="968">
        <f>H473/N473</f>
        <v/>
      </c>
      <c r="K473" s="968">
        <f>(H473+Q473)/O473</f>
        <v/>
      </c>
      <c r="L473" s="968">
        <f>(H473+Q473)/P473</f>
        <v/>
      </c>
      <c r="M473" s="199">
        <f>HLOOKUP(C:C,$4:$10,3,FALSE)+((HLOOKUP(D:D,$4:$10,3,FALSE)-HLOOKUP(C:C,$4:$10,3,FALSE))*E473/F473)</f>
        <v/>
      </c>
      <c r="N473" s="199">
        <f>HLOOKUP(C:C,$4:$10,2,FALSE)+((HLOOKUP(D:D,$4:$10,2,FALSE)-HLOOKUP(C:C,$4:$10,2,FALSE))*E473/F473)</f>
        <v/>
      </c>
      <c r="O473" s="199">
        <f>HLOOKUP(C:C,$4:$10,5,FALSE)+((HLOOKUP(D:D,$4:$10,5,FALSE)-HLOOKUP(C:C,$4:$10,5,FALSE))*E473/F473)</f>
        <v/>
      </c>
      <c r="P473" s="199">
        <f>HLOOKUP(C:C,$4:$10,4,FALSE)+((HLOOKUP(D:D,$4:$10,4,FALSE)-HLOOKUP(C:C,$4:$10,4,FALSE))*E473/F473)</f>
        <v/>
      </c>
      <c r="Q473" s="199">
        <f>HLOOKUP(B:B,$4:$10,6,FALSE)+((HLOOKUP(C:C,$4:$10,6,FALSE)-HLOOKUP(B:B,$4:$10,6,FALSE))*E473/F473)</f>
        <v/>
      </c>
      <c r="T473" s="198">
        <f>$G473</f>
        <v/>
      </c>
      <c r="U473" s="199">
        <f>H473/(HLOOKUP(B:B,$4:$10,3,FALSE)+((HLOOKUP(C:C,$4:$10,3,FALSE)-HLOOKUP(B:B,$4:$10,3,FALSE))*E473/F473))</f>
        <v/>
      </c>
      <c r="V473" s="969">
        <f>HLOOKUP(B:B,$4:$10,7,FALSE)+((HLOOKUP(C:C,$4:$10,7,FALSE)-HLOOKUP(B:B,$4:$10,7,FALSE))*E473/F473)</f>
        <v/>
      </c>
      <c r="AB473" s="198">
        <f>$G473</f>
        <v/>
      </c>
      <c r="AC473" s="199">
        <f>$H473</f>
        <v/>
      </c>
      <c r="AD473" s="199">
        <f>$M473*AD$34</f>
        <v/>
      </c>
      <c r="AE473" s="199">
        <f>$M473*AE$34</f>
        <v/>
      </c>
      <c r="AF473" s="199">
        <f>$M473*AF$34</f>
        <v/>
      </c>
      <c r="AG473" s="199">
        <f>$M473*AG$34</f>
        <v/>
      </c>
      <c r="AH473" s="199">
        <f>$M473*AH$34</f>
        <v/>
      </c>
      <c r="AJ473" s="198">
        <f>$G473</f>
        <v/>
      </c>
      <c r="AK473" s="199">
        <f>$H473</f>
        <v/>
      </c>
      <c r="AL473" s="199">
        <f>$N473*AL$34</f>
        <v/>
      </c>
      <c r="AM473" s="199">
        <f>$N473*AM$34</f>
        <v/>
      </c>
      <c r="AN473" s="199">
        <f>$N473*AN$34</f>
        <v/>
      </c>
      <c r="AO473" s="199">
        <f>$N473*AO$34</f>
        <v/>
      </c>
      <c r="AP473" s="199">
        <f>$N473*AP$34</f>
        <v/>
      </c>
      <c r="AR473" s="198">
        <f>$G473</f>
        <v/>
      </c>
      <c r="AS473" s="199">
        <f>$H473</f>
        <v/>
      </c>
      <c r="AT473" s="199">
        <f>$O473*AT$34-$Q473</f>
        <v/>
      </c>
      <c r="AU473" s="199">
        <f>$O473*AU$34-$Q473</f>
        <v/>
      </c>
      <c r="AV473" s="199">
        <f>$O473*AV$34-$Q473</f>
        <v/>
      </c>
      <c r="AW473" s="199">
        <f>$O473*AW$34-$Q473</f>
        <v/>
      </c>
      <c r="AX473" s="199">
        <f>$O473*AX$34-$Q473</f>
        <v/>
      </c>
      <c r="AZ473" s="198">
        <f>$G473</f>
        <v/>
      </c>
      <c r="BA473" s="199">
        <f>$H473</f>
        <v/>
      </c>
      <c r="BB473" s="199">
        <f>$P473*BB$34-$Q473</f>
        <v/>
      </c>
      <c r="BC473" s="199">
        <f>$P473*BC$34-$Q473</f>
        <v/>
      </c>
      <c r="BD473" s="199">
        <f>$P473*BD$34-$Q473</f>
        <v/>
      </c>
      <c r="BE473" s="199">
        <f>$P473*BE$34-$Q473</f>
        <v/>
      </c>
      <c r="BF473" s="199">
        <f>$P473*BF$34-$Q473</f>
        <v/>
      </c>
      <c r="BH473" s="198">
        <f>$G473</f>
        <v/>
      </c>
      <c r="BI473" s="197">
        <f>$I473</f>
        <v/>
      </c>
      <c r="BJ473" s="197">
        <f>+BJ474</f>
        <v/>
      </c>
      <c r="BK473" s="197">
        <f>+BK474</f>
        <v/>
      </c>
      <c r="BL473" s="197">
        <f>+BL474</f>
        <v/>
      </c>
      <c r="BM473" s="197">
        <f>+BM474</f>
        <v/>
      </c>
      <c r="BN473" s="197">
        <f>+BN474</f>
        <v/>
      </c>
      <c r="BP473" s="198">
        <f>$G473</f>
        <v/>
      </c>
      <c r="BQ473" s="197">
        <f>$J473</f>
        <v/>
      </c>
      <c r="BR473" s="197">
        <f>+BR474</f>
        <v/>
      </c>
      <c r="BS473" s="197">
        <f>+BS474</f>
        <v/>
      </c>
      <c r="BT473" s="197">
        <f>+BT474</f>
        <v/>
      </c>
      <c r="BU473" s="197">
        <f>+BU474</f>
        <v/>
      </c>
      <c r="BV473" s="197">
        <f>+BV474</f>
        <v/>
      </c>
      <c r="BX473" s="198">
        <f>$G473</f>
        <v/>
      </c>
      <c r="BY473" s="197">
        <f>$K473</f>
        <v/>
      </c>
      <c r="BZ473" s="197">
        <f>+BZ474</f>
        <v/>
      </c>
      <c r="CA473" s="197">
        <f>+CA474</f>
        <v/>
      </c>
      <c r="CB473" s="197">
        <f>+CB474</f>
        <v/>
      </c>
      <c r="CC473" s="197">
        <f>+CC474</f>
        <v/>
      </c>
      <c r="CD473" s="197">
        <f>+CD474</f>
        <v/>
      </c>
      <c r="CF473" s="198">
        <f>$G473</f>
        <v/>
      </c>
      <c r="CG473" s="197">
        <f>$L473</f>
        <v/>
      </c>
      <c r="CH473" s="197">
        <f>+CH474</f>
        <v/>
      </c>
      <c r="CI473" s="197">
        <f>+CI474</f>
        <v/>
      </c>
      <c r="CJ473" s="197">
        <f>+CJ474</f>
        <v/>
      </c>
      <c r="CK473" s="197">
        <f>+CK474</f>
        <v/>
      </c>
      <c r="CL473" s="197">
        <f>+CL474</f>
        <v/>
      </c>
      <c r="CO473" s="199" t="n">
        <v>4.954875243319766</v>
      </c>
      <c r="CP473" s="199" t="n">
        <v>2.98</v>
      </c>
      <c r="CR473" s="199" t="n">
        <v>3.92</v>
      </c>
      <c r="CS473" s="970" t="n">
        <v>0.79114</v>
      </c>
    </row>
    <row r="474">
      <c r="B474" s="204">
        <f>+C474-1</f>
        <v/>
      </c>
      <c r="C474" s="204">
        <f>IF('bands_A-H_Avg'!$D$9+1&gt;MONTH(G474),YEAR(G474),YEAR(G474)+1)</f>
        <v/>
      </c>
      <c r="D474" s="204">
        <f>+C474+1</f>
        <v/>
      </c>
      <c r="E474" s="203">
        <f>IF(C474&gt;C473,1,E473+1)</f>
        <v/>
      </c>
      <c r="F474" s="203">
        <f>COUNTIF(C:C,C474)</f>
        <v/>
      </c>
      <c r="G474" s="198">
        <f>+G473+7</f>
        <v/>
      </c>
      <c r="H474" s="361">
        <f>IF(ISBLANK(CO474),CP474,SUMPRODUCT(CO$32:CP$32,CO474:CP474))</f>
        <v/>
      </c>
      <c r="I474" s="968">
        <f>H474/M474</f>
        <v/>
      </c>
      <c r="J474" s="968">
        <f>H474/N474</f>
        <v/>
      </c>
      <c r="K474" s="968">
        <f>(H474+Q474)/O474</f>
        <v/>
      </c>
      <c r="L474" s="968">
        <f>(H474+Q474)/P474</f>
        <v/>
      </c>
      <c r="M474" s="199">
        <f>HLOOKUP(C:C,$4:$10,3,FALSE)+((HLOOKUP(D:D,$4:$10,3,FALSE)-HLOOKUP(C:C,$4:$10,3,FALSE))*E474/F474)</f>
        <v/>
      </c>
      <c r="N474" s="199">
        <f>HLOOKUP(C:C,$4:$10,2,FALSE)+((HLOOKUP(D:D,$4:$10,2,FALSE)-HLOOKUP(C:C,$4:$10,2,FALSE))*E474/F474)</f>
        <v/>
      </c>
      <c r="O474" s="199">
        <f>HLOOKUP(C:C,$4:$10,5,FALSE)+((HLOOKUP(D:D,$4:$10,5,FALSE)-HLOOKUP(C:C,$4:$10,5,FALSE))*E474/F474)</f>
        <v/>
      </c>
      <c r="P474" s="199">
        <f>HLOOKUP(C:C,$4:$10,4,FALSE)+((HLOOKUP(D:D,$4:$10,4,FALSE)-HLOOKUP(C:C,$4:$10,4,FALSE))*E474/F474)</f>
        <v/>
      </c>
      <c r="Q474" s="199">
        <f>HLOOKUP(B:B,$4:$10,6,FALSE)+((HLOOKUP(C:C,$4:$10,6,FALSE)-HLOOKUP(B:B,$4:$10,6,FALSE))*E474/F474)</f>
        <v/>
      </c>
      <c r="T474" s="198">
        <f>$G474</f>
        <v/>
      </c>
      <c r="U474" s="199">
        <f>H474/(HLOOKUP(B:B,$4:$10,3,FALSE)+((HLOOKUP(C:C,$4:$10,3,FALSE)-HLOOKUP(B:B,$4:$10,3,FALSE))*E474/F474))</f>
        <v/>
      </c>
      <c r="V474" s="969">
        <f>HLOOKUP(B:B,$4:$10,7,FALSE)+((HLOOKUP(C:C,$4:$10,7,FALSE)-HLOOKUP(B:B,$4:$10,7,FALSE))*E474/F474)</f>
        <v/>
      </c>
      <c r="AB474" s="198">
        <f>$G474</f>
        <v/>
      </c>
      <c r="AC474" s="199">
        <f>$H474</f>
        <v/>
      </c>
      <c r="AD474" s="199">
        <f>$M474*AD$34</f>
        <v/>
      </c>
      <c r="AE474" s="199">
        <f>$M474*AE$34</f>
        <v/>
      </c>
      <c r="AF474" s="199">
        <f>$M474*AF$34</f>
        <v/>
      </c>
      <c r="AG474" s="199">
        <f>$M474*AG$34</f>
        <v/>
      </c>
      <c r="AH474" s="199">
        <f>$M474*AH$34</f>
        <v/>
      </c>
      <c r="AJ474" s="198">
        <f>$G474</f>
        <v/>
      </c>
      <c r="AK474" s="199">
        <f>$H474</f>
        <v/>
      </c>
      <c r="AL474" s="199">
        <f>$N474*AL$34</f>
        <v/>
      </c>
      <c r="AM474" s="199">
        <f>$N474*AM$34</f>
        <v/>
      </c>
      <c r="AN474" s="199">
        <f>$N474*AN$34</f>
        <v/>
      </c>
      <c r="AO474" s="199">
        <f>$N474*AO$34</f>
        <v/>
      </c>
      <c r="AP474" s="199">
        <f>$N474*AP$34</f>
        <v/>
      </c>
      <c r="AR474" s="198">
        <f>$G474</f>
        <v/>
      </c>
      <c r="AS474" s="199">
        <f>$H474</f>
        <v/>
      </c>
      <c r="AT474" s="199">
        <f>$O474*AT$34-$Q474</f>
        <v/>
      </c>
      <c r="AU474" s="199">
        <f>$O474*AU$34-$Q474</f>
        <v/>
      </c>
      <c r="AV474" s="199">
        <f>$O474*AV$34-$Q474</f>
        <v/>
      </c>
      <c r="AW474" s="199">
        <f>$O474*AW$34-$Q474</f>
        <v/>
      </c>
      <c r="AX474" s="199">
        <f>$O474*AX$34-$Q474</f>
        <v/>
      </c>
      <c r="AZ474" s="198">
        <f>$G474</f>
        <v/>
      </c>
      <c r="BA474" s="199">
        <f>$H474</f>
        <v/>
      </c>
      <c r="BB474" s="199">
        <f>$P474*BB$34-$Q474</f>
        <v/>
      </c>
      <c r="BC474" s="199">
        <f>$P474*BC$34-$Q474</f>
        <v/>
      </c>
      <c r="BD474" s="199">
        <f>$P474*BD$34-$Q474</f>
        <v/>
      </c>
      <c r="BE474" s="199">
        <f>$P474*BE$34-$Q474</f>
        <v/>
      </c>
      <c r="BF474" s="199">
        <f>$P474*BF$34-$Q474</f>
        <v/>
      </c>
      <c r="BH474" s="198">
        <f>$G474</f>
        <v/>
      </c>
      <c r="BI474" s="197">
        <f>$I474</f>
        <v/>
      </c>
      <c r="BJ474" s="197">
        <f>+BJ475</f>
        <v/>
      </c>
      <c r="BK474" s="197">
        <f>+BK475</f>
        <v/>
      </c>
      <c r="BL474" s="197">
        <f>+BL475</f>
        <v/>
      </c>
      <c r="BM474" s="197">
        <f>+BM475</f>
        <v/>
      </c>
      <c r="BN474" s="197">
        <f>+BN475</f>
        <v/>
      </c>
      <c r="BP474" s="198">
        <f>$G474</f>
        <v/>
      </c>
      <c r="BQ474" s="197">
        <f>$J474</f>
        <v/>
      </c>
      <c r="BR474" s="197">
        <f>+BR475</f>
        <v/>
      </c>
      <c r="BS474" s="197">
        <f>+BS475</f>
        <v/>
      </c>
      <c r="BT474" s="197">
        <f>+BT475</f>
        <v/>
      </c>
      <c r="BU474" s="197">
        <f>+BU475</f>
        <v/>
      </c>
      <c r="BV474" s="197">
        <f>+BV475</f>
        <v/>
      </c>
      <c r="BX474" s="198">
        <f>$G474</f>
        <v/>
      </c>
      <c r="BY474" s="197">
        <f>$K474</f>
        <v/>
      </c>
      <c r="BZ474" s="197">
        <f>+BZ475</f>
        <v/>
      </c>
      <c r="CA474" s="197">
        <f>+CA475</f>
        <v/>
      </c>
      <c r="CB474" s="197">
        <f>+CB475</f>
        <v/>
      </c>
      <c r="CC474" s="197">
        <f>+CC475</f>
        <v/>
      </c>
      <c r="CD474" s="197">
        <f>+CD475</f>
        <v/>
      </c>
      <c r="CF474" s="198">
        <f>$G474</f>
        <v/>
      </c>
      <c r="CG474" s="197">
        <f>$L474</f>
        <v/>
      </c>
      <c r="CH474" s="197">
        <f>+CH475</f>
        <v/>
      </c>
      <c r="CI474" s="197">
        <f>+CI475</f>
        <v/>
      </c>
      <c r="CJ474" s="197">
        <f>+CJ475</f>
        <v/>
      </c>
      <c r="CK474" s="197">
        <f>+CK475</f>
        <v/>
      </c>
      <c r="CL474" s="197">
        <f>+CL475</f>
        <v/>
      </c>
      <c r="CO474" s="199" t="n">
        <v>4.963156162163531</v>
      </c>
      <c r="CP474" s="199" t="n">
        <v>2.98</v>
      </c>
      <c r="CR474" s="199" t="n">
        <v>3.92</v>
      </c>
      <c r="CS474" s="970" t="n">
        <v>0.78982</v>
      </c>
    </row>
    <row r="475">
      <c r="B475" s="204">
        <f>+C475-1</f>
        <v/>
      </c>
      <c r="C475" s="204">
        <f>IF('bands_A-H_Avg'!$D$9+1&gt;MONTH(G475),YEAR(G475),YEAR(G475)+1)</f>
        <v/>
      </c>
      <c r="D475" s="204">
        <f>+C475+1</f>
        <v/>
      </c>
      <c r="E475" s="203">
        <f>IF(C475&gt;C474,1,E474+1)</f>
        <v/>
      </c>
      <c r="F475" s="203">
        <f>COUNTIF(C:C,C475)</f>
        <v/>
      </c>
      <c r="G475" s="198">
        <f>+G474+7</f>
        <v/>
      </c>
      <c r="H475" s="361">
        <f>IF(ISBLANK(CO475),CP475,SUMPRODUCT(CO$32:CP$32,CO475:CP475))</f>
        <v/>
      </c>
      <c r="I475" s="968">
        <f>H475/M475</f>
        <v/>
      </c>
      <c r="J475" s="968">
        <f>H475/N475</f>
        <v/>
      </c>
      <c r="K475" s="968">
        <f>(H475+Q475)/O475</f>
        <v/>
      </c>
      <c r="L475" s="968">
        <f>(H475+Q475)/P475</f>
        <v/>
      </c>
      <c r="M475" s="199">
        <f>HLOOKUP(C:C,$4:$10,3,FALSE)+((HLOOKUP(D:D,$4:$10,3,FALSE)-HLOOKUP(C:C,$4:$10,3,FALSE))*E475/F475)</f>
        <v/>
      </c>
      <c r="N475" s="199">
        <f>HLOOKUP(C:C,$4:$10,2,FALSE)+((HLOOKUP(D:D,$4:$10,2,FALSE)-HLOOKUP(C:C,$4:$10,2,FALSE))*E475/F475)</f>
        <v/>
      </c>
      <c r="O475" s="199">
        <f>HLOOKUP(C:C,$4:$10,5,FALSE)+((HLOOKUP(D:D,$4:$10,5,FALSE)-HLOOKUP(C:C,$4:$10,5,FALSE))*E475/F475)</f>
        <v/>
      </c>
      <c r="P475" s="199">
        <f>HLOOKUP(C:C,$4:$10,4,FALSE)+((HLOOKUP(D:D,$4:$10,4,FALSE)-HLOOKUP(C:C,$4:$10,4,FALSE))*E475/F475)</f>
        <v/>
      </c>
      <c r="Q475" s="199">
        <f>HLOOKUP(B:B,$4:$10,6,FALSE)+((HLOOKUP(C:C,$4:$10,6,FALSE)-HLOOKUP(B:B,$4:$10,6,FALSE))*E475/F475)</f>
        <v/>
      </c>
      <c r="T475" s="198">
        <f>$G475</f>
        <v/>
      </c>
      <c r="U475" s="199">
        <f>H475/(HLOOKUP(B:B,$4:$10,3,FALSE)+((HLOOKUP(C:C,$4:$10,3,FALSE)-HLOOKUP(B:B,$4:$10,3,FALSE))*E475/F475))</f>
        <v/>
      </c>
      <c r="V475" s="969">
        <f>HLOOKUP(B:B,$4:$10,7,FALSE)+((HLOOKUP(C:C,$4:$10,7,FALSE)-HLOOKUP(B:B,$4:$10,7,FALSE))*E475/F475)</f>
        <v/>
      </c>
      <c r="AB475" s="198">
        <f>$G475</f>
        <v/>
      </c>
      <c r="AC475" s="199">
        <f>$H475</f>
        <v/>
      </c>
      <c r="AD475" s="199">
        <f>$M475*AD$34</f>
        <v/>
      </c>
      <c r="AE475" s="199">
        <f>$M475*AE$34</f>
        <v/>
      </c>
      <c r="AF475" s="199">
        <f>$M475*AF$34</f>
        <v/>
      </c>
      <c r="AG475" s="199">
        <f>$M475*AG$34</f>
        <v/>
      </c>
      <c r="AH475" s="199">
        <f>$M475*AH$34</f>
        <v/>
      </c>
      <c r="AJ475" s="198">
        <f>$G475</f>
        <v/>
      </c>
      <c r="AK475" s="199">
        <f>$H475</f>
        <v/>
      </c>
      <c r="AL475" s="199">
        <f>$N475*AL$34</f>
        <v/>
      </c>
      <c r="AM475" s="199">
        <f>$N475*AM$34</f>
        <v/>
      </c>
      <c r="AN475" s="199">
        <f>$N475*AN$34</f>
        <v/>
      </c>
      <c r="AO475" s="199">
        <f>$N475*AO$34</f>
        <v/>
      </c>
      <c r="AP475" s="199">
        <f>$N475*AP$34</f>
        <v/>
      </c>
      <c r="AR475" s="198">
        <f>$G475</f>
        <v/>
      </c>
      <c r="AS475" s="199">
        <f>$H475</f>
        <v/>
      </c>
      <c r="AT475" s="199">
        <f>$O475*AT$34-$Q475</f>
        <v/>
      </c>
      <c r="AU475" s="199">
        <f>$O475*AU$34-$Q475</f>
        <v/>
      </c>
      <c r="AV475" s="199">
        <f>$O475*AV$34-$Q475</f>
        <v/>
      </c>
      <c r="AW475" s="199">
        <f>$O475*AW$34-$Q475</f>
        <v/>
      </c>
      <c r="AX475" s="199">
        <f>$O475*AX$34-$Q475</f>
        <v/>
      </c>
      <c r="AZ475" s="198">
        <f>$G475</f>
        <v/>
      </c>
      <c r="BA475" s="199">
        <f>$H475</f>
        <v/>
      </c>
      <c r="BB475" s="199">
        <f>$P475*BB$34-$Q475</f>
        <v/>
      </c>
      <c r="BC475" s="199">
        <f>$P475*BC$34-$Q475</f>
        <v/>
      </c>
      <c r="BD475" s="199">
        <f>$P475*BD$34-$Q475</f>
        <v/>
      </c>
      <c r="BE475" s="199">
        <f>$P475*BE$34-$Q475</f>
        <v/>
      </c>
      <c r="BF475" s="199">
        <f>$P475*BF$34-$Q475</f>
        <v/>
      </c>
      <c r="BH475" s="198">
        <f>$G475</f>
        <v/>
      </c>
      <c r="BI475" s="197">
        <f>$I475</f>
        <v/>
      </c>
      <c r="BJ475" s="197">
        <f>+BJ476</f>
        <v/>
      </c>
      <c r="BK475" s="197">
        <f>+BK476</f>
        <v/>
      </c>
      <c r="BL475" s="197">
        <f>+BL476</f>
        <v/>
      </c>
      <c r="BM475" s="197">
        <f>+BM476</f>
        <v/>
      </c>
      <c r="BN475" s="197">
        <f>+BN476</f>
        <v/>
      </c>
      <c r="BP475" s="198">
        <f>$G475</f>
        <v/>
      </c>
      <c r="BQ475" s="197">
        <f>$J475</f>
        <v/>
      </c>
      <c r="BR475" s="197">
        <f>+BR476</f>
        <v/>
      </c>
      <c r="BS475" s="197">
        <f>+BS476</f>
        <v/>
      </c>
      <c r="BT475" s="197">
        <f>+BT476</f>
        <v/>
      </c>
      <c r="BU475" s="197">
        <f>+BU476</f>
        <v/>
      </c>
      <c r="BV475" s="197">
        <f>+BV476</f>
        <v/>
      </c>
      <c r="BX475" s="198">
        <f>$G475</f>
        <v/>
      </c>
      <c r="BY475" s="197">
        <f>$K475</f>
        <v/>
      </c>
      <c r="BZ475" s="197">
        <f>+BZ476</f>
        <v/>
      </c>
      <c r="CA475" s="197">
        <f>+CA476</f>
        <v/>
      </c>
      <c r="CB475" s="197">
        <f>+CB476</f>
        <v/>
      </c>
      <c r="CC475" s="197">
        <f>+CC476</f>
        <v/>
      </c>
      <c r="CD475" s="197">
        <f>+CD476</f>
        <v/>
      </c>
      <c r="CF475" s="198">
        <f>$G475</f>
        <v/>
      </c>
      <c r="CG475" s="197">
        <f>$L475</f>
        <v/>
      </c>
      <c r="CH475" s="197">
        <f>+CH476</f>
        <v/>
      </c>
      <c r="CI475" s="197">
        <f>+CI476</f>
        <v/>
      </c>
      <c r="CJ475" s="197">
        <f>+CJ476</f>
        <v/>
      </c>
      <c r="CK475" s="197">
        <f>+CK476</f>
        <v/>
      </c>
      <c r="CL475" s="197">
        <f>+CL476</f>
        <v/>
      </c>
      <c r="CO475" s="199" t="n">
        <v>4.922430592463241</v>
      </c>
      <c r="CP475" s="199" t="n">
        <v>2.89</v>
      </c>
      <c r="CR475" s="199" t="n">
        <v>3.89</v>
      </c>
      <c r="CS475" s="970" t="n">
        <v>0.79026</v>
      </c>
    </row>
    <row r="476">
      <c r="B476" s="204">
        <f>+C476-1</f>
        <v/>
      </c>
      <c r="C476" s="204">
        <f>IF('bands_A-H_Avg'!$D$9+1&gt;MONTH(G476),YEAR(G476),YEAR(G476)+1)</f>
        <v/>
      </c>
      <c r="D476" s="204">
        <f>+C476+1</f>
        <v/>
      </c>
      <c r="E476" s="203">
        <f>IF(C476&gt;C475,1,E475+1)</f>
        <v/>
      </c>
      <c r="F476" s="203">
        <f>COUNTIF(C:C,C476)</f>
        <v/>
      </c>
      <c r="G476" s="198">
        <f>+G475+7</f>
        <v/>
      </c>
      <c r="H476" s="361">
        <f>IF(ISBLANK(CO476),CP476,SUMPRODUCT(CO$32:CP$32,CO476:CP476))</f>
        <v/>
      </c>
      <c r="I476" s="968">
        <f>H476/M476</f>
        <v/>
      </c>
      <c r="J476" s="968">
        <f>H476/N476</f>
        <v/>
      </c>
      <c r="K476" s="968">
        <f>(H476+Q476)/O476</f>
        <v/>
      </c>
      <c r="L476" s="968">
        <f>(H476+Q476)/P476</f>
        <v/>
      </c>
      <c r="M476" s="199">
        <f>HLOOKUP(C:C,$4:$10,3,FALSE)+((HLOOKUP(D:D,$4:$10,3,FALSE)-HLOOKUP(C:C,$4:$10,3,FALSE))*E476/F476)</f>
        <v/>
      </c>
      <c r="N476" s="199">
        <f>HLOOKUP(C:C,$4:$10,2,FALSE)+((HLOOKUP(D:D,$4:$10,2,FALSE)-HLOOKUP(C:C,$4:$10,2,FALSE))*E476/F476)</f>
        <v/>
      </c>
      <c r="O476" s="199">
        <f>HLOOKUP(C:C,$4:$10,5,FALSE)+((HLOOKUP(D:D,$4:$10,5,FALSE)-HLOOKUP(C:C,$4:$10,5,FALSE))*E476/F476)</f>
        <v/>
      </c>
      <c r="P476" s="199">
        <f>HLOOKUP(C:C,$4:$10,4,FALSE)+((HLOOKUP(D:D,$4:$10,4,FALSE)-HLOOKUP(C:C,$4:$10,4,FALSE))*E476/F476)</f>
        <v/>
      </c>
      <c r="Q476" s="199">
        <f>HLOOKUP(B:B,$4:$10,6,FALSE)+((HLOOKUP(C:C,$4:$10,6,FALSE)-HLOOKUP(B:B,$4:$10,6,FALSE))*E476/F476)</f>
        <v/>
      </c>
      <c r="T476" s="198">
        <f>$G476</f>
        <v/>
      </c>
      <c r="U476" s="199">
        <f>H476/(HLOOKUP(B:B,$4:$10,3,FALSE)+((HLOOKUP(C:C,$4:$10,3,FALSE)-HLOOKUP(B:B,$4:$10,3,FALSE))*E476/F476))</f>
        <v/>
      </c>
      <c r="V476" s="969">
        <f>HLOOKUP(B:B,$4:$10,7,FALSE)+((HLOOKUP(C:C,$4:$10,7,FALSE)-HLOOKUP(B:B,$4:$10,7,FALSE))*E476/F476)</f>
        <v/>
      </c>
      <c r="AB476" s="198">
        <f>$G476</f>
        <v/>
      </c>
      <c r="AC476" s="199">
        <f>$H476</f>
        <v/>
      </c>
      <c r="AD476" s="199">
        <f>$M476*AD$34</f>
        <v/>
      </c>
      <c r="AE476" s="199">
        <f>$M476*AE$34</f>
        <v/>
      </c>
      <c r="AF476" s="199">
        <f>$M476*AF$34</f>
        <v/>
      </c>
      <c r="AG476" s="199">
        <f>$M476*AG$34</f>
        <v/>
      </c>
      <c r="AH476" s="199">
        <f>$M476*AH$34</f>
        <v/>
      </c>
      <c r="AJ476" s="198">
        <f>$G476</f>
        <v/>
      </c>
      <c r="AK476" s="199">
        <f>$H476</f>
        <v/>
      </c>
      <c r="AL476" s="199">
        <f>$N476*AL$34</f>
        <v/>
      </c>
      <c r="AM476" s="199">
        <f>$N476*AM$34</f>
        <v/>
      </c>
      <c r="AN476" s="199">
        <f>$N476*AN$34</f>
        <v/>
      </c>
      <c r="AO476" s="199">
        <f>$N476*AO$34</f>
        <v/>
      </c>
      <c r="AP476" s="199">
        <f>$N476*AP$34</f>
        <v/>
      </c>
      <c r="AR476" s="198">
        <f>$G476</f>
        <v/>
      </c>
      <c r="AS476" s="199">
        <f>$H476</f>
        <v/>
      </c>
      <c r="AT476" s="199">
        <f>$O476*AT$34-$Q476</f>
        <v/>
      </c>
      <c r="AU476" s="199">
        <f>$O476*AU$34-$Q476</f>
        <v/>
      </c>
      <c r="AV476" s="199">
        <f>$O476*AV$34-$Q476</f>
        <v/>
      </c>
      <c r="AW476" s="199">
        <f>$O476*AW$34-$Q476</f>
        <v/>
      </c>
      <c r="AX476" s="199">
        <f>$O476*AX$34-$Q476</f>
        <v/>
      </c>
      <c r="AZ476" s="198">
        <f>$G476</f>
        <v/>
      </c>
      <c r="BA476" s="199">
        <f>$H476</f>
        <v/>
      </c>
      <c r="BB476" s="199">
        <f>$P476*BB$34-$Q476</f>
        <v/>
      </c>
      <c r="BC476" s="199">
        <f>$P476*BC$34-$Q476</f>
        <v/>
      </c>
      <c r="BD476" s="199">
        <f>$P476*BD$34-$Q476</f>
        <v/>
      </c>
      <c r="BE476" s="199">
        <f>$P476*BE$34-$Q476</f>
        <v/>
      </c>
      <c r="BF476" s="199">
        <f>$P476*BF$34-$Q476</f>
        <v/>
      </c>
      <c r="BH476" s="198">
        <f>$G476</f>
        <v/>
      </c>
      <c r="BI476" s="197">
        <f>$I476</f>
        <v/>
      </c>
      <c r="BJ476" s="197">
        <f>+BJ477</f>
        <v/>
      </c>
      <c r="BK476" s="197">
        <f>+BK477</f>
        <v/>
      </c>
      <c r="BL476" s="197">
        <f>+BL477</f>
        <v/>
      </c>
      <c r="BM476" s="197">
        <f>+BM477</f>
        <v/>
      </c>
      <c r="BN476" s="197">
        <f>+BN477</f>
        <v/>
      </c>
      <c r="BP476" s="198">
        <f>$G476</f>
        <v/>
      </c>
      <c r="BQ476" s="197">
        <f>$J476</f>
        <v/>
      </c>
      <c r="BR476" s="197">
        <f>+BR477</f>
        <v/>
      </c>
      <c r="BS476" s="197">
        <f>+BS477</f>
        <v/>
      </c>
      <c r="BT476" s="197">
        <f>+BT477</f>
        <v/>
      </c>
      <c r="BU476" s="197">
        <f>+BU477</f>
        <v/>
      </c>
      <c r="BV476" s="197">
        <f>+BV477</f>
        <v/>
      </c>
      <c r="BX476" s="198">
        <f>$G476</f>
        <v/>
      </c>
      <c r="BY476" s="197">
        <f>$K476</f>
        <v/>
      </c>
      <c r="BZ476" s="197">
        <f>+BZ477</f>
        <v/>
      </c>
      <c r="CA476" s="197">
        <f>+CA477</f>
        <v/>
      </c>
      <c r="CB476" s="197">
        <f>+CB477</f>
        <v/>
      </c>
      <c r="CC476" s="197">
        <f>+CC477</f>
        <v/>
      </c>
      <c r="CD476" s="197">
        <f>+CD477</f>
        <v/>
      </c>
      <c r="CF476" s="198">
        <f>$G476</f>
        <v/>
      </c>
      <c r="CG476" s="197">
        <f>$L476</f>
        <v/>
      </c>
      <c r="CH476" s="197">
        <f>+CH477</f>
        <v/>
      </c>
      <c r="CI476" s="197">
        <f>+CI477</f>
        <v/>
      </c>
      <c r="CJ476" s="197">
        <f>+CJ477</f>
        <v/>
      </c>
      <c r="CK476" s="197">
        <f>+CK477</f>
        <v/>
      </c>
      <c r="CL476" s="197">
        <f>+CL477</f>
        <v/>
      </c>
      <c r="CO476" s="199" t="n">
        <v>4.948239641600648</v>
      </c>
      <c r="CP476" s="199" t="n">
        <v>2.93</v>
      </c>
      <c r="CR476" s="199" t="n">
        <v>3.91</v>
      </c>
      <c r="CS476" s="970" t="n">
        <v>0.79018</v>
      </c>
    </row>
    <row r="477">
      <c r="B477" s="204">
        <f>+C477-1</f>
        <v/>
      </c>
      <c r="C477" s="204">
        <f>IF('bands_A-H_Avg'!$D$9+1&gt;MONTH(G477),YEAR(G477),YEAR(G477)+1)</f>
        <v/>
      </c>
      <c r="D477" s="204">
        <f>+C477+1</f>
        <v/>
      </c>
      <c r="E477" s="203">
        <f>IF(C477&gt;C476,1,E476+1)</f>
        <v/>
      </c>
      <c r="F477" s="203">
        <f>COUNTIF(C:C,C477)</f>
        <v/>
      </c>
      <c r="G477" s="198">
        <f>+G476+7</f>
        <v/>
      </c>
      <c r="H477" s="361">
        <f>IF(ISBLANK(CO477),CP477,SUMPRODUCT(CO$32:CP$32,CO477:CP477))</f>
        <v/>
      </c>
      <c r="I477" s="968">
        <f>H477/M477</f>
        <v/>
      </c>
      <c r="J477" s="968">
        <f>H477/N477</f>
        <v/>
      </c>
      <c r="K477" s="968">
        <f>(H477+Q477)/O477</f>
        <v/>
      </c>
      <c r="L477" s="968">
        <f>(H477+Q477)/P477</f>
        <v/>
      </c>
      <c r="M477" s="199">
        <f>HLOOKUP(C:C,$4:$10,3,FALSE)+((HLOOKUP(D:D,$4:$10,3,FALSE)-HLOOKUP(C:C,$4:$10,3,FALSE))*E477/F477)</f>
        <v/>
      </c>
      <c r="N477" s="199">
        <f>HLOOKUP(C:C,$4:$10,2,FALSE)+((HLOOKUP(D:D,$4:$10,2,FALSE)-HLOOKUP(C:C,$4:$10,2,FALSE))*E477/F477)</f>
        <v/>
      </c>
      <c r="O477" s="199">
        <f>HLOOKUP(C:C,$4:$10,5,FALSE)+((HLOOKUP(D:D,$4:$10,5,FALSE)-HLOOKUP(C:C,$4:$10,5,FALSE))*E477/F477)</f>
        <v/>
      </c>
      <c r="P477" s="199">
        <f>HLOOKUP(C:C,$4:$10,4,FALSE)+((HLOOKUP(D:D,$4:$10,4,FALSE)-HLOOKUP(C:C,$4:$10,4,FALSE))*E477/F477)</f>
        <v/>
      </c>
      <c r="Q477" s="199">
        <f>HLOOKUP(B:B,$4:$10,6,FALSE)+((HLOOKUP(C:C,$4:$10,6,FALSE)-HLOOKUP(B:B,$4:$10,6,FALSE))*E477/F477)</f>
        <v/>
      </c>
      <c r="T477" s="198">
        <f>$G477</f>
        <v/>
      </c>
      <c r="U477" s="199">
        <f>H477/(HLOOKUP(B:B,$4:$10,3,FALSE)+((HLOOKUP(C:C,$4:$10,3,FALSE)-HLOOKUP(B:B,$4:$10,3,FALSE))*E477/F477))</f>
        <v/>
      </c>
      <c r="V477" s="969">
        <f>HLOOKUP(B:B,$4:$10,7,FALSE)+((HLOOKUP(C:C,$4:$10,7,FALSE)-HLOOKUP(B:B,$4:$10,7,FALSE))*E477/F477)</f>
        <v/>
      </c>
      <c r="AB477" s="198">
        <f>$G477</f>
        <v/>
      </c>
      <c r="AC477" s="199">
        <f>$H477</f>
        <v/>
      </c>
      <c r="AD477" s="199">
        <f>$M477*AD$34</f>
        <v/>
      </c>
      <c r="AE477" s="199">
        <f>$M477*AE$34</f>
        <v/>
      </c>
      <c r="AF477" s="199">
        <f>$M477*AF$34</f>
        <v/>
      </c>
      <c r="AG477" s="199">
        <f>$M477*AG$34</f>
        <v/>
      </c>
      <c r="AH477" s="199">
        <f>$M477*AH$34</f>
        <v/>
      </c>
      <c r="AJ477" s="198">
        <f>$G477</f>
        <v/>
      </c>
      <c r="AK477" s="199">
        <f>$H477</f>
        <v/>
      </c>
      <c r="AL477" s="199">
        <f>$N477*AL$34</f>
        <v/>
      </c>
      <c r="AM477" s="199">
        <f>$N477*AM$34</f>
        <v/>
      </c>
      <c r="AN477" s="199">
        <f>$N477*AN$34</f>
        <v/>
      </c>
      <c r="AO477" s="199">
        <f>$N477*AO$34</f>
        <v/>
      </c>
      <c r="AP477" s="199">
        <f>$N477*AP$34</f>
        <v/>
      </c>
      <c r="AR477" s="198">
        <f>$G477</f>
        <v/>
      </c>
      <c r="AS477" s="199">
        <f>$H477</f>
        <v/>
      </c>
      <c r="AT477" s="199">
        <f>$O477*AT$34-$Q477</f>
        <v/>
      </c>
      <c r="AU477" s="199">
        <f>$O477*AU$34-$Q477</f>
        <v/>
      </c>
      <c r="AV477" s="199">
        <f>$O477*AV$34-$Q477</f>
        <v/>
      </c>
      <c r="AW477" s="199">
        <f>$O477*AW$34-$Q477</f>
        <v/>
      </c>
      <c r="AX477" s="199">
        <f>$O477*AX$34-$Q477</f>
        <v/>
      </c>
      <c r="AZ477" s="198">
        <f>$G477</f>
        <v/>
      </c>
      <c r="BA477" s="199">
        <f>$H477</f>
        <v/>
      </c>
      <c r="BB477" s="199">
        <f>$P477*BB$34-$Q477</f>
        <v/>
      </c>
      <c r="BC477" s="199">
        <f>$P477*BC$34-$Q477</f>
        <v/>
      </c>
      <c r="BD477" s="199">
        <f>$P477*BD$34-$Q477</f>
        <v/>
      </c>
      <c r="BE477" s="199">
        <f>$P477*BE$34-$Q477</f>
        <v/>
      </c>
      <c r="BF477" s="199">
        <f>$P477*BF$34-$Q477</f>
        <v/>
      </c>
      <c r="BH477" s="198">
        <f>$G477</f>
        <v/>
      </c>
      <c r="BI477" s="197">
        <f>$I477</f>
        <v/>
      </c>
      <c r="BJ477" s="197">
        <f>+BJ478</f>
        <v/>
      </c>
      <c r="BK477" s="197">
        <f>+BK478</f>
        <v/>
      </c>
      <c r="BL477" s="197">
        <f>+BL478</f>
        <v/>
      </c>
      <c r="BM477" s="197">
        <f>+BM478</f>
        <v/>
      </c>
      <c r="BN477" s="197">
        <f>+BN478</f>
        <v/>
      </c>
      <c r="BP477" s="198">
        <f>$G477</f>
        <v/>
      </c>
      <c r="BQ477" s="197">
        <f>$J477</f>
        <v/>
      </c>
      <c r="BR477" s="197">
        <f>+BR478</f>
        <v/>
      </c>
      <c r="BS477" s="197">
        <f>+BS478</f>
        <v/>
      </c>
      <c r="BT477" s="197">
        <f>+BT478</f>
        <v/>
      </c>
      <c r="BU477" s="197">
        <f>+BU478</f>
        <v/>
      </c>
      <c r="BV477" s="197">
        <f>+BV478</f>
        <v/>
      </c>
      <c r="BX477" s="198">
        <f>$G477</f>
        <v/>
      </c>
      <c r="BY477" s="197">
        <f>$K477</f>
        <v/>
      </c>
      <c r="BZ477" s="197">
        <f>+BZ478</f>
        <v/>
      </c>
      <c r="CA477" s="197">
        <f>+CA478</f>
        <v/>
      </c>
      <c r="CB477" s="197">
        <f>+CB478</f>
        <v/>
      </c>
      <c r="CC477" s="197">
        <f>+CC478</f>
        <v/>
      </c>
      <c r="CD477" s="197">
        <f>+CD478</f>
        <v/>
      </c>
      <c r="CF477" s="198">
        <f>$G477</f>
        <v/>
      </c>
      <c r="CG477" s="197">
        <f>$L477</f>
        <v/>
      </c>
      <c r="CH477" s="197">
        <f>+CH478</f>
        <v/>
      </c>
      <c r="CI477" s="197">
        <f>+CI478</f>
        <v/>
      </c>
      <c r="CJ477" s="197">
        <f>+CJ478</f>
        <v/>
      </c>
      <c r="CK477" s="197">
        <f>+CK478</f>
        <v/>
      </c>
      <c r="CL477" s="197">
        <f>+CL478</f>
        <v/>
      </c>
      <c r="CO477" s="199" t="n">
        <v>4.734536800263312</v>
      </c>
      <c r="CP477" s="199" t="n">
        <v>2.73</v>
      </c>
      <c r="CR477" s="199" t="n">
        <v>3.74</v>
      </c>
      <c r="CS477" s="970" t="n">
        <v>0.78994</v>
      </c>
    </row>
    <row r="478">
      <c r="B478" s="204">
        <f>+C478-1</f>
        <v/>
      </c>
      <c r="C478" s="204">
        <f>IF('bands_A-H_Avg'!$D$9+1&gt;MONTH(G478),YEAR(G478),YEAR(G478)+1)</f>
        <v/>
      </c>
      <c r="D478" s="204">
        <f>+C478+1</f>
        <v/>
      </c>
      <c r="E478" s="203">
        <f>IF(C478&gt;C477,1,E477+1)</f>
        <v/>
      </c>
      <c r="F478" s="203">
        <f>COUNTIF(C:C,C478)</f>
        <v/>
      </c>
      <c r="G478" s="198">
        <f>+G477+7</f>
        <v/>
      </c>
      <c r="H478" s="361">
        <f>IF(ISBLANK(CO478),CP478,SUMPRODUCT(CO$32:CP$32,CO478:CP478))</f>
        <v/>
      </c>
      <c r="I478" s="968">
        <f>H478/M478</f>
        <v/>
      </c>
      <c r="J478" s="968">
        <f>H478/N478</f>
        <v/>
      </c>
      <c r="K478" s="968">
        <f>(H478+Q478)/O478</f>
        <v/>
      </c>
      <c r="L478" s="968">
        <f>(H478+Q478)/P478</f>
        <v/>
      </c>
      <c r="M478" s="199">
        <f>HLOOKUP(C:C,$4:$10,3,FALSE)+((HLOOKUP(D:D,$4:$10,3,FALSE)-HLOOKUP(C:C,$4:$10,3,FALSE))*E478/F478)</f>
        <v/>
      </c>
      <c r="N478" s="199">
        <f>HLOOKUP(C:C,$4:$10,2,FALSE)+((HLOOKUP(D:D,$4:$10,2,FALSE)-HLOOKUP(C:C,$4:$10,2,FALSE))*E478/F478)</f>
        <v/>
      </c>
      <c r="O478" s="199">
        <f>HLOOKUP(C:C,$4:$10,5,FALSE)+((HLOOKUP(D:D,$4:$10,5,FALSE)-HLOOKUP(C:C,$4:$10,5,FALSE))*E478/F478)</f>
        <v/>
      </c>
      <c r="P478" s="199">
        <f>HLOOKUP(C:C,$4:$10,4,FALSE)+((HLOOKUP(D:D,$4:$10,4,FALSE)-HLOOKUP(C:C,$4:$10,4,FALSE))*E478/F478)</f>
        <v/>
      </c>
      <c r="Q478" s="199">
        <f>HLOOKUP(B:B,$4:$10,6,FALSE)+((HLOOKUP(C:C,$4:$10,6,FALSE)-HLOOKUP(B:B,$4:$10,6,FALSE))*E478/F478)</f>
        <v/>
      </c>
      <c r="T478" s="198">
        <f>$G478</f>
        <v/>
      </c>
      <c r="U478" s="199">
        <f>H478/(HLOOKUP(B:B,$4:$10,3,FALSE)+((HLOOKUP(C:C,$4:$10,3,FALSE)-HLOOKUP(B:B,$4:$10,3,FALSE))*E478/F478))</f>
        <v/>
      </c>
      <c r="V478" s="969">
        <f>HLOOKUP(B:B,$4:$10,7,FALSE)+((HLOOKUP(C:C,$4:$10,7,FALSE)-HLOOKUP(B:B,$4:$10,7,FALSE))*E478/F478)</f>
        <v/>
      </c>
      <c r="AB478" s="198">
        <f>$G478</f>
        <v/>
      </c>
      <c r="AC478" s="199">
        <f>$H478</f>
        <v/>
      </c>
      <c r="AD478" s="199">
        <f>$M478*AD$34</f>
        <v/>
      </c>
      <c r="AE478" s="199">
        <f>$M478*AE$34</f>
        <v/>
      </c>
      <c r="AF478" s="199">
        <f>$M478*AF$34</f>
        <v/>
      </c>
      <c r="AG478" s="199">
        <f>$M478*AG$34</f>
        <v/>
      </c>
      <c r="AH478" s="199">
        <f>$M478*AH$34</f>
        <v/>
      </c>
      <c r="AJ478" s="198">
        <f>$G478</f>
        <v/>
      </c>
      <c r="AK478" s="199">
        <f>$H478</f>
        <v/>
      </c>
      <c r="AL478" s="199">
        <f>$N478*AL$34</f>
        <v/>
      </c>
      <c r="AM478" s="199">
        <f>$N478*AM$34</f>
        <v/>
      </c>
      <c r="AN478" s="199">
        <f>$N478*AN$34</f>
        <v/>
      </c>
      <c r="AO478" s="199">
        <f>$N478*AO$34</f>
        <v/>
      </c>
      <c r="AP478" s="199">
        <f>$N478*AP$34</f>
        <v/>
      </c>
      <c r="AR478" s="198">
        <f>$G478</f>
        <v/>
      </c>
      <c r="AS478" s="199">
        <f>$H478</f>
        <v/>
      </c>
      <c r="AT478" s="199">
        <f>$O478*AT$34-$Q478</f>
        <v/>
      </c>
      <c r="AU478" s="199">
        <f>$O478*AU$34-$Q478</f>
        <v/>
      </c>
      <c r="AV478" s="199">
        <f>$O478*AV$34-$Q478</f>
        <v/>
      </c>
      <c r="AW478" s="199">
        <f>$O478*AW$34-$Q478</f>
        <v/>
      </c>
      <c r="AX478" s="199">
        <f>$O478*AX$34-$Q478</f>
        <v/>
      </c>
      <c r="AZ478" s="198">
        <f>$G478</f>
        <v/>
      </c>
      <c r="BA478" s="199">
        <f>$H478</f>
        <v/>
      </c>
      <c r="BB478" s="199">
        <f>$P478*BB$34-$Q478</f>
        <v/>
      </c>
      <c r="BC478" s="199">
        <f>$P478*BC$34-$Q478</f>
        <v/>
      </c>
      <c r="BD478" s="199">
        <f>$P478*BD$34-$Q478</f>
        <v/>
      </c>
      <c r="BE478" s="199">
        <f>$P478*BE$34-$Q478</f>
        <v/>
      </c>
      <c r="BF478" s="199">
        <f>$P478*BF$34-$Q478</f>
        <v/>
      </c>
      <c r="BH478" s="198">
        <f>$G478</f>
        <v/>
      </c>
      <c r="BI478" s="197">
        <f>$I478</f>
        <v/>
      </c>
      <c r="BJ478" s="197">
        <f>+BJ479</f>
        <v/>
      </c>
      <c r="BK478" s="197">
        <f>+BK479</f>
        <v/>
      </c>
      <c r="BL478" s="197">
        <f>+BL479</f>
        <v/>
      </c>
      <c r="BM478" s="197">
        <f>+BM479</f>
        <v/>
      </c>
      <c r="BN478" s="197">
        <f>+BN479</f>
        <v/>
      </c>
      <c r="BP478" s="198">
        <f>$G478</f>
        <v/>
      </c>
      <c r="BQ478" s="197">
        <f>$J478</f>
        <v/>
      </c>
      <c r="BR478" s="197">
        <f>+BR479</f>
        <v/>
      </c>
      <c r="BS478" s="197">
        <f>+BS479</f>
        <v/>
      </c>
      <c r="BT478" s="197">
        <f>+BT479</f>
        <v/>
      </c>
      <c r="BU478" s="197">
        <f>+BU479</f>
        <v/>
      </c>
      <c r="BV478" s="197">
        <f>+BV479</f>
        <v/>
      </c>
      <c r="BX478" s="198">
        <f>$G478</f>
        <v/>
      </c>
      <c r="BY478" s="197">
        <f>$K478</f>
        <v/>
      </c>
      <c r="BZ478" s="197">
        <f>+BZ479</f>
        <v/>
      </c>
      <c r="CA478" s="197">
        <f>+CA479</f>
        <v/>
      </c>
      <c r="CB478" s="197">
        <f>+CB479</f>
        <v/>
      </c>
      <c r="CC478" s="197">
        <f>+CC479</f>
        <v/>
      </c>
      <c r="CD478" s="197">
        <f>+CD479</f>
        <v/>
      </c>
      <c r="CF478" s="198">
        <f>$G478</f>
        <v/>
      </c>
      <c r="CG478" s="197">
        <f>$L478</f>
        <v/>
      </c>
      <c r="CH478" s="197">
        <f>+CH479</f>
        <v/>
      </c>
      <c r="CI478" s="197">
        <f>+CI479</f>
        <v/>
      </c>
      <c r="CJ478" s="197">
        <f>+CJ479</f>
        <v/>
      </c>
      <c r="CK478" s="197">
        <f>+CK479</f>
        <v/>
      </c>
      <c r="CL478" s="197">
        <f>+CL479</f>
        <v/>
      </c>
      <c r="CO478" s="199" t="n">
        <v>4.565863530006957</v>
      </c>
      <c r="CP478" s="199" t="n">
        <v>2.64</v>
      </c>
      <c r="CR478" s="199" t="n">
        <v>3.61</v>
      </c>
      <c r="CS478" s="970" t="n">
        <v>0.79065</v>
      </c>
    </row>
    <row r="479">
      <c r="B479" s="204">
        <f>+C479-1</f>
        <v/>
      </c>
      <c r="C479" s="204">
        <f>IF('bands_A-H_Avg'!$D$9+1&gt;MONTH(G479),YEAR(G479),YEAR(G479)+1)</f>
        <v/>
      </c>
      <c r="D479" s="204">
        <f>+C479+1</f>
        <v/>
      </c>
      <c r="E479" s="203">
        <f>IF(C479&gt;C478,1,E478+1)</f>
        <v/>
      </c>
      <c r="F479" s="203">
        <f>COUNTIF(C:C,C479)</f>
        <v/>
      </c>
      <c r="G479" s="198">
        <f>+G478+7</f>
        <v/>
      </c>
      <c r="H479" s="361">
        <f>IF(ISBLANK(CO479),CP479,SUMPRODUCT(CO$32:CP$32,CO479:CP479))</f>
        <v/>
      </c>
      <c r="I479" s="968">
        <f>H479/M479</f>
        <v/>
      </c>
      <c r="J479" s="968">
        <f>H479/N479</f>
        <v/>
      </c>
      <c r="K479" s="968">
        <f>(H479+Q479)/O479</f>
        <v/>
      </c>
      <c r="L479" s="968">
        <f>(H479+Q479)/P479</f>
        <v/>
      </c>
      <c r="M479" s="199">
        <f>HLOOKUP(C:C,$4:$10,3,FALSE)+((HLOOKUP(D:D,$4:$10,3,FALSE)-HLOOKUP(C:C,$4:$10,3,FALSE))*E479/F479)</f>
        <v/>
      </c>
      <c r="N479" s="199">
        <f>HLOOKUP(C:C,$4:$10,2,FALSE)+((HLOOKUP(D:D,$4:$10,2,FALSE)-HLOOKUP(C:C,$4:$10,2,FALSE))*E479/F479)</f>
        <v/>
      </c>
      <c r="O479" s="199">
        <f>HLOOKUP(C:C,$4:$10,5,FALSE)+((HLOOKUP(D:D,$4:$10,5,FALSE)-HLOOKUP(C:C,$4:$10,5,FALSE))*E479/F479)</f>
        <v/>
      </c>
      <c r="P479" s="199">
        <f>HLOOKUP(C:C,$4:$10,4,FALSE)+((HLOOKUP(D:D,$4:$10,4,FALSE)-HLOOKUP(C:C,$4:$10,4,FALSE))*E479/F479)</f>
        <v/>
      </c>
      <c r="Q479" s="199">
        <f>HLOOKUP(B:B,$4:$10,6,FALSE)+((HLOOKUP(C:C,$4:$10,6,FALSE)-HLOOKUP(B:B,$4:$10,6,FALSE))*E479/F479)</f>
        <v/>
      </c>
      <c r="T479" s="198">
        <f>$G479</f>
        <v/>
      </c>
      <c r="U479" s="199">
        <f>H479/(HLOOKUP(B:B,$4:$10,3,FALSE)+((HLOOKUP(C:C,$4:$10,3,FALSE)-HLOOKUP(B:B,$4:$10,3,FALSE))*E479/F479))</f>
        <v/>
      </c>
      <c r="V479" s="969">
        <f>HLOOKUP(B:B,$4:$10,7,FALSE)+((HLOOKUP(C:C,$4:$10,7,FALSE)-HLOOKUP(B:B,$4:$10,7,FALSE))*E479/F479)</f>
        <v/>
      </c>
      <c r="AB479" s="198">
        <f>$G479</f>
        <v/>
      </c>
      <c r="AC479" s="199">
        <f>$H479</f>
        <v/>
      </c>
      <c r="AD479" s="199">
        <f>$M479*AD$34</f>
        <v/>
      </c>
      <c r="AE479" s="199">
        <f>$M479*AE$34</f>
        <v/>
      </c>
      <c r="AF479" s="199">
        <f>$M479*AF$34</f>
        <v/>
      </c>
      <c r="AG479" s="199">
        <f>$M479*AG$34</f>
        <v/>
      </c>
      <c r="AH479" s="199">
        <f>$M479*AH$34</f>
        <v/>
      </c>
      <c r="AJ479" s="198">
        <f>$G479</f>
        <v/>
      </c>
      <c r="AK479" s="199">
        <f>$H479</f>
        <v/>
      </c>
      <c r="AL479" s="199">
        <f>$N479*AL$34</f>
        <v/>
      </c>
      <c r="AM479" s="199">
        <f>$N479*AM$34</f>
        <v/>
      </c>
      <c r="AN479" s="199">
        <f>$N479*AN$34</f>
        <v/>
      </c>
      <c r="AO479" s="199">
        <f>$N479*AO$34</f>
        <v/>
      </c>
      <c r="AP479" s="199">
        <f>$N479*AP$34</f>
        <v/>
      </c>
      <c r="AR479" s="198">
        <f>$G479</f>
        <v/>
      </c>
      <c r="AS479" s="199">
        <f>$H479</f>
        <v/>
      </c>
      <c r="AT479" s="199">
        <f>$O479*AT$34-$Q479</f>
        <v/>
      </c>
      <c r="AU479" s="199">
        <f>$O479*AU$34-$Q479</f>
        <v/>
      </c>
      <c r="AV479" s="199">
        <f>$O479*AV$34-$Q479</f>
        <v/>
      </c>
      <c r="AW479" s="199">
        <f>$O479*AW$34-$Q479</f>
        <v/>
      </c>
      <c r="AX479" s="199">
        <f>$O479*AX$34-$Q479</f>
        <v/>
      </c>
      <c r="AZ479" s="198">
        <f>$G479</f>
        <v/>
      </c>
      <c r="BA479" s="199">
        <f>$H479</f>
        <v/>
      </c>
      <c r="BB479" s="199">
        <f>$P479*BB$34-$Q479</f>
        <v/>
      </c>
      <c r="BC479" s="199">
        <f>$P479*BC$34-$Q479</f>
        <v/>
      </c>
      <c r="BD479" s="199">
        <f>$P479*BD$34-$Q479</f>
        <v/>
      </c>
      <c r="BE479" s="199">
        <f>$P479*BE$34-$Q479</f>
        <v/>
      </c>
      <c r="BF479" s="199">
        <f>$P479*BF$34-$Q479</f>
        <v/>
      </c>
      <c r="BH479" s="198">
        <f>$G479</f>
        <v/>
      </c>
      <c r="BI479" s="197">
        <f>$I479</f>
        <v/>
      </c>
      <c r="BJ479" s="197">
        <f>+BJ480</f>
        <v/>
      </c>
      <c r="BK479" s="197">
        <f>+BK480</f>
        <v/>
      </c>
      <c r="BL479" s="197">
        <f>+BL480</f>
        <v/>
      </c>
      <c r="BM479" s="197">
        <f>+BM480</f>
        <v/>
      </c>
      <c r="BN479" s="197">
        <f>+BN480</f>
        <v/>
      </c>
      <c r="BP479" s="198">
        <f>$G479</f>
        <v/>
      </c>
      <c r="BQ479" s="197">
        <f>$J479</f>
        <v/>
      </c>
      <c r="BR479" s="197">
        <f>+BR480</f>
        <v/>
      </c>
      <c r="BS479" s="197">
        <f>+BS480</f>
        <v/>
      </c>
      <c r="BT479" s="197">
        <f>+BT480</f>
        <v/>
      </c>
      <c r="BU479" s="197">
        <f>+BU480</f>
        <v/>
      </c>
      <c r="BV479" s="197">
        <f>+BV480</f>
        <v/>
      </c>
      <c r="BX479" s="198">
        <f>$G479</f>
        <v/>
      </c>
      <c r="BY479" s="197">
        <f>$K479</f>
        <v/>
      </c>
      <c r="BZ479" s="197">
        <f>+BZ480</f>
        <v/>
      </c>
      <c r="CA479" s="197">
        <f>+CA480</f>
        <v/>
      </c>
      <c r="CB479" s="197">
        <f>+CB480</f>
        <v/>
      </c>
      <c r="CC479" s="197">
        <f>+CC480</f>
        <v/>
      </c>
      <c r="CD479" s="197">
        <f>+CD480</f>
        <v/>
      </c>
      <c r="CF479" s="198">
        <f>$G479</f>
        <v/>
      </c>
      <c r="CG479" s="197">
        <f>$L479</f>
        <v/>
      </c>
      <c r="CH479" s="197">
        <f>+CH480</f>
        <v/>
      </c>
      <c r="CI479" s="197">
        <f>+CI480</f>
        <v/>
      </c>
      <c r="CJ479" s="197">
        <f>+CJ480</f>
        <v/>
      </c>
      <c r="CK479" s="197">
        <f>+CK480</f>
        <v/>
      </c>
      <c r="CL479" s="197">
        <f>+CL480</f>
        <v/>
      </c>
      <c r="CO479" s="199" t="n">
        <v>4.221008998079061</v>
      </c>
      <c r="CP479" s="199" t="n">
        <v>2.6</v>
      </c>
      <c r="CR479" s="199" t="n">
        <v>3.34</v>
      </c>
      <c r="CS479" s="970" t="n">
        <v>0.79128</v>
      </c>
    </row>
    <row r="480">
      <c r="B480" s="204">
        <f>+C480-1</f>
        <v/>
      </c>
      <c r="C480" s="204">
        <f>IF('bands_A-H_Avg'!$D$9+1&gt;MONTH(G480),YEAR(G480),YEAR(G480)+1)</f>
        <v/>
      </c>
      <c r="D480" s="204">
        <f>+C480+1</f>
        <v/>
      </c>
      <c r="E480" s="203">
        <f>IF(C480&gt;C479,1,E479+1)</f>
        <v/>
      </c>
      <c r="F480" s="203">
        <f>COUNTIF(C:C,C480)</f>
        <v/>
      </c>
      <c r="G480" s="198">
        <f>+G479+7</f>
        <v/>
      </c>
      <c r="H480" s="361">
        <f>IF(ISBLANK(CO480),CP480,SUMPRODUCT(CO$32:CP$32,CO480:CP480))</f>
        <v/>
      </c>
      <c r="I480" s="968">
        <f>H480/M480</f>
        <v/>
      </c>
      <c r="J480" s="968">
        <f>H480/N480</f>
        <v/>
      </c>
      <c r="K480" s="968">
        <f>(H480+Q480)/O480</f>
        <v/>
      </c>
      <c r="L480" s="968">
        <f>(H480+Q480)/P480</f>
        <v/>
      </c>
      <c r="M480" s="199">
        <f>HLOOKUP(C:C,$4:$10,3,FALSE)+((HLOOKUP(D:D,$4:$10,3,FALSE)-HLOOKUP(C:C,$4:$10,3,FALSE))*E480/F480)</f>
        <v/>
      </c>
      <c r="N480" s="199">
        <f>HLOOKUP(C:C,$4:$10,2,FALSE)+((HLOOKUP(D:D,$4:$10,2,FALSE)-HLOOKUP(C:C,$4:$10,2,FALSE))*E480/F480)</f>
        <v/>
      </c>
      <c r="O480" s="199">
        <f>HLOOKUP(C:C,$4:$10,5,FALSE)+((HLOOKUP(D:D,$4:$10,5,FALSE)-HLOOKUP(C:C,$4:$10,5,FALSE))*E480/F480)</f>
        <v/>
      </c>
      <c r="P480" s="199">
        <f>HLOOKUP(C:C,$4:$10,4,FALSE)+((HLOOKUP(D:D,$4:$10,4,FALSE)-HLOOKUP(C:C,$4:$10,4,FALSE))*E480/F480)</f>
        <v/>
      </c>
      <c r="Q480" s="199">
        <f>HLOOKUP(B:B,$4:$10,6,FALSE)+((HLOOKUP(C:C,$4:$10,6,FALSE)-HLOOKUP(B:B,$4:$10,6,FALSE))*E480/F480)</f>
        <v/>
      </c>
      <c r="T480" s="198">
        <f>$G480</f>
        <v/>
      </c>
      <c r="U480" s="199">
        <f>H480/(HLOOKUP(B:B,$4:$10,3,FALSE)+((HLOOKUP(C:C,$4:$10,3,FALSE)-HLOOKUP(B:B,$4:$10,3,FALSE))*E480/F480))</f>
        <v/>
      </c>
      <c r="V480" s="969">
        <f>HLOOKUP(B:B,$4:$10,7,FALSE)+((HLOOKUP(C:C,$4:$10,7,FALSE)-HLOOKUP(B:B,$4:$10,7,FALSE))*E480/F480)</f>
        <v/>
      </c>
      <c r="AB480" s="198">
        <f>$G480</f>
        <v/>
      </c>
      <c r="AC480" s="199">
        <f>$H480</f>
        <v/>
      </c>
      <c r="AD480" s="199">
        <f>$M480*AD$34</f>
        <v/>
      </c>
      <c r="AE480" s="199">
        <f>$M480*AE$34</f>
        <v/>
      </c>
      <c r="AF480" s="199">
        <f>$M480*AF$34</f>
        <v/>
      </c>
      <c r="AG480" s="199">
        <f>$M480*AG$34</f>
        <v/>
      </c>
      <c r="AH480" s="199">
        <f>$M480*AH$34</f>
        <v/>
      </c>
      <c r="AJ480" s="198">
        <f>$G480</f>
        <v/>
      </c>
      <c r="AK480" s="199">
        <f>$H480</f>
        <v/>
      </c>
      <c r="AL480" s="199">
        <f>$N480*AL$34</f>
        <v/>
      </c>
      <c r="AM480" s="199">
        <f>$N480*AM$34</f>
        <v/>
      </c>
      <c r="AN480" s="199">
        <f>$N480*AN$34</f>
        <v/>
      </c>
      <c r="AO480" s="199">
        <f>$N480*AO$34</f>
        <v/>
      </c>
      <c r="AP480" s="199">
        <f>$N480*AP$34</f>
        <v/>
      </c>
      <c r="AR480" s="198">
        <f>$G480</f>
        <v/>
      </c>
      <c r="AS480" s="199">
        <f>$H480</f>
        <v/>
      </c>
      <c r="AT480" s="199">
        <f>$O480*AT$34-$Q480</f>
        <v/>
      </c>
      <c r="AU480" s="199">
        <f>$O480*AU$34-$Q480</f>
        <v/>
      </c>
      <c r="AV480" s="199">
        <f>$O480*AV$34-$Q480</f>
        <v/>
      </c>
      <c r="AW480" s="199">
        <f>$O480*AW$34-$Q480</f>
        <v/>
      </c>
      <c r="AX480" s="199">
        <f>$O480*AX$34-$Q480</f>
        <v/>
      </c>
      <c r="AZ480" s="198">
        <f>$G480</f>
        <v/>
      </c>
      <c r="BA480" s="199">
        <f>$H480</f>
        <v/>
      </c>
      <c r="BB480" s="199">
        <f>$P480*BB$34-$Q480</f>
        <v/>
      </c>
      <c r="BC480" s="199">
        <f>$P480*BC$34-$Q480</f>
        <v/>
      </c>
      <c r="BD480" s="199">
        <f>$P480*BD$34-$Q480</f>
        <v/>
      </c>
      <c r="BE480" s="199">
        <f>$P480*BE$34-$Q480</f>
        <v/>
      </c>
      <c r="BF480" s="199">
        <f>$P480*BF$34-$Q480</f>
        <v/>
      </c>
      <c r="BH480" s="198">
        <f>$G480</f>
        <v/>
      </c>
      <c r="BI480" s="197">
        <f>$I480</f>
        <v/>
      </c>
      <c r="BJ480" s="197">
        <f>+BJ481</f>
        <v/>
      </c>
      <c r="BK480" s="197">
        <f>+BK481</f>
        <v/>
      </c>
      <c r="BL480" s="197">
        <f>+BL481</f>
        <v/>
      </c>
      <c r="BM480" s="197">
        <f>+BM481</f>
        <v/>
      </c>
      <c r="BN480" s="197">
        <f>+BN481</f>
        <v/>
      </c>
      <c r="BP480" s="198">
        <f>$G480</f>
        <v/>
      </c>
      <c r="BQ480" s="197">
        <f>$J480</f>
        <v/>
      </c>
      <c r="BR480" s="197">
        <f>+BR481</f>
        <v/>
      </c>
      <c r="BS480" s="197">
        <f>+BS481</f>
        <v/>
      </c>
      <c r="BT480" s="197">
        <f>+BT481</f>
        <v/>
      </c>
      <c r="BU480" s="197">
        <f>+BU481</f>
        <v/>
      </c>
      <c r="BV480" s="197">
        <f>+BV481</f>
        <v/>
      </c>
      <c r="BX480" s="198">
        <f>$G480</f>
        <v/>
      </c>
      <c r="BY480" s="197">
        <f>$K480</f>
        <v/>
      </c>
      <c r="BZ480" s="197">
        <f>+BZ481</f>
        <v/>
      </c>
      <c r="CA480" s="197">
        <f>+CA481</f>
        <v/>
      </c>
      <c r="CB480" s="197">
        <f>+CB481</f>
        <v/>
      </c>
      <c r="CC480" s="197">
        <f>+CC481</f>
        <v/>
      </c>
      <c r="CD480" s="197">
        <f>+CD481</f>
        <v/>
      </c>
      <c r="CF480" s="198">
        <f>$G480</f>
        <v/>
      </c>
      <c r="CG480" s="197">
        <f>$L480</f>
        <v/>
      </c>
      <c r="CH480" s="197">
        <f>+CH481</f>
        <v/>
      </c>
      <c r="CI480" s="197">
        <f>+CI481</f>
        <v/>
      </c>
      <c r="CJ480" s="197">
        <f>+CJ481</f>
        <v/>
      </c>
      <c r="CK480" s="197">
        <f>+CK481</f>
        <v/>
      </c>
      <c r="CL480" s="197">
        <f>+CL481</f>
        <v/>
      </c>
      <c r="CO480" s="199" t="n">
        <v>4.248700732142179</v>
      </c>
      <c r="CP480" s="199" t="n">
        <v>2.5</v>
      </c>
      <c r="CR480" s="199" t="n">
        <v>3.36</v>
      </c>
      <c r="CS480" s="970" t="n">
        <v>0.79083</v>
      </c>
    </row>
    <row r="481">
      <c r="B481" s="204">
        <f>+C481-1</f>
        <v/>
      </c>
      <c r="C481" s="204">
        <f>IF('bands_A-H_Avg'!$D$9+1&gt;MONTH(G481),YEAR(G481),YEAR(G481)+1)</f>
        <v/>
      </c>
      <c r="D481" s="204">
        <f>+C481+1</f>
        <v/>
      </c>
      <c r="E481" s="203">
        <f>IF(C481&gt;C480,1,E480+1)</f>
        <v/>
      </c>
      <c r="F481" s="203">
        <f>COUNTIF(C:C,C481)</f>
        <v/>
      </c>
      <c r="G481" s="198">
        <f>+G480+7</f>
        <v/>
      </c>
      <c r="H481" s="361">
        <f>IF(ISBLANK(CO481),CP481,SUMPRODUCT(CO$32:CP$32,CO481:CP481))</f>
        <v/>
      </c>
      <c r="I481" s="968">
        <f>H481/M481</f>
        <v/>
      </c>
      <c r="J481" s="968">
        <f>H481/N481</f>
        <v/>
      </c>
      <c r="K481" s="968">
        <f>(H481+Q481)/O481</f>
        <v/>
      </c>
      <c r="L481" s="968">
        <f>(H481+Q481)/P481</f>
        <v/>
      </c>
      <c r="M481" s="199">
        <f>HLOOKUP(C:C,$4:$10,3,FALSE)+((HLOOKUP(D:D,$4:$10,3,FALSE)-HLOOKUP(C:C,$4:$10,3,FALSE))*E481/F481)</f>
        <v/>
      </c>
      <c r="N481" s="199">
        <f>HLOOKUP(C:C,$4:$10,2,FALSE)+((HLOOKUP(D:D,$4:$10,2,FALSE)-HLOOKUP(C:C,$4:$10,2,FALSE))*E481/F481)</f>
        <v/>
      </c>
      <c r="O481" s="199">
        <f>HLOOKUP(C:C,$4:$10,5,FALSE)+((HLOOKUP(D:D,$4:$10,5,FALSE)-HLOOKUP(C:C,$4:$10,5,FALSE))*E481/F481)</f>
        <v/>
      </c>
      <c r="P481" s="199">
        <f>HLOOKUP(C:C,$4:$10,4,FALSE)+((HLOOKUP(D:D,$4:$10,4,FALSE)-HLOOKUP(C:C,$4:$10,4,FALSE))*E481/F481)</f>
        <v/>
      </c>
      <c r="Q481" s="199">
        <f>HLOOKUP(B:B,$4:$10,6,FALSE)+((HLOOKUP(C:C,$4:$10,6,FALSE)-HLOOKUP(B:B,$4:$10,6,FALSE))*E481/F481)</f>
        <v/>
      </c>
      <c r="T481" s="198">
        <f>$G481</f>
        <v/>
      </c>
      <c r="U481" s="199">
        <f>H481/(HLOOKUP(B:B,$4:$10,3,FALSE)+((HLOOKUP(C:C,$4:$10,3,FALSE)-HLOOKUP(B:B,$4:$10,3,FALSE))*E481/F481))</f>
        <v/>
      </c>
      <c r="V481" s="969">
        <f>HLOOKUP(B:B,$4:$10,7,FALSE)+((HLOOKUP(C:C,$4:$10,7,FALSE)-HLOOKUP(B:B,$4:$10,7,FALSE))*E481/F481)</f>
        <v/>
      </c>
      <c r="AB481" s="198">
        <f>$G481</f>
        <v/>
      </c>
      <c r="AC481" s="199">
        <f>$H481</f>
        <v/>
      </c>
      <c r="AD481" s="199">
        <f>$M481*AD$34</f>
        <v/>
      </c>
      <c r="AE481" s="199">
        <f>$M481*AE$34</f>
        <v/>
      </c>
      <c r="AF481" s="199">
        <f>$M481*AF$34</f>
        <v/>
      </c>
      <c r="AG481" s="199">
        <f>$M481*AG$34</f>
        <v/>
      </c>
      <c r="AH481" s="199">
        <f>$M481*AH$34</f>
        <v/>
      </c>
      <c r="AJ481" s="198">
        <f>$G481</f>
        <v/>
      </c>
      <c r="AK481" s="199">
        <f>$H481</f>
        <v/>
      </c>
      <c r="AL481" s="199">
        <f>$N481*AL$34</f>
        <v/>
      </c>
      <c r="AM481" s="199">
        <f>$N481*AM$34</f>
        <v/>
      </c>
      <c r="AN481" s="199">
        <f>$N481*AN$34</f>
        <v/>
      </c>
      <c r="AO481" s="199">
        <f>$N481*AO$34</f>
        <v/>
      </c>
      <c r="AP481" s="199">
        <f>$N481*AP$34</f>
        <v/>
      </c>
      <c r="AR481" s="198">
        <f>$G481</f>
        <v/>
      </c>
      <c r="AS481" s="199">
        <f>$H481</f>
        <v/>
      </c>
      <c r="AT481" s="199">
        <f>$O481*AT$34-$Q481</f>
        <v/>
      </c>
      <c r="AU481" s="199">
        <f>$O481*AU$34-$Q481</f>
        <v/>
      </c>
      <c r="AV481" s="199">
        <f>$O481*AV$34-$Q481</f>
        <v/>
      </c>
      <c r="AW481" s="199">
        <f>$O481*AW$34-$Q481</f>
        <v/>
      </c>
      <c r="AX481" s="199">
        <f>$O481*AX$34-$Q481</f>
        <v/>
      </c>
      <c r="AZ481" s="198">
        <f>$G481</f>
        <v/>
      </c>
      <c r="BA481" s="199">
        <f>$H481</f>
        <v/>
      </c>
      <c r="BB481" s="199">
        <f>$P481*BB$34-$Q481</f>
        <v/>
      </c>
      <c r="BC481" s="199">
        <f>$P481*BC$34-$Q481</f>
        <v/>
      </c>
      <c r="BD481" s="199">
        <f>$P481*BD$34-$Q481</f>
        <v/>
      </c>
      <c r="BE481" s="199">
        <f>$P481*BE$34-$Q481</f>
        <v/>
      </c>
      <c r="BF481" s="199">
        <f>$P481*BF$34-$Q481</f>
        <v/>
      </c>
      <c r="BH481" s="198">
        <f>$G481</f>
        <v/>
      </c>
      <c r="BI481" s="197">
        <f>$I481</f>
        <v/>
      </c>
      <c r="BJ481" s="197">
        <f>+BJ482</f>
        <v/>
      </c>
      <c r="BK481" s="197">
        <f>+BK482</f>
        <v/>
      </c>
      <c r="BL481" s="197">
        <f>+BL482</f>
        <v/>
      </c>
      <c r="BM481" s="197">
        <f>+BM482</f>
        <v/>
      </c>
      <c r="BN481" s="197">
        <f>+BN482</f>
        <v/>
      </c>
      <c r="BP481" s="198">
        <f>$G481</f>
        <v/>
      </c>
      <c r="BQ481" s="197">
        <f>$J481</f>
        <v/>
      </c>
      <c r="BR481" s="197">
        <f>+BR482</f>
        <v/>
      </c>
      <c r="BS481" s="197">
        <f>+BS482</f>
        <v/>
      </c>
      <c r="BT481" s="197">
        <f>+BT482</f>
        <v/>
      </c>
      <c r="BU481" s="197">
        <f>+BU482</f>
        <v/>
      </c>
      <c r="BV481" s="197">
        <f>+BV482</f>
        <v/>
      </c>
      <c r="BX481" s="198">
        <f>$G481</f>
        <v/>
      </c>
      <c r="BY481" s="197">
        <f>$K481</f>
        <v/>
      </c>
      <c r="BZ481" s="197">
        <f>+BZ482</f>
        <v/>
      </c>
      <c r="CA481" s="197">
        <f>+CA482</f>
        <v/>
      </c>
      <c r="CB481" s="197">
        <f>+CB482</f>
        <v/>
      </c>
      <c r="CC481" s="197">
        <f>+CC482</f>
        <v/>
      </c>
      <c r="CD481" s="197">
        <f>+CD482</f>
        <v/>
      </c>
      <c r="CF481" s="198">
        <f>$G481</f>
        <v/>
      </c>
      <c r="CG481" s="197">
        <f>$L481</f>
        <v/>
      </c>
      <c r="CH481" s="197">
        <f>+CH482</f>
        <v/>
      </c>
      <c r="CI481" s="197">
        <f>+CI482</f>
        <v/>
      </c>
      <c r="CJ481" s="197">
        <f>+CJ482</f>
        <v/>
      </c>
      <c r="CK481" s="197">
        <f>+CK482</f>
        <v/>
      </c>
      <c r="CL481" s="197">
        <f>+CL482</f>
        <v/>
      </c>
      <c r="CO481" s="199" t="n">
        <v>4.209701275552129</v>
      </c>
      <c r="CP481" s="199" t="n">
        <v>2.58</v>
      </c>
      <c r="CR481" s="199" t="n">
        <v>3.33</v>
      </c>
      <c r="CS481" s="970" t="n">
        <v>0.79103</v>
      </c>
    </row>
    <row r="482">
      <c r="B482" s="204">
        <f>+C482-1</f>
        <v/>
      </c>
      <c r="C482" s="204">
        <f>IF('bands_A-H_Avg'!$D$9+1&gt;MONTH(G482),YEAR(G482),YEAR(G482)+1)</f>
        <v/>
      </c>
      <c r="D482" s="204">
        <f>+C482+1</f>
        <v/>
      </c>
      <c r="E482" s="203">
        <f>IF(C482&gt;C481,1,E481+1)</f>
        <v/>
      </c>
      <c r="F482" s="203">
        <f>COUNTIF(C:C,C482)</f>
        <v/>
      </c>
      <c r="G482" s="198">
        <f>+G481+7</f>
        <v/>
      </c>
      <c r="H482" s="361">
        <f>IF(ISBLANK(CO482),CP482,SUMPRODUCT(CO$32:CP$32,CO482:CP482))</f>
        <v/>
      </c>
      <c r="I482" s="968">
        <f>H482/M482</f>
        <v/>
      </c>
      <c r="J482" s="968">
        <f>H482/N482</f>
        <v/>
      </c>
      <c r="K482" s="968">
        <f>(H482+Q482)/O482</f>
        <v/>
      </c>
      <c r="L482" s="968">
        <f>(H482+Q482)/P482</f>
        <v/>
      </c>
      <c r="M482" s="199">
        <f>HLOOKUP(C:C,$4:$10,3,FALSE)+((HLOOKUP(D:D,$4:$10,3,FALSE)-HLOOKUP(C:C,$4:$10,3,FALSE))*E482/F482)</f>
        <v/>
      </c>
      <c r="N482" s="199">
        <f>HLOOKUP(C:C,$4:$10,2,FALSE)+((HLOOKUP(D:D,$4:$10,2,FALSE)-HLOOKUP(C:C,$4:$10,2,FALSE))*E482/F482)</f>
        <v/>
      </c>
      <c r="O482" s="199">
        <f>HLOOKUP(C:C,$4:$10,5,FALSE)+((HLOOKUP(D:D,$4:$10,5,FALSE)-HLOOKUP(C:C,$4:$10,5,FALSE))*E482/F482)</f>
        <v/>
      </c>
      <c r="P482" s="199">
        <f>HLOOKUP(C:C,$4:$10,4,FALSE)+((HLOOKUP(D:D,$4:$10,4,FALSE)-HLOOKUP(C:C,$4:$10,4,FALSE))*E482/F482)</f>
        <v/>
      </c>
      <c r="Q482" s="199">
        <f>HLOOKUP(B:B,$4:$10,6,FALSE)+((HLOOKUP(C:C,$4:$10,6,FALSE)-HLOOKUP(B:B,$4:$10,6,FALSE))*E482/F482)</f>
        <v/>
      </c>
      <c r="T482" s="198">
        <f>$G482</f>
        <v/>
      </c>
      <c r="U482" s="199">
        <f>H482/(HLOOKUP(B:B,$4:$10,3,FALSE)+((HLOOKUP(C:C,$4:$10,3,FALSE)-HLOOKUP(B:B,$4:$10,3,FALSE))*E482/F482))</f>
        <v/>
      </c>
      <c r="V482" s="969">
        <f>HLOOKUP(B:B,$4:$10,7,FALSE)+((HLOOKUP(C:C,$4:$10,7,FALSE)-HLOOKUP(B:B,$4:$10,7,FALSE))*E482/F482)</f>
        <v/>
      </c>
      <c r="AB482" s="198">
        <f>$G482</f>
        <v/>
      </c>
      <c r="AC482" s="199">
        <f>$H482</f>
        <v/>
      </c>
      <c r="AD482" s="199">
        <f>$M482*AD$34</f>
        <v/>
      </c>
      <c r="AE482" s="199">
        <f>$M482*AE$34</f>
        <v/>
      </c>
      <c r="AF482" s="199">
        <f>$M482*AF$34</f>
        <v/>
      </c>
      <c r="AG482" s="199">
        <f>$M482*AG$34</f>
        <v/>
      </c>
      <c r="AH482" s="199">
        <f>$M482*AH$34</f>
        <v/>
      </c>
      <c r="AJ482" s="198">
        <f>$G482</f>
        <v/>
      </c>
      <c r="AK482" s="199">
        <f>$H482</f>
        <v/>
      </c>
      <c r="AL482" s="199">
        <f>$N482*AL$34</f>
        <v/>
      </c>
      <c r="AM482" s="199">
        <f>$N482*AM$34</f>
        <v/>
      </c>
      <c r="AN482" s="199">
        <f>$N482*AN$34</f>
        <v/>
      </c>
      <c r="AO482" s="199">
        <f>$N482*AO$34</f>
        <v/>
      </c>
      <c r="AP482" s="199">
        <f>$N482*AP$34</f>
        <v/>
      </c>
      <c r="AR482" s="198">
        <f>$G482</f>
        <v/>
      </c>
      <c r="AS482" s="199">
        <f>$H482</f>
        <v/>
      </c>
      <c r="AT482" s="199">
        <f>$O482*AT$34-$Q482</f>
        <v/>
      </c>
      <c r="AU482" s="199">
        <f>$O482*AU$34-$Q482</f>
        <v/>
      </c>
      <c r="AV482" s="199">
        <f>$O482*AV$34-$Q482</f>
        <v/>
      </c>
      <c r="AW482" s="199">
        <f>$O482*AW$34-$Q482</f>
        <v/>
      </c>
      <c r="AX482" s="199">
        <f>$O482*AX$34-$Q482</f>
        <v/>
      </c>
      <c r="AZ482" s="198">
        <f>$G482</f>
        <v/>
      </c>
      <c r="BA482" s="199">
        <f>$H482</f>
        <v/>
      </c>
      <c r="BB482" s="199">
        <f>$P482*BB$34-$Q482</f>
        <v/>
      </c>
      <c r="BC482" s="199">
        <f>$P482*BC$34-$Q482</f>
        <v/>
      </c>
      <c r="BD482" s="199">
        <f>$P482*BD$34-$Q482</f>
        <v/>
      </c>
      <c r="BE482" s="199">
        <f>$P482*BE$34-$Q482</f>
        <v/>
      </c>
      <c r="BF482" s="199">
        <f>$P482*BF$34-$Q482</f>
        <v/>
      </c>
      <c r="BH482" s="198">
        <f>$G482</f>
        <v/>
      </c>
      <c r="BI482" s="197">
        <f>$I482</f>
        <v/>
      </c>
      <c r="BJ482" s="197">
        <f>+BJ483</f>
        <v/>
      </c>
      <c r="BK482" s="197">
        <f>+BK483</f>
        <v/>
      </c>
      <c r="BL482" s="197">
        <f>+BL483</f>
        <v/>
      </c>
      <c r="BM482" s="197">
        <f>+BM483</f>
        <v/>
      </c>
      <c r="BN482" s="197">
        <f>+BN483</f>
        <v/>
      </c>
      <c r="BP482" s="198">
        <f>$G482</f>
        <v/>
      </c>
      <c r="BQ482" s="197">
        <f>$J482</f>
        <v/>
      </c>
      <c r="BR482" s="197">
        <f>+BR483</f>
        <v/>
      </c>
      <c r="BS482" s="197">
        <f>+BS483</f>
        <v/>
      </c>
      <c r="BT482" s="197">
        <f>+BT483</f>
        <v/>
      </c>
      <c r="BU482" s="197">
        <f>+BU483</f>
        <v/>
      </c>
      <c r="BV482" s="197">
        <f>+BV483</f>
        <v/>
      </c>
      <c r="BX482" s="198">
        <f>$G482</f>
        <v/>
      </c>
      <c r="BY482" s="197">
        <f>$K482</f>
        <v/>
      </c>
      <c r="BZ482" s="197">
        <f>+BZ483</f>
        <v/>
      </c>
      <c r="CA482" s="197">
        <f>+CA483</f>
        <v/>
      </c>
      <c r="CB482" s="197">
        <f>+CB483</f>
        <v/>
      </c>
      <c r="CC482" s="197">
        <f>+CC483</f>
        <v/>
      </c>
      <c r="CD482" s="197">
        <f>+CD483</f>
        <v/>
      </c>
      <c r="CF482" s="198">
        <f>$G482</f>
        <v/>
      </c>
      <c r="CG482" s="197">
        <f>$L482</f>
        <v/>
      </c>
      <c r="CH482" s="197">
        <f>+CH483</f>
        <v/>
      </c>
      <c r="CI482" s="197">
        <f>+CI483</f>
        <v/>
      </c>
      <c r="CJ482" s="197">
        <f>+CJ483</f>
        <v/>
      </c>
      <c r="CK482" s="197">
        <f>+CK483</f>
        <v/>
      </c>
      <c r="CL482" s="197">
        <f>+CL483</f>
        <v/>
      </c>
      <c r="CO482" s="199" t="n">
        <v>4.107840287169634</v>
      </c>
      <c r="CP482" s="199" t="n">
        <v>2.59</v>
      </c>
      <c r="CR482" s="199" t="n">
        <v>3.25</v>
      </c>
      <c r="CS482" s="970" t="n">
        <v>0.79117</v>
      </c>
    </row>
    <row r="483">
      <c r="B483" s="204">
        <f>+C483-1</f>
        <v/>
      </c>
      <c r="C483" s="204">
        <f>IF('bands_A-H_Avg'!$D$9+1&gt;MONTH(G483),YEAR(G483),YEAR(G483)+1)</f>
        <v/>
      </c>
      <c r="D483" s="204">
        <f>+C483+1</f>
        <v/>
      </c>
      <c r="E483" s="203">
        <f>IF(C483&gt;C482,1,E482+1)</f>
        <v/>
      </c>
      <c r="F483" s="203">
        <f>COUNTIF(C:C,C483)</f>
        <v/>
      </c>
      <c r="G483" s="198">
        <f>+G482+7</f>
        <v/>
      </c>
      <c r="H483" s="361">
        <f>IF(ISBLANK(CO483),CP483,SUMPRODUCT(CO$32:CP$32,CO483:CP483))</f>
        <v/>
      </c>
      <c r="I483" s="968">
        <f>H483/M483</f>
        <v/>
      </c>
      <c r="J483" s="968">
        <f>H483/N483</f>
        <v/>
      </c>
      <c r="K483" s="968">
        <f>(H483+Q483)/O483</f>
        <v/>
      </c>
      <c r="L483" s="968">
        <f>(H483+Q483)/P483</f>
        <v/>
      </c>
      <c r="M483" s="199">
        <f>HLOOKUP(C:C,$4:$10,3,FALSE)+((HLOOKUP(D:D,$4:$10,3,FALSE)-HLOOKUP(C:C,$4:$10,3,FALSE))*E483/F483)</f>
        <v/>
      </c>
      <c r="N483" s="199">
        <f>HLOOKUP(C:C,$4:$10,2,FALSE)+((HLOOKUP(D:D,$4:$10,2,FALSE)-HLOOKUP(C:C,$4:$10,2,FALSE))*E483/F483)</f>
        <v/>
      </c>
      <c r="O483" s="199">
        <f>HLOOKUP(C:C,$4:$10,5,FALSE)+((HLOOKUP(D:D,$4:$10,5,FALSE)-HLOOKUP(C:C,$4:$10,5,FALSE))*E483/F483)</f>
        <v/>
      </c>
      <c r="P483" s="199">
        <f>HLOOKUP(C:C,$4:$10,4,FALSE)+((HLOOKUP(D:D,$4:$10,4,FALSE)-HLOOKUP(C:C,$4:$10,4,FALSE))*E483/F483)</f>
        <v/>
      </c>
      <c r="Q483" s="199">
        <f>HLOOKUP(B:B,$4:$10,6,FALSE)+((HLOOKUP(C:C,$4:$10,6,FALSE)-HLOOKUP(B:B,$4:$10,6,FALSE))*E483/F483)</f>
        <v/>
      </c>
      <c r="T483" s="198">
        <f>$G483</f>
        <v/>
      </c>
      <c r="U483" s="199">
        <f>H483/(HLOOKUP(B:B,$4:$10,3,FALSE)+((HLOOKUP(C:C,$4:$10,3,FALSE)-HLOOKUP(B:B,$4:$10,3,FALSE))*E483/F483))</f>
        <v/>
      </c>
      <c r="V483" s="969">
        <f>HLOOKUP(B:B,$4:$10,7,FALSE)+((HLOOKUP(C:C,$4:$10,7,FALSE)-HLOOKUP(B:B,$4:$10,7,FALSE))*E483/F483)</f>
        <v/>
      </c>
      <c r="AB483" s="198">
        <f>$G483</f>
        <v/>
      </c>
      <c r="AC483" s="199">
        <f>$H483</f>
        <v/>
      </c>
      <c r="AD483" s="199">
        <f>$M483*AD$34</f>
        <v/>
      </c>
      <c r="AE483" s="199">
        <f>$M483*AE$34</f>
        <v/>
      </c>
      <c r="AF483" s="199">
        <f>$M483*AF$34</f>
        <v/>
      </c>
      <c r="AG483" s="199">
        <f>$M483*AG$34</f>
        <v/>
      </c>
      <c r="AH483" s="199">
        <f>$M483*AH$34</f>
        <v/>
      </c>
      <c r="AJ483" s="198">
        <f>$G483</f>
        <v/>
      </c>
      <c r="AK483" s="199">
        <f>$H483</f>
        <v/>
      </c>
      <c r="AL483" s="199">
        <f>$N483*AL$34</f>
        <v/>
      </c>
      <c r="AM483" s="199">
        <f>$N483*AM$34</f>
        <v/>
      </c>
      <c r="AN483" s="199">
        <f>$N483*AN$34</f>
        <v/>
      </c>
      <c r="AO483" s="199">
        <f>$N483*AO$34</f>
        <v/>
      </c>
      <c r="AP483" s="199">
        <f>$N483*AP$34</f>
        <v/>
      </c>
      <c r="AR483" s="198">
        <f>$G483</f>
        <v/>
      </c>
      <c r="AS483" s="199">
        <f>$H483</f>
        <v/>
      </c>
      <c r="AT483" s="199">
        <f>$O483*AT$34-$Q483</f>
        <v/>
      </c>
      <c r="AU483" s="199">
        <f>$O483*AU$34-$Q483</f>
        <v/>
      </c>
      <c r="AV483" s="199">
        <f>$O483*AV$34-$Q483</f>
        <v/>
      </c>
      <c r="AW483" s="199">
        <f>$O483*AW$34-$Q483</f>
        <v/>
      </c>
      <c r="AX483" s="199">
        <f>$O483*AX$34-$Q483</f>
        <v/>
      </c>
      <c r="AZ483" s="198">
        <f>$G483</f>
        <v/>
      </c>
      <c r="BA483" s="199">
        <f>$H483</f>
        <v/>
      </c>
      <c r="BB483" s="199">
        <f>$P483*BB$34-$Q483</f>
        <v/>
      </c>
      <c r="BC483" s="199">
        <f>$P483*BC$34-$Q483</f>
        <v/>
      </c>
      <c r="BD483" s="199">
        <f>$P483*BD$34-$Q483</f>
        <v/>
      </c>
      <c r="BE483" s="199">
        <f>$P483*BE$34-$Q483</f>
        <v/>
      </c>
      <c r="BF483" s="199">
        <f>$P483*BF$34-$Q483</f>
        <v/>
      </c>
      <c r="BH483" s="198">
        <f>$G483</f>
        <v/>
      </c>
      <c r="BI483" s="197">
        <f>$I483</f>
        <v/>
      </c>
      <c r="BJ483" s="197">
        <f>+BJ484</f>
        <v/>
      </c>
      <c r="BK483" s="197">
        <f>+BK484</f>
        <v/>
      </c>
      <c r="BL483" s="197">
        <f>+BL484</f>
        <v/>
      </c>
      <c r="BM483" s="197">
        <f>+BM484</f>
        <v/>
      </c>
      <c r="BN483" s="197">
        <f>+BN484</f>
        <v/>
      </c>
      <c r="BP483" s="198">
        <f>$G483</f>
        <v/>
      </c>
      <c r="BQ483" s="197">
        <f>$J483</f>
        <v/>
      </c>
      <c r="BR483" s="197">
        <f>+BR484</f>
        <v/>
      </c>
      <c r="BS483" s="197">
        <f>+BS484</f>
        <v/>
      </c>
      <c r="BT483" s="197">
        <f>+BT484</f>
        <v/>
      </c>
      <c r="BU483" s="197">
        <f>+BU484</f>
        <v/>
      </c>
      <c r="BV483" s="197">
        <f>+BV484</f>
        <v/>
      </c>
      <c r="BX483" s="198">
        <f>$G483</f>
        <v/>
      </c>
      <c r="BY483" s="197">
        <f>$K483</f>
        <v/>
      </c>
      <c r="BZ483" s="197">
        <f>+BZ484</f>
        <v/>
      </c>
      <c r="CA483" s="197">
        <f>+CA484</f>
        <v/>
      </c>
      <c r="CB483" s="197">
        <f>+CB484</f>
        <v/>
      </c>
      <c r="CC483" s="197">
        <f>+CC484</f>
        <v/>
      </c>
      <c r="CD483" s="197">
        <f>+CD484</f>
        <v/>
      </c>
      <c r="CF483" s="198">
        <f>$G483</f>
        <v/>
      </c>
      <c r="CG483" s="197">
        <f>$L483</f>
        <v/>
      </c>
      <c r="CH483" s="197">
        <f>+CH484</f>
        <v/>
      </c>
      <c r="CI483" s="197">
        <f>+CI484</f>
        <v/>
      </c>
      <c r="CJ483" s="197">
        <f>+CJ484</f>
        <v/>
      </c>
      <c r="CK483" s="197">
        <f>+CK484</f>
        <v/>
      </c>
      <c r="CL483" s="197">
        <f>+CL484</f>
        <v/>
      </c>
      <c r="CO483" s="199" t="n">
        <v>4.08633166337736</v>
      </c>
      <c r="CP483" s="199" t="n">
        <v>2.69</v>
      </c>
      <c r="CR483" s="199" t="n">
        <v>3.23</v>
      </c>
      <c r="CS483" s="970" t="n">
        <v>0.79044</v>
      </c>
    </row>
    <row r="484">
      <c r="B484" s="204">
        <f>+C484-1</f>
        <v/>
      </c>
      <c r="C484" s="204">
        <f>IF('bands_A-H_Avg'!$D$9+1&gt;MONTH(G484),YEAR(G484),YEAR(G484)+1)</f>
        <v/>
      </c>
      <c r="D484" s="204">
        <f>+C484+1</f>
        <v/>
      </c>
      <c r="E484" s="203">
        <f>IF(C484&gt;C483,1,E483+1)</f>
        <v/>
      </c>
      <c r="F484" s="203">
        <f>COUNTIF(C:C,C484)</f>
        <v/>
      </c>
      <c r="G484" s="198">
        <f>+G483+7</f>
        <v/>
      </c>
      <c r="H484" s="361">
        <f>IF(ISBLANK(CO484),CP484,SUMPRODUCT(CO$32:CP$32,CO484:CP484))</f>
        <v/>
      </c>
      <c r="I484" s="968">
        <f>H484/M484</f>
        <v/>
      </c>
      <c r="J484" s="968">
        <f>H484/N484</f>
        <v/>
      </c>
      <c r="K484" s="968">
        <f>(H484+Q484)/O484</f>
        <v/>
      </c>
      <c r="L484" s="968">
        <f>(H484+Q484)/P484</f>
        <v/>
      </c>
      <c r="M484" s="199">
        <f>HLOOKUP(C:C,$4:$10,3,FALSE)+((HLOOKUP(D:D,$4:$10,3,FALSE)-HLOOKUP(C:C,$4:$10,3,FALSE))*E484/F484)</f>
        <v/>
      </c>
      <c r="N484" s="199">
        <f>HLOOKUP(C:C,$4:$10,2,FALSE)+((HLOOKUP(D:D,$4:$10,2,FALSE)-HLOOKUP(C:C,$4:$10,2,FALSE))*E484/F484)</f>
        <v/>
      </c>
      <c r="O484" s="199">
        <f>HLOOKUP(C:C,$4:$10,5,FALSE)+((HLOOKUP(D:D,$4:$10,5,FALSE)-HLOOKUP(C:C,$4:$10,5,FALSE))*E484/F484)</f>
        <v/>
      </c>
      <c r="P484" s="199">
        <f>HLOOKUP(C:C,$4:$10,4,FALSE)+((HLOOKUP(D:D,$4:$10,4,FALSE)-HLOOKUP(C:C,$4:$10,4,FALSE))*E484/F484)</f>
        <v/>
      </c>
      <c r="Q484" s="199">
        <f>HLOOKUP(B:B,$4:$10,6,FALSE)+((HLOOKUP(C:C,$4:$10,6,FALSE)-HLOOKUP(B:B,$4:$10,6,FALSE))*E484/F484)</f>
        <v/>
      </c>
      <c r="T484" s="198">
        <f>$G484</f>
        <v/>
      </c>
      <c r="U484" s="199">
        <f>H484/(HLOOKUP(B:B,$4:$10,3,FALSE)+((HLOOKUP(C:C,$4:$10,3,FALSE)-HLOOKUP(B:B,$4:$10,3,FALSE))*E484/F484))</f>
        <v/>
      </c>
      <c r="V484" s="969">
        <f>HLOOKUP(B:B,$4:$10,7,FALSE)+((HLOOKUP(C:C,$4:$10,7,FALSE)-HLOOKUP(B:B,$4:$10,7,FALSE))*E484/F484)</f>
        <v/>
      </c>
      <c r="AB484" s="198">
        <f>$G484</f>
        <v/>
      </c>
      <c r="AC484" s="199">
        <f>$H484</f>
        <v/>
      </c>
      <c r="AD484" s="199">
        <f>$M484*AD$34</f>
        <v/>
      </c>
      <c r="AE484" s="199">
        <f>$M484*AE$34</f>
        <v/>
      </c>
      <c r="AF484" s="199">
        <f>$M484*AF$34</f>
        <v/>
      </c>
      <c r="AG484" s="199">
        <f>$M484*AG$34</f>
        <v/>
      </c>
      <c r="AH484" s="199">
        <f>$M484*AH$34</f>
        <v/>
      </c>
      <c r="AJ484" s="198">
        <f>$G484</f>
        <v/>
      </c>
      <c r="AK484" s="199">
        <f>$H484</f>
        <v/>
      </c>
      <c r="AL484" s="199">
        <f>$N484*AL$34</f>
        <v/>
      </c>
      <c r="AM484" s="199">
        <f>$N484*AM$34</f>
        <v/>
      </c>
      <c r="AN484" s="199">
        <f>$N484*AN$34</f>
        <v/>
      </c>
      <c r="AO484" s="199">
        <f>$N484*AO$34</f>
        <v/>
      </c>
      <c r="AP484" s="199">
        <f>$N484*AP$34</f>
        <v/>
      </c>
      <c r="AR484" s="198">
        <f>$G484</f>
        <v/>
      </c>
      <c r="AS484" s="199">
        <f>$H484</f>
        <v/>
      </c>
      <c r="AT484" s="199">
        <f>$O484*AT$34-$Q484</f>
        <v/>
      </c>
      <c r="AU484" s="199">
        <f>$O484*AU$34-$Q484</f>
        <v/>
      </c>
      <c r="AV484" s="199">
        <f>$O484*AV$34-$Q484</f>
        <v/>
      </c>
      <c r="AW484" s="199">
        <f>$O484*AW$34-$Q484</f>
        <v/>
      </c>
      <c r="AX484" s="199">
        <f>$O484*AX$34-$Q484</f>
        <v/>
      </c>
      <c r="AZ484" s="198">
        <f>$G484</f>
        <v/>
      </c>
      <c r="BA484" s="199">
        <f>$H484</f>
        <v/>
      </c>
      <c r="BB484" s="199">
        <f>$P484*BB$34-$Q484</f>
        <v/>
      </c>
      <c r="BC484" s="199">
        <f>$P484*BC$34-$Q484</f>
        <v/>
      </c>
      <c r="BD484" s="199">
        <f>$P484*BD$34-$Q484</f>
        <v/>
      </c>
      <c r="BE484" s="199">
        <f>$P484*BE$34-$Q484</f>
        <v/>
      </c>
      <c r="BF484" s="199">
        <f>$P484*BF$34-$Q484</f>
        <v/>
      </c>
      <c r="BH484" s="198">
        <f>$G484</f>
        <v/>
      </c>
      <c r="BI484" s="197">
        <f>$I484</f>
        <v/>
      </c>
      <c r="BJ484" s="197">
        <f>+BJ485</f>
        <v/>
      </c>
      <c r="BK484" s="197">
        <f>+BK485</f>
        <v/>
      </c>
      <c r="BL484" s="197">
        <f>+BL485</f>
        <v/>
      </c>
      <c r="BM484" s="197">
        <f>+BM485</f>
        <v/>
      </c>
      <c r="BN484" s="197">
        <f>+BN485</f>
        <v/>
      </c>
      <c r="BP484" s="198">
        <f>$G484</f>
        <v/>
      </c>
      <c r="BQ484" s="197">
        <f>$J484</f>
        <v/>
      </c>
      <c r="BR484" s="197">
        <f>+BR485</f>
        <v/>
      </c>
      <c r="BS484" s="197">
        <f>+BS485</f>
        <v/>
      </c>
      <c r="BT484" s="197">
        <f>+BT485</f>
        <v/>
      </c>
      <c r="BU484" s="197">
        <f>+BU485</f>
        <v/>
      </c>
      <c r="BV484" s="197">
        <f>+BV485</f>
        <v/>
      </c>
      <c r="BX484" s="198">
        <f>$G484</f>
        <v/>
      </c>
      <c r="BY484" s="197">
        <f>$K484</f>
        <v/>
      </c>
      <c r="BZ484" s="197">
        <f>+BZ485</f>
        <v/>
      </c>
      <c r="CA484" s="197">
        <f>+CA485</f>
        <v/>
      </c>
      <c r="CB484" s="197">
        <f>+CB485</f>
        <v/>
      </c>
      <c r="CC484" s="197">
        <f>+CC485</f>
        <v/>
      </c>
      <c r="CD484" s="197">
        <f>+CD485</f>
        <v/>
      </c>
      <c r="CF484" s="198">
        <f>$G484</f>
        <v/>
      </c>
      <c r="CG484" s="197">
        <f>$L484</f>
        <v/>
      </c>
      <c r="CH484" s="197">
        <f>+CH485</f>
        <v/>
      </c>
      <c r="CI484" s="197">
        <f>+CI485</f>
        <v/>
      </c>
      <c r="CJ484" s="197">
        <f>+CJ485</f>
        <v/>
      </c>
      <c r="CK484" s="197">
        <f>+CK485</f>
        <v/>
      </c>
      <c r="CL484" s="197">
        <f>+CL485</f>
        <v/>
      </c>
      <c r="CO484" s="199" t="n">
        <v>4.100020247013566</v>
      </c>
      <c r="CP484" s="199" t="n">
        <v>2.71</v>
      </c>
      <c r="CR484" s="199" t="n">
        <v>3.24</v>
      </c>
      <c r="CS484" s="970" t="n">
        <v>0.7902400000000001</v>
      </c>
    </row>
    <row r="485">
      <c r="B485" s="204">
        <f>+C485-1</f>
        <v/>
      </c>
      <c r="C485" s="204">
        <f>IF('bands_A-H_Avg'!$D$9+1&gt;MONTH(G485),YEAR(G485),YEAR(G485)+1)</f>
        <v/>
      </c>
      <c r="D485" s="204">
        <f>+C485+1</f>
        <v/>
      </c>
      <c r="E485" s="203">
        <f>IF(C485&gt;C484,1,E484+1)</f>
        <v/>
      </c>
      <c r="F485" s="203">
        <f>COUNTIF(C:C,C485)</f>
        <v/>
      </c>
      <c r="G485" s="198">
        <f>+G484+7</f>
        <v/>
      </c>
      <c r="H485" s="361">
        <f>IF(ISBLANK(CO485),CP485,SUMPRODUCT(CO$32:CP$32,CO485:CP485))</f>
        <v/>
      </c>
      <c r="I485" s="968">
        <f>H485/M485</f>
        <v/>
      </c>
      <c r="J485" s="968">
        <f>H485/N485</f>
        <v/>
      </c>
      <c r="K485" s="968">
        <f>(H485+Q485)/O485</f>
        <v/>
      </c>
      <c r="L485" s="968">
        <f>(H485+Q485)/P485</f>
        <v/>
      </c>
      <c r="M485" s="199">
        <f>HLOOKUP(C:C,$4:$10,3,FALSE)+((HLOOKUP(D:D,$4:$10,3,FALSE)-HLOOKUP(C:C,$4:$10,3,FALSE))*E485/F485)</f>
        <v/>
      </c>
      <c r="N485" s="199">
        <f>HLOOKUP(C:C,$4:$10,2,FALSE)+((HLOOKUP(D:D,$4:$10,2,FALSE)-HLOOKUP(C:C,$4:$10,2,FALSE))*E485/F485)</f>
        <v/>
      </c>
      <c r="O485" s="199">
        <f>HLOOKUP(C:C,$4:$10,5,FALSE)+((HLOOKUP(D:D,$4:$10,5,FALSE)-HLOOKUP(C:C,$4:$10,5,FALSE))*E485/F485)</f>
        <v/>
      </c>
      <c r="P485" s="199">
        <f>HLOOKUP(C:C,$4:$10,4,FALSE)+((HLOOKUP(D:D,$4:$10,4,FALSE)-HLOOKUP(C:C,$4:$10,4,FALSE))*E485/F485)</f>
        <v/>
      </c>
      <c r="Q485" s="199">
        <f>HLOOKUP(B:B,$4:$10,6,FALSE)+((HLOOKUP(C:C,$4:$10,6,FALSE)-HLOOKUP(B:B,$4:$10,6,FALSE))*E485/F485)</f>
        <v/>
      </c>
      <c r="T485" s="198">
        <f>$G485</f>
        <v/>
      </c>
      <c r="U485" s="199">
        <f>H485/(HLOOKUP(B:B,$4:$10,3,FALSE)+((HLOOKUP(C:C,$4:$10,3,FALSE)-HLOOKUP(B:B,$4:$10,3,FALSE))*E485/F485))</f>
        <v/>
      </c>
      <c r="V485" s="969">
        <f>HLOOKUP(B:B,$4:$10,7,FALSE)+((HLOOKUP(C:C,$4:$10,7,FALSE)-HLOOKUP(B:B,$4:$10,7,FALSE))*E485/F485)</f>
        <v/>
      </c>
      <c r="AB485" s="198">
        <f>$G485</f>
        <v/>
      </c>
      <c r="AC485" s="199">
        <f>$H485</f>
        <v/>
      </c>
      <c r="AD485" s="199">
        <f>$M485*AD$34</f>
        <v/>
      </c>
      <c r="AE485" s="199">
        <f>$M485*AE$34</f>
        <v/>
      </c>
      <c r="AF485" s="199">
        <f>$M485*AF$34</f>
        <v/>
      </c>
      <c r="AG485" s="199">
        <f>$M485*AG$34</f>
        <v/>
      </c>
      <c r="AH485" s="199">
        <f>$M485*AH$34</f>
        <v/>
      </c>
      <c r="AJ485" s="198">
        <f>$G485</f>
        <v/>
      </c>
      <c r="AK485" s="199">
        <f>$H485</f>
        <v/>
      </c>
      <c r="AL485" s="199">
        <f>$N485*AL$34</f>
        <v/>
      </c>
      <c r="AM485" s="199">
        <f>$N485*AM$34</f>
        <v/>
      </c>
      <c r="AN485" s="199">
        <f>$N485*AN$34</f>
        <v/>
      </c>
      <c r="AO485" s="199">
        <f>$N485*AO$34</f>
        <v/>
      </c>
      <c r="AP485" s="199">
        <f>$N485*AP$34</f>
        <v/>
      </c>
      <c r="AR485" s="198">
        <f>$G485</f>
        <v/>
      </c>
      <c r="AS485" s="199">
        <f>$H485</f>
        <v/>
      </c>
      <c r="AT485" s="199">
        <f>$O485*AT$34-$Q485</f>
        <v/>
      </c>
      <c r="AU485" s="199">
        <f>$O485*AU$34-$Q485</f>
        <v/>
      </c>
      <c r="AV485" s="199">
        <f>$O485*AV$34-$Q485</f>
        <v/>
      </c>
      <c r="AW485" s="199">
        <f>$O485*AW$34-$Q485</f>
        <v/>
      </c>
      <c r="AX485" s="199">
        <f>$O485*AX$34-$Q485</f>
        <v/>
      </c>
      <c r="AZ485" s="198">
        <f>$G485</f>
        <v/>
      </c>
      <c r="BA485" s="199">
        <f>$H485</f>
        <v/>
      </c>
      <c r="BB485" s="199">
        <f>$P485*BB$34-$Q485</f>
        <v/>
      </c>
      <c r="BC485" s="199">
        <f>$P485*BC$34-$Q485</f>
        <v/>
      </c>
      <c r="BD485" s="199">
        <f>$P485*BD$34-$Q485</f>
        <v/>
      </c>
      <c r="BE485" s="199">
        <f>$P485*BE$34-$Q485</f>
        <v/>
      </c>
      <c r="BF485" s="199">
        <f>$P485*BF$34-$Q485</f>
        <v/>
      </c>
      <c r="BH485" s="198">
        <f>$G485</f>
        <v/>
      </c>
      <c r="BI485" s="197">
        <f>$I485</f>
        <v/>
      </c>
      <c r="BJ485" s="197">
        <f>+BJ486</f>
        <v/>
      </c>
      <c r="BK485" s="197">
        <f>+BK486</f>
        <v/>
      </c>
      <c r="BL485" s="197">
        <f>+BL486</f>
        <v/>
      </c>
      <c r="BM485" s="197">
        <f>+BM486</f>
        <v/>
      </c>
      <c r="BN485" s="197">
        <f>+BN486</f>
        <v/>
      </c>
      <c r="BP485" s="198">
        <f>$G485</f>
        <v/>
      </c>
      <c r="BQ485" s="197">
        <f>$J485</f>
        <v/>
      </c>
      <c r="BR485" s="197">
        <f>+BR486</f>
        <v/>
      </c>
      <c r="BS485" s="197">
        <f>+BS486</f>
        <v/>
      </c>
      <c r="BT485" s="197">
        <f>+BT486</f>
        <v/>
      </c>
      <c r="BU485" s="197">
        <f>+BU486</f>
        <v/>
      </c>
      <c r="BV485" s="197">
        <f>+BV486</f>
        <v/>
      </c>
      <c r="BX485" s="198">
        <f>$G485</f>
        <v/>
      </c>
      <c r="BY485" s="197">
        <f>$K485</f>
        <v/>
      </c>
      <c r="BZ485" s="197">
        <f>+BZ486</f>
        <v/>
      </c>
      <c r="CA485" s="197">
        <f>+CA486</f>
        <v/>
      </c>
      <c r="CB485" s="197">
        <f>+CB486</f>
        <v/>
      </c>
      <c r="CC485" s="197">
        <f>+CC486</f>
        <v/>
      </c>
      <c r="CD485" s="197">
        <f>+CD486</f>
        <v/>
      </c>
      <c r="CF485" s="198">
        <f>$G485</f>
        <v/>
      </c>
      <c r="CG485" s="197">
        <f>$L485</f>
        <v/>
      </c>
      <c r="CH485" s="197">
        <f>+CH486</f>
        <v/>
      </c>
      <c r="CI485" s="197">
        <f>+CI486</f>
        <v/>
      </c>
      <c r="CJ485" s="197">
        <f>+CJ486</f>
        <v/>
      </c>
      <c r="CK485" s="197">
        <f>+CK486</f>
        <v/>
      </c>
      <c r="CL485" s="197">
        <f>+CL486</f>
        <v/>
      </c>
      <c r="CO485" s="199" t="n">
        <v>4.155475599249987</v>
      </c>
      <c r="CP485" s="199" t="n">
        <v>2.78</v>
      </c>
      <c r="CR485" s="199" t="n">
        <v>3.28</v>
      </c>
      <c r="CS485" s="970" t="n">
        <v>0.78932</v>
      </c>
    </row>
    <row r="486">
      <c r="B486" s="204">
        <f>+C486-1</f>
        <v/>
      </c>
      <c r="C486" s="204">
        <f>IF('bands_A-H_Avg'!$D$9+1&gt;MONTH(G486),YEAR(G486),YEAR(G486)+1)</f>
        <v/>
      </c>
      <c r="D486" s="204">
        <f>+C486+1</f>
        <v/>
      </c>
      <c r="E486" s="203">
        <f>IF(C486&gt;C485,1,E485+1)</f>
        <v/>
      </c>
      <c r="F486" s="203">
        <f>COUNTIF(C:C,C486)</f>
        <v/>
      </c>
      <c r="G486" s="198">
        <f>+G485+7</f>
        <v/>
      </c>
      <c r="H486" s="361">
        <f>IF(ISBLANK(CO486),CP486,SUMPRODUCT(CO$32:CP$32,CO486:CP486))</f>
        <v/>
      </c>
      <c r="I486" s="968">
        <f>H486/M486</f>
        <v/>
      </c>
      <c r="J486" s="968">
        <f>H486/N486</f>
        <v/>
      </c>
      <c r="K486" s="968">
        <f>(H486+Q486)/O486</f>
        <v/>
      </c>
      <c r="L486" s="968">
        <f>(H486+Q486)/P486</f>
        <v/>
      </c>
      <c r="M486" s="199">
        <f>HLOOKUP(C:C,$4:$10,3,FALSE)+((HLOOKUP(D:D,$4:$10,3,FALSE)-HLOOKUP(C:C,$4:$10,3,FALSE))*E486/F486)</f>
        <v/>
      </c>
      <c r="N486" s="199">
        <f>HLOOKUP(C:C,$4:$10,2,FALSE)+((HLOOKUP(D:D,$4:$10,2,FALSE)-HLOOKUP(C:C,$4:$10,2,FALSE))*E486/F486)</f>
        <v/>
      </c>
      <c r="O486" s="199">
        <f>HLOOKUP(C:C,$4:$10,5,FALSE)+((HLOOKUP(D:D,$4:$10,5,FALSE)-HLOOKUP(C:C,$4:$10,5,FALSE))*E486/F486)</f>
        <v/>
      </c>
      <c r="P486" s="199">
        <f>HLOOKUP(C:C,$4:$10,4,FALSE)+((HLOOKUP(D:D,$4:$10,4,FALSE)-HLOOKUP(C:C,$4:$10,4,FALSE))*E486/F486)</f>
        <v/>
      </c>
      <c r="Q486" s="199">
        <f>HLOOKUP(B:B,$4:$10,6,FALSE)+((HLOOKUP(C:C,$4:$10,6,FALSE)-HLOOKUP(B:B,$4:$10,6,FALSE))*E486/F486)</f>
        <v/>
      </c>
      <c r="T486" s="198">
        <f>$G486</f>
        <v/>
      </c>
      <c r="U486" s="199">
        <f>H486/(HLOOKUP(B:B,$4:$10,3,FALSE)+((HLOOKUP(C:C,$4:$10,3,FALSE)-HLOOKUP(B:B,$4:$10,3,FALSE))*E486/F486))</f>
        <v/>
      </c>
      <c r="V486" s="969">
        <f>HLOOKUP(B:B,$4:$10,7,FALSE)+((HLOOKUP(C:C,$4:$10,7,FALSE)-HLOOKUP(B:B,$4:$10,7,FALSE))*E486/F486)</f>
        <v/>
      </c>
      <c r="AB486" s="198">
        <f>$G486</f>
        <v/>
      </c>
      <c r="AC486" s="199">
        <f>$H486</f>
        <v/>
      </c>
      <c r="AD486" s="199">
        <f>$M486*AD$34</f>
        <v/>
      </c>
      <c r="AE486" s="199">
        <f>$M486*AE$34</f>
        <v/>
      </c>
      <c r="AF486" s="199">
        <f>$M486*AF$34</f>
        <v/>
      </c>
      <c r="AG486" s="199">
        <f>$M486*AG$34</f>
        <v/>
      </c>
      <c r="AH486" s="199">
        <f>$M486*AH$34</f>
        <v/>
      </c>
      <c r="AJ486" s="198">
        <f>$G486</f>
        <v/>
      </c>
      <c r="AK486" s="199">
        <f>$H486</f>
        <v/>
      </c>
      <c r="AL486" s="199">
        <f>$N486*AL$34</f>
        <v/>
      </c>
      <c r="AM486" s="199">
        <f>$N486*AM$34</f>
        <v/>
      </c>
      <c r="AN486" s="199">
        <f>$N486*AN$34</f>
        <v/>
      </c>
      <c r="AO486" s="199">
        <f>$N486*AO$34</f>
        <v/>
      </c>
      <c r="AP486" s="199">
        <f>$N486*AP$34</f>
        <v/>
      </c>
      <c r="AR486" s="198">
        <f>$G486</f>
        <v/>
      </c>
      <c r="AS486" s="199">
        <f>$H486</f>
        <v/>
      </c>
      <c r="AT486" s="199">
        <f>$O486*AT$34-$Q486</f>
        <v/>
      </c>
      <c r="AU486" s="199">
        <f>$O486*AU$34-$Q486</f>
        <v/>
      </c>
      <c r="AV486" s="199">
        <f>$O486*AV$34-$Q486</f>
        <v/>
      </c>
      <c r="AW486" s="199">
        <f>$O486*AW$34-$Q486</f>
        <v/>
      </c>
      <c r="AX486" s="199">
        <f>$O486*AX$34-$Q486</f>
        <v/>
      </c>
      <c r="AZ486" s="198">
        <f>$G486</f>
        <v/>
      </c>
      <c r="BA486" s="199">
        <f>$H486</f>
        <v/>
      </c>
      <c r="BB486" s="199">
        <f>$P486*BB$34-$Q486</f>
        <v/>
      </c>
      <c r="BC486" s="199">
        <f>$P486*BC$34-$Q486</f>
        <v/>
      </c>
      <c r="BD486" s="199">
        <f>$P486*BD$34-$Q486</f>
        <v/>
      </c>
      <c r="BE486" s="199">
        <f>$P486*BE$34-$Q486</f>
        <v/>
      </c>
      <c r="BF486" s="199">
        <f>$P486*BF$34-$Q486</f>
        <v/>
      </c>
      <c r="BH486" s="198">
        <f>$G486</f>
        <v/>
      </c>
      <c r="BI486" s="197">
        <f>$I486</f>
        <v/>
      </c>
      <c r="BJ486" s="197">
        <f>+BJ487</f>
        <v/>
      </c>
      <c r="BK486" s="197">
        <f>+BK487</f>
        <v/>
      </c>
      <c r="BL486" s="197">
        <f>+BL487</f>
        <v/>
      </c>
      <c r="BM486" s="197">
        <f>+BM487</f>
        <v/>
      </c>
      <c r="BN486" s="197">
        <f>+BN487</f>
        <v/>
      </c>
      <c r="BP486" s="198">
        <f>$G486</f>
        <v/>
      </c>
      <c r="BQ486" s="197">
        <f>$J486</f>
        <v/>
      </c>
      <c r="BR486" s="197">
        <f>+BR487</f>
        <v/>
      </c>
      <c r="BS486" s="197">
        <f>+BS487</f>
        <v/>
      </c>
      <c r="BT486" s="197">
        <f>+BT487</f>
        <v/>
      </c>
      <c r="BU486" s="197">
        <f>+BU487</f>
        <v/>
      </c>
      <c r="BV486" s="197">
        <f>+BV487</f>
        <v/>
      </c>
      <c r="BX486" s="198">
        <f>$G486</f>
        <v/>
      </c>
      <c r="BY486" s="197">
        <f>$K486</f>
        <v/>
      </c>
      <c r="BZ486" s="197">
        <f>+BZ487</f>
        <v/>
      </c>
      <c r="CA486" s="197">
        <f>+CA487</f>
        <v/>
      </c>
      <c r="CB486" s="197">
        <f>+CB487</f>
        <v/>
      </c>
      <c r="CC486" s="197">
        <f>+CC487</f>
        <v/>
      </c>
      <c r="CD486" s="197">
        <f>+CD487</f>
        <v/>
      </c>
      <c r="CF486" s="198">
        <f>$G486</f>
        <v/>
      </c>
      <c r="CG486" s="197">
        <f>$L486</f>
        <v/>
      </c>
      <c r="CH486" s="197">
        <f>+CH487</f>
        <v/>
      </c>
      <c r="CI486" s="197">
        <f>+CI487</f>
        <v/>
      </c>
      <c r="CJ486" s="197">
        <f>+CJ487</f>
        <v/>
      </c>
      <c r="CK486" s="197">
        <f>+CK487</f>
        <v/>
      </c>
      <c r="CL486" s="197">
        <f>+CL487</f>
        <v/>
      </c>
      <c r="CO486" s="199" t="n">
        <v>4.159216849900458</v>
      </c>
      <c r="CP486" s="199" t="n">
        <v>2.9</v>
      </c>
      <c r="CR486" s="199" t="n">
        <v>3.28</v>
      </c>
      <c r="CS486" s="970" t="n">
        <v>0.78861</v>
      </c>
    </row>
    <row r="487">
      <c r="B487" s="204">
        <f>+C487-1</f>
        <v/>
      </c>
      <c r="C487" s="204">
        <f>IF('bands_A-H_Avg'!$D$9+1&gt;MONTH(G487),YEAR(G487),YEAR(G487)+1)</f>
        <v/>
      </c>
      <c r="D487" s="204">
        <f>+C487+1</f>
        <v/>
      </c>
      <c r="E487" s="203">
        <f>IF(C487&gt;C486,1,E486+1)</f>
        <v/>
      </c>
      <c r="F487" s="203">
        <f>COUNTIF(C:C,C487)</f>
        <v/>
      </c>
      <c r="G487" s="198">
        <f>+G486+7</f>
        <v/>
      </c>
      <c r="H487" s="361">
        <f>IF(ISBLANK(CO487),CP487,SUMPRODUCT(CO$32:CP$32,CO487:CP487))</f>
        <v/>
      </c>
      <c r="I487" s="968">
        <f>H487/M487</f>
        <v/>
      </c>
      <c r="J487" s="968">
        <f>H487/N487</f>
        <v/>
      </c>
      <c r="K487" s="968">
        <f>(H487+Q487)/O487</f>
        <v/>
      </c>
      <c r="L487" s="968">
        <f>(H487+Q487)/P487</f>
        <v/>
      </c>
      <c r="M487" s="199">
        <f>HLOOKUP(C:C,$4:$10,3,FALSE)+((HLOOKUP(D:D,$4:$10,3,FALSE)-HLOOKUP(C:C,$4:$10,3,FALSE))*E487/F487)</f>
        <v/>
      </c>
      <c r="N487" s="199">
        <f>HLOOKUP(C:C,$4:$10,2,FALSE)+((HLOOKUP(D:D,$4:$10,2,FALSE)-HLOOKUP(C:C,$4:$10,2,FALSE))*E487/F487)</f>
        <v/>
      </c>
      <c r="O487" s="199">
        <f>HLOOKUP(C:C,$4:$10,5,FALSE)+((HLOOKUP(D:D,$4:$10,5,FALSE)-HLOOKUP(C:C,$4:$10,5,FALSE))*E487/F487)</f>
        <v/>
      </c>
      <c r="P487" s="199">
        <f>HLOOKUP(C:C,$4:$10,4,FALSE)+((HLOOKUP(D:D,$4:$10,4,FALSE)-HLOOKUP(C:C,$4:$10,4,FALSE))*E487/F487)</f>
        <v/>
      </c>
      <c r="Q487" s="199">
        <f>HLOOKUP(B:B,$4:$10,6,FALSE)+((HLOOKUP(C:C,$4:$10,6,FALSE)-HLOOKUP(B:B,$4:$10,6,FALSE))*E487/F487)</f>
        <v/>
      </c>
      <c r="T487" s="198">
        <f>$G487</f>
        <v/>
      </c>
      <c r="U487" s="199">
        <f>H487/(HLOOKUP(B:B,$4:$10,3,FALSE)+((HLOOKUP(C:C,$4:$10,3,FALSE)-HLOOKUP(B:B,$4:$10,3,FALSE))*E487/F487))</f>
        <v/>
      </c>
      <c r="V487" s="969">
        <f>HLOOKUP(B:B,$4:$10,7,FALSE)+((HLOOKUP(C:C,$4:$10,7,FALSE)-HLOOKUP(B:B,$4:$10,7,FALSE))*E487/F487)</f>
        <v/>
      </c>
      <c r="AB487" s="198">
        <f>$G487</f>
        <v/>
      </c>
      <c r="AC487" s="199">
        <f>$H487</f>
        <v/>
      </c>
      <c r="AD487" s="199">
        <f>$M487*AD$34</f>
        <v/>
      </c>
      <c r="AE487" s="199">
        <f>$M487*AE$34</f>
        <v/>
      </c>
      <c r="AF487" s="199">
        <f>$M487*AF$34</f>
        <v/>
      </c>
      <c r="AG487" s="199">
        <f>$M487*AG$34</f>
        <v/>
      </c>
      <c r="AH487" s="199">
        <f>$M487*AH$34</f>
        <v/>
      </c>
      <c r="AJ487" s="198">
        <f>$G487</f>
        <v/>
      </c>
      <c r="AK487" s="199">
        <f>$H487</f>
        <v/>
      </c>
      <c r="AL487" s="199">
        <f>$N487*AL$34</f>
        <v/>
      </c>
      <c r="AM487" s="199">
        <f>$N487*AM$34</f>
        <v/>
      </c>
      <c r="AN487" s="199">
        <f>$N487*AN$34</f>
        <v/>
      </c>
      <c r="AO487" s="199">
        <f>$N487*AO$34</f>
        <v/>
      </c>
      <c r="AP487" s="199">
        <f>$N487*AP$34</f>
        <v/>
      </c>
      <c r="AR487" s="198">
        <f>$G487</f>
        <v/>
      </c>
      <c r="AS487" s="199">
        <f>$H487</f>
        <v/>
      </c>
      <c r="AT487" s="199">
        <f>$O487*AT$34-$Q487</f>
        <v/>
      </c>
      <c r="AU487" s="199">
        <f>$O487*AU$34-$Q487</f>
        <v/>
      </c>
      <c r="AV487" s="199">
        <f>$O487*AV$34-$Q487</f>
        <v/>
      </c>
      <c r="AW487" s="199">
        <f>$O487*AW$34-$Q487</f>
        <v/>
      </c>
      <c r="AX487" s="199">
        <f>$O487*AX$34-$Q487</f>
        <v/>
      </c>
      <c r="AZ487" s="198">
        <f>$G487</f>
        <v/>
      </c>
      <c r="BA487" s="199">
        <f>$H487</f>
        <v/>
      </c>
      <c r="BB487" s="199">
        <f>$P487*BB$34-$Q487</f>
        <v/>
      </c>
      <c r="BC487" s="199">
        <f>$P487*BC$34-$Q487</f>
        <v/>
      </c>
      <c r="BD487" s="199">
        <f>$P487*BD$34-$Q487</f>
        <v/>
      </c>
      <c r="BE487" s="199">
        <f>$P487*BE$34-$Q487</f>
        <v/>
      </c>
      <c r="BF487" s="199">
        <f>$P487*BF$34-$Q487</f>
        <v/>
      </c>
      <c r="BH487" s="198">
        <f>$G487</f>
        <v/>
      </c>
      <c r="BI487" s="197">
        <f>$I487</f>
        <v/>
      </c>
      <c r="BJ487" s="197">
        <f>+BJ488</f>
        <v/>
      </c>
      <c r="BK487" s="197">
        <f>+BK488</f>
        <v/>
      </c>
      <c r="BL487" s="197">
        <f>+BL488</f>
        <v/>
      </c>
      <c r="BM487" s="197">
        <f>+BM488</f>
        <v/>
      </c>
      <c r="BN487" s="197">
        <f>+BN488</f>
        <v/>
      </c>
      <c r="BP487" s="198">
        <f>$G487</f>
        <v/>
      </c>
      <c r="BQ487" s="197">
        <f>$J487</f>
        <v/>
      </c>
      <c r="BR487" s="197">
        <f>+BR488</f>
        <v/>
      </c>
      <c r="BS487" s="197">
        <f>+BS488</f>
        <v/>
      </c>
      <c r="BT487" s="197">
        <f>+BT488</f>
        <v/>
      </c>
      <c r="BU487" s="197">
        <f>+BU488</f>
        <v/>
      </c>
      <c r="BV487" s="197">
        <f>+BV488</f>
        <v/>
      </c>
      <c r="BX487" s="198">
        <f>$G487</f>
        <v/>
      </c>
      <c r="BY487" s="197">
        <f>$K487</f>
        <v/>
      </c>
      <c r="BZ487" s="197">
        <f>+BZ488</f>
        <v/>
      </c>
      <c r="CA487" s="197">
        <f>+CA488</f>
        <v/>
      </c>
      <c r="CB487" s="197">
        <f>+CB488</f>
        <v/>
      </c>
      <c r="CC487" s="197">
        <f>+CC488</f>
        <v/>
      </c>
      <c r="CD487" s="197">
        <f>+CD488</f>
        <v/>
      </c>
      <c r="CF487" s="198">
        <f>$G487</f>
        <v/>
      </c>
      <c r="CG487" s="197">
        <f>$L487</f>
        <v/>
      </c>
      <c r="CH487" s="197">
        <f>+CH488</f>
        <v/>
      </c>
      <c r="CI487" s="197">
        <f>+CI488</f>
        <v/>
      </c>
      <c r="CJ487" s="197">
        <f>+CJ488</f>
        <v/>
      </c>
      <c r="CK487" s="197">
        <f>+CK488</f>
        <v/>
      </c>
      <c r="CL487" s="197">
        <f>+CL488</f>
        <v/>
      </c>
      <c r="CO487" s="199" t="n">
        <v>4.142911440516913</v>
      </c>
      <c r="CP487" s="199" t="n">
        <v>2.8</v>
      </c>
      <c r="CR487" s="199" t="n">
        <v>3.27</v>
      </c>
      <c r="CS487" s="970" t="n">
        <v>0.7893</v>
      </c>
    </row>
    <row r="488">
      <c r="B488" s="204">
        <f>+C488-1</f>
        <v/>
      </c>
      <c r="C488" s="204">
        <f>IF('bands_A-H_Avg'!$D$9+1&gt;MONTH(G488),YEAR(G488),YEAR(G488)+1)</f>
        <v/>
      </c>
      <c r="D488" s="204">
        <f>+C488+1</f>
        <v/>
      </c>
      <c r="E488" s="203">
        <f>IF(C488&gt;C487,1,E487+1)</f>
        <v/>
      </c>
      <c r="F488" s="203">
        <f>COUNTIF(C:C,C488)</f>
        <v/>
      </c>
      <c r="G488" s="198">
        <f>+G487+7</f>
        <v/>
      </c>
      <c r="H488" s="361">
        <f>IF(ISBLANK(CO488),CP488,SUMPRODUCT(CO$32:CP$32,CO488:CP488))</f>
        <v/>
      </c>
      <c r="I488" s="968">
        <f>H488/M488</f>
        <v/>
      </c>
      <c r="J488" s="968">
        <f>H488/N488</f>
        <v/>
      </c>
      <c r="K488" s="968">
        <f>(H488+Q488)/O488</f>
        <v/>
      </c>
      <c r="L488" s="968">
        <f>(H488+Q488)/P488</f>
        <v/>
      </c>
      <c r="M488" s="199">
        <f>HLOOKUP(C:C,$4:$10,3,FALSE)+((HLOOKUP(D:D,$4:$10,3,FALSE)-HLOOKUP(C:C,$4:$10,3,FALSE))*E488/F488)</f>
        <v/>
      </c>
      <c r="N488" s="199">
        <f>HLOOKUP(C:C,$4:$10,2,FALSE)+((HLOOKUP(D:D,$4:$10,2,FALSE)-HLOOKUP(C:C,$4:$10,2,FALSE))*E488/F488)</f>
        <v/>
      </c>
      <c r="O488" s="199">
        <f>HLOOKUP(C:C,$4:$10,5,FALSE)+((HLOOKUP(D:D,$4:$10,5,FALSE)-HLOOKUP(C:C,$4:$10,5,FALSE))*E488/F488)</f>
        <v/>
      </c>
      <c r="P488" s="199">
        <f>HLOOKUP(C:C,$4:$10,4,FALSE)+((HLOOKUP(D:D,$4:$10,4,FALSE)-HLOOKUP(C:C,$4:$10,4,FALSE))*E488/F488)</f>
        <v/>
      </c>
      <c r="Q488" s="199">
        <f>HLOOKUP(B:B,$4:$10,6,FALSE)+((HLOOKUP(C:C,$4:$10,6,FALSE)-HLOOKUP(B:B,$4:$10,6,FALSE))*E488/F488)</f>
        <v/>
      </c>
      <c r="T488" s="198">
        <f>$G488</f>
        <v/>
      </c>
      <c r="U488" s="199">
        <f>H488/(HLOOKUP(B:B,$4:$10,3,FALSE)+((HLOOKUP(C:C,$4:$10,3,FALSE)-HLOOKUP(B:B,$4:$10,3,FALSE))*E488/F488))</f>
        <v/>
      </c>
      <c r="V488" s="969">
        <f>HLOOKUP(B:B,$4:$10,7,FALSE)+((HLOOKUP(C:C,$4:$10,7,FALSE)-HLOOKUP(B:B,$4:$10,7,FALSE))*E488/F488)</f>
        <v/>
      </c>
      <c r="AB488" s="198">
        <f>$G488</f>
        <v/>
      </c>
      <c r="AC488" s="199">
        <f>$H488</f>
        <v/>
      </c>
      <c r="AD488" s="199">
        <f>$M488*AD$34</f>
        <v/>
      </c>
      <c r="AE488" s="199">
        <f>$M488*AE$34</f>
        <v/>
      </c>
      <c r="AF488" s="199">
        <f>$M488*AF$34</f>
        <v/>
      </c>
      <c r="AG488" s="199">
        <f>$M488*AG$34</f>
        <v/>
      </c>
      <c r="AH488" s="199">
        <f>$M488*AH$34</f>
        <v/>
      </c>
      <c r="AJ488" s="198">
        <f>$G488</f>
        <v/>
      </c>
      <c r="AK488" s="199">
        <f>$H488</f>
        <v/>
      </c>
      <c r="AL488" s="199">
        <f>$N488*AL$34</f>
        <v/>
      </c>
      <c r="AM488" s="199">
        <f>$N488*AM$34</f>
        <v/>
      </c>
      <c r="AN488" s="199">
        <f>$N488*AN$34</f>
        <v/>
      </c>
      <c r="AO488" s="199">
        <f>$N488*AO$34</f>
        <v/>
      </c>
      <c r="AP488" s="199">
        <f>$N488*AP$34</f>
        <v/>
      </c>
      <c r="AR488" s="198">
        <f>$G488</f>
        <v/>
      </c>
      <c r="AS488" s="199">
        <f>$H488</f>
        <v/>
      </c>
      <c r="AT488" s="199">
        <f>$O488*AT$34-$Q488</f>
        <v/>
      </c>
      <c r="AU488" s="199">
        <f>$O488*AU$34-$Q488</f>
        <v/>
      </c>
      <c r="AV488" s="199">
        <f>$O488*AV$34-$Q488</f>
        <v/>
      </c>
      <c r="AW488" s="199">
        <f>$O488*AW$34-$Q488</f>
        <v/>
      </c>
      <c r="AX488" s="199">
        <f>$O488*AX$34-$Q488</f>
        <v/>
      </c>
      <c r="AZ488" s="198">
        <f>$G488</f>
        <v/>
      </c>
      <c r="BA488" s="199">
        <f>$H488</f>
        <v/>
      </c>
      <c r="BB488" s="199">
        <f>$P488*BB$34-$Q488</f>
        <v/>
      </c>
      <c r="BC488" s="199">
        <f>$P488*BC$34-$Q488</f>
        <v/>
      </c>
      <c r="BD488" s="199">
        <f>$P488*BD$34-$Q488</f>
        <v/>
      </c>
      <c r="BE488" s="199">
        <f>$P488*BE$34-$Q488</f>
        <v/>
      </c>
      <c r="BF488" s="199">
        <f>$P488*BF$34-$Q488</f>
        <v/>
      </c>
      <c r="BH488" s="198">
        <f>$G488</f>
        <v/>
      </c>
      <c r="BI488" s="197">
        <f>$I488</f>
        <v/>
      </c>
      <c r="BJ488" s="197">
        <f>+BJ489</f>
        <v/>
      </c>
      <c r="BK488" s="197">
        <f>+BK489</f>
        <v/>
      </c>
      <c r="BL488" s="197">
        <f>+BL489</f>
        <v/>
      </c>
      <c r="BM488" s="197">
        <f>+BM489</f>
        <v/>
      </c>
      <c r="BN488" s="197">
        <f>+BN489</f>
        <v/>
      </c>
      <c r="BP488" s="198">
        <f>$G488</f>
        <v/>
      </c>
      <c r="BQ488" s="197">
        <f>$J488</f>
        <v/>
      </c>
      <c r="BR488" s="197">
        <f>+BR489</f>
        <v/>
      </c>
      <c r="BS488" s="197">
        <f>+BS489</f>
        <v/>
      </c>
      <c r="BT488" s="197">
        <f>+BT489</f>
        <v/>
      </c>
      <c r="BU488" s="197">
        <f>+BU489</f>
        <v/>
      </c>
      <c r="BV488" s="197">
        <f>+BV489</f>
        <v/>
      </c>
      <c r="BX488" s="198">
        <f>$G488</f>
        <v/>
      </c>
      <c r="BY488" s="197">
        <f>$K488</f>
        <v/>
      </c>
      <c r="BZ488" s="197">
        <f>+BZ489</f>
        <v/>
      </c>
      <c r="CA488" s="197">
        <f>+CA489</f>
        <v/>
      </c>
      <c r="CB488" s="197">
        <f>+CB489</f>
        <v/>
      </c>
      <c r="CC488" s="197">
        <f>+CC489</f>
        <v/>
      </c>
      <c r="CD488" s="197">
        <f>+CD489</f>
        <v/>
      </c>
      <c r="CF488" s="198">
        <f>$G488</f>
        <v/>
      </c>
      <c r="CG488" s="197">
        <f>$L488</f>
        <v/>
      </c>
      <c r="CH488" s="197">
        <f>+CH489</f>
        <v/>
      </c>
      <c r="CI488" s="197">
        <f>+CI489</f>
        <v/>
      </c>
      <c r="CJ488" s="197">
        <f>+CJ489</f>
        <v/>
      </c>
      <c r="CK488" s="197">
        <f>+CK489</f>
        <v/>
      </c>
      <c r="CL488" s="197">
        <f>+CL489</f>
        <v/>
      </c>
      <c r="CO488" s="199" t="n">
        <v>4.840958053478646</v>
      </c>
      <c r="CP488" s="199" t="n">
        <v>2.87</v>
      </c>
      <c r="CR488" s="199" t="n">
        <v>3.82</v>
      </c>
      <c r="CS488" s="970" t="n">
        <v>0.7891</v>
      </c>
    </row>
    <row r="489">
      <c r="B489" s="204">
        <f>+C489-1</f>
        <v/>
      </c>
      <c r="C489" s="204">
        <f>IF('bands_A-H_Avg'!$D$9+1&gt;MONTH(G489),YEAR(G489),YEAR(G489)+1)</f>
        <v/>
      </c>
      <c r="D489" s="204">
        <f>+C489+1</f>
        <v/>
      </c>
      <c r="E489" s="203">
        <f>IF(C489&gt;C488,1,E488+1)</f>
        <v/>
      </c>
      <c r="F489" s="203">
        <f>COUNTIF(C:C,C489)</f>
        <v/>
      </c>
      <c r="G489" s="198">
        <f>+G488+7</f>
        <v/>
      </c>
      <c r="H489" s="361">
        <f>IF(ISBLANK(CO489),CP489,SUMPRODUCT(CO$32:CP$32,CO489:CP489))</f>
        <v/>
      </c>
      <c r="I489" s="968">
        <f>H489/M489</f>
        <v/>
      </c>
      <c r="J489" s="968">
        <f>H489/N489</f>
        <v/>
      </c>
      <c r="K489" s="968">
        <f>(H489+Q489)/O489</f>
        <v/>
      </c>
      <c r="L489" s="968">
        <f>(H489+Q489)/P489</f>
        <v/>
      </c>
      <c r="M489" s="199">
        <f>HLOOKUP(C:C,$4:$10,3,FALSE)+((HLOOKUP(D:D,$4:$10,3,FALSE)-HLOOKUP(C:C,$4:$10,3,FALSE))*E489/F489)</f>
        <v/>
      </c>
      <c r="N489" s="199">
        <f>HLOOKUP(C:C,$4:$10,2,FALSE)+((HLOOKUP(D:D,$4:$10,2,FALSE)-HLOOKUP(C:C,$4:$10,2,FALSE))*E489/F489)</f>
        <v/>
      </c>
      <c r="O489" s="199">
        <f>HLOOKUP(C:C,$4:$10,5,FALSE)+((HLOOKUP(D:D,$4:$10,5,FALSE)-HLOOKUP(C:C,$4:$10,5,FALSE))*E489/F489)</f>
        <v/>
      </c>
      <c r="P489" s="199">
        <f>HLOOKUP(C:C,$4:$10,4,FALSE)+((HLOOKUP(D:D,$4:$10,4,FALSE)-HLOOKUP(C:C,$4:$10,4,FALSE))*E489/F489)</f>
        <v/>
      </c>
      <c r="Q489" s="199">
        <f>HLOOKUP(B:B,$4:$10,6,FALSE)+((HLOOKUP(C:C,$4:$10,6,FALSE)-HLOOKUP(B:B,$4:$10,6,FALSE))*E489/F489)</f>
        <v/>
      </c>
      <c r="T489" s="198">
        <f>$G489</f>
        <v/>
      </c>
      <c r="U489" s="199">
        <f>H489/(HLOOKUP(B:B,$4:$10,3,FALSE)+((HLOOKUP(C:C,$4:$10,3,FALSE)-HLOOKUP(B:B,$4:$10,3,FALSE))*E489/F489))</f>
        <v/>
      </c>
      <c r="V489" s="969">
        <f>HLOOKUP(B:B,$4:$10,7,FALSE)+((HLOOKUP(C:C,$4:$10,7,FALSE)-HLOOKUP(B:B,$4:$10,7,FALSE))*E489/F489)</f>
        <v/>
      </c>
      <c r="AB489" s="198">
        <f>$G489</f>
        <v/>
      </c>
      <c r="AC489" s="199">
        <f>$H489</f>
        <v/>
      </c>
      <c r="AD489" s="199">
        <f>$M489*AD$34</f>
        <v/>
      </c>
      <c r="AE489" s="199">
        <f>$M489*AE$34</f>
        <v/>
      </c>
      <c r="AF489" s="199">
        <f>$M489*AF$34</f>
        <v/>
      </c>
      <c r="AG489" s="199">
        <f>$M489*AG$34</f>
        <v/>
      </c>
      <c r="AH489" s="199">
        <f>$M489*AH$34</f>
        <v/>
      </c>
      <c r="AJ489" s="198">
        <f>$G489</f>
        <v/>
      </c>
      <c r="AK489" s="199">
        <f>$H489</f>
        <v/>
      </c>
      <c r="AL489" s="199">
        <f>$N489*AL$34</f>
        <v/>
      </c>
      <c r="AM489" s="199">
        <f>$N489*AM$34</f>
        <v/>
      </c>
      <c r="AN489" s="199">
        <f>$N489*AN$34</f>
        <v/>
      </c>
      <c r="AO489" s="199">
        <f>$N489*AO$34</f>
        <v/>
      </c>
      <c r="AP489" s="199">
        <f>$N489*AP$34</f>
        <v/>
      </c>
      <c r="AR489" s="198">
        <f>$G489</f>
        <v/>
      </c>
      <c r="AS489" s="199">
        <f>$H489</f>
        <v/>
      </c>
      <c r="AT489" s="199">
        <f>$O489*AT$34-$Q489</f>
        <v/>
      </c>
      <c r="AU489" s="199">
        <f>$O489*AU$34-$Q489</f>
        <v/>
      </c>
      <c r="AV489" s="199">
        <f>$O489*AV$34-$Q489</f>
        <v/>
      </c>
      <c r="AW489" s="199">
        <f>$O489*AW$34-$Q489</f>
        <v/>
      </c>
      <c r="AX489" s="199">
        <f>$O489*AX$34-$Q489</f>
        <v/>
      </c>
      <c r="AZ489" s="198">
        <f>$G489</f>
        <v/>
      </c>
      <c r="BA489" s="199">
        <f>$H489</f>
        <v/>
      </c>
      <c r="BB489" s="199">
        <f>$P489*BB$34-$Q489</f>
        <v/>
      </c>
      <c r="BC489" s="199">
        <f>$P489*BC$34-$Q489</f>
        <v/>
      </c>
      <c r="BD489" s="199">
        <f>$P489*BD$34-$Q489</f>
        <v/>
      </c>
      <c r="BE489" s="199">
        <f>$P489*BE$34-$Q489</f>
        <v/>
      </c>
      <c r="BF489" s="199">
        <f>$P489*BF$34-$Q489</f>
        <v/>
      </c>
      <c r="BH489" s="198">
        <f>$G489</f>
        <v/>
      </c>
      <c r="BI489" s="197">
        <f>$I489</f>
        <v/>
      </c>
      <c r="BJ489" s="197">
        <f>+BJ490</f>
        <v/>
      </c>
      <c r="BK489" s="197">
        <f>+BK490</f>
        <v/>
      </c>
      <c r="BL489" s="197">
        <f>+BL490</f>
        <v/>
      </c>
      <c r="BM489" s="197">
        <f>+BM490</f>
        <v/>
      </c>
      <c r="BN489" s="197">
        <f>+BN490</f>
        <v/>
      </c>
      <c r="BP489" s="198">
        <f>$G489</f>
        <v/>
      </c>
      <c r="BQ489" s="197">
        <f>$J489</f>
        <v/>
      </c>
      <c r="BR489" s="197">
        <f>+BR490</f>
        <v/>
      </c>
      <c r="BS489" s="197">
        <f>+BS490</f>
        <v/>
      </c>
      <c r="BT489" s="197">
        <f>+BT490</f>
        <v/>
      </c>
      <c r="BU489" s="197">
        <f>+BU490</f>
        <v/>
      </c>
      <c r="BV489" s="197">
        <f>+BV490</f>
        <v/>
      </c>
      <c r="BX489" s="198">
        <f>$G489</f>
        <v/>
      </c>
      <c r="BY489" s="197">
        <f>$K489</f>
        <v/>
      </c>
      <c r="BZ489" s="197">
        <f>+BZ490</f>
        <v/>
      </c>
      <c r="CA489" s="197">
        <f>+CA490</f>
        <v/>
      </c>
      <c r="CB489" s="197">
        <f>+CB490</f>
        <v/>
      </c>
      <c r="CC489" s="197">
        <f>+CC490</f>
        <v/>
      </c>
      <c r="CD489" s="197">
        <f>+CD490</f>
        <v/>
      </c>
      <c r="CF489" s="198">
        <f>$G489</f>
        <v/>
      </c>
      <c r="CG489" s="197">
        <f>$L489</f>
        <v/>
      </c>
      <c r="CH489" s="197">
        <f>+CH490</f>
        <v/>
      </c>
      <c r="CI489" s="197">
        <f>+CI490</f>
        <v/>
      </c>
      <c r="CJ489" s="197">
        <f>+CJ490</f>
        <v/>
      </c>
      <c r="CK489" s="197">
        <f>+CK490</f>
        <v/>
      </c>
      <c r="CL489" s="197">
        <f>+CL490</f>
        <v/>
      </c>
      <c r="CO489" s="199" t="n">
        <v>4.662772575801731</v>
      </c>
      <c r="CP489" s="199" t="n">
        <v>2.8</v>
      </c>
      <c r="CR489" s="199" t="n">
        <v>3.68</v>
      </c>
      <c r="CS489" s="970" t="n">
        <v>0.78923</v>
      </c>
    </row>
    <row r="490">
      <c r="B490" s="204">
        <f>+C490-1</f>
        <v/>
      </c>
      <c r="C490" s="204">
        <f>IF('bands_A-H_Avg'!$D$9+1&gt;MONTH(G490),YEAR(G490),YEAR(G490)+1)</f>
        <v/>
      </c>
      <c r="D490" s="204">
        <f>+C490+1</f>
        <v/>
      </c>
      <c r="E490" s="203">
        <f>IF(C490&gt;C489,1,E489+1)</f>
        <v/>
      </c>
      <c r="F490" s="203">
        <f>COUNTIF(C:C,C490)</f>
        <v/>
      </c>
      <c r="G490" s="198">
        <f>+G489+7</f>
        <v/>
      </c>
      <c r="H490" s="361">
        <f>IF(ISBLANK(CO490),CP490,SUMPRODUCT(CO$32:CP$32,CO490:CP490))</f>
        <v/>
      </c>
      <c r="I490" s="968">
        <f>H490/M490</f>
        <v/>
      </c>
      <c r="J490" s="968">
        <f>H490/N490</f>
        <v/>
      </c>
      <c r="K490" s="968">
        <f>(H490+Q490)/O490</f>
        <v/>
      </c>
      <c r="L490" s="968">
        <f>(H490+Q490)/P490</f>
        <v/>
      </c>
      <c r="M490" s="199">
        <f>HLOOKUP(C:C,$4:$10,3,FALSE)+((HLOOKUP(D:D,$4:$10,3,FALSE)-HLOOKUP(C:C,$4:$10,3,FALSE))*E490/F490)</f>
        <v/>
      </c>
      <c r="N490" s="199">
        <f>HLOOKUP(C:C,$4:$10,2,FALSE)+((HLOOKUP(D:D,$4:$10,2,FALSE)-HLOOKUP(C:C,$4:$10,2,FALSE))*E490/F490)</f>
        <v/>
      </c>
      <c r="O490" s="199">
        <f>HLOOKUP(C:C,$4:$10,5,FALSE)+((HLOOKUP(D:D,$4:$10,5,FALSE)-HLOOKUP(C:C,$4:$10,5,FALSE))*E490/F490)</f>
        <v/>
      </c>
      <c r="P490" s="199">
        <f>HLOOKUP(C:C,$4:$10,4,FALSE)+((HLOOKUP(D:D,$4:$10,4,FALSE)-HLOOKUP(C:C,$4:$10,4,FALSE))*E490/F490)</f>
        <v/>
      </c>
      <c r="Q490" s="199">
        <f>HLOOKUP(B:B,$4:$10,6,FALSE)+((HLOOKUP(C:C,$4:$10,6,FALSE)-HLOOKUP(B:B,$4:$10,6,FALSE))*E490/F490)</f>
        <v/>
      </c>
      <c r="T490" s="198">
        <f>$G490</f>
        <v/>
      </c>
      <c r="U490" s="199">
        <f>H490/(HLOOKUP(B:B,$4:$10,3,FALSE)+((HLOOKUP(C:C,$4:$10,3,FALSE)-HLOOKUP(B:B,$4:$10,3,FALSE))*E490/F490))</f>
        <v/>
      </c>
      <c r="V490" s="969">
        <f>HLOOKUP(B:B,$4:$10,7,FALSE)+((HLOOKUP(C:C,$4:$10,7,FALSE)-HLOOKUP(B:B,$4:$10,7,FALSE))*E490/F490)</f>
        <v/>
      </c>
      <c r="AB490" s="198">
        <f>$G490</f>
        <v/>
      </c>
      <c r="AC490" s="199">
        <f>$H490</f>
        <v/>
      </c>
      <c r="AD490" s="199">
        <f>$M490*AD$34</f>
        <v/>
      </c>
      <c r="AE490" s="199">
        <f>$M490*AE$34</f>
        <v/>
      </c>
      <c r="AF490" s="199">
        <f>$M490*AF$34</f>
        <v/>
      </c>
      <c r="AG490" s="199">
        <f>$M490*AG$34</f>
        <v/>
      </c>
      <c r="AH490" s="199">
        <f>$M490*AH$34</f>
        <v/>
      </c>
      <c r="AJ490" s="198">
        <f>$G490</f>
        <v/>
      </c>
      <c r="AK490" s="199">
        <f>$H490</f>
        <v/>
      </c>
      <c r="AL490" s="199">
        <f>$N490*AL$34</f>
        <v/>
      </c>
      <c r="AM490" s="199">
        <f>$N490*AM$34</f>
        <v/>
      </c>
      <c r="AN490" s="199">
        <f>$N490*AN$34</f>
        <v/>
      </c>
      <c r="AO490" s="199">
        <f>$N490*AO$34</f>
        <v/>
      </c>
      <c r="AP490" s="199">
        <f>$N490*AP$34</f>
        <v/>
      </c>
      <c r="AR490" s="198">
        <f>$G490</f>
        <v/>
      </c>
      <c r="AS490" s="199">
        <f>$H490</f>
        <v/>
      </c>
      <c r="AT490" s="199">
        <f>$O490*AT$34-$Q490</f>
        <v/>
      </c>
      <c r="AU490" s="199">
        <f>$O490*AU$34-$Q490</f>
        <v/>
      </c>
      <c r="AV490" s="199">
        <f>$O490*AV$34-$Q490</f>
        <v/>
      </c>
      <c r="AW490" s="199">
        <f>$O490*AW$34-$Q490</f>
        <v/>
      </c>
      <c r="AX490" s="199">
        <f>$O490*AX$34-$Q490</f>
        <v/>
      </c>
      <c r="AZ490" s="198">
        <f>$G490</f>
        <v/>
      </c>
      <c r="BA490" s="199">
        <f>$H490</f>
        <v/>
      </c>
      <c r="BB490" s="199">
        <f>$P490*BB$34-$Q490</f>
        <v/>
      </c>
      <c r="BC490" s="199">
        <f>$P490*BC$34-$Q490</f>
        <v/>
      </c>
      <c r="BD490" s="199">
        <f>$P490*BD$34-$Q490</f>
        <v/>
      </c>
      <c r="BE490" s="199">
        <f>$P490*BE$34-$Q490</f>
        <v/>
      </c>
      <c r="BF490" s="199">
        <f>$P490*BF$34-$Q490</f>
        <v/>
      </c>
      <c r="BH490" s="198">
        <f>$G490</f>
        <v/>
      </c>
      <c r="BI490" s="197">
        <f>$I490</f>
        <v/>
      </c>
      <c r="BJ490" s="197">
        <f>+BJ491</f>
        <v/>
      </c>
      <c r="BK490" s="197">
        <f>+BK491</f>
        <v/>
      </c>
      <c r="BL490" s="197">
        <f>+BL491</f>
        <v/>
      </c>
      <c r="BM490" s="197">
        <f>+BM491</f>
        <v/>
      </c>
      <c r="BN490" s="197">
        <f>+BN491</f>
        <v/>
      </c>
      <c r="BP490" s="198">
        <f>$G490</f>
        <v/>
      </c>
      <c r="BQ490" s="197">
        <f>$J490</f>
        <v/>
      </c>
      <c r="BR490" s="197">
        <f>+BR491</f>
        <v/>
      </c>
      <c r="BS490" s="197">
        <f>+BS491</f>
        <v/>
      </c>
      <c r="BT490" s="197">
        <f>+BT491</f>
        <v/>
      </c>
      <c r="BU490" s="197">
        <f>+BU491</f>
        <v/>
      </c>
      <c r="BV490" s="197">
        <f>+BV491</f>
        <v/>
      </c>
      <c r="BX490" s="198">
        <f>$G490</f>
        <v/>
      </c>
      <c r="BY490" s="197">
        <f>$K490</f>
        <v/>
      </c>
      <c r="BZ490" s="197">
        <f>+BZ491</f>
        <v/>
      </c>
      <c r="CA490" s="197">
        <f>+CA491</f>
        <v/>
      </c>
      <c r="CB490" s="197">
        <f>+CB491</f>
        <v/>
      </c>
      <c r="CC490" s="197">
        <f>+CC491</f>
        <v/>
      </c>
      <c r="CD490" s="197">
        <f>+CD491</f>
        <v/>
      </c>
      <c r="CF490" s="198">
        <f>$G490</f>
        <v/>
      </c>
      <c r="CG490" s="197">
        <f>$L490</f>
        <v/>
      </c>
      <c r="CH490" s="197">
        <f>+CH491</f>
        <v/>
      </c>
      <c r="CI490" s="197">
        <f>+CI491</f>
        <v/>
      </c>
      <c r="CJ490" s="197">
        <f>+CJ491</f>
        <v/>
      </c>
      <c r="CK490" s="197">
        <f>+CK491</f>
        <v/>
      </c>
      <c r="CL490" s="197">
        <f>+CL491</f>
        <v/>
      </c>
      <c r="CO490" s="199" t="n">
        <v>5.043912453901428</v>
      </c>
      <c r="CP490" s="199" t="n">
        <v>2.81</v>
      </c>
      <c r="CR490" s="199" t="n">
        <v>3.98</v>
      </c>
      <c r="CS490" s="970" t="n">
        <v>0.78907</v>
      </c>
    </row>
    <row r="491">
      <c r="B491" s="204">
        <f>+C491-1</f>
        <v/>
      </c>
      <c r="C491" s="204">
        <f>IF('bands_A-H_Avg'!$D$9+1&gt;MONTH(G491),YEAR(G491),YEAR(G491)+1)</f>
        <v/>
      </c>
      <c r="D491" s="204">
        <f>+C491+1</f>
        <v/>
      </c>
      <c r="E491" s="203">
        <f>IF(C491&gt;C490,1,E490+1)</f>
        <v/>
      </c>
      <c r="F491" s="203">
        <f>COUNTIF(C:C,C491)</f>
        <v/>
      </c>
      <c r="G491" s="198">
        <f>+G490+7</f>
        <v/>
      </c>
      <c r="H491" s="361">
        <f>IF(ISBLANK(CO491),CP491,SUMPRODUCT(CO$32:CP$32,CO491:CP491))</f>
        <v/>
      </c>
      <c r="I491" s="968">
        <f>H491/M491</f>
        <v/>
      </c>
      <c r="J491" s="968">
        <f>H491/N491</f>
        <v/>
      </c>
      <c r="K491" s="968">
        <f>(H491+Q491)/O491</f>
        <v/>
      </c>
      <c r="L491" s="968">
        <f>(H491+Q491)/P491</f>
        <v/>
      </c>
      <c r="M491" s="199">
        <f>HLOOKUP(C:C,$4:$10,3,FALSE)+((HLOOKUP(D:D,$4:$10,3,FALSE)-HLOOKUP(C:C,$4:$10,3,FALSE))*E491/F491)</f>
        <v/>
      </c>
      <c r="N491" s="199">
        <f>HLOOKUP(C:C,$4:$10,2,FALSE)+((HLOOKUP(D:D,$4:$10,2,FALSE)-HLOOKUP(C:C,$4:$10,2,FALSE))*E491/F491)</f>
        <v/>
      </c>
      <c r="O491" s="199">
        <f>HLOOKUP(C:C,$4:$10,5,FALSE)+((HLOOKUP(D:D,$4:$10,5,FALSE)-HLOOKUP(C:C,$4:$10,5,FALSE))*E491/F491)</f>
        <v/>
      </c>
      <c r="P491" s="199">
        <f>HLOOKUP(C:C,$4:$10,4,FALSE)+((HLOOKUP(D:D,$4:$10,4,FALSE)-HLOOKUP(C:C,$4:$10,4,FALSE))*E491/F491)</f>
        <v/>
      </c>
      <c r="Q491" s="199">
        <f>HLOOKUP(B:B,$4:$10,6,FALSE)+((HLOOKUP(C:C,$4:$10,6,FALSE)-HLOOKUP(B:B,$4:$10,6,FALSE))*E491/F491)</f>
        <v/>
      </c>
      <c r="T491" s="198">
        <f>$G491</f>
        <v/>
      </c>
      <c r="U491" s="199">
        <f>H491/(HLOOKUP(B:B,$4:$10,3,FALSE)+((HLOOKUP(C:C,$4:$10,3,FALSE)-HLOOKUP(B:B,$4:$10,3,FALSE))*E491/F491))</f>
        <v/>
      </c>
      <c r="V491" s="969">
        <f>HLOOKUP(B:B,$4:$10,7,FALSE)+((HLOOKUP(C:C,$4:$10,7,FALSE)-HLOOKUP(B:B,$4:$10,7,FALSE))*E491/F491)</f>
        <v/>
      </c>
      <c r="AB491" s="198">
        <f>$G491</f>
        <v/>
      </c>
      <c r="AC491" s="199">
        <f>$H491</f>
        <v/>
      </c>
      <c r="AD491" s="199">
        <f>$M491*AD$34</f>
        <v/>
      </c>
      <c r="AE491" s="199">
        <f>$M491*AE$34</f>
        <v/>
      </c>
      <c r="AF491" s="199">
        <f>$M491*AF$34</f>
        <v/>
      </c>
      <c r="AG491" s="199">
        <f>$M491*AG$34</f>
        <v/>
      </c>
      <c r="AH491" s="199">
        <f>$M491*AH$34</f>
        <v/>
      </c>
      <c r="AJ491" s="198">
        <f>$G491</f>
        <v/>
      </c>
      <c r="AK491" s="199">
        <f>$H491</f>
        <v/>
      </c>
      <c r="AL491" s="199">
        <f>$N491*AL$34</f>
        <v/>
      </c>
      <c r="AM491" s="199">
        <f>$N491*AM$34</f>
        <v/>
      </c>
      <c r="AN491" s="199">
        <f>$N491*AN$34</f>
        <v/>
      </c>
      <c r="AO491" s="199">
        <f>$N491*AO$34</f>
        <v/>
      </c>
      <c r="AP491" s="199">
        <f>$N491*AP$34</f>
        <v/>
      </c>
      <c r="AR491" s="198">
        <f>$G491</f>
        <v/>
      </c>
      <c r="AS491" s="199">
        <f>$H491</f>
        <v/>
      </c>
      <c r="AT491" s="199">
        <f>$O491*AT$34-$Q491</f>
        <v/>
      </c>
      <c r="AU491" s="199">
        <f>$O491*AU$34-$Q491</f>
        <v/>
      </c>
      <c r="AV491" s="199">
        <f>$O491*AV$34-$Q491</f>
        <v/>
      </c>
      <c r="AW491" s="199">
        <f>$O491*AW$34-$Q491</f>
        <v/>
      </c>
      <c r="AX491" s="199">
        <f>$O491*AX$34-$Q491</f>
        <v/>
      </c>
      <c r="AZ491" s="198">
        <f>$G491</f>
        <v/>
      </c>
      <c r="BA491" s="199">
        <f>$H491</f>
        <v/>
      </c>
      <c r="BB491" s="199">
        <f>$P491*BB$34-$Q491</f>
        <v/>
      </c>
      <c r="BC491" s="199">
        <f>$P491*BC$34-$Q491</f>
        <v/>
      </c>
      <c r="BD491" s="199">
        <f>$P491*BD$34-$Q491</f>
        <v/>
      </c>
      <c r="BE491" s="199">
        <f>$P491*BE$34-$Q491</f>
        <v/>
      </c>
      <c r="BF491" s="199">
        <f>$P491*BF$34-$Q491</f>
        <v/>
      </c>
      <c r="BH491" s="198">
        <f>$G491</f>
        <v/>
      </c>
      <c r="BI491" s="197">
        <f>$I491</f>
        <v/>
      </c>
      <c r="BJ491" s="197">
        <f>+BJ492</f>
        <v/>
      </c>
      <c r="BK491" s="197">
        <f>+BK492</f>
        <v/>
      </c>
      <c r="BL491" s="197">
        <f>+BL492</f>
        <v/>
      </c>
      <c r="BM491" s="197">
        <f>+BM492</f>
        <v/>
      </c>
      <c r="BN491" s="197">
        <f>+BN492</f>
        <v/>
      </c>
      <c r="BP491" s="198">
        <f>$G491</f>
        <v/>
      </c>
      <c r="BQ491" s="197">
        <f>$J491</f>
        <v/>
      </c>
      <c r="BR491" s="197">
        <f>+BR492</f>
        <v/>
      </c>
      <c r="BS491" s="197">
        <f>+BS492</f>
        <v/>
      </c>
      <c r="BT491" s="197">
        <f>+BT492</f>
        <v/>
      </c>
      <c r="BU491" s="197">
        <f>+BU492</f>
        <v/>
      </c>
      <c r="BV491" s="197">
        <f>+BV492</f>
        <v/>
      </c>
      <c r="BX491" s="198">
        <f>$G491</f>
        <v/>
      </c>
      <c r="BY491" s="197">
        <f>$K491</f>
        <v/>
      </c>
      <c r="BZ491" s="197">
        <f>+BZ492</f>
        <v/>
      </c>
      <c r="CA491" s="197">
        <f>+CA492</f>
        <v/>
      </c>
      <c r="CB491" s="197">
        <f>+CB492</f>
        <v/>
      </c>
      <c r="CC491" s="197">
        <f>+CC492</f>
        <v/>
      </c>
      <c r="CD491" s="197">
        <f>+CD492</f>
        <v/>
      </c>
      <c r="CF491" s="198">
        <f>$G491</f>
        <v/>
      </c>
      <c r="CG491" s="197">
        <f>$L491</f>
        <v/>
      </c>
      <c r="CH491" s="197">
        <f>+CH492</f>
        <v/>
      </c>
      <c r="CI491" s="197">
        <f>+CI492</f>
        <v/>
      </c>
      <c r="CJ491" s="197">
        <f>+CJ492</f>
        <v/>
      </c>
      <c r="CK491" s="197">
        <f>+CK492</f>
        <v/>
      </c>
      <c r="CL491" s="197">
        <f>+CL492</f>
        <v/>
      </c>
      <c r="CO491" s="199" t="n">
        <v>4.977834072197593</v>
      </c>
      <c r="CP491" s="199" t="n">
        <v>2.8</v>
      </c>
      <c r="CR491" s="199" t="n">
        <v>3.93</v>
      </c>
      <c r="CS491" s="970" t="n">
        <v>0.7895</v>
      </c>
    </row>
    <row r="492">
      <c r="B492" s="204">
        <f>+C492-1</f>
        <v/>
      </c>
      <c r="C492" s="204">
        <f>IF('bands_A-H_Avg'!$D$9+1&gt;MONTH(G492),YEAR(G492),YEAR(G492)+1)</f>
        <v/>
      </c>
      <c r="D492" s="204">
        <f>+C492+1</f>
        <v/>
      </c>
      <c r="E492" s="203">
        <f>IF(C492&gt;C491,1,E491+1)</f>
        <v/>
      </c>
      <c r="F492" s="203">
        <f>COUNTIF(C:C,C492)</f>
        <v/>
      </c>
      <c r="G492" s="198">
        <f>+G491+7</f>
        <v/>
      </c>
      <c r="H492" s="361">
        <f>IF(ISBLANK(CO492),CP492,SUMPRODUCT(CO$32:CP$32,CO492:CP492))</f>
        <v/>
      </c>
      <c r="I492" s="968">
        <f>H492/M492</f>
        <v/>
      </c>
      <c r="J492" s="968">
        <f>H492/N492</f>
        <v/>
      </c>
      <c r="K492" s="968">
        <f>(H492+Q492)/O492</f>
        <v/>
      </c>
      <c r="L492" s="968">
        <f>(H492+Q492)/P492</f>
        <v/>
      </c>
      <c r="M492" s="199">
        <f>HLOOKUP(C:C,$4:$10,3,FALSE)+((HLOOKUP(D:D,$4:$10,3,FALSE)-HLOOKUP(C:C,$4:$10,3,FALSE))*E492/F492)</f>
        <v/>
      </c>
      <c r="N492" s="199">
        <f>HLOOKUP(C:C,$4:$10,2,FALSE)+((HLOOKUP(D:D,$4:$10,2,FALSE)-HLOOKUP(C:C,$4:$10,2,FALSE))*E492/F492)</f>
        <v/>
      </c>
      <c r="O492" s="199">
        <f>HLOOKUP(C:C,$4:$10,5,FALSE)+((HLOOKUP(D:D,$4:$10,5,FALSE)-HLOOKUP(C:C,$4:$10,5,FALSE))*E492/F492)</f>
        <v/>
      </c>
      <c r="P492" s="199">
        <f>HLOOKUP(C:C,$4:$10,4,FALSE)+((HLOOKUP(D:D,$4:$10,4,FALSE)-HLOOKUP(C:C,$4:$10,4,FALSE))*E492/F492)</f>
        <v/>
      </c>
      <c r="Q492" s="199">
        <f>HLOOKUP(B:B,$4:$10,6,FALSE)+((HLOOKUP(C:C,$4:$10,6,FALSE)-HLOOKUP(B:B,$4:$10,6,FALSE))*E492/F492)</f>
        <v/>
      </c>
      <c r="T492" s="198">
        <f>$G492</f>
        <v/>
      </c>
      <c r="U492" s="199">
        <f>H492/(HLOOKUP(B:B,$4:$10,3,FALSE)+((HLOOKUP(C:C,$4:$10,3,FALSE)-HLOOKUP(B:B,$4:$10,3,FALSE))*E492/F492))</f>
        <v/>
      </c>
      <c r="V492" s="969">
        <f>HLOOKUP(B:B,$4:$10,7,FALSE)+((HLOOKUP(C:C,$4:$10,7,FALSE)-HLOOKUP(B:B,$4:$10,7,FALSE))*E492/F492)</f>
        <v/>
      </c>
      <c r="AB492" s="198">
        <f>$G492</f>
        <v/>
      </c>
      <c r="AC492" s="199">
        <f>$H492</f>
        <v/>
      </c>
      <c r="AD492" s="199">
        <f>$M492*AD$34</f>
        <v/>
      </c>
      <c r="AE492" s="199">
        <f>$M492*AE$34</f>
        <v/>
      </c>
      <c r="AF492" s="199">
        <f>$M492*AF$34</f>
        <v/>
      </c>
      <c r="AG492" s="199">
        <f>$M492*AG$34</f>
        <v/>
      </c>
      <c r="AH492" s="199">
        <f>$M492*AH$34</f>
        <v/>
      </c>
      <c r="AJ492" s="198">
        <f>$G492</f>
        <v/>
      </c>
      <c r="AK492" s="199">
        <f>$H492</f>
        <v/>
      </c>
      <c r="AL492" s="199">
        <f>$N492*AL$34</f>
        <v/>
      </c>
      <c r="AM492" s="199">
        <f>$N492*AM$34</f>
        <v/>
      </c>
      <c r="AN492" s="199">
        <f>$N492*AN$34</f>
        <v/>
      </c>
      <c r="AO492" s="199">
        <f>$N492*AO$34</f>
        <v/>
      </c>
      <c r="AP492" s="199">
        <f>$N492*AP$34</f>
        <v/>
      </c>
      <c r="AR492" s="198">
        <f>$G492</f>
        <v/>
      </c>
      <c r="AS492" s="199">
        <f>$H492</f>
        <v/>
      </c>
      <c r="AT492" s="199">
        <f>$O492*AT$34-$Q492</f>
        <v/>
      </c>
      <c r="AU492" s="199">
        <f>$O492*AU$34-$Q492</f>
        <v/>
      </c>
      <c r="AV492" s="199">
        <f>$O492*AV$34-$Q492</f>
        <v/>
      </c>
      <c r="AW492" s="199">
        <f>$O492*AW$34-$Q492</f>
        <v/>
      </c>
      <c r="AX492" s="199">
        <f>$O492*AX$34-$Q492</f>
        <v/>
      </c>
      <c r="AZ492" s="198">
        <f>$G492</f>
        <v/>
      </c>
      <c r="BA492" s="199">
        <f>$H492</f>
        <v/>
      </c>
      <c r="BB492" s="199">
        <f>$P492*BB$34-$Q492</f>
        <v/>
      </c>
      <c r="BC492" s="199">
        <f>$P492*BC$34-$Q492</f>
        <v/>
      </c>
      <c r="BD492" s="199">
        <f>$P492*BD$34-$Q492</f>
        <v/>
      </c>
      <c r="BE492" s="199">
        <f>$P492*BE$34-$Q492</f>
        <v/>
      </c>
      <c r="BF492" s="199">
        <f>$P492*BF$34-$Q492</f>
        <v/>
      </c>
      <c r="BH492" s="198">
        <f>$G492</f>
        <v/>
      </c>
      <c r="BI492" s="197">
        <f>$I492</f>
        <v/>
      </c>
      <c r="BJ492" s="197">
        <f>+BJ493</f>
        <v/>
      </c>
      <c r="BK492" s="197">
        <f>+BK493</f>
        <v/>
      </c>
      <c r="BL492" s="197">
        <f>+BL493</f>
        <v/>
      </c>
      <c r="BM492" s="197">
        <f>+BM493</f>
        <v/>
      </c>
      <c r="BN492" s="197">
        <f>+BN493</f>
        <v/>
      </c>
      <c r="BP492" s="198">
        <f>$G492</f>
        <v/>
      </c>
      <c r="BQ492" s="197">
        <f>$J492</f>
        <v/>
      </c>
      <c r="BR492" s="197">
        <f>+BR493</f>
        <v/>
      </c>
      <c r="BS492" s="197">
        <f>+BS493</f>
        <v/>
      </c>
      <c r="BT492" s="197">
        <f>+BT493</f>
        <v/>
      </c>
      <c r="BU492" s="197">
        <f>+BU493</f>
        <v/>
      </c>
      <c r="BV492" s="197">
        <f>+BV493</f>
        <v/>
      </c>
      <c r="BX492" s="198">
        <f>$G492</f>
        <v/>
      </c>
      <c r="BY492" s="197">
        <f>$K492</f>
        <v/>
      </c>
      <c r="BZ492" s="197">
        <f>+BZ493</f>
        <v/>
      </c>
      <c r="CA492" s="197">
        <f>+CA493</f>
        <v/>
      </c>
      <c r="CB492" s="197">
        <f>+CB493</f>
        <v/>
      </c>
      <c r="CC492" s="197">
        <f>+CC493</f>
        <v/>
      </c>
      <c r="CD492" s="197">
        <f>+CD493</f>
        <v/>
      </c>
      <c r="CF492" s="198">
        <f>$G492</f>
        <v/>
      </c>
      <c r="CG492" s="197">
        <f>$L492</f>
        <v/>
      </c>
      <c r="CH492" s="197">
        <f>+CH493</f>
        <v/>
      </c>
      <c r="CI492" s="197">
        <f>+CI493</f>
        <v/>
      </c>
      <c r="CJ492" s="197">
        <f>+CJ493</f>
        <v/>
      </c>
      <c r="CK492" s="197">
        <f>+CK493</f>
        <v/>
      </c>
      <c r="CL492" s="197">
        <f>+CL493</f>
        <v/>
      </c>
      <c r="CO492" s="199" t="n">
        <v>4.676035634179413</v>
      </c>
      <c r="CP492" s="199" t="n">
        <v>2.77</v>
      </c>
      <c r="CR492" s="199" t="n">
        <v>3.69</v>
      </c>
      <c r="CS492" s="970" t="n">
        <v>0.78913</v>
      </c>
    </row>
    <row r="493">
      <c r="B493" s="204">
        <f>+C493-1</f>
        <v/>
      </c>
      <c r="C493" s="204">
        <f>IF('bands_A-H_Avg'!$D$9+1&gt;MONTH(G493),YEAR(G493),YEAR(G493)+1)</f>
        <v/>
      </c>
      <c r="D493" s="204">
        <f>+C493+1</f>
        <v/>
      </c>
      <c r="E493" s="203">
        <f>IF(C493&gt;C492,1,E492+1)</f>
        <v/>
      </c>
      <c r="F493" s="203">
        <f>COUNTIF(C:C,C493)</f>
        <v/>
      </c>
      <c r="G493" s="198">
        <f>+G492+7</f>
        <v/>
      </c>
      <c r="H493" s="361">
        <f>IF(ISBLANK(CO493),CP493,SUMPRODUCT(CO$32:CP$32,CO493:CP493))</f>
        <v/>
      </c>
      <c r="I493" s="968">
        <f>H493/M493</f>
        <v/>
      </c>
      <c r="J493" s="968">
        <f>H493/N493</f>
        <v/>
      </c>
      <c r="K493" s="968">
        <f>(H493+Q493)/O493</f>
        <v/>
      </c>
      <c r="L493" s="968">
        <f>(H493+Q493)/P493</f>
        <v/>
      </c>
      <c r="M493" s="199">
        <f>HLOOKUP(C:C,$4:$10,3,FALSE)+((HLOOKUP(D:D,$4:$10,3,FALSE)-HLOOKUP(C:C,$4:$10,3,FALSE))*E493/F493)</f>
        <v/>
      </c>
      <c r="N493" s="199">
        <f>HLOOKUP(C:C,$4:$10,2,FALSE)+((HLOOKUP(D:D,$4:$10,2,FALSE)-HLOOKUP(C:C,$4:$10,2,FALSE))*E493/F493)</f>
        <v/>
      </c>
      <c r="O493" s="199">
        <f>HLOOKUP(C:C,$4:$10,5,FALSE)+((HLOOKUP(D:D,$4:$10,5,FALSE)-HLOOKUP(C:C,$4:$10,5,FALSE))*E493/F493)</f>
        <v/>
      </c>
      <c r="P493" s="199">
        <f>HLOOKUP(C:C,$4:$10,4,FALSE)+((HLOOKUP(D:D,$4:$10,4,FALSE)-HLOOKUP(C:C,$4:$10,4,FALSE))*E493/F493)</f>
        <v/>
      </c>
      <c r="Q493" s="199">
        <f>HLOOKUP(B:B,$4:$10,6,FALSE)+((HLOOKUP(C:C,$4:$10,6,FALSE)-HLOOKUP(B:B,$4:$10,6,FALSE))*E493/F493)</f>
        <v/>
      </c>
      <c r="T493" s="198">
        <f>$G493</f>
        <v/>
      </c>
      <c r="U493" s="199">
        <f>H493/(HLOOKUP(B:B,$4:$10,3,FALSE)+((HLOOKUP(C:C,$4:$10,3,FALSE)-HLOOKUP(B:B,$4:$10,3,FALSE))*E493/F493))</f>
        <v/>
      </c>
      <c r="V493" s="969">
        <f>HLOOKUP(B:B,$4:$10,7,FALSE)+((HLOOKUP(C:C,$4:$10,7,FALSE)-HLOOKUP(B:B,$4:$10,7,FALSE))*E493/F493)</f>
        <v/>
      </c>
      <c r="AB493" s="198">
        <f>$G493</f>
        <v/>
      </c>
      <c r="AC493" s="199">
        <f>$H493</f>
        <v/>
      </c>
      <c r="AD493" s="199">
        <f>$M493*AD$34</f>
        <v/>
      </c>
      <c r="AE493" s="199">
        <f>$M493*AE$34</f>
        <v/>
      </c>
      <c r="AF493" s="199">
        <f>$M493*AF$34</f>
        <v/>
      </c>
      <c r="AG493" s="199">
        <f>$M493*AG$34</f>
        <v/>
      </c>
      <c r="AH493" s="199">
        <f>$M493*AH$34</f>
        <v/>
      </c>
      <c r="AJ493" s="198">
        <f>$G493</f>
        <v/>
      </c>
      <c r="AK493" s="199">
        <f>$H493</f>
        <v/>
      </c>
      <c r="AL493" s="199">
        <f>$N493*AL$34</f>
        <v/>
      </c>
      <c r="AM493" s="199">
        <f>$N493*AM$34</f>
        <v/>
      </c>
      <c r="AN493" s="199">
        <f>$N493*AN$34</f>
        <v/>
      </c>
      <c r="AO493" s="199">
        <f>$N493*AO$34</f>
        <v/>
      </c>
      <c r="AP493" s="199">
        <f>$N493*AP$34</f>
        <v/>
      </c>
      <c r="AR493" s="198">
        <f>$G493</f>
        <v/>
      </c>
      <c r="AS493" s="199">
        <f>$H493</f>
        <v/>
      </c>
      <c r="AT493" s="199">
        <f>$O493*AT$34-$Q493</f>
        <v/>
      </c>
      <c r="AU493" s="199">
        <f>$O493*AU$34-$Q493</f>
        <v/>
      </c>
      <c r="AV493" s="199">
        <f>$O493*AV$34-$Q493</f>
        <v/>
      </c>
      <c r="AW493" s="199">
        <f>$O493*AW$34-$Q493</f>
        <v/>
      </c>
      <c r="AX493" s="199">
        <f>$O493*AX$34-$Q493</f>
        <v/>
      </c>
      <c r="AZ493" s="198">
        <f>$G493</f>
        <v/>
      </c>
      <c r="BA493" s="199">
        <f>$H493</f>
        <v/>
      </c>
      <c r="BB493" s="199">
        <f>$P493*BB$34-$Q493</f>
        <v/>
      </c>
      <c r="BC493" s="199">
        <f>$P493*BC$34-$Q493</f>
        <v/>
      </c>
      <c r="BD493" s="199">
        <f>$P493*BD$34-$Q493</f>
        <v/>
      </c>
      <c r="BE493" s="199">
        <f>$P493*BE$34-$Q493</f>
        <v/>
      </c>
      <c r="BF493" s="199">
        <f>$P493*BF$34-$Q493</f>
        <v/>
      </c>
      <c r="BH493" s="198">
        <f>$G493</f>
        <v/>
      </c>
      <c r="BI493" s="197">
        <f>$I493</f>
        <v/>
      </c>
      <c r="BJ493" s="197">
        <f>+BJ494</f>
        <v/>
      </c>
      <c r="BK493" s="197">
        <f>+BK494</f>
        <v/>
      </c>
      <c r="BL493" s="197">
        <f>+BL494</f>
        <v/>
      </c>
      <c r="BM493" s="197">
        <f>+BM494</f>
        <v/>
      </c>
      <c r="BN493" s="197">
        <f>+BN494</f>
        <v/>
      </c>
      <c r="BP493" s="198">
        <f>$G493</f>
        <v/>
      </c>
      <c r="BQ493" s="197">
        <f>$J493</f>
        <v/>
      </c>
      <c r="BR493" s="197">
        <f>+BR494</f>
        <v/>
      </c>
      <c r="BS493" s="197">
        <f>+BS494</f>
        <v/>
      </c>
      <c r="BT493" s="197">
        <f>+BT494</f>
        <v/>
      </c>
      <c r="BU493" s="197">
        <f>+BU494</f>
        <v/>
      </c>
      <c r="BV493" s="197">
        <f>+BV494</f>
        <v/>
      </c>
      <c r="BX493" s="198">
        <f>$G493</f>
        <v/>
      </c>
      <c r="BY493" s="197">
        <f>$K493</f>
        <v/>
      </c>
      <c r="BZ493" s="197">
        <f>+BZ494</f>
        <v/>
      </c>
      <c r="CA493" s="197">
        <f>+CA494</f>
        <v/>
      </c>
      <c r="CB493" s="197">
        <f>+CB494</f>
        <v/>
      </c>
      <c r="CC493" s="197">
        <f>+CC494</f>
        <v/>
      </c>
      <c r="CD493" s="197">
        <f>+CD494</f>
        <v/>
      </c>
      <c r="CF493" s="198">
        <f>$G493</f>
        <v/>
      </c>
      <c r="CG493" s="197">
        <f>$L493</f>
        <v/>
      </c>
      <c r="CH493" s="197">
        <f>+CH494</f>
        <v/>
      </c>
      <c r="CI493" s="197">
        <f>+CI494</f>
        <v/>
      </c>
      <c r="CJ493" s="197">
        <f>+CJ494</f>
        <v/>
      </c>
      <c r="CK493" s="197">
        <f>+CK494</f>
        <v/>
      </c>
      <c r="CL493" s="197">
        <f>+CL494</f>
        <v/>
      </c>
      <c r="CO493" s="199" t="n">
        <v>4.774690341700651</v>
      </c>
      <c r="CP493" s="199" t="n">
        <v>2.72</v>
      </c>
      <c r="CR493" s="199" t="n">
        <v>3.77</v>
      </c>
      <c r="CS493" s="970" t="n">
        <v>0.7895799999999999</v>
      </c>
    </row>
    <row r="494">
      <c r="B494" s="204">
        <f>+C494-1</f>
        <v/>
      </c>
      <c r="C494" s="204">
        <f>IF('bands_A-H_Avg'!$D$9+1&gt;MONTH(G494),YEAR(G494),YEAR(G494)+1)</f>
        <v/>
      </c>
      <c r="D494" s="204">
        <f>+C494+1</f>
        <v/>
      </c>
      <c r="E494" s="203">
        <f>IF(C494&gt;C493,1,E493+1)</f>
        <v/>
      </c>
      <c r="F494" s="203">
        <f>COUNTIF(C:C,C494)</f>
        <v/>
      </c>
      <c r="G494" s="198">
        <f>+G493+7</f>
        <v/>
      </c>
      <c r="H494" s="361">
        <f>IF(ISBLANK(CO494),CP494,SUMPRODUCT(CO$32:CP$32,CO494:CP494))</f>
        <v/>
      </c>
      <c r="I494" s="968">
        <f>H494/M494</f>
        <v/>
      </c>
      <c r="J494" s="968">
        <f>H494/N494</f>
        <v/>
      </c>
      <c r="K494" s="968">
        <f>(H494+Q494)/O494</f>
        <v/>
      </c>
      <c r="L494" s="968">
        <f>(H494+Q494)/P494</f>
        <v/>
      </c>
      <c r="M494" s="199">
        <f>HLOOKUP(C:C,$4:$10,3,FALSE)+((HLOOKUP(D:D,$4:$10,3,FALSE)-HLOOKUP(C:C,$4:$10,3,FALSE))*E494/F494)</f>
        <v/>
      </c>
      <c r="N494" s="199">
        <f>HLOOKUP(C:C,$4:$10,2,FALSE)+((HLOOKUP(D:D,$4:$10,2,FALSE)-HLOOKUP(C:C,$4:$10,2,FALSE))*E494/F494)</f>
        <v/>
      </c>
      <c r="O494" s="199">
        <f>HLOOKUP(C:C,$4:$10,5,FALSE)+((HLOOKUP(D:D,$4:$10,5,FALSE)-HLOOKUP(C:C,$4:$10,5,FALSE))*E494/F494)</f>
        <v/>
      </c>
      <c r="P494" s="199">
        <f>HLOOKUP(C:C,$4:$10,4,FALSE)+((HLOOKUP(D:D,$4:$10,4,FALSE)-HLOOKUP(C:C,$4:$10,4,FALSE))*E494/F494)</f>
        <v/>
      </c>
      <c r="Q494" s="199">
        <f>HLOOKUP(B:B,$4:$10,6,FALSE)+((HLOOKUP(C:C,$4:$10,6,FALSE)-HLOOKUP(B:B,$4:$10,6,FALSE))*E494/F494)</f>
        <v/>
      </c>
      <c r="T494" s="198">
        <f>$G494</f>
        <v/>
      </c>
      <c r="U494" s="199">
        <f>H494/(HLOOKUP(B:B,$4:$10,3,FALSE)+((HLOOKUP(C:C,$4:$10,3,FALSE)-HLOOKUP(B:B,$4:$10,3,FALSE))*E494/F494))</f>
        <v/>
      </c>
      <c r="V494" s="969">
        <f>HLOOKUP(B:B,$4:$10,7,FALSE)+((HLOOKUP(C:C,$4:$10,7,FALSE)-HLOOKUP(B:B,$4:$10,7,FALSE))*E494/F494)</f>
        <v/>
      </c>
      <c r="AB494" s="198">
        <f>$G494</f>
        <v/>
      </c>
      <c r="AC494" s="199">
        <f>$H494</f>
        <v/>
      </c>
      <c r="AD494" s="199">
        <f>$M494*AD$34</f>
        <v/>
      </c>
      <c r="AE494" s="199">
        <f>$M494*AE$34</f>
        <v/>
      </c>
      <c r="AF494" s="199">
        <f>$M494*AF$34</f>
        <v/>
      </c>
      <c r="AG494" s="199">
        <f>$M494*AG$34</f>
        <v/>
      </c>
      <c r="AH494" s="199">
        <f>$M494*AH$34</f>
        <v/>
      </c>
      <c r="AJ494" s="198">
        <f>$G494</f>
        <v/>
      </c>
      <c r="AK494" s="199">
        <f>$H494</f>
        <v/>
      </c>
      <c r="AL494" s="199">
        <f>$N494*AL$34</f>
        <v/>
      </c>
      <c r="AM494" s="199">
        <f>$N494*AM$34</f>
        <v/>
      </c>
      <c r="AN494" s="199">
        <f>$N494*AN$34</f>
        <v/>
      </c>
      <c r="AO494" s="199">
        <f>$N494*AO$34</f>
        <v/>
      </c>
      <c r="AP494" s="199">
        <f>$N494*AP$34</f>
        <v/>
      </c>
      <c r="AR494" s="198">
        <f>$G494</f>
        <v/>
      </c>
      <c r="AS494" s="199">
        <f>$H494</f>
        <v/>
      </c>
      <c r="AT494" s="199">
        <f>$O494*AT$34-$Q494</f>
        <v/>
      </c>
      <c r="AU494" s="199">
        <f>$O494*AU$34-$Q494</f>
        <v/>
      </c>
      <c r="AV494" s="199">
        <f>$O494*AV$34-$Q494</f>
        <v/>
      </c>
      <c r="AW494" s="199">
        <f>$O494*AW$34-$Q494</f>
        <v/>
      </c>
      <c r="AX494" s="199">
        <f>$O494*AX$34-$Q494</f>
        <v/>
      </c>
      <c r="AZ494" s="198">
        <f>$G494</f>
        <v/>
      </c>
      <c r="BA494" s="199">
        <f>$H494</f>
        <v/>
      </c>
      <c r="BB494" s="199">
        <f>$P494*BB$34-$Q494</f>
        <v/>
      </c>
      <c r="BC494" s="199">
        <f>$P494*BC$34-$Q494</f>
        <v/>
      </c>
      <c r="BD494" s="199">
        <f>$P494*BD$34-$Q494</f>
        <v/>
      </c>
      <c r="BE494" s="199">
        <f>$P494*BE$34-$Q494</f>
        <v/>
      </c>
      <c r="BF494" s="199">
        <f>$P494*BF$34-$Q494</f>
        <v/>
      </c>
      <c r="BH494" s="198">
        <f>$G494</f>
        <v/>
      </c>
      <c r="BI494" s="197">
        <f>$I494</f>
        <v/>
      </c>
      <c r="BJ494" s="197">
        <f>+BJ495</f>
        <v/>
      </c>
      <c r="BK494" s="197">
        <f>+BK495</f>
        <v/>
      </c>
      <c r="BL494" s="197">
        <f>+BL495</f>
        <v/>
      </c>
      <c r="BM494" s="197">
        <f>+BM495</f>
        <v/>
      </c>
      <c r="BN494" s="197">
        <f>+BN495</f>
        <v/>
      </c>
      <c r="BP494" s="198">
        <f>$G494</f>
        <v/>
      </c>
      <c r="BQ494" s="197">
        <f>$J494</f>
        <v/>
      </c>
      <c r="BR494" s="197">
        <f>+BR495</f>
        <v/>
      </c>
      <c r="BS494" s="197">
        <f>+BS495</f>
        <v/>
      </c>
      <c r="BT494" s="197">
        <f>+BT495</f>
        <v/>
      </c>
      <c r="BU494" s="197">
        <f>+BU495</f>
        <v/>
      </c>
      <c r="BV494" s="197">
        <f>+BV495</f>
        <v/>
      </c>
      <c r="BX494" s="198">
        <f>$G494</f>
        <v/>
      </c>
      <c r="BY494" s="197">
        <f>$K494</f>
        <v/>
      </c>
      <c r="BZ494" s="197">
        <f>+BZ495</f>
        <v/>
      </c>
      <c r="CA494" s="197">
        <f>+CA495</f>
        <v/>
      </c>
      <c r="CB494" s="197">
        <f>+CB495</f>
        <v/>
      </c>
      <c r="CC494" s="197">
        <f>+CC495</f>
        <v/>
      </c>
      <c r="CD494" s="197">
        <f>+CD495</f>
        <v/>
      </c>
      <c r="CF494" s="198">
        <f>$G494</f>
        <v/>
      </c>
      <c r="CG494" s="197">
        <f>$L494</f>
        <v/>
      </c>
      <c r="CH494" s="197">
        <f>+CH495</f>
        <v/>
      </c>
      <c r="CI494" s="197">
        <f>+CI495</f>
        <v/>
      </c>
      <c r="CJ494" s="197">
        <f>+CJ495</f>
        <v/>
      </c>
      <c r="CK494" s="197">
        <f>+CK495</f>
        <v/>
      </c>
      <c r="CL494" s="197">
        <f>+CL495</f>
        <v/>
      </c>
      <c r="CO494" s="199" t="n">
        <v>4.940586282905572</v>
      </c>
      <c r="CP494" s="199" t="n">
        <v>2.76</v>
      </c>
      <c r="CR494" s="199" t="n">
        <v>3.9</v>
      </c>
      <c r="CS494" s="970" t="n">
        <v>0.78938</v>
      </c>
    </row>
    <row r="495">
      <c r="B495" s="204">
        <f>+C495-1</f>
        <v/>
      </c>
      <c r="C495" s="204">
        <f>IF('bands_A-H_Avg'!$D$9+1&gt;MONTH(G495),YEAR(G495),YEAR(G495)+1)</f>
        <v/>
      </c>
      <c r="D495" s="204">
        <f>+C495+1</f>
        <v/>
      </c>
      <c r="E495" s="203">
        <f>IF(C495&gt;C494,1,E494+1)</f>
        <v/>
      </c>
      <c r="F495" s="203">
        <f>COUNTIF(C:C,C495)</f>
        <v/>
      </c>
      <c r="G495" s="198">
        <f>+G494+7</f>
        <v/>
      </c>
      <c r="H495" s="361">
        <f>IF(ISBLANK(CO495),CP495,SUMPRODUCT(CO$32:CP$32,CO495:CP495))</f>
        <v/>
      </c>
      <c r="I495" s="968">
        <f>H495/M495</f>
        <v/>
      </c>
      <c r="J495" s="968">
        <f>H495/N495</f>
        <v/>
      </c>
      <c r="K495" s="968">
        <f>(H495+Q495)/O495</f>
        <v/>
      </c>
      <c r="L495" s="968">
        <f>(H495+Q495)/P495</f>
        <v/>
      </c>
      <c r="M495" s="199">
        <f>HLOOKUP(C:C,$4:$10,3,FALSE)+((HLOOKUP(D:D,$4:$10,3,FALSE)-HLOOKUP(C:C,$4:$10,3,FALSE))*E495/F495)</f>
        <v/>
      </c>
      <c r="N495" s="199">
        <f>HLOOKUP(C:C,$4:$10,2,FALSE)+((HLOOKUP(D:D,$4:$10,2,FALSE)-HLOOKUP(C:C,$4:$10,2,FALSE))*E495/F495)</f>
        <v/>
      </c>
      <c r="O495" s="199">
        <f>HLOOKUP(C:C,$4:$10,5,FALSE)+((HLOOKUP(D:D,$4:$10,5,FALSE)-HLOOKUP(C:C,$4:$10,5,FALSE))*E495/F495)</f>
        <v/>
      </c>
      <c r="P495" s="199">
        <f>HLOOKUP(C:C,$4:$10,4,FALSE)+((HLOOKUP(D:D,$4:$10,4,FALSE)-HLOOKUP(C:C,$4:$10,4,FALSE))*E495/F495)</f>
        <v/>
      </c>
      <c r="Q495" s="199">
        <f>HLOOKUP(B:B,$4:$10,6,FALSE)+((HLOOKUP(C:C,$4:$10,6,FALSE)-HLOOKUP(B:B,$4:$10,6,FALSE))*E495/F495)</f>
        <v/>
      </c>
      <c r="T495" s="198">
        <f>$G495</f>
        <v/>
      </c>
      <c r="U495" s="199">
        <f>H495/(HLOOKUP(B:B,$4:$10,3,FALSE)+((HLOOKUP(C:C,$4:$10,3,FALSE)-HLOOKUP(B:B,$4:$10,3,FALSE))*E495/F495))</f>
        <v/>
      </c>
      <c r="V495" s="969">
        <f>HLOOKUP(B:B,$4:$10,7,FALSE)+((HLOOKUP(C:C,$4:$10,7,FALSE)-HLOOKUP(B:B,$4:$10,7,FALSE))*E495/F495)</f>
        <v/>
      </c>
      <c r="AB495" s="198">
        <f>$G495</f>
        <v/>
      </c>
      <c r="AC495" s="199">
        <f>$H495</f>
        <v/>
      </c>
      <c r="AD495" s="199">
        <f>$M495*AD$34</f>
        <v/>
      </c>
      <c r="AE495" s="199">
        <f>$M495*AE$34</f>
        <v/>
      </c>
      <c r="AF495" s="199">
        <f>$M495*AF$34</f>
        <v/>
      </c>
      <c r="AG495" s="199">
        <f>$M495*AG$34</f>
        <v/>
      </c>
      <c r="AH495" s="199">
        <f>$M495*AH$34</f>
        <v/>
      </c>
      <c r="AJ495" s="198">
        <f>$G495</f>
        <v/>
      </c>
      <c r="AK495" s="199">
        <f>$H495</f>
        <v/>
      </c>
      <c r="AL495" s="199">
        <f>$N495*AL$34</f>
        <v/>
      </c>
      <c r="AM495" s="199">
        <f>$N495*AM$34</f>
        <v/>
      </c>
      <c r="AN495" s="199">
        <f>$N495*AN$34</f>
        <v/>
      </c>
      <c r="AO495" s="199">
        <f>$N495*AO$34</f>
        <v/>
      </c>
      <c r="AP495" s="199">
        <f>$N495*AP$34</f>
        <v/>
      </c>
      <c r="AR495" s="198">
        <f>$G495</f>
        <v/>
      </c>
      <c r="AS495" s="199">
        <f>$H495</f>
        <v/>
      </c>
      <c r="AT495" s="199">
        <f>$O495*AT$34-$Q495</f>
        <v/>
      </c>
      <c r="AU495" s="199">
        <f>$O495*AU$34-$Q495</f>
        <v/>
      </c>
      <c r="AV495" s="199">
        <f>$O495*AV$34-$Q495</f>
        <v/>
      </c>
      <c r="AW495" s="199">
        <f>$O495*AW$34-$Q495</f>
        <v/>
      </c>
      <c r="AX495" s="199">
        <f>$O495*AX$34-$Q495</f>
        <v/>
      </c>
      <c r="AZ495" s="198">
        <f>$G495</f>
        <v/>
      </c>
      <c r="BA495" s="199">
        <f>$H495</f>
        <v/>
      </c>
      <c r="BB495" s="199">
        <f>$P495*BB$34-$Q495</f>
        <v/>
      </c>
      <c r="BC495" s="199">
        <f>$P495*BC$34-$Q495</f>
        <v/>
      </c>
      <c r="BD495" s="199">
        <f>$P495*BD$34-$Q495</f>
        <v/>
      </c>
      <c r="BE495" s="199">
        <f>$P495*BE$34-$Q495</f>
        <v/>
      </c>
      <c r="BF495" s="199">
        <f>$P495*BF$34-$Q495</f>
        <v/>
      </c>
      <c r="BH495" s="198">
        <f>$G495</f>
        <v/>
      </c>
      <c r="BI495" s="197">
        <f>$I495</f>
        <v/>
      </c>
      <c r="BJ495" s="197">
        <f>+BJ496</f>
        <v/>
      </c>
      <c r="BK495" s="197">
        <f>+BK496</f>
        <v/>
      </c>
      <c r="BL495" s="197">
        <f>+BL496</f>
        <v/>
      </c>
      <c r="BM495" s="197">
        <f>+BM496</f>
        <v/>
      </c>
      <c r="BN495" s="197">
        <f>+BN496</f>
        <v/>
      </c>
      <c r="BP495" s="198">
        <f>$G495</f>
        <v/>
      </c>
      <c r="BQ495" s="197">
        <f>$J495</f>
        <v/>
      </c>
      <c r="BR495" s="197">
        <f>+BR496</f>
        <v/>
      </c>
      <c r="BS495" s="197">
        <f>+BS496</f>
        <v/>
      </c>
      <c r="BT495" s="197">
        <f>+BT496</f>
        <v/>
      </c>
      <c r="BU495" s="197">
        <f>+BU496</f>
        <v/>
      </c>
      <c r="BV495" s="197">
        <f>+BV496</f>
        <v/>
      </c>
      <c r="BX495" s="198">
        <f>$G495</f>
        <v/>
      </c>
      <c r="BY495" s="197">
        <f>$K495</f>
        <v/>
      </c>
      <c r="BZ495" s="197">
        <f>+BZ496</f>
        <v/>
      </c>
      <c r="CA495" s="197">
        <f>+CA496</f>
        <v/>
      </c>
      <c r="CB495" s="197">
        <f>+CB496</f>
        <v/>
      </c>
      <c r="CC495" s="197">
        <f>+CC496</f>
        <v/>
      </c>
      <c r="CD495" s="197">
        <f>+CD496</f>
        <v/>
      </c>
      <c r="CF495" s="198">
        <f>$G495</f>
        <v/>
      </c>
      <c r="CG495" s="197">
        <f>$L495</f>
        <v/>
      </c>
      <c r="CH495" s="197">
        <f>+CH496</f>
        <v/>
      </c>
      <c r="CI495" s="197">
        <f>+CI496</f>
        <v/>
      </c>
      <c r="CJ495" s="197">
        <f>+CJ496</f>
        <v/>
      </c>
      <c r="CK495" s="197">
        <f>+CK496</f>
        <v/>
      </c>
      <c r="CL495" s="197">
        <f>+CL496</f>
        <v/>
      </c>
      <c r="CO495" s="199" t="n">
        <v>5.047807954429865</v>
      </c>
      <c r="CP495" s="199" t="n">
        <v>2.92</v>
      </c>
      <c r="CR495" s="199" t="n">
        <v>3.97</v>
      </c>
      <c r="CS495" s="970" t="n">
        <v>0.78648</v>
      </c>
    </row>
    <row r="496">
      <c r="B496" s="204">
        <f>+C496-1</f>
        <v/>
      </c>
      <c r="C496" s="204">
        <f>IF('bands_A-H_Avg'!$D$9+1&gt;MONTH(G496),YEAR(G496),YEAR(G496)+1)</f>
        <v/>
      </c>
      <c r="D496" s="204">
        <f>+C496+1</f>
        <v/>
      </c>
      <c r="E496" s="203">
        <f>IF(C496&gt;C495,1,E495+1)</f>
        <v/>
      </c>
      <c r="F496" s="203">
        <f>COUNTIF(C:C,C496)</f>
        <v/>
      </c>
      <c r="G496" s="198">
        <f>+G495+7</f>
        <v/>
      </c>
      <c r="H496" s="361">
        <f>IF(ISBLANK(CO496),CP496,SUMPRODUCT(CO$32:CP$32,CO496:CP496))</f>
        <v/>
      </c>
      <c r="I496" s="968">
        <f>H496/M496</f>
        <v/>
      </c>
      <c r="J496" s="968">
        <f>H496/N496</f>
        <v/>
      </c>
      <c r="K496" s="968">
        <f>(H496+Q496)/O496</f>
        <v/>
      </c>
      <c r="L496" s="968">
        <f>(H496+Q496)/P496</f>
        <v/>
      </c>
      <c r="M496" s="199">
        <f>HLOOKUP(C:C,$4:$10,3,FALSE)+((HLOOKUP(D:D,$4:$10,3,FALSE)-HLOOKUP(C:C,$4:$10,3,FALSE))*E496/F496)</f>
        <v/>
      </c>
      <c r="N496" s="199">
        <f>HLOOKUP(C:C,$4:$10,2,FALSE)+((HLOOKUP(D:D,$4:$10,2,FALSE)-HLOOKUP(C:C,$4:$10,2,FALSE))*E496/F496)</f>
        <v/>
      </c>
      <c r="O496" s="199">
        <f>HLOOKUP(C:C,$4:$10,5,FALSE)+((HLOOKUP(D:D,$4:$10,5,FALSE)-HLOOKUP(C:C,$4:$10,5,FALSE))*E496/F496)</f>
        <v/>
      </c>
      <c r="P496" s="199">
        <f>HLOOKUP(C:C,$4:$10,4,FALSE)+((HLOOKUP(D:D,$4:$10,4,FALSE)-HLOOKUP(C:C,$4:$10,4,FALSE))*E496/F496)</f>
        <v/>
      </c>
      <c r="Q496" s="199">
        <f>HLOOKUP(B:B,$4:$10,6,FALSE)+((HLOOKUP(C:C,$4:$10,6,FALSE)-HLOOKUP(B:B,$4:$10,6,FALSE))*E496/F496)</f>
        <v/>
      </c>
      <c r="T496" s="198">
        <f>$G496</f>
        <v/>
      </c>
      <c r="U496" s="199">
        <f>H496/(HLOOKUP(B:B,$4:$10,3,FALSE)+((HLOOKUP(C:C,$4:$10,3,FALSE)-HLOOKUP(B:B,$4:$10,3,FALSE))*E496/F496))</f>
        <v/>
      </c>
      <c r="V496" s="969">
        <f>HLOOKUP(B:B,$4:$10,7,FALSE)+((HLOOKUP(C:C,$4:$10,7,FALSE)-HLOOKUP(B:B,$4:$10,7,FALSE))*E496/F496)</f>
        <v/>
      </c>
      <c r="AB496" s="198">
        <f>$G496</f>
        <v/>
      </c>
      <c r="AC496" s="199">
        <f>$H496</f>
        <v/>
      </c>
      <c r="AD496" s="199">
        <f>$M496*AD$34</f>
        <v/>
      </c>
      <c r="AE496" s="199">
        <f>$M496*AE$34</f>
        <v/>
      </c>
      <c r="AF496" s="199">
        <f>$M496*AF$34</f>
        <v/>
      </c>
      <c r="AG496" s="199">
        <f>$M496*AG$34</f>
        <v/>
      </c>
      <c r="AH496" s="199">
        <f>$M496*AH$34</f>
        <v/>
      </c>
      <c r="AJ496" s="198">
        <f>$G496</f>
        <v/>
      </c>
      <c r="AK496" s="199">
        <f>$H496</f>
        <v/>
      </c>
      <c r="AL496" s="199">
        <f>$N496*AL$34</f>
        <v/>
      </c>
      <c r="AM496" s="199">
        <f>$N496*AM$34</f>
        <v/>
      </c>
      <c r="AN496" s="199">
        <f>$N496*AN$34</f>
        <v/>
      </c>
      <c r="AO496" s="199">
        <f>$N496*AO$34</f>
        <v/>
      </c>
      <c r="AP496" s="199">
        <f>$N496*AP$34</f>
        <v/>
      </c>
      <c r="AR496" s="198">
        <f>$G496</f>
        <v/>
      </c>
      <c r="AS496" s="199">
        <f>$H496</f>
        <v/>
      </c>
      <c r="AT496" s="199">
        <f>$O496*AT$34-$Q496</f>
        <v/>
      </c>
      <c r="AU496" s="199">
        <f>$O496*AU$34-$Q496</f>
        <v/>
      </c>
      <c r="AV496" s="199">
        <f>$O496*AV$34-$Q496</f>
        <v/>
      </c>
      <c r="AW496" s="199">
        <f>$O496*AW$34-$Q496</f>
        <v/>
      </c>
      <c r="AX496" s="199">
        <f>$O496*AX$34-$Q496</f>
        <v/>
      </c>
      <c r="AZ496" s="198">
        <f>$G496</f>
        <v/>
      </c>
      <c r="BA496" s="199">
        <f>$H496</f>
        <v/>
      </c>
      <c r="BB496" s="199">
        <f>$P496*BB$34-$Q496</f>
        <v/>
      </c>
      <c r="BC496" s="199">
        <f>$P496*BC$34-$Q496</f>
        <v/>
      </c>
      <c r="BD496" s="199">
        <f>$P496*BD$34-$Q496</f>
        <v/>
      </c>
      <c r="BE496" s="199">
        <f>$P496*BE$34-$Q496</f>
        <v/>
      </c>
      <c r="BF496" s="199">
        <f>$P496*BF$34-$Q496</f>
        <v/>
      </c>
      <c r="BH496" s="198">
        <f>$G496</f>
        <v/>
      </c>
      <c r="BI496" s="197">
        <f>$I496</f>
        <v/>
      </c>
      <c r="BJ496" s="197">
        <f>+BJ497</f>
        <v/>
      </c>
      <c r="BK496" s="197">
        <f>+BK497</f>
        <v/>
      </c>
      <c r="BL496" s="197">
        <f>+BL497</f>
        <v/>
      </c>
      <c r="BM496" s="197">
        <f>+BM497</f>
        <v/>
      </c>
      <c r="BN496" s="197">
        <f>+BN497</f>
        <v/>
      </c>
      <c r="BP496" s="198">
        <f>$G496</f>
        <v/>
      </c>
      <c r="BQ496" s="197">
        <f>$J496</f>
        <v/>
      </c>
      <c r="BR496" s="197">
        <f>+BR497</f>
        <v/>
      </c>
      <c r="BS496" s="197">
        <f>+BS497</f>
        <v/>
      </c>
      <c r="BT496" s="197">
        <f>+BT497</f>
        <v/>
      </c>
      <c r="BU496" s="197">
        <f>+BU497</f>
        <v/>
      </c>
      <c r="BV496" s="197">
        <f>+BV497</f>
        <v/>
      </c>
      <c r="BX496" s="198">
        <f>$G496</f>
        <v/>
      </c>
      <c r="BY496" s="197">
        <f>$K496</f>
        <v/>
      </c>
      <c r="BZ496" s="197">
        <f>+BZ497</f>
        <v/>
      </c>
      <c r="CA496" s="197">
        <f>+CA497</f>
        <v/>
      </c>
      <c r="CB496" s="197">
        <f>+CB497</f>
        <v/>
      </c>
      <c r="CC496" s="197">
        <f>+CC497</f>
        <v/>
      </c>
      <c r="CD496" s="197">
        <f>+CD497</f>
        <v/>
      </c>
      <c r="CF496" s="198">
        <f>$G496</f>
        <v/>
      </c>
      <c r="CG496" s="197">
        <f>$L496</f>
        <v/>
      </c>
      <c r="CH496" s="197">
        <f>+CH497</f>
        <v/>
      </c>
      <c r="CI496" s="197">
        <f>+CI497</f>
        <v/>
      </c>
      <c r="CJ496" s="197">
        <f>+CJ497</f>
        <v/>
      </c>
      <c r="CK496" s="197">
        <f>+CK497</f>
        <v/>
      </c>
      <c r="CL496" s="197">
        <f>+CL497</f>
        <v/>
      </c>
      <c r="CO496" s="199" t="n">
        <v>4.729006271350634</v>
      </c>
      <c r="CP496" s="199" t="n">
        <v>2.81</v>
      </c>
      <c r="CR496" s="199" t="n">
        <v>3.71</v>
      </c>
      <c r="CS496" s="970" t="n">
        <v>0.78452</v>
      </c>
    </row>
    <row r="497">
      <c r="B497" s="204">
        <f>+C497-1</f>
        <v/>
      </c>
      <c r="C497" s="204">
        <f>IF('bands_A-H_Avg'!$D$9+1&gt;MONTH(G497),YEAR(G497),YEAR(G497)+1)</f>
        <v/>
      </c>
      <c r="D497" s="204">
        <f>+C497+1</f>
        <v/>
      </c>
      <c r="E497" s="203">
        <f>IF(C497&gt;C496,1,E496+1)</f>
        <v/>
      </c>
      <c r="F497" s="203">
        <f>COUNTIF(C:C,C497)</f>
        <v/>
      </c>
      <c r="G497" s="198">
        <f>+G496+7</f>
        <v/>
      </c>
      <c r="H497" s="361">
        <f>IF(ISBLANK(CO497),CP497,SUMPRODUCT(CO$32:CP$32,CO497:CP497))</f>
        <v/>
      </c>
      <c r="I497" s="968">
        <f>H497/M497</f>
        <v/>
      </c>
      <c r="J497" s="968">
        <f>H497/N497</f>
        <v/>
      </c>
      <c r="K497" s="968">
        <f>(H497+Q497)/O497</f>
        <v/>
      </c>
      <c r="L497" s="968">
        <f>(H497+Q497)/P497</f>
        <v/>
      </c>
      <c r="M497" s="199">
        <f>HLOOKUP(C:C,$4:$10,3,FALSE)+((HLOOKUP(D:D,$4:$10,3,FALSE)-HLOOKUP(C:C,$4:$10,3,FALSE))*E497/F497)</f>
        <v/>
      </c>
      <c r="N497" s="199">
        <f>HLOOKUP(C:C,$4:$10,2,FALSE)+((HLOOKUP(D:D,$4:$10,2,FALSE)-HLOOKUP(C:C,$4:$10,2,FALSE))*E497/F497)</f>
        <v/>
      </c>
      <c r="O497" s="199">
        <f>HLOOKUP(C:C,$4:$10,5,FALSE)+((HLOOKUP(D:D,$4:$10,5,FALSE)-HLOOKUP(C:C,$4:$10,5,FALSE))*E497/F497)</f>
        <v/>
      </c>
      <c r="P497" s="199">
        <f>HLOOKUP(C:C,$4:$10,4,FALSE)+((HLOOKUP(D:D,$4:$10,4,FALSE)-HLOOKUP(C:C,$4:$10,4,FALSE))*E497/F497)</f>
        <v/>
      </c>
      <c r="Q497" s="199">
        <f>HLOOKUP(B:B,$4:$10,6,FALSE)+((HLOOKUP(C:C,$4:$10,6,FALSE)-HLOOKUP(B:B,$4:$10,6,FALSE))*E497/F497)</f>
        <v/>
      </c>
      <c r="T497" s="198">
        <f>$G497</f>
        <v/>
      </c>
      <c r="U497" s="199">
        <f>H497/(HLOOKUP(B:B,$4:$10,3,FALSE)+((HLOOKUP(C:C,$4:$10,3,FALSE)-HLOOKUP(B:B,$4:$10,3,FALSE))*E497/F497))</f>
        <v/>
      </c>
      <c r="V497" s="969">
        <f>HLOOKUP(B:B,$4:$10,7,FALSE)+((HLOOKUP(C:C,$4:$10,7,FALSE)-HLOOKUP(B:B,$4:$10,7,FALSE))*E497/F497)</f>
        <v/>
      </c>
      <c r="AB497" s="198">
        <f>$G497</f>
        <v/>
      </c>
      <c r="AC497" s="199">
        <f>$H497</f>
        <v/>
      </c>
      <c r="AD497" s="199">
        <f>$M497*AD$34</f>
        <v/>
      </c>
      <c r="AE497" s="199">
        <f>$M497*AE$34</f>
        <v/>
      </c>
      <c r="AF497" s="199">
        <f>$M497*AF$34</f>
        <v/>
      </c>
      <c r="AG497" s="199">
        <f>$M497*AG$34</f>
        <v/>
      </c>
      <c r="AH497" s="199">
        <f>$M497*AH$34</f>
        <v/>
      </c>
      <c r="AJ497" s="198">
        <f>$G497</f>
        <v/>
      </c>
      <c r="AK497" s="199">
        <f>$H497</f>
        <v/>
      </c>
      <c r="AL497" s="199">
        <f>$N497*AL$34</f>
        <v/>
      </c>
      <c r="AM497" s="199">
        <f>$N497*AM$34</f>
        <v/>
      </c>
      <c r="AN497" s="199">
        <f>$N497*AN$34</f>
        <v/>
      </c>
      <c r="AO497" s="199">
        <f>$N497*AO$34</f>
        <v/>
      </c>
      <c r="AP497" s="199">
        <f>$N497*AP$34</f>
        <v/>
      </c>
      <c r="AR497" s="198">
        <f>$G497</f>
        <v/>
      </c>
      <c r="AS497" s="199">
        <f>$H497</f>
        <v/>
      </c>
      <c r="AT497" s="199">
        <f>$O497*AT$34-$Q497</f>
        <v/>
      </c>
      <c r="AU497" s="199">
        <f>$O497*AU$34-$Q497</f>
        <v/>
      </c>
      <c r="AV497" s="199">
        <f>$O497*AV$34-$Q497</f>
        <v/>
      </c>
      <c r="AW497" s="199">
        <f>$O497*AW$34-$Q497</f>
        <v/>
      </c>
      <c r="AX497" s="199">
        <f>$O497*AX$34-$Q497</f>
        <v/>
      </c>
      <c r="AZ497" s="198">
        <f>$G497</f>
        <v/>
      </c>
      <c r="BA497" s="199">
        <f>$H497</f>
        <v/>
      </c>
      <c r="BB497" s="199">
        <f>$P497*BB$34-$Q497</f>
        <v/>
      </c>
      <c r="BC497" s="199">
        <f>$P497*BC$34-$Q497</f>
        <v/>
      </c>
      <c r="BD497" s="199">
        <f>$P497*BD$34-$Q497</f>
        <v/>
      </c>
      <c r="BE497" s="199">
        <f>$P497*BE$34-$Q497</f>
        <v/>
      </c>
      <c r="BF497" s="199">
        <f>$P497*BF$34-$Q497</f>
        <v/>
      </c>
      <c r="BH497" s="198">
        <f>$G497</f>
        <v/>
      </c>
      <c r="BI497" s="197">
        <f>$I497</f>
        <v/>
      </c>
      <c r="BJ497" s="197">
        <f>+BJ498</f>
        <v/>
      </c>
      <c r="BK497" s="197">
        <f>+BK498</f>
        <v/>
      </c>
      <c r="BL497" s="197">
        <f>+BL498</f>
        <v/>
      </c>
      <c r="BM497" s="197">
        <f>+BM498</f>
        <v/>
      </c>
      <c r="BN497" s="197">
        <f>+BN498</f>
        <v/>
      </c>
      <c r="BP497" s="198">
        <f>$G497</f>
        <v/>
      </c>
      <c r="BQ497" s="197">
        <f>$J497</f>
        <v/>
      </c>
      <c r="BR497" s="197">
        <f>+BR498</f>
        <v/>
      </c>
      <c r="BS497" s="197">
        <f>+BS498</f>
        <v/>
      </c>
      <c r="BT497" s="197">
        <f>+BT498</f>
        <v/>
      </c>
      <c r="BU497" s="197">
        <f>+BU498</f>
        <v/>
      </c>
      <c r="BV497" s="197">
        <f>+BV498</f>
        <v/>
      </c>
      <c r="BX497" s="198">
        <f>$G497</f>
        <v/>
      </c>
      <c r="BY497" s="197">
        <f>$K497</f>
        <v/>
      </c>
      <c r="BZ497" s="197">
        <f>+BZ498</f>
        <v/>
      </c>
      <c r="CA497" s="197">
        <f>+CA498</f>
        <v/>
      </c>
      <c r="CB497" s="197">
        <f>+CB498</f>
        <v/>
      </c>
      <c r="CC497" s="197">
        <f>+CC498</f>
        <v/>
      </c>
      <c r="CD497" s="197">
        <f>+CD498</f>
        <v/>
      </c>
      <c r="CF497" s="198">
        <f>$G497</f>
        <v/>
      </c>
      <c r="CG497" s="197">
        <f>$L497</f>
        <v/>
      </c>
      <c r="CH497" s="197">
        <f>+CH498</f>
        <v/>
      </c>
      <c r="CI497" s="197">
        <f>+CI498</f>
        <v/>
      </c>
      <c r="CJ497" s="197">
        <f>+CJ498</f>
        <v/>
      </c>
      <c r="CK497" s="197">
        <f>+CK498</f>
        <v/>
      </c>
      <c r="CL497" s="197">
        <f>+CL498</f>
        <v/>
      </c>
      <c r="CO497" s="199" t="n">
        <v>4.727711762089343</v>
      </c>
      <c r="CP497" s="199" t="n">
        <v>2.72</v>
      </c>
      <c r="CR497" s="199" t="n">
        <v>3.72</v>
      </c>
      <c r="CS497" s="970" t="n">
        <v>0.78685</v>
      </c>
    </row>
    <row r="498">
      <c r="B498" s="204">
        <f>+C498-1</f>
        <v/>
      </c>
      <c r="C498" s="204">
        <f>IF('bands_A-H_Avg'!$D$9+1&gt;MONTH(G498),YEAR(G498),YEAR(G498)+1)</f>
        <v/>
      </c>
      <c r="D498" s="204">
        <f>+C498+1</f>
        <v/>
      </c>
      <c r="E498" s="203">
        <f>IF(C498&gt;C497,1,E497+1)</f>
        <v/>
      </c>
      <c r="F498" s="203">
        <f>COUNTIF(C:C,C498)</f>
        <v/>
      </c>
      <c r="G498" s="198">
        <f>+G497+7</f>
        <v/>
      </c>
      <c r="H498" s="361">
        <f>IF(ISBLANK(CO498),CP498,SUMPRODUCT(CO$32:CP$32,CO498:CP498))</f>
        <v/>
      </c>
      <c r="I498" s="968">
        <f>H498/M498</f>
        <v/>
      </c>
      <c r="J498" s="968">
        <f>H498/N498</f>
        <v/>
      </c>
      <c r="K498" s="968">
        <f>(H498+Q498)/O498</f>
        <v/>
      </c>
      <c r="L498" s="968">
        <f>(H498+Q498)/P498</f>
        <v/>
      </c>
      <c r="M498" s="199">
        <f>HLOOKUP(C:C,$4:$10,3,FALSE)+((HLOOKUP(D:D,$4:$10,3,FALSE)-HLOOKUP(C:C,$4:$10,3,FALSE))*E498/F498)</f>
        <v/>
      </c>
      <c r="N498" s="199">
        <f>HLOOKUP(C:C,$4:$10,2,FALSE)+((HLOOKUP(D:D,$4:$10,2,FALSE)-HLOOKUP(C:C,$4:$10,2,FALSE))*E498/F498)</f>
        <v/>
      </c>
      <c r="O498" s="199">
        <f>HLOOKUP(C:C,$4:$10,5,FALSE)+((HLOOKUP(D:D,$4:$10,5,FALSE)-HLOOKUP(C:C,$4:$10,5,FALSE))*E498/F498)</f>
        <v/>
      </c>
      <c r="P498" s="199">
        <f>HLOOKUP(C:C,$4:$10,4,FALSE)+((HLOOKUP(D:D,$4:$10,4,FALSE)-HLOOKUP(C:C,$4:$10,4,FALSE))*E498/F498)</f>
        <v/>
      </c>
      <c r="Q498" s="199">
        <f>HLOOKUP(B:B,$4:$10,6,FALSE)+((HLOOKUP(C:C,$4:$10,6,FALSE)-HLOOKUP(B:B,$4:$10,6,FALSE))*E498/F498)</f>
        <v/>
      </c>
      <c r="T498" s="198">
        <f>$G498</f>
        <v/>
      </c>
      <c r="U498" s="199">
        <f>H498/(HLOOKUP(B:B,$4:$10,3,FALSE)+((HLOOKUP(C:C,$4:$10,3,FALSE)-HLOOKUP(B:B,$4:$10,3,FALSE))*E498/F498))</f>
        <v/>
      </c>
      <c r="V498" s="969">
        <f>HLOOKUP(B:B,$4:$10,7,FALSE)+((HLOOKUP(C:C,$4:$10,7,FALSE)-HLOOKUP(B:B,$4:$10,7,FALSE))*E498/F498)</f>
        <v/>
      </c>
      <c r="AB498" s="198">
        <f>$G498</f>
        <v/>
      </c>
      <c r="AC498" s="199">
        <f>$H498</f>
        <v/>
      </c>
      <c r="AD498" s="199">
        <f>$M498*AD$34</f>
        <v/>
      </c>
      <c r="AE498" s="199">
        <f>$M498*AE$34</f>
        <v/>
      </c>
      <c r="AF498" s="199">
        <f>$M498*AF$34</f>
        <v/>
      </c>
      <c r="AG498" s="199">
        <f>$M498*AG$34</f>
        <v/>
      </c>
      <c r="AH498" s="199">
        <f>$M498*AH$34</f>
        <v/>
      </c>
      <c r="AJ498" s="198">
        <f>$G498</f>
        <v/>
      </c>
      <c r="AK498" s="199">
        <f>$H498</f>
        <v/>
      </c>
      <c r="AL498" s="199">
        <f>$N498*AL$34</f>
        <v/>
      </c>
      <c r="AM498" s="199">
        <f>$N498*AM$34</f>
        <v/>
      </c>
      <c r="AN498" s="199">
        <f>$N498*AN$34</f>
        <v/>
      </c>
      <c r="AO498" s="199">
        <f>$N498*AO$34</f>
        <v/>
      </c>
      <c r="AP498" s="199">
        <f>$N498*AP$34</f>
        <v/>
      </c>
      <c r="AR498" s="198">
        <f>$G498</f>
        <v/>
      </c>
      <c r="AS498" s="199">
        <f>$H498</f>
        <v/>
      </c>
      <c r="AT498" s="199">
        <f>$O498*AT$34-$Q498</f>
        <v/>
      </c>
      <c r="AU498" s="199">
        <f>$O498*AU$34-$Q498</f>
        <v/>
      </c>
      <c r="AV498" s="199">
        <f>$O498*AV$34-$Q498</f>
        <v/>
      </c>
      <c r="AW498" s="199">
        <f>$O498*AW$34-$Q498</f>
        <v/>
      </c>
      <c r="AX498" s="199">
        <f>$O498*AX$34-$Q498</f>
        <v/>
      </c>
      <c r="AZ498" s="198">
        <f>$G498</f>
        <v/>
      </c>
      <c r="BA498" s="199">
        <f>$H498</f>
        <v/>
      </c>
      <c r="BB498" s="199">
        <f>$P498*BB$34-$Q498</f>
        <v/>
      </c>
      <c r="BC498" s="199">
        <f>$P498*BC$34-$Q498</f>
        <v/>
      </c>
      <c r="BD498" s="199">
        <f>$P498*BD$34-$Q498</f>
        <v/>
      </c>
      <c r="BE498" s="199">
        <f>$P498*BE$34-$Q498</f>
        <v/>
      </c>
      <c r="BF498" s="199">
        <f>$P498*BF$34-$Q498</f>
        <v/>
      </c>
      <c r="BH498" s="198">
        <f>$G498</f>
        <v/>
      </c>
      <c r="BI498" s="197">
        <f>$I498</f>
        <v/>
      </c>
      <c r="BJ498" s="197">
        <f>+BJ499</f>
        <v/>
      </c>
      <c r="BK498" s="197">
        <f>+BK499</f>
        <v/>
      </c>
      <c r="BL498" s="197">
        <f>+BL499</f>
        <v/>
      </c>
      <c r="BM498" s="197">
        <f>+BM499</f>
        <v/>
      </c>
      <c r="BN498" s="197">
        <f>+BN499</f>
        <v/>
      </c>
      <c r="BP498" s="198">
        <f>$G498</f>
        <v/>
      </c>
      <c r="BQ498" s="197">
        <f>$J498</f>
        <v/>
      </c>
      <c r="BR498" s="197">
        <f>+BR499</f>
        <v/>
      </c>
      <c r="BS498" s="197">
        <f>+BS499</f>
        <v/>
      </c>
      <c r="BT498" s="197">
        <f>+BT499</f>
        <v/>
      </c>
      <c r="BU498" s="197">
        <f>+BU499</f>
        <v/>
      </c>
      <c r="BV498" s="197">
        <f>+BV499</f>
        <v/>
      </c>
      <c r="BX498" s="198">
        <f>$G498</f>
        <v/>
      </c>
      <c r="BY498" s="197">
        <f>$K498</f>
        <v/>
      </c>
      <c r="BZ498" s="197">
        <f>+BZ499</f>
        <v/>
      </c>
      <c r="CA498" s="197">
        <f>+CA499</f>
        <v/>
      </c>
      <c r="CB498" s="197">
        <f>+CB499</f>
        <v/>
      </c>
      <c r="CC498" s="197">
        <f>+CC499</f>
        <v/>
      </c>
      <c r="CD498" s="197">
        <f>+CD499</f>
        <v/>
      </c>
      <c r="CF498" s="198">
        <f>$G498</f>
        <v/>
      </c>
      <c r="CG498" s="197">
        <f>$L498</f>
        <v/>
      </c>
      <c r="CH498" s="197">
        <f>+CH499</f>
        <v/>
      </c>
      <c r="CI498" s="197">
        <f>+CI499</f>
        <v/>
      </c>
      <c r="CJ498" s="197">
        <f>+CJ499</f>
        <v/>
      </c>
      <c r="CK498" s="197">
        <f>+CK499</f>
        <v/>
      </c>
      <c r="CL498" s="197">
        <f>+CL499</f>
        <v/>
      </c>
      <c r="CO498" s="199" t="n">
        <v>4.594570515839177</v>
      </c>
      <c r="CP498" s="199" t="n">
        <v>2.72</v>
      </c>
      <c r="CR498" s="199" t="n">
        <v>3.61</v>
      </c>
      <c r="CS498" s="970" t="n">
        <v>0.78571</v>
      </c>
    </row>
    <row r="499">
      <c r="B499" s="204">
        <f>+C499-1</f>
        <v/>
      </c>
      <c r="C499" s="204">
        <f>IF('bands_A-H_Avg'!$D$9+1&gt;MONTH(G499),YEAR(G499),YEAR(G499)+1)</f>
        <v/>
      </c>
      <c r="D499" s="204">
        <f>+C499+1</f>
        <v/>
      </c>
      <c r="E499" s="203">
        <f>IF(C499&gt;C498,1,E498+1)</f>
        <v/>
      </c>
      <c r="F499" s="203">
        <f>COUNTIF(C:C,C499)</f>
        <v/>
      </c>
      <c r="G499" s="198">
        <f>+G498+7</f>
        <v/>
      </c>
      <c r="H499" s="361">
        <f>IF(ISBLANK(CO499),CP499,SUMPRODUCT(CO$32:CP$32,CO499:CP499))</f>
        <v/>
      </c>
      <c r="I499" s="968">
        <f>H499/M499</f>
        <v/>
      </c>
      <c r="J499" s="968">
        <f>H499/N499</f>
        <v/>
      </c>
      <c r="K499" s="968">
        <f>(H499+Q499)/O499</f>
        <v/>
      </c>
      <c r="L499" s="968">
        <f>(H499+Q499)/P499</f>
        <v/>
      </c>
      <c r="M499" s="199">
        <f>HLOOKUP(C:C,$4:$10,3,FALSE)+((HLOOKUP(D:D,$4:$10,3,FALSE)-HLOOKUP(C:C,$4:$10,3,FALSE))*E499/F499)</f>
        <v/>
      </c>
      <c r="N499" s="199">
        <f>HLOOKUP(C:C,$4:$10,2,FALSE)+((HLOOKUP(D:D,$4:$10,2,FALSE)-HLOOKUP(C:C,$4:$10,2,FALSE))*E499/F499)</f>
        <v/>
      </c>
      <c r="O499" s="199">
        <f>HLOOKUP(C:C,$4:$10,5,FALSE)+((HLOOKUP(D:D,$4:$10,5,FALSE)-HLOOKUP(C:C,$4:$10,5,FALSE))*E499/F499)</f>
        <v/>
      </c>
      <c r="P499" s="199">
        <f>HLOOKUP(C:C,$4:$10,4,FALSE)+((HLOOKUP(D:D,$4:$10,4,FALSE)-HLOOKUP(C:C,$4:$10,4,FALSE))*E499/F499)</f>
        <v/>
      </c>
      <c r="Q499" s="199">
        <f>HLOOKUP(B:B,$4:$10,6,FALSE)+((HLOOKUP(C:C,$4:$10,6,FALSE)-HLOOKUP(B:B,$4:$10,6,FALSE))*E499/F499)</f>
        <v/>
      </c>
      <c r="T499" s="198">
        <f>$G499</f>
        <v/>
      </c>
      <c r="U499" s="199">
        <f>H499/(HLOOKUP(B:B,$4:$10,3,FALSE)+((HLOOKUP(C:C,$4:$10,3,FALSE)-HLOOKUP(B:B,$4:$10,3,FALSE))*E499/F499))</f>
        <v/>
      </c>
      <c r="V499" s="969">
        <f>HLOOKUP(B:B,$4:$10,7,FALSE)+((HLOOKUP(C:C,$4:$10,7,FALSE)-HLOOKUP(B:B,$4:$10,7,FALSE))*E499/F499)</f>
        <v/>
      </c>
      <c r="AB499" s="198">
        <f>$G499</f>
        <v/>
      </c>
      <c r="AC499" s="199">
        <f>$H499</f>
        <v/>
      </c>
      <c r="AD499" s="199">
        <f>$M499*AD$34</f>
        <v/>
      </c>
      <c r="AE499" s="199">
        <f>$M499*AE$34</f>
        <v/>
      </c>
      <c r="AF499" s="199">
        <f>$M499*AF$34</f>
        <v/>
      </c>
      <c r="AG499" s="199">
        <f>$M499*AG$34</f>
        <v/>
      </c>
      <c r="AH499" s="199">
        <f>$M499*AH$34</f>
        <v/>
      </c>
      <c r="AJ499" s="198">
        <f>$G499</f>
        <v/>
      </c>
      <c r="AK499" s="199">
        <f>$H499</f>
        <v/>
      </c>
      <c r="AL499" s="199">
        <f>$N499*AL$34</f>
        <v/>
      </c>
      <c r="AM499" s="199">
        <f>$N499*AM$34</f>
        <v/>
      </c>
      <c r="AN499" s="199">
        <f>$N499*AN$34</f>
        <v/>
      </c>
      <c r="AO499" s="199">
        <f>$N499*AO$34</f>
        <v/>
      </c>
      <c r="AP499" s="199">
        <f>$N499*AP$34</f>
        <v/>
      </c>
      <c r="AR499" s="198">
        <f>$G499</f>
        <v/>
      </c>
      <c r="AS499" s="199">
        <f>$H499</f>
        <v/>
      </c>
      <c r="AT499" s="199">
        <f>$O499*AT$34-$Q499</f>
        <v/>
      </c>
      <c r="AU499" s="199">
        <f>$O499*AU$34-$Q499</f>
        <v/>
      </c>
      <c r="AV499" s="199">
        <f>$O499*AV$34-$Q499</f>
        <v/>
      </c>
      <c r="AW499" s="199">
        <f>$O499*AW$34-$Q499</f>
        <v/>
      </c>
      <c r="AX499" s="199">
        <f>$O499*AX$34-$Q499</f>
        <v/>
      </c>
      <c r="AZ499" s="198">
        <f>$G499</f>
        <v/>
      </c>
      <c r="BA499" s="199">
        <f>$H499</f>
        <v/>
      </c>
      <c r="BB499" s="199">
        <f>$P499*BB$34-$Q499</f>
        <v/>
      </c>
      <c r="BC499" s="199">
        <f>$P499*BC$34-$Q499</f>
        <v/>
      </c>
      <c r="BD499" s="199">
        <f>$P499*BD$34-$Q499</f>
        <v/>
      </c>
      <c r="BE499" s="199">
        <f>$P499*BE$34-$Q499</f>
        <v/>
      </c>
      <c r="BF499" s="199">
        <f>$P499*BF$34-$Q499</f>
        <v/>
      </c>
      <c r="BH499" s="198">
        <f>$G499</f>
        <v/>
      </c>
      <c r="BI499" s="197">
        <f>$I499</f>
        <v/>
      </c>
      <c r="BJ499" s="197">
        <f>+BJ500</f>
        <v/>
      </c>
      <c r="BK499" s="197">
        <f>+BK500</f>
        <v/>
      </c>
      <c r="BL499" s="197">
        <f>+BL500</f>
        <v/>
      </c>
      <c r="BM499" s="197">
        <f>+BM500</f>
        <v/>
      </c>
      <c r="BN499" s="197">
        <f>+BN500</f>
        <v/>
      </c>
      <c r="BP499" s="198">
        <f>$G499</f>
        <v/>
      </c>
      <c r="BQ499" s="197">
        <f>$J499</f>
        <v/>
      </c>
      <c r="BR499" s="197">
        <f>+BR500</f>
        <v/>
      </c>
      <c r="BS499" s="197">
        <f>+BS500</f>
        <v/>
      </c>
      <c r="BT499" s="197">
        <f>+BT500</f>
        <v/>
      </c>
      <c r="BU499" s="197">
        <f>+BU500</f>
        <v/>
      </c>
      <c r="BV499" s="197">
        <f>+BV500</f>
        <v/>
      </c>
      <c r="BX499" s="198">
        <f>$G499</f>
        <v/>
      </c>
      <c r="BY499" s="197">
        <f>$K499</f>
        <v/>
      </c>
      <c r="BZ499" s="197">
        <f>+BZ500</f>
        <v/>
      </c>
      <c r="CA499" s="197">
        <f>+CA500</f>
        <v/>
      </c>
      <c r="CB499" s="197">
        <f>+CB500</f>
        <v/>
      </c>
      <c r="CC499" s="197">
        <f>+CC500</f>
        <v/>
      </c>
      <c r="CD499" s="197">
        <f>+CD500</f>
        <v/>
      </c>
      <c r="CF499" s="198">
        <f>$G499</f>
        <v/>
      </c>
      <c r="CG499" s="197">
        <f>$L499</f>
        <v/>
      </c>
      <c r="CH499" s="197">
        <f>+CH500</f>
        <v/>
      </c>
      <c r="CI499" s="197">
        <f>+CI500</f>
        <v/>
      </c>
      <c r="CJ499" s="197">
        <f>+CJ500</f>
        <v/>
      </c>
      <c r="CK499" s="197">
        <f>+CK500</f>
        <v/>
      </c>
      <c r="CL499" s="197">
        <f>+CL500</f>
        <v/>
      </c>
      <c r="CO499" s="199" t="n">
        <v>4.670637344736306</v>
      </c>
      <c r="CP499" s="199" t="n">
        <v>2.73</v>
      </c>
      <c r="CR499" s="199" t="n">
        <v>3.67</v>
      </c>
      <c r="CS499" s="970" t="n">
        <v>0.78576</v>
      </c>
    </row>
    <row r="500">
      <c r="B500" s="204">
        <f>+C500-1</f>
        <v/>
      </c>
      <c r="C500" s="204">
        <f>IF('bands_A-H_Avg'!$D$9+1&gt;MONTH(G500),YEAR(G500),YEAR(G500)+1)</f>
        <v/>
      </c>
      <c r="D500" s="204">
        <f>+C500+1</f>
        <v/>
      </c>
      <c r="E500" s="203">
        <f>IF(C500&gt;C499,1,E499+1)</f>
        <v/>
      </c>
      <c r="F500" s="203">
        <f>COUNTIF(C:C,C500)</f>
        <v/>
      </c>
      <c r="G500" s="198">
        <f>+G499+7</f>
        <v/>
      </c>
      <c r="H500" s="361">
        <f>IF(ISBLANK(CO500),CP500,SUMPRODUCT(CO$32:CP$32,CO500:CP500))</f>
        <v/>
      </c>
      <c r="I500" s="968">
        <f>H500/M500</f>
        <v/>
      </c>
      <c r="J500" s="968">
        <f>H500/N500</f>
        <v/>
      </c>
      <c r="K500" s="968">
        <f>(H500+Q500)/O500</f>
        <v/>
      </c>
      <c r="L500" s="968">
        <f>(H500+Q500)/P500</f>
        <v/>
      </c>
      <c r="M500" s="199">
        <f>HLOOKUP(C:C,$4:$10,3,FALSE)+((HLOOKUP(D:D,$4:$10,3,FALSE)-HLOOKUP(C:C,$4:$10,3,FALSE))*E500/F500)</f>
        <v/>
      </c>
      <c r="N500" s="199">
        <f>HLOOKUP(C:C,$4:$10,2,FALSE)+((HLOOKUP(D:D,$4:$10,2,FALSE)-HLOOKUP(C:C,$4:$10,2,FALSE))*E500/F500)</f>
        <v/>
      </c>
      <c r="O500" s="199">
        <f>HLOOKUP(C:C,$4:$10,5,FALSE)+((HLOOKUP(D:D,$4:$10,5,FALSE)-HLOOKUP(C:C,$4:$10,5,FALSE))*E500/F500)</f>
        <v/>
      </c>
      <c r="P500" s="199">
        <f>HLOOKUP(C:C,$4:$10,4,FALSE)+((HLOOKUP(D:D,$4:$10,4,FALSE)-HLOOKUP(C:C,$4:$10,4,FALSE))*E500/F500)</f>
        <v/>
      </c>
      <c r="Q500" s="199">
        <f>HLOOKUP(B:B,$4:$10,6,FALSE)+((HLOOKUP(C:C,$4:$10,6,FALSE)-HLOOKUP(B:B,$4:$10,6,FALSE))*E500/F500)</f>
        <v/>
      </c>
      <c r="T500" s="198">
        <f>$G500</f>
        <v/>
      </c>
      <c r="U500" s="199">
        <f>H500/(HLOOKUP(B:B,$4:$10,3,FALSE)+((HLOOKUP(C:C,$4:$10,3,FALSE)-HLOOKUP(B:B,$4:$10,3,FALSE))*E500/F500))</f>
        <v/>
      </c>
      <c r="V500" s="969">
        <f>HLOOKUP(B:B,$4:$10,7,FALSE)+((HLOOKUP(C:C,$4:$10,7,FALSE)-HLOOKUP(B:B,$4:$10,7,FALSE))*E500/F500)</f>
        <v/>
      </c>
      <c r="AB500" s="198">
        <f>$G500</f>
        <v/>
      </c>
      <c r="AC500" s="199">
        <f>$H500</f>
        <v/>
      </c>
      <c r="AD500" s="199">
        <f>$M500*AD$34</f>
        <v/>
      </c>
      <c r="AE500" s="199">
        <f>$M500*AE$34</f>
        <v/>
      </c>
      <c r="AF500" s="199">
        <f>$M500*AF$34</f>
        <v/>
      </c>
      <c r="AG500" s="199">
        <f>$M500*AG$34</f>
        <v/>
      </c>
      <c r="AH500" s="199">
        <f>$M500*AH$34</f>
        <v/>
      </c>
      <c r="AJ500" s="198">
        <f>$G500</f>
        <v/>
      </c>
      <c r="AK500" s="199">
        <f>$H500</f>
        <v/>
      </c>
      <c r="AL500" s="199">
        <f>$N500*AL$34</f>
        <v/>
      </c>
      <c r="AM500" s="199">
        <f>$N500*AM$34</f>
        <v/>
      </c>
      <c r="AN500" s="199">
        <f>$N500*AN$34</f>
        <v/>
      </c>
      <c r="AO500" s="199">
        <f>$N500*AO$34</f>
        <v/>
      </c>
      <c r="AP500" s="199">
        <f>$N500*AP$34</f>
        <v/>
      </c>
      <c r="AR500" s="198">
        <f>$G500</f>
        <v/>
      </c>
      <c r="AS500" s="199">
        <f>$H500</f>
        <v/>
      </c>
      <c r="AT500" s="199">
        <f>$O500*AT$34-$Q500</f>
        <v/>
      </c>
      <c r="AU500" s="199">
        <f>$O500*AU$34-$Q500</f>
        <v/>
      </c>
      <c r="AV500" s="199">
        <f>$O500*AV$34-$Q500</f>
        <v/>
      </c>
      <c r="AW500" s="199">
        <f>$O500*AW$34-$Q500</f>
        <v/>
      </c>
      <c r="AX500" s="199">
        <f>$O500*AX$34-$Q500</f>
        <v/>
      </c>
      <c r="AZ500" s="198">
        <f>$G500</f>
        <v/>
      </c>
      <c r="BA500" s="199">
        <f>$H500</f>
        <v/>
      </c>
      <c r="BB500" s="199">
        <f>$P500*BB$34-$Q500</f>
        <v/>
      </c>
      <c r="BC500" s="199">
        <f>$P500*BC$34-$Q500</f>
        <v/>
      </c>
      <c r="BD500" s="199">
        <f>$P500*BD$34-$Q500</f>
        <v/>
      </c>
      <c r="BE500" s="199">
        <f>$P500*BE$34-$Q500</f>
        <v/>
      </c>
      <c r="BF500" s="199">
        <f>$P500*BF$34-$Q500</f>
        <v/>
      </c>
      <c r="BH500" s="198">
        <f>$G500</f>
        <v/>
      </c>
      <c r="BI500" s="197">
        <f>$I500</f>
        <v/>
      </c>
      <c r="BJ500" s="197">
        <f>+BJ501</f>
        <v/>
      </c>
      <c r="BK500" s="197">
        <f>+BK501</f>
        <v/>
      </c>
      <c r="BL500" s="197">
        <f>+BL501</f>
        <v/>
      </c>
      <c r="BM500" s="197">
        <f>+BM501</f>
        <v/>
      </c>
      <c r="BN500" s="197">
        <f>+BN501</f>
        <v/>
      </c>
      <c r="BP500" s="198">
        <f>$G500</f>
        <v/>
      </c>
      <c r="BQ500" s="197">
        <f>$J500</f>
        <v/>
      </c>
      <c r="BR500" s="197">
        <f>+BR501</f>
        <v/>
      </c>
      <c r="BS500" s="197">
        <f>+BS501</f>
        <v/>
      </c>
      <c r="BT500" s="197">
        <f>+BT501</f>
        <v/>
      </c>
      <c r="BU500" s="197">
        <f>+BU501</f>
        <v/>
      </c>
      <c r="BV500" s="197">
        <f>+BV501</f>
        <v/>
      </c>
      <c r="BX500" s="198">
        <f>$G500</f>
        <v/>
      </c>
      <c r="BY500" s="197">
        <f>$K500</f>
        <v/>
      </c>
      <c r="BZ500" s="197">
        <f>+BZ501</f>
        <v/>
      </c>
      <c r="CA500" s="197">
        <f>+CA501</f>
        <v/>
      </c>
      <c r="CB500" s="197">
        <f>+CB501</f>
        <v/>
      </c>
      <c r="CC500" s="197">
        <f>+CC501</f>
        <v/>
      </c>
      <c r="CD500" s="197">
        <f>+CD501</f>
        <v/>
      </c>
      <c r="CF500" s="198">
        <f>$G500</f>
        <v/>
      </c>
      <c r="CG500" s="197">
        <f>$L500</f>
        <v/>
      </c>
      <c r="CH500" s="197">
        <f>+CH501</f>
        <v/>
      </c>
      <c r="CI500" s="197">
        <f>+CI501</f>
        <v/>
      </c>
      <c r="CJ500" s="197">
        <f>+CJ501</f>
        <v/>
      </c>
      <c r="CK500" s="197">
        <f>+CK501</f>
        <v/>
      </c>
      <c r="CL500" s="197">
        <f>+CL501</f>
        <v/>
      </c>
      <c r="CO500" s="199" t="n">
        <v>4.733848287797615</v>
      </c>
      <c r="CP500" s="199" t="n">
        <v>2.82</v>
      </c>
      <c r="CR500" s="199" t="n">
        <v>3.72</v>
      </c>
      <c r="CS500" s="970" t="n">
        <v>0.78583</v>
      </c>
    </row>
    <row r="501">
      <c r="B501" s="204">
        <f>+C501-1</f>
        <v/>
      </c>
      <c r="C501" s="204">
        <f>IF('bands_A-H_Avg'!$D$9+1&gt;MONTH(G501),YEAR(G501),YEAR(G501)+1)</f>
        <v/>
      </c>
      <c r="D501" s="204">
        <f>+C501+1</f>
        <v/>
      </c>
      <c r="E501" s="203">
        <f>IF(C501&gt;C500,1,E500+1)</f>
        <v/>
      </c>
      <c r="F501" s="203">
        <f>COUNTIF(C:C,C501)</f>
        <v/>
      </c>
      <c r="G501" s="198">
        <f>+G500+7</f>
        <v/>
      </c>
      <c r="H501" s="361">
        <f>IF(ISBLANK(CO501),CP501,SUMPRODUCT(CO$32:CP$32,CO501:CP501))</f>
        <v/>
      </c>
      <c r="I501" s="968">
        <f>H501/M501</f>
        <v/>
      </c>
      <c r="J501" s="968">
        <f>H501/N501</f>
        <v/>
      </c>
      <c r="K501" s="968">
        <f>(H501+Q501)/O501</f>
        <v/>
      </c>
      <c r="L501" s="968">
        <f>(H501+Q501)/P501</f>
        <v/>
      </c>
      <c r="M501" s="199">
        <f>HLOOKUP(C:C,$4:$10,3,FALSE)+((HLOOKUP(D:D,$4:$10,3,FALSE)-HLOOKUP(C:C,$4:$10,3,FALSE))*E501/F501)</f>
        <v/>
      </c>
      <c r="N501" s="199">
        <f>HLOOKUP(C:C,$4:$10,2,FALSE)+((HLOOKUP(D:D,$4:$10,2,FALSE)-HLOOKUP(C:C,$4:$10,2,FALSE))*E501/F501)</f>
        <v/>
      </c>
      <c r="O501" s="199">
        <f>HLOOKUP(C:C,$4:$10,5,FALSE)+((HLOOKUP(D:D,$4:$10,5,FALSE)-HLOOKUP(C:C,$4:$10,5,FALSE))*E501/F501)</f>
        <v/>
      </c>
      <c r="P501" s="199">
        <f>HLOOKUP(C:C,$4:$10,4,FALSE)+((HLOOKUP(D:D,$4:$10,4,FALSE)-HLOOKUP(C:C,$4:$10,4,FALSE))*E501/F501)</f>
        <v/>
      </c>
      <c r="Q501" s="199">
        <f>HLOOKUP(B:B,$4:$10,6,FALSE)+((HLOOKUP(C:C,$4:$10,6,FALSE)-HLOOKUP(B:B,$4:$10,6,FALSE))*E501/F501)</f>
        <v/>
      </c>
      <c r="T501" s="198">
        <f>$G501</f>
        <v/>
      </c>
      <c r="U501" s="199">
        <f>H501/(HLOOKUP(B:B,$4:$10,3,FALSE)+((HLOOKUP(C:C,$4:$10,3,FALSE)-HLOOKUP(B:B,$4:$10,3,FALSE))*E501/F501))</f>
        <v/>
      </c>
      <c r="V501" s="969">
        <f>HLOOKUP(B:B,$4:$10,7,FALSE)+((HLOOKUP(C:C,$4:$10,7,FALSE)-HLOOKUP(B:B,$4:$10,7,FALSE))*E501/F501)</f>
        <v/>
      </c>
      <c r="AB501" s="198">
        <f>$G501</f>
        <v/>
      </c>
      <c r="AC501" s="199">
        <f>$H501</f>
        <v/>
      </c>
      <c r="AD501" s="199">
        <f>$M501*AD$34</f>
        <v/>
      </c>
      <c r="AE501" s="199">
        <f>$M501*AE$34</f>
        <v/>
      </c>
      <c r="AF501" s="199">
        <f>$M501*AF$34</f>
        <v/>
      </c>
      <c r="AG501" s="199">
        <f>$M501*AG$34</f>
        <v/>
      </c>
      <c r="AH501" s="199">
        <f>$M501*AH$34</f>
        <v/>
      </c>
      <c r="AJ501" s="198">
        <f>$G501</f>
        <v/>
      </c>
      <c r="AK501" s="199">
        <f>$H501</f>
        <v/>
      </c>
      <c r="AL501" s="199">
        <f>$N501*AL$34</f>
        <v/>
      </c>
      <c r="AM501" s="199">
        <f>$N501*AM$34</f>
        <v/>
      </c>
      <c r="AN501" s="199">
        <f>$N501*AN$34</f>
        <v/>
      </c>
      <c r="AO501" s="199">
        <f>$N501*AO$34</f>
        <v/>
      </c>
      <c r="AP501" s="199">
        <f>$N501*AP$34</f>
        <v/>
      </c>
      <c r="AR501" s="198">
        <f>$G501</f>
        <v/>
      </c>
      <c r="AS501" s="199">
        <f>$H501</f>
        <v/>
      </c>
      <c r="AT501" s="199">
        <f>$O501*AT$34-$Q501</f>
        <v/>
      </c>
      <c r="AU501" s="199">
        <f>$O501*AU$34-$Q501</f>
        <v/>
      </c>
      <c r="AV501" s="199">
        <f>$O501*AV$34-$Q501</f>
        <v/>
      </c>
      <c r="AW501" s="199">
        <f>$O501*AW$34-$Q501</f>
        <v/>
      </c>
      <c r="AX501" s="199">
        <f>$O501*AX$34-$Q501</f>
        <v/>
      </c>
      <c r="AZ501" s="198">
        <f>$G501</f>
        <v/>
      </c>
      <c r="BA501" s="199">
        <f>$H501</f>
        <v/>
      </c>
      <c r="BB501" s="199">
        <f>$P501*BB$34-$Q501</f>
        <v/>
      </c>
      <c r="BC501" s="199">
        <f>$P501*BC$34-$Q501</f>
        <v/>
      </c>
      <c r="BD501" s="199">
        <f>$P501*BD$34-$Q501</f>
        <v/>
      </c>
      <c r="BE501" s="199">
        <f>$P501*BE$34-$Q501</f>
        <v/>
      </c>
      <c r="BF501" s="199">
        <f>$P501*BF$34-$Q501</f>
        <v/>
      </c>
      <c r="BH501" s="198">
        <f>$G501</f>
        <v/>
      </c>
      <c r="BI501" s="197">
        <f>$I501</f>
        <v/>
      </c>
      <c r="BJ501" s="197">
        <f>+BJ502</f>
        <v/>
      </c>
      <c r="BK501" s="197">
        <f>+BK502</f>
        <v/>
      </c>
      <c r="BL501" s="197">
        <f>+BL502</f>
        <v/>
      </c>
      <c r="BM501" s="197">
        <f>+BM502</f>
        <v/>
      </c>
      <c r="BN501" s="197">
        <f>+BN502</f>
        <v/>
      </c>
      <c r="BP501" s="198">
        <f>$G501</f>
        <v/>
      </c>
      <c r="BQ501" s="197">
        <f>$J501</f>
        <v/>
      </c>
      <c r="BR501" s="197">
        <f>+BR502</f>
        <v/>
      </c>
      <c r="BS501" s="197">
        <f>+BS502</f>
        <v/>
      </c>
      <c r="BT501" s="197">
        <f>+BT502</f>
        <v/>
      </c>
      <c r="BU501" s="197">
        <f>+BU502</f>
        <v/>
      </c>
      <c r="BV501" s="197">
        <f>+BV502</f>
        <v/>
      </c>
      <c r="BX501" s="198">
        <f>$G501</f>
        <v/>
      </c>
      <c r="BY501" s="197">
        <f>$K501</f>
        <v/>
      </c>
      <c r="BZ501" s="197">
        <f>+BZ502</f>
        <v/>
      </c>
      <c r="CA501" s="197">
        <f>+CA502</f>
        <v/>
      </c>
      <c r="CB501" s="197">
        <f>+CB502</f>
        <v/>
      </c>
      <c r="CC501" s="197">
        <f>+CC502</f>
        <v/>
      </c>
      <c r="CD501" s="197">
        <f>+CD502</f>
        <v/>
      </c>
      <c r="CF501" s="198">
        <f>$G501</f>
        <v/>
      </c>
      <c r="CG501" s="197">
        <f>$L501</f>
        <v/>
      </c>
      <c r="CH501" s="197">
        <f>+CH502</f>
        <v/>
      </c>
      <c r="CI501" s="197">
        <f>+CI502</f>
        <v/>
      </c>
      <c r="CJ501" s="197">
        <f>+CJ502</f>
        <v/>
      </c>
      <c r="CK501" s="197">
        <f>+CK502</f>
        <v/>
      </c>
      <c r="CL501" s="197">
        <f>+CL502</f>
        <v/>
      </c>
      <c r="CO501" s="199" t="n">
        <v>4.886801817279426</v>
      </c>
      <c r="CP501" s="199" t="n">
        <v>2.8</v>
      </c>
      <c r="CR501" s="199" t="n">
        <v>3.84</v>
      </c>
      <c r="CS501" s="970" t="n">
        <v>0.78579</v>
      </c>
    </row>
    <row r="502">
      <c r="B502" s="204">
        <f>+C502-1</f>
        <v/>
      </c>
      <c r="C502" s="204">
        <f>IF('bands_A-H_Avg'!$D$9+1&gt;MONTH(G502),YEAR(G502),YEAR(G502)+1)</f>
        <v/>
      </c>
      <c r="D502" s="204">
        <f>+C502+1</f>
        <v/>
      </c>
      <c r="E502" s="203">
        <f>IF(C502&gt;C501,1,E501+1)</f>
        <v/>
      </c>
      <c r="F502" s="203">
        <f>COUNTIF(C:C,C502)</f>
        <v/>
      </c>
      <c r="G502" s="198">
        <f>+G501+7</f>
        <v/>
      </c>
      <c r="H502" s="361">
        <f>IF(ISBLANK(CO502),CP502,SUMPRODUCT(CO$32:CP$32,CO502:CP502))</f>
        <v/>
      </c>
      <c r="I502" s="968">
        <f>H502/M502</f>
        <v/>
      </c>
      <c r="J502" s="968">
        <f>H502/N502</f>
        <v/>
      </c>
      <c r="K502" s="968">
        <f>(H502+Q502)/O502</f>
        <v/>
      </c>
      <c r="L502" s="968">
        <f>(H502+Q502)/P502</f>
        <v/>
      </c>
      <c r="M502" s="199">
        <f>HLOOKUP(C:C,$4:$10,3,FALSE)+((HLOOKUP(D:D,$4:$10,3,FALSE)-HLOOKUP(C:C,$4:$10,3,FALSE))*E502/F502)</f>
        <v/>
      </c>
      <c r="N502" s="199">
        <f>HLOOKUP(C:C,$4:$10,2,FALSE)+((HLOOKUP(D:D,$4:$10,2,FALSE)-HLOOKUP(C:C,$4:$10,2,FALSE))*E502/F502)</f>
        <v/>
      </c>
      <c r="O502" s="199">
        <f>HLOOKUP(C:C,$4:$10,5,FALSE)+((HLOOKUP(D:D,$4:$10,5,FALSE)-HLOOKUP(C:C,$4:$10,5,FALSE))*E502/F502)</f>
        <v/>
      </c>
      <c r="P502" s="199">
        <f>HLOOKUP(C:C,$4:$10,4,FALSE)+((HLOOKUP(D:D,$4:$10,4,FALSE)-HLOOKUP(C:C,$4:$10,4,FALSE))*E502/F502)</f>
        <v/>
      </c>
      <c r="Q502" s="199">
        <f>HLOOKUP(B:B,$4:$10,6,FALSE)+((HLOOKUP(C:C,$4:$10,6,FALSE)-HLOOKUP(B:B,$4:$10,6,FALSE))*E502/F502)</f>
        <v/>
      </c>
      <c r="T502" s="198">
        <f>$G502</f>
        <v/>
      </c>
      <c r="U502" s="199">
        <f>H502/(HLOOKUP(B:B,$4:$10,3,FALSE)+((HLOOKUP(C:C,$4:$10,3,FALSE)-HLOOKUP(B:B,$4:$10,3,FALSE))*E502/F502))</f>
        <v/>
      </c>
      <c r="V502" s="969">
        <f>HLOOKUP(B:B,$4:$10,7,FALSE)+((HLOOKUP(C:C,$4:$10,7,FALSE)-HLOOKUP(B:B,$4:$10,7,FALSE))*E502/F502)</f>
        <v/>
      </c>
      <c r="AB502" s="198">
        <f>$G502</f>
        <v/>
      </c>
      <c r="AC502" s="199">
        <f>$H502</f>
        <v/>
      </c>
      <c r="AD502" s="199">
        <f>$M502*AD$34</f>
        <v/>
      </c>
      <c r="AE502" s="199">
        <f>$M502*AE$34</f>
        <v/>
      </c>
      <c r="AF502" s="199">
        <f>$M502*AF$34</f>
        <v/>
      </c>
      <c r="AG502" s="199">
        <f>$M502*AG$34</f>
        <v/>
      </c>
      <c r="AH502" s="199">
        <f>$M502*AH$34</f>
        <v/>
      </c>
      <c r="AJ502" s="198">
        <f>$G502</f>
        <v/>
      </c>
      <c r="AK502" s="199">
        <f>$H502</f>
        <v/>
      </c>
      <c r="AL502" s="199">
        <f>$N502*AL$34</f>
        <v/>
      </c>
      <c r="AM502" s="199">
        <f>$N502*AM$34</f>
        <v/>
      </c>
      <c r="AN502" s="199">
        <f>$N502*AN$34</f>
        <v/>
      </c>
      <c r="AO502" s="199">
        <f>$N502*AO$34</f>
        <v/>
      </c>
      <c r="AP502" s="199">
        <f>$N502*AP$34</f>
        <v/>
      </c>
      <c r="AR502" s="198">
        <f>$G502</f>
        <v/>
      </c>
      <c r="AS502" s="199">
        <f>$H502</f>
        <v/>
      </c>
      <c r="AT502" s="199">
        <f>$O502*AT$34-$Q502</f>
        <v/>
      </c>
      <c r="AU502" s="199">
        <f>$O502*AU$34-$Q502</f>
        <v/>
      </c>
      <c r="AV502" s="199">
        <f>$O502*AV$34-$Q502</f>
        <v/>
      </c>
      <c r="AW502" s="199">
        <f>$O502*AW$34-$Q502</f>
        <v/>
      </c>
      <c r="AX502" s="199">
        <f>$O502*AX$34-$Q502</f>
        <v/>
      </c>
      <c r="AZ502" s="198">
        <f>$G502</f>
        <v/>
      </c>
      <c r="BA502" s="199">
        <f>$H502</f>
        <v/>
      </c>
      <c r="BB502" s="199">
        <f>$P502*BB$34-$Q502</f>
        <v/>
      </c>
      <c r="BC502" s="199">
        <f>$P502*BC$34-$Q502</f>
        <v/>
      </c>
      <c r="BD502" s="199">
        <f>$P502*BD$34-$Q502</f>
        <v/>
      </c>
      <c r="BE502" s="199">
        <f>$P502*BE$34-$Q502</f>
        <v/>
      </c>
      <c r="BF502" s="199">
        <f>$P502*BF$34-$Q502</f>
        <v/>
      </c>
      <c r="BH502" s="198">
        <f>$G502</f>
        <v/>
      </c>
      <c r="BI502" s="197">
        <f>$I502</f>
        <v/>
      </c>
      <c r="BJ502" s="197">
        <f>+BJ503</f>
        <v/>
      </c>
      <c r="BK502" s="197">
        <f>+BK503</f>
        <v/>
      </c>
      <c r="BL502" s="197">
        <f>+BL503</f>
        <v/>
      </c>
      <c r="BM502" s="197">
        <f>+BM503</f>
        <v/>
      </c>
      <c r="BN502" s="197">
        <f>+BN503</f>
        <v/>
      </c>
      <c r="BP502" s="198">
        <f>$G502</f>
        <v/>
      </c>
      <c r="BQ502" s="197">
        <f>$J502</f>
        <v/>
      </c>
      <c r="BR502" s="197">
        <f>+BR503</f>
        <v/>
      </c>
      <c r="BS502" s="197">
        <f>+BS503</f>
        <v/>
      </c>
      <c r="BT502" s="197">
        <f>+BT503</f>
        <v/>
      </c>
      <c r="BU502" s="197">
        <f>+BU503</f>
        <v/>
      </c>
      <c r="BV502" s="197">
        <f>+BV503</f>
        <v/>
      </c>
      <c r="BX502" s="198">
        <f>$G502</f>
        <v/>
      </c>
      <c r="BY502" s="197">
        <f>$K502</f>
        <v/>
      </c>
      <c r="BZ502" s="197">
        <f>+BZ503</f>
        <v/>
      </c>
      <c r="CA502" s="197">
        <f>+CA503</f>
        <v/>
      </c>
      <c r="CB502" s="197">
        <f>+CB503</f>
        <v/>
      </c>
      <c r="CC502" s="197">
        <f>+CC503</f>
        <v/>
      </c>
      <c r="CD502" s="197">
        <f>+CD503</f>
        <v/>
      </c>
      <c r="CF502" s="198">
        <f>$G502</f>
        <v/>
      </c>
      <c r="CG502" s="197">
        <f>$L502</f>
        <v/>
      </c>
      <c r="CH502" s="197">
        <f>+CH503</f>
        <v/>
      </c>
      <c r="CI502" s="197">
        <f>+CI503</f>
        <v/>
      </c>
      <c r="CJ502" s="197">
        <f>+CJ503</f>
        <v/>
      </c>
      <c r="CK502" s="197">
        <f>+CK503</f>
        <v/>
      </c>
      <c r="CL502" s="197">
        <f>+CL503</f>
        <v/>
      </c>
      <c r="CO502" s="199" t="n">
        <v>5.037430017981713</v>
      </c>
      <c r="CP502" s="199" t="n">
        <v>2.9</v>
      </c>
      <c r="CR502" s="199" t="n">
        <v>3.95</v>
      </c>
      <c r="CS502" s="970" t="n">
        <v>0.78413</v>
      </c>
    </row>
    <row r="503">
      <c r="B503" s="204">
        <f>+C503-1</f>
        <v/>
      </c>
      <c r="C503" s="204">
        <f>IF('bands_A-H_Avg'!$D$9+1&gt;MONTH(G503),YEAR(G503),YEAR(G503)+1)</f>
        <v/>
      </c>
      <c r="D503" s="204">
        <f>+C503+1</f>
        <v/>
      </c>
      <c r="E503" s="203">
        <f>IF(C503&gt;C502,1,E502+1)</f>
        <v/>
      </c>
      <c r="F503" s="203">
        <f>COUNTIF(C:C,C503)</f>
        <v/>
      </c>
      <c r="G503" s="198">
        <f>+G502+7</f>
        <v/>
      </c>
      <c r="H503" s="361">
        <f>IF(ISBLANK(CO503),CP503,SUMPRODUCT(CO$32:CP$32,CO503:CP503))</f>
        <v/>
      </c>
      <c r="I503" s="968">
        <f>H503/M503</f>
        <v/>
      </c>
      <c r="J503" s="968">
        <f>H503/N503</f>
        <v/>
      </c>
      <c r="K503" s="968">
        <f>(H503+Q503)/O503</f>
        <v/>
      </c>
      <c r="L503" s="968">
        <f>(H503+Q503)/P503</f>
        <v/>
      </c>
      <c r="M503" s="199">
        <f>HLOOKUP(C:C,$4:$10,3,FALSE)+((HLOOKUP(D:D,$4:$10,3,FALSE)-HLOOKUP(C:C,$4:$10,3,FALSE))*E503/F503)</f>
        <v/>
      </c>
      <c r="N503" s="199">
        <f>HLOOKUP(C:C,$4:$10,2,FALSE)+((HLOOKUP(D:D,$4:$10,2,FALSE)-HLOOKUP(C:C,$4:$10,2,FALSE))*E503/F503)</f>
        <v/>
      </c>
      <c r="O503" s="199">
        <f>HLOOKUP(C:C,$4:$10,5,FALSE)+((HLOOKUP(D:D,$4:$10,5,FALSE)-HLOOKUP(C:C,$4:$10,5,FALSE))*E503/F503)</f>
        <v/>
      </c>
      <c r="P503" s="199">
        <f>HLOOKUP(C:C,$4:$10,4,FALSE)+((HLOOKUP(D:D,$4:$10,4,FALSE)-HLOOKUP(C:C,$4:$10,4,FALSE))*E503/F503)</f>
        <v/>
      </c>
      <c r="Q503" s="199">
        <f>HLOOKUP(B:B,$4:$10,6,FALSE)+((HLOOKUP(C:C,$4:$10,6,FALSE)-HLOOKUP(B:B,$4:$10,6,FALSE))*E503/F503)</f>
        <v/>
      </c>
      <c r="T503" s="198">
        <f>$G503</f>
        <v/>
      </c>
      <c r="U503" s="199">
        <f>H503/(HLOOKUP(B:B,$4:$10,3,FALSE)+((HLOOKUP(C:C,$4:$10,3,FALSE)-HLOOKUP(B:B,$4:$10,3,FALSE))*E503/F503))</f>
        <v/>
      </c>
      <c r="V503" s="969">
        <f>HLOOKUP(B:B,$4:$10,7,FALSE)+((HLOOKUP(C:C,$4:$10,7,FALSE)-HLOOKUP(B:B,$4:$10,7,FALSE))*E503/F503)</f>
        <v/>
      </c>
      <c r="AB503" s="198">
        <f>$G503</f>
        <v/>
      </c>
      <c r="AC503" s="199">
        <f>$H503</f>
        <v/>
      </c>
      <c r="AD503" s="199">
        <f>$M503*AD$34</f>
        <v/>
      </c>
      <c r="AE503" s="199">
        <f>$M503*AE$34</f>
        <v/>
      </c>
      <c r="AF503" s="199">
        <f>$M503*AF$34</f>
        <v/>
      </c>
      <c r="AG503" s="199">
        <f>$M503*AG$34</f>
        <v/>
      </c>
      <c r="AH503" s="199">
        <f>$M503*AH$34</f>
        <v/>
      </c>
      <c r="AJ503" s="198">
        <f>$G503</f>
        <v/>
      </c>
      <c r="AK503" s="199">
        <f>$H503</f>
        <v/>
      </c>
      <c r="AL503" s="199">
        <f>$N503*AL$34</f>
        <v/>
      </c>
      <c r="AM503" s="199">
        <f>$N503*AM$34</f>
        <v/>
      </c>
      <c r="AN503" s="199">
        <f>$N503*AN$34</f>
        <v/>
      </c>
      <c r="AO503" s="199">
        <f>$N503*AO$34</f>
        <v/>
      </c>
      <c r="AP503" s="199">
        <f>$N503*AP$34</f>
        <v/>
      </c>
      <c r="AR503" s="198">
        <f>$G503</f>
        <v/>
      </c>
      <c r="AS503" s="199">
        <f>$H503</f>
        <v/>
      </c>
      <c r="AT503" s="199">
        <f>$O503*AT$34-$Q503</f>
        <v/>
      </c>
      <c r="AU503" s="199">
        <f>$O503*AU$34-$Q503</f>
        <v/>
      </c>
      <c r="AV503" s="199">
        <f>$O503*AV$34-$Q503</f>
        <v/>
      </c>
      <c r="AW503" s="199">
        <f>$O503*AW$34-$Q503</f>
        <v/>
      </c>
      <c r="AX503" s="199">
        <f>$O503*AX$34-$Q503</f>
        <v/>
      </c>
      <c r="AZ503" s="198">
        <f>$G503</f>
        <v/>
      </c>
      <c r="BA503" s="199">
        <f>$H503</f>
        <v/>
      </c>
      <c r="BB503" s="199">
        <f>$P503*BB$34-$Q503</f>
        <v/>
      </c>
      <c r="BC503" s="199">
        <f>$P503*BC$34-$Q503</f>
        <v/>
      </c>
      <c r="BD503" s="199">
        <f>$P503*BD$34-$Q503</f>
        <v/>
      </c>
      <c r="BE503" s="199">
        <f>$P503*BE$34-$Q503</f>
        <v/>
      </c>
      <c r="BF503" s="199">
        <f>$P503*BF$34-$Q503</f>
        <v/>
      </c>
      <c r="BH503" s="198">
        <f>$G503</f>
        <v/>
      </c>
      <c r="BI503" s="197">
        <f>$I503</f>
        <v/>
      </c>
      <c r="BJ503" s="197">
        <f>+BJ504</f>
        <v/>
      </c>
      <c r="BK503" s="197">
        <f>+BK504</f>
        <v/>
      </c>
      <c r="BL503" s="197">
        <f>+BL504</f>
        <v/>
      </c>
      <c r="BM503" s="197">
        <f>+BM504</f>
        <v/>
      </c>
      <c r="BN503" s="197">
        <f>+BN504</f>
        <v/>
      </c>
      <c r="BP503" s="198">
        <f>$G503</f>
        <v/>
      </c>
      <c r="BQ503" s="197">
        <f>$J503</f>
        <v/>
      </c>
      <c r="BR503" s="197">
        <f>+BR504</f>
        <v/>
      </c>
      <c r="BS503" s="197">
        <f>+BS504</f>
        <v/>
      </c>
      <c r="BT503" s="197">
        <f>+BT504</f>
        <v/>
      </c>
      <c r="BU503" s="197">
        <f>+BU504</f>
        <v/>
      </c>
      <c r="BV503" s="197">
        <f>+BV504</f>
        <v/>
      </c>
      <c r="BX503" s="198">
        <f>$G503</f>
        <v/>
      </c>
      <c r="BY503" s="197">
        <f>$K503</f>
        <v/>
      </c>
      <c r="BZ503" s="197">
        <f>+BZ504</f>
        <v/>
      </c>
      <c r="CA503" s="197">
        <f>+CA504</f>
        <v/>
      </c>
      <c r="CB503" s="197">
        <f>+CB504</f>
        <v/>
      </c>
      <c r="CC503" s="197">
        <f>+CC504</f>
        <v/>
      </c>
      <c r="CD503" s="197">
        <f>+CD504</f>
        <v/>
      </c>
      <c r="CF503" s="198">
        <f>$G503</f>
        <v/>
      </c>
      <c r="CG503" s="197">
        <f>$L503</f>
        <v/>
      </c>
      <c r="CH503" s="197">
        <f>+CH504</f>
        <v/>
      </c>
      <c r="CI503" s="197">
        <f>+CI504</f>
        <v/>
      </c>
      <c r="CJ503" s="197">
        <f>+CJ504</f>
        <v/>
      </c>
      <c r="CK503" s="197">
        <f>+CK504</f>
        <v/>
      </c>
      <c r="CL503" s="197">
        <f>+CL504</f>
        <v/>
      </c>
      <c r="CO503" s="199" t="n">
        <v>5.02011879670435</v>
      </c>
      <c r="CP503" s="199" t="n">
        <v>2.89</v>
      </c>
      <c r="CR503" s="199" t="n">
        <v>3.93</v>
      </c>
      <c r="CS503" s="970" t="n">
        <v>0.78285</v>
      </c>
    </row>
    <row r="504">
      <c r="B504" s="204">
        <f>+C504-1</f>
        <v/>
      </c>
      <c r="C504" s="204">
        <f>IF('bands_A-H_Avg'!$D$9+1&gt;MONTH(G504),YEAR(G504),YEAR(G504)+1)</f>
        <v/>
      </c>
      <c r="D504" s="204">
        <f>+C504+1</f>
        <v/>
      </c>
      <c r="E504" s="203">
        <f>IF(C504&gt;C503,1,E503+1)</f>
        <v/>
      </c>
      <c r="F504" s="203">
        <f>COUNTIF(C:C,C504)</f>
        <v/>
      </c>
      <c r="G504" s="198">
        <f>+G503+7</f>
        <v/>
      </c>
      <c r="H504" s="361">
        <f>IF(ISBLANK(CO504),CP504,SUMPRODUCT(CO$32:CP$32,CO504:CP504))</f>
        <v/>
      </c>
      <c r="I504" s="968">
        <f>H504/M504</f>
        <v/>
      </c>
      <c r="J504" s="968">
        <f>H504/N504</f>
        <v/>
      </c>
      <c r="K504" s="968">
        <f>(H504+Q504)/O504</f>
        <v/>
      </c>
      <c r="L504" s="968">
        <f>(H504+Q504)/P504</f>
        <v/>
      </c>
      <c r="M504" s="199">
        <f>HLOOKUP(C:C,$4:$10,3,FALSE)+((HLOOKUP(D:D,$4:$10,3,FALSE)-HLOOKUP(C:C,$4:$10,3,FALSE))*E504/F504)</f>
        <v/>
      </c>
      <c r="N504" s="199">
        <f>HLOOKUP(C:C,$4:$10,2,FALSE)+((HLOOKUP(D:D,$4:$10,2,FALSE)-HLOOKUP(C:C,$4:$10,2,FALSE))*E504/F504)</f>
        <v/>
      </c>
      <c r="O504" s="199">
        <f>HLOOKUP(C:C,$4:$10,5,FALSE)+((HLOOKUP(D:D,$4:$10,5,FALSE)-HLOOKUP(C:C,$4:$10,5,FALSE))*E504/F504)</f>
        <v/>
      </c>
      <c r="P504" s="199">
        <f>HLOOKUP(C:C,$4:$10,4,FALSE)+((HLOOKUP(D:D,$4:$10,4,FALSE)-HLOOKUP(C:C,$4:$10,4,FALSE))*E504/F504)</f>
        <v/>
      </c>
      <c r="Q504" s="199">
        <f>HLOOKUP(B:B,$4:$10,6,FALSE)+((HLOOKUP(C:C,$4:$10,6,FALSE)-HLOOKUP(B:B,$4:$10,6,FALSE))*E504/F504)</f>
        <v/>
      </c>
      <c r="T504" s="198">
        <f>$G504</f>
        <v/>
      </c>
      <c r="U504" s="199">
        <f>H504/(HLOOKUP(B:B,$4:$10,3,FALSE)+((HLOOKUP(C:C,$4:$10,3,FALSE)-HLOOKUP(B:B,$4:$10,3,FALSE))*E504/F504))</f>
        <v/>
      </c>
      <c r="V504" s="969">
        <f>HLOOKUP(B:B,$4:$10,7,FALSE)+((HLOOKUP(C:C,$4:$10,7,FALSE)-HLOOKUP(B:B,$4:$10,7,FALSE))*E504/F504)</f>
        <v/>
      </c>
      <c r="AB504" s="198">
        <f>$G504</f>
        <v/>
      </c>
      <c r="AC504" s="199">
        <f>$H504</f>
        <v/>
      </c>
      <c r="AD504" s="199">
        <f>$M504*AD$34</f>
        <v/>
      </c>
      <c r="AE504" s="199">
        <f>$M504*AE$34</f>
        <v/>
      </c>
      <c r="AF504" s="199">
        <f>$M504*AF$34</f>
        <v/>
      </c>
      <c r="AG504" s="199">
        <f>$M504*AG$34</f>
        <v/>
      </c>
      <c r="AH504" s="199">
        <f>$M504*AH$34</f>
        <v/>
      </c>
      <c r="AJ504" s="198">
        <f>$G504</f>
        <v/>
      </c>
      <c r="AK504" s="199">
        <f>$H504</f>
        <v/>
      </c>
      <c r="AL504" s="199">
        <f>$N504*AL$34</f>
        <v/>
      </c>
      <c r="AM504" s="199">
        <f>$N504*AM$34</f>
        <v/>
      </c>
      <c r="AN504" s="199">
        <f>$N504*AN$34</f>
        <v/>
      </c>
      <c r="AO504" s="199">
        <f>$N504*AO$34</f>
        <v/>
      </c>
      <c r="AP504" s="199">
        <f>$N504*AP$34</f>
        <v/>
      </c>
      <c r="AR504" s="198">
        <f>$G504</f>
        <v/>
      </c>
      <c r="AS504" s="199">
        <f>$H504</f>
        <v/>
      </c>
      <c r="AT504" s="199">
        <f>$O504*AT$34-$Q504</f>
        <v/>
      </c>
      <c r="AU504" s="199">
        <f>$O504*AU$34-$Q504</f>
        <v/>
      </c>
      <c r="AV504" s="199">
        <f>$O504*AV$34-$Q504</f>
        <v/>
      </c>
      <c r="AW504" s="199">
        <f>$O504*AW$34-$Q504</f>
        <v/>
      </c>
      <c r="AX504" s="199">
        <f>$O504*AX$34-$Q504</f>
        <v/>
      </c>
      <c r="AZ504" s="198">
        <f>$G504</f>
        <v/>
      </c>
      <c r="BA504" s="199">
        <f>$H504</f>
        <v/>
      </c>
      <c r="BB504" s="199">
        <f>$P504*BB$34-$Q504</f>
        <v/>
      </c>
      <c r="BC504" s="199">
        <f>$P504*BC$34-$Q504</f>
        <v/>
      </c>
      <c r="BD504" s="199">
        <f>$P504*BD$34-$Q504</f>
        <v/>
      </c>
      <c r="BE504" s="199">
        <f>$P504*BE$34-$Q504</f>
        <v/>
      </c>
      <c r="BF504" s="199">
        <f>$P504*BF$34-$Q504</f>
        <v/>
      </c>
      <c r="BH504" s="198">
        <f>$G504</f>
        <v/>
      </c>
      <c r="BI504" s="197">
        <f>$I504</f>
        <v/>
      </c>
      <c r="BJ504" s="197">
        <f>+BJ505</f>
        <v/>
      </c>
      <c r="BK504" s="197">
        <f>+BK505</f>
        <v/>
      </c>
      <c r="BL504" s="197">
        <f>+BL505</f>
        <v/>
      </c>
      <c r="BM504" s="197">
        <f>+BM505</f>
        <v/>
      </c>
      <c r="BN504" s="197">
        <f>+BN505</f>
        <v/>
      </c>
      <c r="BP504" s="198">
        <f>$G504</f>
        <v/>
      </c>
      <c r="BQ504" s="197">
        <f>$J504</f>
        <v/>
      </c>
      <c r="BR504" s="197">
        <f>+BR505</f>
        <v/>
      </c>
      <c r="BS504" s="197">
        <f>+BS505</f>
        <v/>
      </c>
      <c r="BT504" s="197">
        <f>+BT505</f>
        <v/>
      </c>
      <c r="BU504" s="197">
        <f>+BU505</f>
        <v/>
      </c>
      <c r="BV504" s="197">
        <f>+BV505</f>
        <v/>
      </c>
      <c r="BX504" s="198">
        <f>$G504</f>
        <v/>
      </c>
      <c r="BY504" s="197">
        <f>$K504</f>
        <v/>
      </c>
      <c r="BZ504" s="197">
        <f>+BZ505</f>
        <v/>
      </c>
      <c r="CA504" s="197">
        <f>+CA505</f>
        <v/>
      </c>
      <c r="CB504" s="197">
        <f>+CB505</f>
        <v/>
      </c>
      <c r="CC504" s="197">
        <f>+CC505</f>
        <v/>
      </c>
      <c r="CD504" s="197">
        <f>+CD505</f>
        <v/>
      </c>
      <c r="CF504" s="198">
        <f>$G504</f>
        <v/>
      </c>
      <c r="CG504" s="197">
        <f>$L504</f>
        <v/>
      </c>
      <c r="CH504" s="197">
        <f>+CH505</f>
        <v/>
      </c>
      <c r="CI504" s="197">
        <f>+CI505</f>
        <v/>
      </c>
      <c r="CJ504" s="197">
        <f>+CJ505</f>
        <v/>
      </c>
      <c r="CK504" s="197">
        <f>+CK505</f>
        <v/>
      </c>
      <c r="CL504" s="197">
        <f>+CL505</f>
        <v/>
      </c>
      <c r="CO504" s="199" t="n">
        <v>4.712162231189661</v>
      </c>
      <c r="CP504" s="199" t="n">
        <v>2.81</v>
      </c>
      <c r="CR504" s="199" t="n">
        <v>3.69</v>
      </c>
      <c r="CS504" s="970" t="n">
        <v>0.78308</v>
      </c>
    </row>
    <row r="505">
      <c r="B505" s="204">
        <f>+C505-1</f>
        <v/>
      </c>
      <c r="C505" s="204">
        <f>IF('bands_A-H_Avg'!$D$9+1&gt;MONTH(G505),YEAR(G505),YEAR(G505)+1)</f>
        <v/>
      </c>
      <c r="D505" s="204">
        <f>+C505+1</f>
        <v/>
      </c>
      <c r="E505" s="203">
        <f>IF(C505&gt;C504,1,E504+1)</f>
        <v/>
      </c>
      <c r="F505" s="203">
        <f>COUNTIF(C:C,C505)</f>
        <v/>
      </c>
      <c r="G505" s="198">
        <f>+G504+7</f>
        <v/>
      </c>
      <c r="H505" s="361">
        <f>IF(ISBLANK(CO505),CP505,SUMPRODUCT(CO$32:CP$32,CO505:CP505))</f>
        <v/>
      </c>
      <c r="I505" s="968">
        <f>H505/M505</f>
        <v/>
      </c>
      <c r="J505" s="968">
        <f>H505/N505</f>
        <v/>
      </c>
      <c r="K505" s="968">
        <f>(H505+Q505)/O505</f>
        <v/>
      </c>
      <c r="L505" s="968">
        <f>(H505+Q505)/P505</f>
        <v/>
      </c>
      <c r="M505" s="199">
        <f>HLOOKUP(C:C,$4:$10,3,FALSE)+((HLOOKUP(D:D,$4:$10,3,FALSE)-HLOOKUP(C:C,$4:$10,3,FALSE))*E505/F505)</f>
        <v/>
      </c>
      <c r="N505" s="199">
        <f>HLOOKUP(C:C,$4:$10,2,FALSE)+((HLOOKUP(D:D,$4:$10,2,FALSE)-HLOOKUP(C:C,$4:$10,2,FALSE))*E505/F505)</f>
        <v/>
      </c>
      <c r="O505" s="199">
        <f>HLOOKUP(C:C,$4:$10,5,FALSE)+((HLOOKUP(D:D,$4:$10,5,FALSE)-HLOOKUP(C:C,$4:$10,5,FALSE))*E505/F505)</f>
        <v/>
      </c>
      <c r="P505" s="199">
        <f>HLOOKUP(C:C,$4:$10,4,FALSE)+((HLOOKUP(D:D,$4:$10,4,FALSE)-HLOOKUP(C:C,$4:$10,4,FALSE))*E505/F505)</f>
        <v/>
      </c>
      <c r="Q505" s="199">
        <f>HLOOKUP(B:B,$4:$10,6,FALSE)+((HLOOKUP(C:C,$4:$10,6,FALSE)-HLOOKUP(B:B,$4:$10,6,FALSE))*E505/F505)</f>
        <v/>
      </c>
      <c r="T505" s="198">
        <f>$G505</f>
        <v/>
      </c>
      <c r="U505" s="199">
        <f>H505/(HLOOKUP(B:B,$4:$10,3,FALSE)+((HLOOKUP(C:C,$4:$10,3,FALSE)-HLOOKUP(B:B,$4:$10,3,FALSE))*E505/F505))</f>
        <v/>
      </c>
      <c r="V505" s="969">
        <f>HLOOKUP(B:B,$4:$10,7,FALSE)+((HLOOKUP(C:C,$4:$10,7,FALSE)-HLOOKUP(B:B,$4:$10,7,FALSE))*E505/F505)</f>
        <v/>
      </c>
      <c r="AB505" s="198">
        <f>$G505</f>
        <v/>
      </c>
      <c r="AC505" s="199">
        <f>$H505</f>
        <v/>
      </c>
      <c r="AD505" s="199">
        <f>$M505*AD$34</f>
        <v/>
      </c>
      <c r="AE505" s="199">
        <f>$M505*AE$34</f>
        <v/>
      </c>
      <c r="AF505" s="199">
        <f>$M505*AF$34</f>
        <v/>
      </c>
      <c r="AG505" s="199">
        <f>$M505*AG$34</f>
        <v/>
      </c>
      <c r="AH505" s="199">
        <f>$M505*AH$34</f>
        <v/>
      </c>
      <c r="AJ505" s="198">
        <f>$G505</f>
        <v/>
      </c>
      <c r="AK505" s="199">
        <f>$H505</f>
        <v/>
      </c>
      <c r="AL505" s="199">
        <f>$N505*AL$34</f>
        <v/>
      </c>
      <c r="AM505" s="199">
        <f>$N505*AM$34</f>
        <v/>
      </c>
      <c r="AN505" s="199">
        <f>$N505*AN$34</f>
        <v/>
      </c>
      <c r="AO505" s="199">
        <f>$N505*AO$34</f>
        <v/>
      </c>
      <c r="AP505" s="199">
        <f>$N505*AP$34</f>
        <v/>
      </c>
      <c r="AR505" s="198">
        <f>$G505</f>
        <v/>
      </c>
      <c r="AS505" s="199">
        <f>$H505</f>
        <v/>
      </c>
      <c r="AT505" s="199">
        <f>$O505*AT$34-$Q505</f>
        <v/>
      </c>
      <c r="AU505" s="199">
        <f>$O505*AU$34-$Q505</f>
        <v/>
      </c>
      <c r="AV505" s="199">
        <f>$O505*AV$34-$Q505</f>
        <v/>
      </c>
      <c r="AW505" s="199">
        <f>$O505*AW$34-$Q505</f>
        <v/>
      </c>
      <c r="AX505" s="199">
        <f>$O505*AX$34-$Q505</f>
        <v/>
      </c>
      <c r="AZ505" s="198">
        <f>$G505</f>
        <v/>
      </c>
      <c r="BA505" s="199">
        <f>$H505</f>
        <v/>
      </c>
      <c r="BB505" s="199">
        <f>$P505*BB$34-$Q505</f>
        <v/>
      </c>
      <c r="BC505" s="199">
        <f>$P505*BC$34-$Q505</f>
        <v/>
      </c>
      <c r="BD505" s="199">
        <f>$P505*BD$34-$Q505</f>
        <v/>
      </c>
      <c r="BE505" s="199">
        <f>$P505*BE$34-$Q505</f>
        <v/>
      </c>
      <c r="BF505" s="199">
        <f>$P505*BF$34-$Q505</f>
        <v/>
      </c>
      <c r="BH505" s="198">
        <f>$G505</f>
        <v/>
      </c>
      <c r="BI505" s="197">
        <f>$I505</f>
        <v/>
      </c>
      <c r="BJ505" s="197">
        <f>+BJ506</f>
        <v/>
      </c>
      <c r="BK505" s="197">
        <f>+BK506</f>
        <v/>
      </c>
      <c r="BL505" s="197">
        <f>+BL506</f>
        <v/>
      </c>
      <c r="BM505" s="197">
        <f>+BM506</f>
        <v/>
      </c>
      <c r="BN505" s="197">
        <f>+BN506</f>
        <v/>
      </c>
      <c r="BP505" s="198">
        <f>$G505</f>
        <v/>
      </c>
      <c r="BQ505" s="197">
        <f>$J505</f>
        <v/>
      </c>
      <c r="BR505" s="197">
        <f>+BR506</f>
        <v/>
      </c>
      <c r="BS505" s="197">
        <f>+BS506</f>
        <v/>
      </c>
      <c r="BT505" s="197">
        <f>+BT506</f>
        <v/>
      </c>
      <c r="BU505" s="197">
        <f>+BU506</f>
        <v/>
      </c>
      <c r="BV505" s="197">
        <f>+BV506</f>
        <v/>
      </c>
      <c r="BX505" s="198">
        <f>$G505</f>
        <v/>
      </c>
      <c r="BY505" s="197">
        <f>$K505</f>
        <v/>
      </c>
      <c r="BZ505" s="197">
        <f>+BZ506</f>
        <v/>
      </c>
      <c r="CA505" s="197">
        <f>+CA506</f>
        <v/>
      </c>
      <c r="CB505" s="197">
        <f>+CB506</f>
        <v/>
      </c>
      <c r="CC505" s="197">
        <f>+CC506</f>
        <v/>
      </c>
      <c r="CD505" s="197">
        <f>+CD506</f>
        <v/>
      </c>
      <c r="CF505" s="198">
        <f>$G505</f>
        <v/>
      </c>
      <c r="CG505" s="197">
        <f>$L505</f>
        <v/>
      </c>
      <c r="CH505" s="197">
        <f>+CH506</f>
        <v/>
      </c>
      <c r="CI505" s="197">
        <f>+CI506</f>
        <v/>
      </c>
      <c r="CJ505" s="197">
        <f>+CJ506</f>
        <v/>
      </c>
      <c r="CK505" s="197">
        <f>+CK506</f>
        <v/>
      </c>
      <c r="CL505" s="197">
        <f>+CL506</f>
        <v/>
      </c>
      <c r="CO505" s="199" t="n">
        <v>4.703296141507867</v>
      </c>
      <c r="CP505" s="199" t="n">
        <v>2.84</v>
      </c>
      <c r="CR505" s="199" t="n">
        <v>3.68</v>
      </c>
      <c r="CS505" s="970" t="n">
        <v>0.78243</v>
      </c>
    </row>
    <row r="506">
      <c r="B506" s="204">
        <f>+C506-1</f>
        <v/>
      </c>
      <c r="C506" s="204">
        <f>IF('bands_A-H_Avg'!$D$9+1&gt;MONTH(G506),YEAR(G506),YEAR(G506)+1)</f>
        <v/>
      </c>
      <c r="D506" s="204">
        <f>+C506+1</f>
        <v/>
      </c>
      <c r="E506" s="203">
        <f>IF(C506&gt;C505,1,E505+1)</f>
        <v/>
      </c>
      <c r="F506" s="203">
        <f>COUNTIF(C:C,C506)</f>
        <v/>
      </c>
      <c r="G506" s="198">
        <f>+G505+7</f>
        <v/>
      </c>
      <c r="H506" s="361">
        <f>IF(ISBLANK(CO506),CP506,SUMPRODUCT(CO$32:CP$32,CO506:CP506))</f>
        <v/>
      </c>
      <c r="I506" s="968">
        <f>H506/M506</f>
        <v/>
      </c>
      <c r="J506" s="968">
        <f>H506/N506</f>
        <v/>
      </c>
      <c r="K506" s="968">
        <f>(H506+Q506)/O506</f>
        <v/>
      </c>
      <c r="L506" s="968">
        <f>(H506+Q506)/P506</f>
        <v/>
      </c>
      <c r="M506" s="199">
        <f>HLOOKUP(C:C,$4:$10,3,FALSE)+((HLOOKUP(D:D,$4:$10,3,FALSE)-HLOOKUP(C:C,$4:$10,3,FALSE))*E506/F506)</f>
        <v/>
      </c>
      <c r="N506" s="199">
        <f>HLOOKUP(C:C,$4:$10,2,FALSE)+((HLOOKUP(D:D,$4:$10,2,FALSE)-HLOOKUP(C:C,$4:$10,2,FALSE))*E506/F506)</f>
        <v/>
      </c>
      <c r="O506" s="199">
        <f>HLOOKUP(C:C,$4:$10,5,FALSE)+((HLOOKUP(D:D,$4:$10,5,FALSE)-HLOOKUP(C:C,$4:$10,5,FALSE))*E506/F506)</f>
        <v/>
      </c>
      <c r="P506" s="199">
        <f>HLOOKUP(C:C,$4:$10,4,FALSE)+((HLOOKUP(D:D,$4:$10,4,FALSE)-HLOOKUP(C:C,$4:$10,4,FALSE))*E506/F506)</f>
        <v/>
      </c>
      <c r="Q506" s="199">
        <f>HLOOKUP(B:B,$4:$10,6,FALSE)+((HLOOKUP(C:C,$4:$10,6,FALSE)-HLOOKUP(B:B,$4:$10,6,FALSE))*E506/F506)</f>
        <v/>
      </c>
      <c r="T506" s="198">
        <f>$G506</f>
        <v/>
      </c>
      <c r="U506" s="199">
        <f>H506/(HLOOKUP(B:B,$4:$10,3,FALSE)+((HLOOKUP(C:C,$4:$10,3,FALSE)-HLOOKUP(B:B,$4:$10,3,FALSE))*E506/F506))</f>
        <v/>
      </c>
      <c r="V506" s="969">
        <f>HLOOKUP(B:B,$4:$10,7,FALSE)+((HLOOKUP(C:C,$4:$10,7,FALSE)-HLOOKUP(B:B,$4:$10,7,FALSE))*E506/F506)</f>
        <v/>
      </c>
      <c r="AB506" s="198">
        <f>$G506</f>
        <v/>
      </c>
      <c r="AC506" s="199">
        <f>$H506</f>
        <v/>
      </c>
      <c r="AD506" s="199">
        <f>$M506*AD$34</f>
        <v/>
      </c>
      <c r="AE506" s="199">
        <f>$M506*AE$34</f>
        <v/>
      </c>
      <c r="AF506" s="199">
        <f>$M506*AF$34</f>
        <v/>
      </c>
      <c r="AG506" s="199">
        <f>$M506*AG$34</f>
        <v/>
      </c>
      <c r="AH506" s="199">
        <f>$M506*AH$34</f>
        <v/>
      </c>
      <c r="AJ506" s="198">
        <f>$G506</f>
        <v/>
      </c>
      <c r="AK506" s="199">
        <f>$H506</f>
        <v/>
      </c>
      <c r="AL506" s="199">
        <f>$N506*AL$34</f>
        <v/>
      </c>
      <c r="AM506" s="199">
        <f>$N506*AM$34</f>
        <v/>
      </c>
      <c r="AN506" s="199">
        <f>$N506*AN$34</f>
        <v/>
      </c>
      <c r="AO506" s="199">
        <f>$N506*AO$34</f>
        <v/>
      </c>
      <c r="AP506" s="199">
        <f>$N506*AP$34</f>
        <v/>
      </c>
      <c r="AR506" s="198">
        <f>$G506</f>
        <v/>
      </c>
      <c r="AS506" s="199">
        <f>$H506</f>
        <v/>
      </c>
      <c r="AT506" s="199">
        <f>$O506*AT$34-$Q506</f>
        <v/>
      </c>
      <c r="AU506" s="199">
        <f>$O506*AU$34-$Q506</f>
        <v/>
      </c>
      <c r="AV506" s="199">
        <f>$O506*AV$34-$Q506</f>
        <v/>
      </c>
      <c r="AW506" s="199">
        <f>$O506*AW$34-$Q506</f>
        <v/>
      </c>
      <c r="AX506" s="199">
        <f>$O506*AX$34-$Q506</f>
        <v/>
      </c>
      <c r="AZ506" s="198">
        <f>$G506</f>
        <v/>
      </c>
      <c r="BA506" s="199">
        <f>$H506</f>
        <v/>
      </c>
      <c r="BB506" s="199">
        <f>$P506*BB$34-$Q506</f>
        <v/>
      </c>
      <c r="BC506" s="199">
        <f>$P506*BC$34-$Q506</f>
        <v/>
      </c>
      <c r="BD506" s="199">
        <f>$P506*BD$34-$Q506</f>
        <v/>
      </c>
      <c r="BE506" s="199">
        <f>$P506*BE$34-$Q506</f>
        <v/>
      </c>
      <c r="BF506" s="199">
        <f>$P506*BF$34-$Q506</f>
        <v/>
      </c>
      <c r="BH506" s="198">
        <f>$G506</f>
        <v/>
      </c>
      <c r="BI506" s="197">
        <f>$I506</f>
        <v/>
      </c>
      <c r="BJ506" s="197">
        <f>+BJ507</f>
        <v/>
      </c>
      <c r="BK506" s="197">
        <f>+BK507</f>
        <v/>
      </c>
      <c r="BL506" s="197">
        <f>+BL507</f>
        <v/>
      </c>
      <c r="BM506" s="197">
        <f>+BM507</f>
        <v/>
      </c>
      <c r="BN506" s="197">
        <f>+BN507</f>
        <v/>
      </c>
      <c r="BP506" s="198">
        <f>$G506</f>
        <v/>
      </c>
      <c r="BQ506" s="197">
        <f>$J506</f>
        <v/>
      </c>
      <c r="BR506" s="197">
        <f>+BR507</f>
        <v/>
      </c>
      <c r="BS506" s="197">
        <f>+BS507</f>
        <v/>
      </c>
      <c r="BT506" s="197">
        <f>+BT507</f>
        <v/>
      </c>
      <c r="BU506" s="197">
        <f>+BU507</f>
        <v/>
      </c>
      <c r="BV506" s="197">
        <f>+BV507</f>
        <v/>
      </c>
      <c r="BX506" s="198">
        <f>$G506</f>
        <v/>
      </c>
      <c r="BY506" s="197">
        <f>$K506</f>
        <v/>
      </c>
      <c r="BZ506" s="197">
        <f>+BZ507</f>
        <v/>
      </c>
      <c r="CA506" s="197">
        <f>+CA507</f>
        <v/>
      </c>
      <c r="CB506" s="197">
        <f>+CB507</f>
        <v/>
      </c>
      <c r="CC506" s="197">
        <f>+CC507</f>
        <v/>
      </c>
      <c r="CD506" s="197">
        <f>+CD507</f>
        <v/>
      </c>
      <c r="CF506" s="198">
        <f>$G506</f>
        <v/>
      </c>
      <c r="CG506" s="197">
        <f>$L506</f>
        <v/>
      </c>
      <c r="CH506" s="197">
        <f>+CH507</f>
        <v/>
      </c>
      <c r="CI506" s="197">
        <f>+CI507</f>
        <v/>
      </c>
      <c r="CJ506" s="197">
        <f>+CJ507</f>
        <v/>
      </c>
      <c r="CK506" s="197">
        <f>+CK507</f>
        <v/>
      </c>
      <c r="CL506" s="197">
        <f>+CL507</f>
        <v/>
      </c>
      <c r="CO506" s="199" t="n">
        <v>4.638290239089767</v>
      </c>
      <c r="CP506" s="199" t="n">
        <v>2.77</v>
      </c>
      <c r="CR506" s="199" t="n">
        <v>3.62</v>
      </c>
      <c r="CS506" s="970" t="n">
        <v>0.78046</v>
      </c>
    </row>
    <row r="507">
      <c r="B507" s="204">
        <f>+C507-1</f>
        <v/>
      </c>
      <c r="C507" s="204">
        <f>IF('bands_A-H_Avg'!$D$9+1&gt;MONTH(G507),YEAR(G507),YEAR(G507)+1)</f>
        <v/>
      </c>
      <c r="D507" s="204">
        <f>+C507+1</f>
        <v/>
      </c>
      <c r="E507" s="203">
        <f>IF(C507&gt;C506,1,E506+1)</f>
        <v/>
      </c>
      <c r="F507" s="203">
        <f>COUNTIF(C:C,C507)</f>
        <v/>
      </c>
      <c r="G507" s="198">
        <f>+G506+7</f>
        <v/>
      </c>
      <c r="H507" s="361">
        <f>IF(ISBLANK(CO507),CP507,SUMPRODUCT(CO$32:CP$32,CO507:CP507))</f>
        <v/>
      </c>
      <c r="I507" s="968">
        <f>H507/M507</f>
        <v/>
      </c>
      <c r="J507" s="968">
        <f>H507/N507</f>
        <v/>
      </c>
      <c r="K507" s="968">
        <f>(H507+Q507)/O507</f>
        <v/>
      </c>
      <c r="L507" s="968">
        <f>(H507+Q507)/P507</f>
        <v/>
      </c>
      <c r="M507" s="199">
        <f>HLOOKUP(C:C,$4:$10,3,FALSE)+((HLOOKUP(D:D,$4:$10,3,FALSE)-HLOOKUP(C:C,$4:$10,3,FALSE))*E507/F507)</f>
        <v/>
      </c>
      <c r="N507" s="199">
        <f>HLOOKUP(C:C,$4:$10,2,FALSE)+((HLOOKUP(D:D,$4:$10,2,FALSE)-HLOOKUP(C:C,$4:$10,2,FALSE))*E507/F507)</f>
        <v/>
      </c>
      <c r="O507" s="199">
        <f>HLOOKUP(C:C,$4:$10,5,FALSE)+((HLOOKUP(D:D,$4:$10,5,FALSE)-HLOOKUP(C:C,$4:$10,5,FALSE))*E507/F507)</f>
        <v/>
      </c>
      <c r="P507" s="199">
        <f>HLOOKUP(C:C,$4:$10,4,FALSE)+((HLOOKUP(D:D,$4:$10,4,FALSE)-HLOOKUP(C:C,$4:$10,4,FALSE))*E507/F507)</f>
        <v/>
      </c>
      <c r="Q507" s="199">
        <f>HLOOKUP(B:B,$4:$10,6,FALSE)+((HLOOKUP(C:C,$4:$10,6,FALSE)-HLOOKUP(B:B,$4:$10,6,FALSE))*E507/F507)</f>
        <v/>
      </c>
      <c r="T507" s="198">
        <f>$G507</f>
        <v/>
      </c>
      <c r="U507" s="199">
        <f>H507/(HLOOKUP(B:B,$4:$10,3,FALSE)+((HLOOKUP(C:C,$4:$10,3,FALSE)-HLOOKUP(B:B,$4:$10,3,FALSE))*E507/F507))</f>
        <v/>
      </c>
      <c r="V507" s="969">
        <f>HLOOKUP(B:B,$4:$10,7,FALSE)+((HLOOKUP(C:C,$4:$10,7,FALSE)-HLOOKUP(B:B,$4:$10,7,FALSE))*E507/F507)</f>
        <v/>
      </c>
      <c r="AB507" s="198">
        <f>$G507</f>
        <v/>
      </c>
      <c r="AC507" s="199">
        <f>$H507</f>
        <v/>
      </c>
      <c r="AD507" s="199">
        <f>$M507*AD$34</f>
        <v/>
      </c>
      <c r="AE507" s="199">
        <f>$M507*AE$34</f>
        <v/>
      </c>
      <c r="AF507" s="199">
        <f>$M507*AF$34</f>
        <v/>
      </c>
      <c r="AG507" s="199">
        <f>$M507*AG$34</f>
        <v/>
      </c>
      <c r="AH507" s="199">
        <f>$M507*AH$34</f>
        <v/>
      </c>
      <c r="AJ507" s="198">
        <f>$G507</f>
        <v/>
      </c>
      <c r="AK507" s="199">
        <f>$H507</f>
        <v/>
      </c>
      <c r="AL507" s="199">
        <f>$N507*AL$34</f>
        <v/>
      </c>
      <c r="AM507" s="199">
        <f>$N507*AM$34</f>
        <v/>
      </c>
      <c r="AN507" s="199">
        <f>$N507*AN$34</f>
        <v/>
      </c>
      <c r="AO507" s="199">
        <f>$N507*AO$34</f>
        <v/>
      </c>
      <c r="AP507" s="199">
        <f>$N507*AP$34</f>
        <v/>
      </c>
      <c r="AR507" s="198">
        <f>$G507</f>
        <v/>
      </c>
      <c r="AS507" s="199">
        <f>$H507</f>
        <v/>
      </c>
      <c r="AT507" s="199">
        <f>$O507*AT$34-$Q507</f>
        <v/>
      </c>
      <c r="AU507" s="199">
        <f>$O507*AU$34-$Q507</f>
        <v/>
      </c>
      <c r="AV507" s="199">
        <f>$O507*AV$34-$Q507</f>
        <v/>
      </c>
      <c r="AW507" s="199">
        <f>$O507*AW$34-$Q507</f>
        <v/>
      </c>
      <c r="AX507" s="199">
        <f>$O507*AX$34-$Q507</f>
        <v/>
      </c>
      <c r="AZ507" s="198">
        <f>$G507</f>
        <v/>
      </c>
      <c r="BA507" s="199">
        <f>$H507</f>
        <v/>
      </c>
      <c r="BB507" s="199">
        <f>$P507*BB$34-$Q507</f>
        <v/>
      </c>
      <c r="BC507" s="199">
        <f>$P507*BC$34-$Q507</f>
        <v/>
      </c>
      <c r="BD507" s="199">
        <f>$P507*BD$34-$Q507</f>
        <v/>
      </c>
      <c r="BE507" s="199">
        <f>$P507*BE$34-$Q507</f>
        <v/>
      </c>
      <c r="BF507" s="199">
        <f>$P507*BF$34-$Q507</f>
        <v/>
      </c>
      <c r="BH507" s="198">
        <f>$G507</f>
        <v/>
      </c>
      <c r="BI507" s="197">
        <f>$I507</f>
        <v/>
      </c>
      <c r="BJ507" s="197">
        <f>+BJ508</f>
        <v/>
      </c>
      <c r="BK507" s="197">
        <f>+BK508</f>
        <v/>
      </c>
      <c r="BL507" s="197">
        <f>+BL508</f>
        <v/>
      </c>
      <c r="BM507" s="197">
        <f>+BM508</f>
        <v/>
      </c>
      <c r="BN507" s="197">
        <f>+BN508</f>
        <v/>
      </c>
      <c r="BP507" s="198">
        <f>$G507</f>
        <v/>
      </c>
      <c r="BQ507" s="197">
        <f>$J507</f>
        <v/>
      </c>
      <c r="BR507" s="197">
        <f>+BR508</f>
        <v/>
      </c>
      <c r="BS507" s="197">
        <f>+BS508</f>
        <v/>
      </c>
      <c r="BT507" s="197">
        <f>+BT508</f>
        <v/>
      </c>
      <c r="BU507" s="197">
        <f>+BU508</f>
        <v/>
      </c>
      <c r="BV507" s="197">
        <f>+BV508</f>
        <v/>
      </c>
      <c r="BX507" s="198">
        <f>$G507</f>
        <v/>
      </c>
      <c r="BY507" s="197">
        <f>$K507</f>
        <v/>
      </c>
      <c r="BZ507" s="197">
        <f>+BZ508</f>
        <v/>
      </c>
      <c r="CA507" s="197">
        <f>+CA508</f>
        <v/>
      </c>
      <c r="CB507" s="197">
        <f>+CB508</f>
        <v/>
      </c>
      <c r="CC507" s="197">
        <f>+CC508</f>
        <v/>
      </c>
      <c r="CD507" s="197">
        <f>+CD508</f>
        <v/>
      </c>
      <c r="CF507" s="198">
        <f>$G507</f>
        <v/>
      </c>
      <c r="CG507" s="197">
        <f>$L507</f>
        <v/>
      </c>
      <c r="CH507" s="197">
        <f>+CH508</f>
        <v/>
      </c>
      <c r="CI507" s="197">
        <f>+CI508</f>
        <v/>
      </c>
      <c r="CJ507" s="197">
        <f>+CJ508</f>
        <v/>
      </c>
      <c r="CK507" s="197">
        <f>+CK508</f>
        <v/>
      </c>
      <c r="CL507" s="197">
        <f>+CL508</f>
        <v/>
      </c>
      <c r="CO507" s="199" t="n">
        <v>4.497578227108479</v>
      </c>
      <c r="CP507" s="199" t="n">
        <v>2.61</v>
      </c>
      <c r="CR507" s="199" t="n">
        <v>3.51</v>
      </c>
      <c r="CS507" s="970" t="n">
        <v>0.78042</v>
      </c>
    </row>
    <row r="508">
      <c r="B508" s="204">
        <f>+C508-1</f>
        <v/>
      </c>
      <c r="C508" s="204">
        <f>IF('bands_A-H_Avg'!$D$9+1&gt;MONTH(G508),YEAR(G508),YEAR(G508)+1)</f>
        <v/>
      </c>
      <c r="D508" s="204">
        <f>+C508+1</f>
        <v/>
      </c>
      <c r="E508" s="203">
        <f>IF(C508&gt;C507,1,E507+1)</f>
        <v/>
      </c>
      <c r="F508" s="203">
        <f>COUNTIF(C:C,C508)</f>
        <v/>
      </c>
      <c r="G508" s="198">
        <f>+G507+7</f>
        <v/>
      </c>
      <c r="H508" s="361">
        <f>IF(ISBLANK(CO508),CP508,SUMPRODUCT(CO$32:CP$32,CO508:CP508))</f>
        <v/>
      </c>
      <c r="I508" s="968">
        <f>H508/M508</f>
        <v/>
      </c>
      <c r="J508" s="968">
        <f>H508/N508</f>
        <v/>
      </c>
      <c r="K508" s="968">
        <f>(H508+Q508)/O508</f>
        <v/>
      </c>
      <c r="L508" s="968">
        <f>(H508+Q508)/P508</f>
        <v/>
      </c>
      <c r="M508" s="199">
        <f>HLOOKUP(C:C,$4:$10,3,FALSE)+((HLOOKUP(D:D,$4:$10,3,FALSE)-HLOOKUP(C:C,$4:$10,3,FALSE))*E508/F508)</f>
        <v/>
      </c>
      <c r="N508" s="199">
        <f>HLOOKUP(C:C,$4:$10,2,FALSE)+((HLOOKUP(D:D,$4:$10,2,FALSE)-HLOOKUP(C:C,$4:$10,2,FALSE))*E508/F508)</f>
        <v/>
      </c>
      <c r="O508" s="199">
        <f>HLOOKUP(C:C,$4:$10,5,FALSE)+((HLOOKUP(D:D,$4:$10,5,FALSE)-HLOOKUP(C:C,$4:$10,5,FALSE))*E508/F508)</f>
        <v/>
      </c>
      <c r="P508" s="199">
        <f>HLOOKUP(C:C,$4:$10,4,FALSE)+((HLOOKUP(D:D,$4:$10,4,FALSE)-HLOOKUP(C:C,$4:$10,4,FALSE))*E508/F508)</f>
        <v/>
      </c>
      <c r="Q508" s="199">
        <f>HLOOKUP(B:B,$4:$10,6,FALSE)+((HLOOKUP(C:C,$4:$10,6,FALSE)-HLOOKUP(B:B,$4:$10,6,FALSE))*E508/F508)</f>
        <v/>
      </c>
      <c r="T508" s="198">
        <f>$G508</f>
        <v/>
      </c>
      <c r="U508" s="199">
        <f>H508/(HLOOKUP(B:B,$4:$10,3,FALSE)+((HLOOKUP(C:C,$4:$10,3,FALSE)-HLOOKUP(B:B,$4:$10,3,FALSE))*E508/F508))</f>
        <v/>
      </c>
      <c r="V508" s="969">
        <f>HLOOKUP(B:B,$4:$10,7,FALSE)+((HLOOKUP(C:C,$4:$10,7,FALSE)-HLOOKUP(B:B,$4:$10,7,FALSE))*E508/F508)</f>
        <v/>
      </c>
      <c r="AB508" s="198">
        <f>$G508</f>
        <v/>
      </c>
      <c r="AC508" s="199">
        <f>$H508</f>
        <v/>
      </c>
      <c r="AD508" s="199">
        <f>$M508*AD$34</f>
        <v/>
      </c>
      <c r="AE508" s="199">
        <f>$M508*AE$34</f>
        <v/>
      </c>
      <c r="AF508" s="199">
        <f>$M508*AF$34</f>
        <v/>
      </c>
      <c r="AG508" s="199">
        <f>$M508*AG$34</f>
        <v/>
      </c>
      <c r="AH508" s="199">
        <f>$M508*AH$34</f>
        <v/>
      </c>
      <c r="AJ508" s="198">
        <f>$G508</f>
        <v/>
      </c>
      <c r="AK508" s="199">
        <f>$H508</f>
        <v/>
      </c>
      <c r="AL508" s="199">
        <f>$N508*AL$34</f>
        <v/>
      </c>
      <c r="AM508" s="199">
        <f>$N508*AM$34</f>
        <v/>
      </c>
      <c r="AN508" s="199">
        <f>$N508*AN$34</f>
        <v/>
      </c>
      <c r="AO508" s="199">
        <f>$N508*AO$34</f>
        <v/>
      </c>
      <c r="AP508" s="199">
        <f>$N508*AP$34</f>
        <v/>
      </c>
      <c r="AR508" s="198">
        <f>$G508</f>
        <v/>
      </c>
      <c r="AS508" s="199">
        <f>$H508</f>
        <v/>
      </c>
      <c r="AT508" s="199">
        <f>$O508*AT$34-$Q508</f>
        <v/>
      </c>
      <c r="AU508" s="199">
        <f>$O508*AU$34-$Q508</f>
        <v/>
      </c>
      <c r="AV508" s="199">
        <f>$O508*AV$34-$Q508</f>
        <v/>
      </c>
      <c r="AW508" s="199">
        <f>$O508*AW$34-$Q508</f>
        <v/>
      </c>
      <c r="AX508" s="199">
        <f>$O508*AX$34-$Q508</f>
        <v/>
      </c>
      <c r="AZ508" s="198">
        <f>$G508</f>
        <v/>
      </c>
      <c r="BA508" s="199">
        <f>$H508</f>
        <v/>
      </c>
      <c r="BB508" s="199">
        <f>$P508*BB$34-$Q508</f>
        <v/>
      </c>
      <c r="BC508" s="199">
        <f>$P508*BC$34-$Q508</f>
        <v/>
      </c>
      <c r="BD508" s="199">
        <f>$P508*BD$34-$Q508</f>
        <v/>
      </c>
      <c r="BE508" s="199">
        <f>$P508*BE$34-$Q508</f>
        <v/>
      </c>
      <c r="BF508" s="199">
        <f>$P508*BF$34-$Q508</f>
        <v/>
      </c>
      <c r="BH508" s="198">
        <f>$G508</f>
        <v/>
      </c>
      <c r="BI508" s="197">
        <f>$I508</f>
        <v/>
      </c>
      <c r="BJ508" s="197">
        <f>+BJ509</f>
        <v/>
      </c>
      <c r="BK508" s="197">
        <f>+BK509</f>
        <v/>
      </c>
      <c r="BL508" s="197">
        <f>+BL509</f>
        <v/>
      </c>
      <c r="BM508" s="197">
        <f>+BM509</f>
        <v/>
      </c>
      <c r="BN508" s="197">
        <f>+BN509</f>
        <v/>
      </c>
      <c r="BP508" s="198">
        <f>$G508</f>
        <v/>
      </c>
      <c r="BQ508" s="197">
        <f>$J508</f>
        <v/>
      </c>
      <c r="BR508" s="197">
        <f>+BR509</f>
        <v/>
      </c>
      <c r="BS508" s="197">
        <f>+BS509</f>
        <v/>
      </c>
      <c r="BT508" s="197">
        <f>+BT509</f>
        <v/>
      </c>
      <c r="BU508" s="197">
        <f>+BU509</f>
        <v/>
      </c>
      <c r="BV508" s="197">
        <f>+BV509</f>
        <v/>
      </c>
      <c r="BX508" s="198">
        <f>$G508</f>
        <v/>
      </c>
      <c r="BY508" s="197">
        <f>$K508</f>
        <v/>
      </c>
      <c r="BZ508" s="197">
        <f>+BZ509</f>
        <v/>
      </c>
      <c r="CA508" s="197">
        <f>+CA509</f>
        <v/>
      </c>
      <c r="CB508" s="197">
        <f>+CB509</f>
        <v/>
      </c>
      <c r="CC508" s="197">
        <f>+CC509</f>
        <v/>
      </c>
      <c r="CD508" s="197">
        <f>+CD509</f>
        <v/>
      </c>
      <c r="CF508" s="198">
        <f>$G508</f>
        <v/>
      </c>
      <c r="CG508" s="197">
        <f>$L508</f>
        <v/>
      </c>
      <c r="CH508" s="197">
        <f>+CH509</f>
        <v/>
      </c>
      <c r="CI508" s="197">
        <f>+CI509</f>
        <v/>
      </c>
      <c r="CJ508" s="197">
        <f>+CJ509</f>
        <v/>
      </c>
      <c r="CK508" s="197">
        <f>+CK509</f>
        <v/>
      </c>
      <c r="CL508" s="197">
        <f>+CL509</f>
        <v/>
      </c>
      <c r="CO508" s="199" t="n">
        <v>4.499134781772736</v>
      </c>
      <c r="CP508" s="199" t="n">
        <v>2.54</v>
      </c>
      <c r="CR508" s="199" t="n">
        <v>3.51</v>
      </c>
      <c r="CS508" s="970" t="n">
        <v>0.78015</v>
      </c>
    </row>
    <row r="509">
      <c r="B509" s="204">
        <f>+C509-1</f>
        <v/>
      </c>
      <c r="C509" s="204">
        <f>IF('bands_A-H_Avg'!$D$9+1&gt;MONTH(G509),YEAR(G509),YEAR(G509)+1)</f>
        <v/>
      </c>
      <c r="D509" s="204">
        <f>+C509+1</f>
        <v/>
      </c>
      <c r="E509" s="203">
        <f>IF(C509&gt;C508,1,E508+1)</f>
        <v/>
      </c>
      <c r="F509" s="203">
        <f>COUNTIF(C:C,C509)</f>
        <v/>
      </c>
      <c r="G509" s="198">
        <f>+G508+7</f>
        <v/>
      </c>
      <c r="H509" s="361">
        <f>IF(ISBLANK(CO509),CP509,SUMPRODUCT(CO$32:CP$32,CO509:CP509))</f>
        <v/>
      </c>
      <c r="I509" s="968">
        <f>H509/M509</f>
        <v/>
      </c>
      <c r="J509" s="968">
        <f>H509/N509</f>
        <v/>
      </c>
      <c r="K509" s="968">
        <f>(H509+Q509)/O509</f>
        <v/>
      </c>
      <c r="L509" s="968">
        <f>(H509+Q509)/P509</f>
        <v/>
      </c>
      <c r="M509" s="199">
        <f>HLOOKUP(C:C,$4:$10,3,FALSE)+((HLOOKUP(D:D,$4:$10,3,FALSE)-HLOOKUP(C:C,$4:$10,3,FALSE))*E509/F509)</f>
        <v/>
      </c>
      <c r="N509" s="199">
        <f>HLOOKUP(C:C,$4:$10,2,FALSE)+((HLOOKUP(D:D,$4:$10,2,FALSE)-HLOOKUP(C:C,$4:$10,2,FALSE))*E509/F509)</f>
        <v/>
      </c>
      <c r="O509" s="199">
        <f>HLOOKUP(C:C,$4:$10,5,FALSE)+((HLOOKUP(D:D,$4:$10,5,FALSE)-HLOOKUP(C:C,$4:$10,5,FALSE))*E509/F509)</f>
        <v/>
      </c>
      <c r="P509" s="199">
        <f>HLOOKUP(C:C,$4:$10,4,FALSE)+((HLOOKUP(D:D,$4:$10,4,FALSE)-HLOOKUP(C:C,$4:$10,4,FALSE))*E509/F509)</f>
        <v/>
      </c>
      <c r="Q509" s="199">
        <f>HLOOKUP(B:B,$4:$10,6,FALSE)+((HLOOKUP(C:C,$4:$10,6,FALSE)-HLOOKUP(B:B,$4:$10,6,FALSE))*E509/F509)</f>
        <v/>
      </c>
      <c r="T509" s="198">
        <f>$G509</f>
        <v/>
      </c>
      <c r="U509" s="199">
        <f>H509/(HLOOKUP(B:B,$4:$10,3,FALSE)+((HLOOKUP(C:C,$4:$10,3,FALSE)-HLOOKUP(B:B,$4:$10,3,FALSE))*E509/F509))</f>
        <v/>
      </c>
      <c r="V509" s="969">
        <f>HLOOKUP(B:B,$4:$10,7,FALSE)+((HLOOKUP(C:C,$4:$10,7,FALSE)-HLOOKUP(B:B,$4:$10,7,FALSE))*E509/F509)</f>
        <v/>
      </c>
      <c r="AB509" s="198">
        <f>$G509</f>
        <v/>
      </c>
      <c r="AC509" s="199">
        <f>$H509</f>
        <v/>
      </c>
      <c r="AD509" s="199">
        <f>$M509*AD$34</f>
        <v/>
      </c>
      <c r="AE509" s="199">
        <f>$M509*AE$34</f>
        <v/>
      </c>
      <c r="AF509" s="199">
        <f>$M509*AF$34</f>
        <v/>
      </c>
      <c r="AG509" s="199">
        <f>$M509*AG$34</f>
        <v/>
      </c>
      <c r="AH509" s="199">
        <f>$M509*AH$34</f>
        <v/>
      </c>
      <c r="AJ509" s="198">
        <f>$G509</f>
        <v/>
      </c>
      <c r="AK509" s="199">
        <f>$H509</f>
        <v/>
      </c>
      <c r="AL509" s="199">
        <f>$N509*AL$34</f>
        <v/>
      </c>
      <c r="AM509" s="199">
        <f>$N509*AM$34</f>
        <v/>
      </c>
      <c r="AN509" s="199">
        <f>$N509*AN$34</f>
        <v/>
      </c>
      <c r="AO509" s="199">
        <f>$N509*AO$34</f>
        <v/>
      </c>
      <c r="AP509" s="199">
        <f>$N509*AP$34</f>
        <v/>
      </c>
      <c r="AR509" s="198">
        <f>$G509</f>
        <v/>
      </c>
      <c r="AS509" s="199">
        <f>$H509</f>
        <v/>
      </c>
      <c r="AT509" s="199">
        <f>$O509*AT$34-$Q509</f>
        <v/>
      </c>
      <c r="AU509" s="199">
        <f>$O509*AU$34-$Q509</f>
        <v/>
      </c>
      <c r="AV509" s="199">
        <f>$O509*AV$34-$Q509</f>
        <v/>
      </c>
      <c r="AW509" s="199">
        <f>$O509*AW$34-$Q509</f>
        <v/>
      </c>
      <c r="AX509" s="199">
        <f>$O509*AX$34-$Q509</f>
        <v/>
      </c>
      <c r="AZ509" s="198">
        <f>$G509</f>
        <v/>
      </c>
      <c r="BA509" s="199">
        <f>$H509</f>
        <v/>
      </c>
      <c r="BB509" s="199">
        <f>$P509*BB$34-$Q509</f>
        <v/>
      </c>
      <c r="BC509" s="199">
        <f>$P509*BC$34-$Q509</f>
        <v/>
      </c>
      <c r="BD509" s="199">
        <f>$P509*BD$34-$Q509</f>
        <v/>
      </c>
      <c r="BE509" s="199">
        <f>$P509*BE$34-$Q509</f>
        <v/>
      </c>
      <c r="BF509" s="199">
        <f>$P509*BF$34-$Q509</f>
        <v/>
      </c>
      <c r="BH509" s="198">
        <f>$G509</f>
        <v/>
      </c>
      <c r="BI509" s="197">
        <f>$I509</f>
        <v/>
      </c>
      <c r="BJ509" s="197">
        <f>+BJ510</f>
        <v/>
      </c>
      <c r="BK509" s="197">
        <f>+BK510</f>
        <v/>
      </c>
      <c r="BL509" s="197">
        <f>+BL510</f>
        <v/>
      </c>
      <c r="BM509" s="197">
        <f>+BM510</f>
        <v/>
      </c>
      <c r="BN509" s="197">
        <f>+BN510</f>
        <v/>
      </c>
      <c r="BP509" s="198">
        <f>$G509</f>
        <v/>
      </c>
      <c r="BQ509" s="197">
        <f>$J509</f>
        <v/>
      </c>
      <c r="BR509" s="197">
        <f>+BR510</f>
        <v/>
      </c>
      <c r="BS509" s="197">
        <f>+BS510</f>
        <v/>
      </c>
      <c r="BT509" s="197">
        <f>+BT510</f>
        <v/>
      </c>
      <c r="BU509" s="197">
        <f>+BU510</f>
        <v/>
      </c>
      <c r="BV509" s="197">
        <f>+BV510</f>
        <v/>
      </c>
      <c r="BX509" s="198">
        <f>$G509</f>
        <v/>
      </c>
      <c r="BY509" s="197">
        <f>$K509</f>
        <v/>
      </c>
      <c r="BZ509" s="197">
        <f>+BZ510</f>
        <v/>
      </c>
      <c r="CA509" s="197">
        <f>+CA510</f>
        <v/>
      </c>
      <c r="CB509" s="197">
        <f>+CB510</f>
        <v/>
      </c>
      <c r="CC509" s="197">
        <f>+CC510</f>
        <v/>
      </c>
      <c r="CD509" s="197">
        <f>+CD510</f>
        <v/>
      </c>
      <c r="CF509" s="198">
        <f>$G509</f>
        <v/>
      </c>
      <c r="CG509" s="197">
        <f>$L509</f>
        <v/>
      </c>
      <c r="CH509" s="197">
        <f>+CH510</f>
        <v/>
      </c>
      <c r="CI509" s="197">
        <f>+CI510</f>
        <v/>
      </c>
      <c r="CJ509" s="197">
        <f>+CJ510</f>
        <v/>
      </c>
      <c r="CK509" s="197">
        <f>+CK510</f>
        <v/>
      </c>
      <c r="CL509" s="197">
        <f>+CL510</f>
        <v/>
      </c>
      <c r="CO509" s="199" t="n">
        <v>4.59604842540408</v>
      </c>
      <c r="CP509" s="199" t="n">
        <v>2.51</v>
      </c>
      <c r="CR509" s="199" t="n">
        <v>3.58</v>
      </c>
      <c r="CS509" s="970" t="n">
        <v>0.77893</v>
      </c>
    </row>
    <row r="510">
      <c r="B510" s="204">
        <f>+C510-1</f>
        <v/>
      </c>
      <c r="C510" s="204">
        <f>IF('bands_A-H_Avg'!$D$9+1&gt;MONTH(G510),YEAR(G510),YEAR(G510)+1)</f>
        <v/>
      </c>
      <c r="D510" s="204">
        <f>+C510+1</f>
        <v/>
      </c>
      <c r="E510" s="203">
        <f>IF(C510&gt;C509,1,E509+1)</f>
        <v/>
      </c>
      <c r="F510" s="203">
        <f>COUNTIF(C:C,C510)</f>
        <v/>
      </c>
      <c r="G510" s="198">
        <f>+G509+7</f>
        <v/>
      </c>
      <c r="H510" s="361">
        <f>IF(ISBLANK(CO510),CP510,SUMPRODUCT(CO$32:CP$32,CO510:CP510))</f>
        <v/>
      </c>
      <c r="I510" s="968">
        <f>H510/M510</f>
        <v/>
      </c>
      <c r="J510" s="968">
        <f>H510/N510</f>
        <v/>
      </c>
      <c r="K510" s="968">
        <f>(H510+Q510)/O510</f>
        <v/>
      </c>
      <c r="L510" s="968">
        <f>(H510+Q510)/P510</f>
        <v/>
      </c>
      <c r="M510" s="199">
        <f>HLOOKUP(C:C,$4:$10,3,FALSE)+((HLOOKUP(D:D,$4:$10,3,FALSE)-HLOOKUP(C:C,$4:$10,3,FALSE))*E510/F510)</f>
        <v/>
      </c>
      <c r="N510" s="199">
        <f>HLOOKUP(C:C,$4:$10,2,FALSE)+((HLOOKUP(D:D,$4:$10,2,FALSE)-HLOOKUP(C:C,$4:$10,2,FALSE))*E510/F510)</f>
        <v/>
      </c>
      <c r="O510" s="199">
        <f>HLOOKUP(C:C,$4:$10,5,FALSE)+((HLOOKUP(D:D,$4:$10,5,FALSE)-HLOOKUP(C:C,$4:$10,5,FALSE))*E510/F510)</f>
        <v/>
      </c>
      <c r="P510" s="199">
        <f>HLOOKUP(C:C,$4:$10,4,FALSE)+((HLOOKUP(D:D,$4:$10,4,FALSE)-HLOOKUP(C:C,$4:$10,4,FALSE))*E510/F510)</f>
        <v/>
      </c>
      <c r="Q510" s="199">
        <f>HLOOKUP(B:B,$4:$10,6,FALSE)+((HLOOKUP(C:C,$4:$10,6,FALSE)-HLOOKUP(B:B,$4:$10,6,FALSE))*E510/F510)</f>
        <v/>
      </c>
      <c r="T510" s="198">
        <f>$G510</f>
        <v/>
      </c>
      <c r="U510" s="199">
        <f>H510/(HLOOKUP(B:B,$4:$10,3,FALSE)+((HLOOKUP(C:C,$4:$10,3,FALSE)-HLOOKUP(B:B,$4:$10,3,FALSE))*E510/F510))</f>
        <v/>
      </c>
      <c r="V510" s="969">
        <f>HLOOKUP(B:B,$4:$10,7,FALSE)+((HLOOKUP(C:C,$4:$10,7,FALSE)-HLOOKUP(B:B,$4:$10,7,FALSE))*E510/F510)</f>
        <v/>
      </c>
      <c r="AB510" s="198">
        <f>$G510</f>
        <v/>
      </c>
      <c r="AC510" s="199">
        <f>$H510</f>
        <v/>
      </c>
      <c r="AD510" s="199">
        <f>$M510*AD$34</f>
        <v/>
      </c>
      <c r="AE510" s="199">
        <f>$M510*AE$34</f>
        <v/>
      </c>
      <c r="AF510" s="199">
        <f>$M510*AF$34</f>
        <v/>
      </c>
      <c r="AG510" s="199">
        <f>$M510*AG$34</f>
        <v/>
      </c>
      <c r="AH510" s="199">
        <f>$M510*AH$34</f>
        <v/>
      </c>
      <c r="AJ510" s="198">
        <f>$G510</f>
        <v/>
      </c>
      <c r="AK510" s="199">
        <f>$H510</f>
        <v/>
      </c>
      <c r="AL510" s="199">
        <f>$N510*AL$34</f>
        <v/>
      </c>
      <c r="AM510" s="199">
        <f>$N510*AM$34</f>
        <v/>
      </c>
      <c r="AN510" s="199">
        <f>$N510*AN$34</f>
        <v/>
      </c>
      <c r="AO510" s="199">
        <f>$N510*AO$34</f>
        <v/>
      </c>
      <c r="AP510" s="199">
        <f>$N510*AP$34</f>
        <v/>
      </c>
      <c r="AR510" s="198">
        <f>$G510</f>
        <v/>
      </c>
      <c r="AS510" s="199">
        <f>$H510</f>
        <v/>
      </c>
      <c r="AT510" s="199">
        <f>$O510*AT$34-$Q510</f>
        <v/>
      </c>
      <c r="AU510" s="199">
        <f>$O510*AU$34-$Q510</f>
        <v/>
      </c>
      <c r="AV510" s="199">
        <f>$O510*AV$34-$Q510</f>
        <v/>
      </c>
      <c r="AW510" s="199">
        <f>$O510*AW$34-$Q510</f>
        <v/>
      </c>
      <c r="AX510" s="199">
        <f>$O510*AX$34-$Q510</f>
        <v/>
      </c>
      <c r="AZ510" s="198">
        <f>$G510</f>
        <v/>
      </c>
      <c r="BA510" s="199">
        <f>$H510</f>
        <v/>
      </c>
      <c r="BB510" s="199">
        <f>$P510*BB$34-$Q510</f>
        <v/>
      </c>
      <c r="BC510" s="199">
        <f>$P510*BC$34-$Q510</f>
        <v/>
      </c>
      <c r="BD510" s="199">
        <f>$P510*BD$34-$Q510</f>
        <v/>
      </c>
      <c r="BE510" s="199">
        <f>$P510*BE$34-$Q510</f>
        <v/>
      </c>
      <c r="BF510" s="199">
        <f>$P510*BF$34-$Q510</f>
        <v/>
      </c>
      <c r="BH510" s="198">
        <f>$G510</f>
        <v/>
      </c>
      <c r="BI510" s="197">
        <f>$I510</f>
        <v/>
      </c>
      <c r="BJ510" s="197">
        <f>+BJ511</f>
        <v/>
      </c>
      <c r="BK510" s="197">
        <f>+BK511</f>
        <v/>
      </c>
      <c r="BL510" s="197">
        <f>+BL511</f>
        <v/>
      </c>
      <c r="BM510" s="197">
        <f>+BM511</f>
        <v/>
      </c>
      <c r="BN510" s="197">
        <f>+BN511</f>
        <v/>
      </c>
      <c r="BP510" s="198">
        <f>$G510</f>
        <v/>
      </c>
      <c r="BQ510" s="197">
        <f>$J510</f>
        <v/>
      </c>
      <c r="BR510" s="197">
        <f>+BR511</f>
        <v/>
      </c>
      <c r="BS510" s="197">
        <f>+BS511</f>
        <v/>
      </c>
      <c r="BT510" s="197">
        <f>+BT511</f>
        <v/>
      </c>
      <c r="BU510" s="197">
        <f>+BU511</f>
        <v/>
      </c>
      <c r="BV510" s="197">
        <f>+BV511</f>
        <v/>
      </c>
      <c r="BX510" s="198">
        <f>$G510</f>
        <v/>
      </c>
      <c r="BY510" s="197">
        <f>$K510</f>
        <v/>
      </c>
      <c r="BZ510" s="197">
        <f>+BZ511</f>
        <v/>
      </c>
      <c r="CA510" s="197">
        <f>+CA511</f>
        <v/>
      </c>
      <c r="CB510" s="197">
        <f>+CB511</f>
        <v/>
      </c>
      <c r="CC510" s="197">
        <f>+CC511</f>
        <v/>
      </c>
      <c r="CD510" s="197">
        <f>+CD511</f>
        <v/>
      </c>
      <c r="CF510" s="198">
        <f>$G510</f>
        <v/>
      </c>
      <c r="CG510" s="197">
        <f>$L510</f>
        <v/>
      </c>
      <c r="CH510" s="197">
        <f>+CH511</f>
        <v/>
      </c>
      <c r="CI510" s="197">
        <f>+CI511</f>
        <v/>
      </c>
      <c r="CJ510" s="197">
        <f>+CJ511</f>
        <v/>
      </c>
      <c r="CK510" s="197">
        <f>+CK511</f>
        <v/>
      </c>
      <c r="CL510" s="197">
        <f>+CL511</f>
        <v/>
      </c>
      <c r="CO510" s="199" t="n">
        <v>4.522625941679906</v>
      </c>
      <c r="CP510" s="199" t="n">
        <v>2.48</v>
      </c>
      <c r="CR510" s="199" t="n">
        <v>3.53</v>
      </c>
      <c r="CS510" s="970" t="n">
        <v>0.78052</v>
      </c>
    </row>
    <row r="511">
      <c r="B511" s="204">
        <f>+C511-1</f>
        <v/>
      </c>
      <c r="C511" s="204">
        <f>IF('bands_A-H_Avg'!$D$9+1&gt;MONTH(G511),YEAR(G511),YEAR(G511)+1)</f>
        <v/>
      </c>
      <c r="D511" s="204">
        <f>+C511+1</f>
        <v/>
      </c>
      <c r="E511" s="203">
        <f>IF(C511&gt;C510,1,E510+1)</f>
        <v/>
      </c>
      <c r="F511" s="203">
        <f>COUNTIF(C:C,C511)</f>
        <v/>
      </c>
      <c r="G511" s="198">
        <f>+G510+7</f>
        <v/>
      </c>
      <c r="H511" s="361">
        <f>IF(ISBLANK(CO511),CP511,SUMPRODUCT(CO$32:CP$32,CO511:CP511))</f>
        <v/>
      </c>
      <c r="I511" s="968">
        <f>H511/M511</f>
        <v/>
      </c>
      <c r="J511" s="968">
        <f>H511/N511</f>
        <v/>
      </c>
      <c r="K511" s="968">
        <f>(H511+Q511)/O511</f>
        <v/>
      </c>
      <c r="L511" s="968">
        <f>(H511+Q511)/P511</f>
        <v/>
      </c>
      <c r="M511" s="199">
        <f>HLOOKUP(C:C,$4:$10,3,FALSE)+((HLOOKUP(D:D,$4:$10,3,FALSE)-HLOOKUP(C:C,$4:$10,3,FALSE))*E511/F511)</f>
        <v/>
      </c>
      <c r="N511" s="199">
        <f>HLOOKUP(C:C,$4:$10,2,FALSE)+((HLOOKUP(D:D,$4:$10,2,FALSE)-HLOOKUP(C:C,$4:$10,2,FALSE))*E511/F511)</f>
        <v/>
      </c>
      <c r="O511" s="199">
        <f>HLOOKUP(C:C,$4:$10,5,FALSE)+((HLOOKUP(D:D,$4:$10,5,FALSE)-HLOOKUP(C:C,$4:$10,5,FALSE))*E511/F511)</f>
        <v/>
      </c>
      <c r="P511" s="199">
        <f>HLOOKUP(C:C,$4:$10,4,FALSE)+((HLOOKUP(D:D,$4:$10,4,FALSE)-HLOOKUP(C:C,$4:$10,4,FALSE))*E511/F511)</f>
        <v/>
      </c>
      <c r="Q511" s="199">
        <f>HLOOKUP(B:B,$4:$10,6,FALSE)+((HLOOKUP(C:C,$4:$10,6,FALSE)-HLOOKUP(B:B,$4:$10,6,FALSE))*E511/F511)</f>
        <v/>
      </c>
      <c r="T511" s="198">
        <f>$G511</f>
        <v/>
      </c>
      <c r="U511" s="199">
        <f>H511/(HLOOKUP(B:B,$4:$10,3,FALSE)+((HLOOKUP(C:C,$4:$10,3,FALSE)-HLOOKUP(B:B,$4:$10,3,FALSE))*E511/F511))</f>
        <v/>
      </c>
      <c r="V511" s="969">
        <f>HLOOKUP(B:B,$4:$10,7,FALSE)+((HLOOKUP(C:C,$4:$10,7,FALSE)-HLOOKUP(B:B,$4:$10,7,FALSE))*E511/F511)</f>
        <v/>
      </c>
      <c r="AB511" s="198">
        <f>$G511</f>
        <v/>
      </c>
      <c r="AC511" s="199">
        <f>$H511</f>
        <v/>
      </c>
      <c r="AD511" s="199">
        <f>$M511*AD$34</f>
        <v/>
      </c>
      <c r="AE511" s="199">
        <f>$M511*AE$34</f>
        <v/>
      </c>
      <c r="AF511" s="199">
        <f>$M511*AF$34</f>
        <v/>
      </c>
      <c r="AG511" s="199">
        <f>$M511*AG$34</f>
        <v/>
      </c>
      <c r="AH511" s="199">
        <f>$M511*AH$34</f>
        <v/>
      </c>
      <c r="AJ511" s="198">
        <f>$G511</f>
        <v/>
      </c>
      <c r="AK511" s="199">
        <f>$H511</f>
        <v/>
      </c>
      <c r="AL511" s="199">
        <f>$N511*AL$34</f>
        <v/>
      </c>
      <c r="AM511" s="199">
        <f>$N511*AM$34</f>
        <v/>
      </c>
      <c r="AN511" s="199">
        <f>$N511*AN$34</f>
        <v/>
      </c>
      <c r="AO511" s="199">
        <f>$N511*AO$34</f>
        <v/>
      </c>
      <c r="AP511" s="199">
        <f>$N511*AP$34</f>
        <v/>
      </c>
      <c r="AR511" s="198">
        <f>$G511</f>
        <v/>
      </c>
      <c r="AS511" s="199">
        <f>$H511</f>
        <v/>
      </c>
      <c r="AT511" s="199">
        <f>$O511*AT$34-$Q511</f>
        <v/>
      </c>
      <c r="AU511" s="199">
        <f>$O511*AU$34-$Q511</f>
        <v/>
      </c>
      <c r="AV511" s="199">
        <f>$O511*AV$34-$Q511</f>
        <v/>
      </c>
      <c r="AW511" s="199">
        <f>$O511*AW$34-$Q511</f>
        <v/>
      </c>
      <c r="AX511" s="199">
        <f>$O511*AX$34-$Q511</f>
        <v/>
      </c>
      <c r="AZ511" s="198">
        <f>$G511</f>
        <v/>
      </c>
      <c r="BA511" s="199">
        <f>$H511</f>
        <v/>
      </c>
      <c r="BB511" s="199">
        <f>$P511*BB$34-$Q511</f>
        <v/>
      </c>
      <c r="BC511" s="199">
        <f>$P511*BC$34-$Q511</f>
        <v/>
      </c>
      <c r="BD511" s="199">
        <f>$P511*BD$34-$Q511</f>
        <v/>
      </c>
      <c r="BE511" s="199">
        <f>$P511*BE$34-$Q511</f>
        <v/>
      </c>
      <c r="BF511" s="199">
        <f>$P511*BF$34-$Q511</f>
        <v/>
      </c>
      <c r="BH511" s="198">
        <f>$G511</f>
        <v/>
      </c>
      <c r="BI511" s="197">
        <f>$I511</f>
        <v/>
      </c>
      <c r="BJ511" s="197">
        <f>+BJ512</f>
        <v/>
      </c>
      <c r="BK511" s="197">
        <f>+BK512</f>
        <v/>
      </c>
      <c r="BL511" s="197">
        <f>+BL512</f>
        <v/>
      </c>
      <c r="BM511" s="197">
        <f>+BM512</f>
        <v/>
      </c>
      <c r="BN511" s="197">
        <f>+BN512</f>
        <v/>
      </c>
      <c r="BP511" s="198">
        <f>$G511</f>
        <v/>
      </c>
      <c r="BQ511" s="197">
        <f>$J511</f>
        <v/>
      </c>
      <c r="BR511" s="197">
        <f>+BR512</f>
        <v/>
      </c>
      <c r="BS511" s="197">
        <f>+BS512</f>
        <v/>
      </c>
      <c r="BT511" s="197">
        <f>+BT512</f>
        <v/>
      </c>
      <c r="BU511" s="197">
        <f>+BU512</f>
        <v/>
      </c>
      <c r="BV511" s="197">
        <f>+BV512</f>
        <v/>
      </c>
      <c r="BX511" s="198">
        <f>$G511</f>
        <v/>
      </c>
      <c r="BY511" s="197">
        <f>$K511</f>
        <v/>
      </c>
      <c r="BZ511" s="197">
        <f>+BZ512</f>
        <v/>
      </c>
      <c r="CA511" s="197">
        <f>+CA512</f>
        <v/>
      </c>
      <c r="CB511" s="197">
        <f>+CB512</f>
        <v/>
      </c>
      <c r="CC511" s="197">
        <f>+CC512</f>
        <v/>
      </c>
      <c r="CD511" s="197">
        <f>+CD512</f>
        <v/>
      </c>
      <c r="CF511" s="198">
        <f>$G511</f>
        <v/>
      </c>
      <c r="CG511" s="197">
        <f>$L511</f>
        <v/>
      </c>
      <c r="CH511" s="197">
        <f>+CH512</f>
        <v/>
      </c>
      <c r="CI511" s="197">
        <f>+CI512</f>
        <v/>
      </c>
      <c r="CJ511" s="197">
        <f>+CJ512</f>
        <v/>
      </c>
      <c r="CK511" s="197">
        <f>+CK512</f>
        <v/>
      </c>
      <c r="CL511" s="197">
        <f>+CL512</f>
        <v/>
      </c>
      <c r="CO511" s="199" t="n">
        <v>4.54254638515675</v>
      </c>
      <c r="CP511" s="199" t="n">
        <v>2.45</v>
      </c>
      <c r="CR511" s="199" t="n">
        <v>3.55</v>
      </c>
      <c r="CS511" s="970" t="n">
        <v>0.7815</v>
      </c>
    </row>
    <row r="512">
      <c r="B512" s="204">
        <f>+C512-1</f>
        <v/>
      </c>
      <c r="C512" s="204">
        <f>IF('bands_A-H_Avg'!$D$9+1&gt;MONTH(G512),YEAR(G512),YEAR(G512)+1)</f>
        <v/>
      </c>
      <c r="D512" s="204">
        <f>+C512+1</f>
        <v/>
      </c>
      <c r="E512" s="203">
        <f>IF(C512&gt;C511,1,E511+1)</f>
        <v/>
      </c>
      <c r="F512" s="203">
        <f>COUNTIF(C:C,C512)</f>
        <v/>
      </c>
      <c r="G512" s="198">
        <f>+G511+7</f>
        <v/>
      </c>
      <c r="H512" s="361">
        <f>IF(ISBLANK(CO512),CP512,SUMPRODUCT(CO$32:CP$32,CO512:CP512))</f>
        <v/>
      </c>
      <c r="I512" s="968">
        <f>H512/M512</f>
        <v/>
      </c>
      <c r="J512" s="968">
        <f>H512/N512</f>
        <v/>
      </c>
      <c r="K512" s="968">
        <f>(H512+Q512)/O512</f>
        <v/>
      </c>
      <c r="L512" s="968">
        <f>(H512+Q512)/P512</f>
        <v/>
      </c>
      <c r="M512" s="199">
        <f>HLOOKUP(C:C,$4:$10,3,FALSE)+((HLOOKUP(D:D,$4:$10,3,FALSE)-HLOOKUP(C:C,$4:$10,3,FALSE))*E512/F512)</f>
        <v/>
      </c>
      <c r="N512" s="199">
        <f>HLOOKUP(C:C,$4:$10,2,FALSE)+((HLOOKUP(D:D,$4:$10,2,FALSE)-HLOOKUP(C:C,$4:$10,2,FALSE))*E512/F512)</f>
        <v/>
      </c>
      <c r="O512" s="199">
        <f>HLOOKUP(C:C,$4:$10,5,FALSE)+((HLOOKUP(D:D,$4:$10,5,FALSE)-HLOOKUP(C:C,$4:$10,5,FALSE))*E512/F512)</f>
        <v/>
      </c>
      <c r="P512" s="199">
        <f>HLOOKUP(C:C,$4:$10,4,FALSE)+((HLOOKUP(D:D,$4:$10,4,FALSE)-HLOOKUP(C:C,$4:$10,4,FALSE))*E512/F512)</f>
        <v/>
      </c>
      <c r="Q512" s="199">
        <f>HLOOKUP(B:B,$4:$10,6,FALSE)+((HLOOKUP(C:C,$4:$10,6,FALSE)-HLOOKUP(B:B,$4:$10,6,FALSE))*E512/F512)</f>
        <v/>
      </c>
      <c r="T512" s="198">
        <f>$G512</f>
        <v/>
      </c>
      <c r="U512" s="199">
        <f>H512/(HLOOKUP(B:B,$4:$10,3,FALSE)+((HLOOKUP(C:C,$4:$10,3,FALSE)-HLOOKUP(B:B,$4:$10,3,FALSE))*E512/F512))</f>
        <v/>
      </c>
      <c r="V512" s="969">
        <f>HLOOKUP(B:B,$4:$10,7,FALSE)+((HLOOKUP(C:C,$4:$10,7,FALSE)-HLOOKUP(B:B,$4:$10,7,FALSE))*E512/F512)</f>
        <v/>
      </c>
      <c r="AB512" s="198">
        <f>$G512</f>
        <v/>
      </c>
      <c r="AC512" s="199">
        <f>$H512</f>
        <v/>
      </c>
      <c r="AD512" s="199">
        <f>$M512*AD$34</f>
        <v/>
      </c>
      <c r="AE512" s="199">
        <f>$M512*AE$34</f>
        <v/>
      </c>
      <c r="AF512" s="199">
        <f>$M512*AF$34</f>
        <v/>
      </c>
      <c r="AG512" s="199">
        <f>$M512*AG$34</f>
        <v/>
      </c>
      <c r="AH512" s="199">
        <f>$M512*AH$34</f>
        <v/>
      </c>
      <c r="AJ512" s="198">
        <f>$G512</f>
        <v/>
      </c>
      <c r="AK512" s="199">
        <f>$H512</f>
        <v/>
      </c>
      <c r="AL512" s="199">
        <f>$N512*AL$34</f>
        <v/>
      </c>
      <c r="AM512" s="199">
        <f>$N512*AM$34</f>
        <v/>
      </c>
      <c r="AN512" s="199">
        <f>$N512*AN$34</f>
        <v/>
      </c>
      <c r="AO512" s="199">
        <f>$N512*AO$34</f>
        <v/>
      </c>
      <c r="AP512" s="199">
        <f>$N512*AP$34</f>
        <v/>
      </c>
      <c r="AR512" s="198">
        <f>$G512</f>
        <v/>
      </c>
      <c r="AS512" s="199">
        <f>$H512</f>
        <v/>
      </c>
      <c r="AT512" s="199">
        <f>$O512*AT$34-$Q512</f>
        <v/>
      </c>
      <c r="AU512" s="199">
        <f>$O512*AU$34-$Q512</f>
        <v/>
      </c>
      <c r="AV512" s="199">
        <f>$O512*AV$34-$Q512</f>
        <v/>
      </c>
      <c r="AW512" s="199">
        <f>$O512*AW$34-$Q512</f>
        <v/>
      </c>
      <c r="AX512" s="199">
        <f>$O512*AX$34-$Q512</f>
        <v/>
      </c>
      <c r="AZ512" s="198">
        <f>$G512</f>
        <v/>
      </c>
      <c r="BA512" s="199">
        <f>$H512</f>
        <v/>
      </c>
      <c r="BB512" s="199">
        <f>$P512*BB$34-$Q512</f>
        <v/>
      </c>
      <c r="BC512" s="199">
        <f>$P512*BC$34-$Q512</f>
        <v/>
      </c>
      <c r="BD512" s="199">
        <f>$P512*BD$34-$Q512</f>
        <v/>
      </c>
      <c r="BE512" s="199">
        <f>$P512*BE$34-$Q512</f>
        <v/>
      </c>
      <c r="BF512" s="199">
        <f>$P512*BF$34-$Q512</f>
        <v/>
      </c>
      <c r="BH512" s="198">
        <f>$G512</f>
        <v/>
      </c>
      <c r="BI512" s="197">
        <f>$I512</f>
        <v/>
      </c>
      <c r="BJ512" s="197">
        <f>+BJ513</f>
        <v/>
      </c>
      <c r="BK512" s="197">
        <f>+BK513</f>
        <v/>
      </c>
      <c r="BL512" s="197">
        <f>+BL513</f>
        <v/>
      </c>
      <c r="BM512" s="197">
        <f>+BM513</f>
        <v/>
      </c>
      <c r="BN512" s="197">
        <f>+BN513</f>
        <v/>
      </c>
      <c r="BP512" s="198">
        <f>$G512</f>
        <v/>
      </c>
      <c r="BQ512" s="197">
        <f>$J512</f>
        <v/>
      </c>
      <c r="BR512" s="197">
        <f>+BR513</f>
        <v/>
      </c>
      <c r="BS512" s="197">
        <f>+BS513</f>
        <v/>
      </c>
      <c r="BT512" s="197">
        <f>+BT513</f>
        <v/>
      </c>
      <c r="BU512" s="197">
        <f>+BU513</f>
        <v/>
      </c>
      <c r="BV512" s="197">
        <f>+BV513</f>
        <v/>
      </c>
      <c r="BX512" s="198">
        <f>$G512</f>
        <v/>
      </c>
      <c r="BY512" s="197">
        <f>$K512</f>
        <v/>
      </c>
      <c r="BZ512" s="197">
        <f>+BZ513</f>
        <v/>
      </c>
      <c r="CA512" s="197">
        <f>+CA513</f>
        <v/>
      </c>
      <c r="CB512" s="197">
        <f>+CB513</f>
        <v/>
      </c>
      <c r="CC512" s="197">
        <f>+CC513</f>
        <v/>
      </c>
      <c r="CD512" s="197">
        <f>+CD513</f>
        <v/>
      </c>
      <c r="CF512" s="198">
        <f>$G512</f>
        <v/>
      </c>
      <c r="CG512" s="197">
        <f>$L512</f>
        <v/>
      </c>
      <c r="CH512" s="197">
        <f>+CH513</f>
        <v/>
      </c>
      <c r="CI512" s="197">
        <f>+CI513</f>
        <v/>
      </c>
      <c r="CJ512" s="197">
        <f>+CJ513</f>
        <v/>
      </c>
      <c r="CK512" s="197">
        <f>+CK513</f>
        <v/>
      </c>
      <c r="CL512" s="197">
        <f>+CL513</f>
        <v/>
      </c>
      <c r="CO512" s="199" t="n">
        <v>4.716920834984468</v>
      </c>
      <c r="CP512" s="199" t="n">
        <v>2.49</v>
      </c>
      <c r="CR512" s="199" t="n">
        <v>3.69</v>
      </c>
      <c r="CS512" s="970" t="n">
        <v>0.78229</v>
      </c>
    </row>
    <row r="513">
      <c r="B513" s="204">
        <f>+C513-1</f>
        <v/>
      </c>
      <c r="C513" s="204">
        <f>IF('bands_A-H_Avg'!$D$9+1&gt;MONTH(G513),YEAR(G513),YEAR(G513)+1)</f>
        <v/>
      </c>
      <c r="D513" s="204">
        <f>+C513+1</f>
        <v/>
      </c>
      <c r="E513" s="203">
        <f>IF(C513&gt;C512,1,E512+1)</f>
        <v/>
      </c>
      <c r="F513" s="203">
        <f>COUNTIF(C:C,C513)</f>
        <v/>
      </c>
      <c r="G513" s="198">
        <f>+G512+7</f>
        <v/>
      </c>
      <c r="H513" s="361">
        <f>IF(ISBLANK(CO513),CP513,SUMPRODUCT(CO$32:CP$32,CO513:CP513))</f>
        <v/>
      </c>
      <c r="I513" s="968">
        <f>H513/M513</f>
        <v/>
      </c>
      <c r="J513" s="968">
        <f>H513/N513</f>
        <v/>
      </c>
      <c r="K513" s="968">
        <f>(H513+Q513)/O513</f>
        <v/>
      </c>
      <c r="L513" s="968">
        <f>(H513+Q513)/P513</f>
        <v/>
      </c>
      <c r="M513" s="199">
        <f>HLOOKUP(C:C,$4:$10,3,FALSE)+((HLOOKUP(D:D,$4:$10,3,FALSE)-HLOOKUP(C:C,$4:$10,3,FALSE))*E513/F513)</f>
        <v/>
      </c>
      <c r="N513" s="199">
        <f>HLOOKUP(C:C,$4:$10,2,FALSE)+((HLOOKUP(D:D,$4:$10,2,FALSE)-HLOOKUP(C:C,$4:$10,2,FALSE))*E513/F513)</f>
        <v/>
      </c>
      <c r="O513" s="199">
        <f>HLOOKUP(C:C,$4:$10,5,FALSE)+((HLOOKUP(D:D,$4:$10,5,FALSE)-HLOOKUP(C:C,$4:$10,5,FALSE))*E513/F513)</f>
        <v/>
      </c>
      <c r="P513" s="199">
        <f>HLOOKUP(C:C,$4:$10,4,FALSE)+((HLOOKUP(D:D,$4:$10,4,FALSE)-HLOOKUP(C:C,$4:$10,4,FALSE))*E513/F513)</f>
        <v/>
      </c>
      <c r="Q513" s="199">
        <f>HLOOKUP(B:B,$4:$10,6,FALSE)+((HLOOKUP(C:C,$4:$10,6,FALSE)-HLOOKUP(B:B,$4:$10,6,FALSE))*E513/F513)</f>
        <v/>
      </c>
      <c r="T513" s="198">
        <f>$G513</f>
        <v/>
      </c>
      <c r="U513" s="199">
        <f>H513/(HLOOKUP(B:B,$4:$10,3,FALSE)+((HLOOKUP(C:C,$4:$10,3,FALSE)-HLOOKUP(B:B,$4:$10,3,FALSE))*E513/F513))</f>
        <v/>
      </c>
      <c r="V513" s="969">
        <f>HLOOKUP(B:B,$4:$10,7,FALSE)+((HLOOKUP(C:C,$4:$10,7,FALSE)-HLOOKUP(B:B,$4:$10,7,FALSE))*E513/F513)</f>
        <v/>
      </c>
      <c r="AB513" s="198">
        <f>$G513</f>
        <v/>
      </c>
      <c r="AC513" s="199">
        <f>$H513</f>
        <v/>
      </c>
      <c r="AD513" s="199">
        <f>$M513*AD$34</f>
        <v/>
      </c>
      <c r="AE513" s="199">
        <f>$M513*AE$34</f>
        <v/>
      </c>
      <c r="AF513" s="199">
        <f>$M513*AF$34</f>
        <v/>
      </c>
      <c r="AG513" s="199">
        <f>$M513*AG$34</f>
        <v/>
      </c>
      <c r="AH513" s="199">
        <f>$M513*AH$34</f>
        <v/>
      </c>
      <c r="AJ513" s="198">
        <f>$G513</f>
        <v/>
      </c>
      <c r="AK513" s="199">
        <f>$H513</f>
        <v/>
      </c>
      <c r="AL513" s="199">
        <f>$N513*AL$34</f>
        <v/>
      </c>
      <c r="AM513" s="199">
        <f>$N513*AM$34</f>
        <v/>
      </c>
      <c r="AN513" s="199">
        <f>$N513*AN$34</f>
        <v/>
      </c>
      <c r="AO513" s="199">
        <f>$N513*AO$34</f>
        <v/>
      </c>
      <c r="AP513" s="199">
        <f>$N513*AP$34</f>
        <v/>
      </c>
      <c r="AR513" s="198">
        <f>$G513</f>
        <v/>
      </c>
      <c r="AS513" s="199">
        <f>$H513</f>
        <v/>
      </c>
      <c r="AT513" s="199">
        <f>$O513*AT$34-$Q513</f>
        <v/>
      </c>
      <c r="AU513" s="199">
        <f>$O513*AU$34-$Q513</f>
        <v/>
      </c>
      <c r="AV513" s="199">
        <f>$O513*AV$34-$Q513</f>
        <v/>
      </c>
      <c r="AW513" s="199">
        <f>$O513*AW$34-$Q513</f>
        <v/>
      </c>
      <c r="AX513" s="199">
        <f>$O513*AX$34-$Q513</f>
        <v/>
      </c>
      <c r="AZ513" s="198">
        <f>$G513</f>
        <v/>
      </c>
      <c r="BA513" s="199">
        <f>$H513</f>
        <v/>
      </c>
      <c r="BB513" s="199">
        <f>$P513*BB$34-$Q513</f>
        <v/>
      </c>
      <c r="BC513" s="199">
        <f>$P513*BC$34-$Q513</f>
        <v/>
      </c>
      <c r="BD513" s="199">
        <f>$P513*BD$34-$Q513</f>
        <v/>
      </c>
      <c r="BE513" s="199">
        <f>$P513*BE$34-$Q513</f>
        <v/>
      </c>
      <c r="BF513" s="199">
        <f>$P513*BF$34-$Q513</f>
        <v/>
      </c>
      <c r="BH513" s="198">
        <f>$G513</f>
        <v/>
      </c>
      <c r="BI513" s="197">
        <f>$I513</f>
        <v/>
      </c>
      <c r="BJ513" s="197">
        <f>+BJ514</f>
        <v/>
      </c>
      <c r="BK513" s="197">
        <f>+BK514</f>
        <v/>
      </c>
      <c r="BL513" s="197">
        <f>+BL514</f>
        <v/>
      </c>
      <c r="BM513" s="197">
        <f>+BM514</f>
        <v/>
      </c>
      <c r="BN513" s="197">
        <f>+BN514</f>
        <v/>
      </c>
      <c r="BP513" s="198">
        <f>$G513</f>
        <v/>
      </c>
      <c r="BQ513" s="197">
        <f>$J513</f>
        <v/>
      </c>
      <c r="BR513" s="197">
        <f>+BR514</f>
        <v/>
      </c>
      <c r="BS513" s="197">
        <f>+BS514</f>
        <v/>
      </c>
      <c r="BT513" s="197">
        <f>+BT514</f>
        <v/>
      </c>
      <c r="BU513" s="197">
        <f>+BU514</f>
        <v/>
      </c>
      <c r="BV513" s="197">
        <f>+BV514</f>
        <v/>
      </c>
      <c r="BX513" s="198">
        <f>$G513</f>
        <v/>
      </c>
      <c r="BY513" s="197">
        <f>$K513</f>
        <v/>
      </c>
      <c r="BZ513" s="197">
        <f>+BZ514</f>
        <v/>
      </c>
      <c r="CA513" s="197">
        <f>+CA514</f>
        <v/>
      </c>
      <c r="CB513" s="197">
        <f>+CB514</f>
        <v/>
      </c>
      <c r="CC513" s="197">
        <f>+CC514</f>
        <v/>
      </c>
      <c r="CD513" s="197">
        <f>+CD514</f>
        <v/>
      </c>
      <c r="CF513" s="198">
        <f>$G513</f>
        <v/>
      </c>
      <c r="CG513" s="197">
        <f>$L513</f>
        <v/>
      </c>
      <c r="CH513" s="197">
        <f>+CH514</f>
        <v/>
      </c>
      <c r="CI513" s="197">
        <f>+CI514</f>
        <v/>
      </c>
      <c r="CJ513" s="197">
        <f>+CJ514</f>
        <v/>
      </c>
      <c r="CK513" s="197">
        <f>+CK514</f>
        <v/>
      </c>
      <c r="CL513" s="197">
        <f>+CL514</f>
        <v/>
      </c>
      <c r="CO513" s="199" t="n">
        <v>4.672540232226522</v>
      </c>
      <c r="CP513" s="199" t="n">
        <v>2.56</v>
      </c>
      <c r="CR513" s="199" t="n">
        <v>3.67</v>
      </c>
      <c r="CS513" s="970" t="n">
        <v>0.78544</v>
      </c>
    </row>
    <row r="514">
      <c r="B514" s="204">
        <f>+C514-1</f>
        <v/>
      </c>
      <c r="C514" s="204">
        <f>IF('bands_A-H_Avg'!$D$9+1&gt;MONTH(G514),YEAR(G514),YEAR(G514)+1)</f>
        <v/>
      </c>
      <c r="D514" s="204">
        <f>+C514+1</f>
        <v/>
      </c>
      <c r="E514" s="203">
        <f>IF(C514&gt;C513,1,E513+1)</f>
        <v/>
      </c>
      <c r="F514" s="203">
        <f>COUNTIF(C:C,C514)</f>
        <v/>
      </c>
      <c r="G514" s="198">
        <f>+G513+7</f>
        <v/>
      </c>
      <c r="H514" s="361">
        <f>IF(ISBLANK(CO514),CP514,SUMPRODUCT(CO$32:CP$32,CO514:CP514))</f>
        <v/>
      </c>
      <c r="I514" s="968">
        <f>H514/M514</f>
        <v/>
      </c>
      <c r="J514" s="968">
        <f>H514/N514</f>
        <v/>
      </c>
      <c r="K514" s="968">
        <f>(H514+Q514)/O514</f>
        <v/>
      </c>
      <c r="L514" s="968">
        <f>(H514+Q514)/P514</f>
        <v/>
      </c>
      <c r="M514" s="199">
        <f>HLOOKUP(C:C,$4:$10,3,FALSE)+((HLOOKUP(D:D,$4:$10,3,FALSE)-HLOOKUP(C:C,$4:$10,3,FALSE))*E514/F514)</f>
        <v/>
      </c>
      <c r="N514" s="199">
        <f>HLOOKUP(C:C,$4:$10,2,FALSE)+((HLOOKUP(D:D,$4:$10,2,FALSE)-HLOOKUP(C:C,$4:$10,2,FALSE))*E514/F514)</f>
        <v/>
      </c>
      <c r="O514" s="199">
        <f>HLOOKUP(C:C,$4:$10,5,FALSE)+((HLOOKUP(D:D,$4:$10,5,FALSE)-HLOOKUP(C:C,$4:$10,5,FALSE))*E514/F514)</f>
        <v/>
      </c>
      <c r="P514" s="199">
        <f>HLOOKUP(C:C,$4:$10,4,FALSE)+((HLOOKUP(D:D,$4:$10,4,FALSE)-HLOOKUP(C:C,$4:$10,4,FALSE))*E514/F514)</f>
        <v/>
      </c>
      <c r="Q514" s="199">
        <f>HLOOKUP(B:B,$4:$10,6,FALSE)+((HLOOKUP(C:C,$4:$10,6,FALSE)-HLOOKUP(B:B,$4:$10,6,FALSE))*E514/F514)</f>
        <v/>
      </c>
      <c r="T514" s="198">
        <f>$G514</f>
        <v/>
      </c>
      <c r="U514" s="199">
        <f>H514/(HLOOKUP(B:B,$4:$10,3,FALSE)+((HLOOKUP(C:C,$4:$10,3,FALSE)-HLOOKUP(B:B,$4:$10,3,FALSE))*E514/F514))</f>
        <v/>
      </c>
      <c r="V514" s="969">
        <f>HLOOKUP(B:B,$4:$10,7,FALSE)+((HLOOKUP(C:C,$4:$10,7,FALSE)-HLOOKUP(B:B,$4:$10,7,FALSE))*E514/F514)</f>
        <v/>
      </c>
      <c r="AB514" s="198">
        <f>$G514</f>
        <v/>
      </c>
      <c r="AC514" s="199">
        <f>$H514</f>
        <v/>
      </c>
      <c r="AD514" s="199">
        <f>$M514*AD$34</f>
        <v/>
      </c>
      <c r="AE514" s="199">
        <f>$M514*AE$34</f>
        <v/>
      </c>
      <c r="AF514" s="199">
        <f>$M514*AF$34</f>
        <v/>
      </c>
      <c r="AG514" s="199">
        <f>$M514*AG$34</f>
        <v/>
      </c>
      <c r="AH514" s="199">
        <f>$M514*AH$34</f>
        <v/>
      </c>
      <c r="AJ514" s="198">
        <f>$G514</f>
        <v/>
      </c>
      <c r="AK514" s="199">
        <f>$H514</f>
        <v/>
      </c>
      <c r="AL514" s="199">
        <f>$N514*AL$34</f>
        <v/>
      </c>
      <c r="AM514" s="199">
        <f>$N514*AM$34</f>
        <v/>
      </c>
      <c r="AN514" s="199">
        <f>$N514*AN$34</f>
        <v/>
      </c>
      <c r="AO514" s="199">
        <f>$N514*AO$34</f>
        <v/>
      </c>
      <c r="AP514" s="199">
        <f>$N514*AP$34</f>
        <v/>
      </c>
      <c r="AR514" s="198">
        <f>$G514</f>
        <v/>
      </c>
      <c r="AS514" s="199">
        <f>$H514</f>
        <v/>
      </c>
      <c r="AT514" s="199">
        <f>$O514*AT$34-$Q514</f>
        <v/>
      </c>
      <c r="AU514" s="199">
        <f>$O514*AU$34-$Q514</f>
        <v/>
      </c>
      <c r="AV514" s="199">
        <f>$O514*AV$34-$Q514</f>
        <v/>
      </c>
      <c r="AW514" s="199">
        <f>$O514*AW$34-$Q514</f>
        <v/>
      </c>
      <c r="AX514" s="199">
        <f>$O514*AX$34-$Q514</f>
        <v/>
      </c>
      <c r="AZ514" s="198">
        <f>$G514</f>
        <v/>
      </c>
      <c r="BA514" s="199">
        <f>$H514</f>
        <v/>
      </c>
      <c r="BB514" s="199">
        <f>$P514*BB$34-$Q514</f>
        <v/>
      </c>
      <c r="BC514" s="199">
        <f>$P514*BC$34-$Q514</f>
        <v/>
      </c>
      <c r="BD514" s="199">
        <f>$P514*BD$34-$Q514</f>
        <v/>
      </c>
      <c r="BE514" s="199">
        <f>$P514*BE$34-$Q514</f>
        <v/>
      </c>
      <c r="BF514" s="199">
        <f>$P514*BF$34-$Q514</f>
        <v/>
      </c>
      <c r="BH514" s="198">
        <f>$G514</f>
        <v/>
      </c>
      <c r="BI514" s="197">
        <f>$I514</f>
        <v/>
      </c>
      <c r="BJ514" s="197">
        <f>+BJ515</f>
        <v/>
      </c>
      <c r="BK514" s="197">
        <f>+BK515</f>
        <v/>
      </c>
      <c r="BL514" s="197">
        <f>+BL515</f>
        <v/>
      </c>
      <c r="BM514" s="197">
        <f>+BM515</f>
        <v/>
      </c>
      <c r="BN514" s="197">
        <f>+BN515</f>
        <v/>
      </c>
      <c r="BP514" s="198">
        <f>$G514</f>
        <v/>
      </c>
      <c r="BQ514" s="197">
        <f>$J514</f>
        <v/>
      </c>
      <c r="BR514" s="197">
        <f>+BR515</f>
        <v/>
      </c>
      <c r="BS514" s="197">
        <f>+BS515</f>
        <v/>
      </c>
      <c r="BT514" s="197">
        <f>+BT515</f>
        <v/>
      </c>
      <c r="BU514" s="197">
        <f>+BU515</f>
        <v/>
      </c>
      <c r="BV514" s="197">
        <f>+BV515</f>
        <v/>
      </c>
      <c r="BX514" s="198">
        <f>$G514</f>
        <v/>
      </c>
      <c r="BY514" s="197">
        <f>$K514</f>
        <v/>
      </c>
      <c r="BZ514" s="197">
        <f>+BZ515</f>
        <v/>
      </c>
      <c r="CA514" s="197">
        <f>+CA515</f>
        <v/>
      </c>
      <c r="CB514" s="197">
        <f>+CB515</f>
        <v/>
      </c>
      <c r="CC514" s="197">
        <f>+CC515</f>
        <v/>
      </c>
      <c r="CD514" s="197">
        <f>+CD515</f>
        <v/>
      </c>
      <c r="CF514" s="198">
        <f>$G514</f>
        <v/>
      </c>
      <c r="CG514" s="197">
        <f>$L514</f>
        <v/>
      </c>
      <c r="CH514" s="197">
        <f>+CH515</f>
        <v/>
      </c>
      <c r="CI514" s="197">
        <f>+CI515</f>
        <v/>
      </c>
      <c r="CJ514" s="197">
        <f>+CJ515</f>
        <v/>
      </c>
      <c r="CK514" s="197">
        <f>+CK515</f>
        <v/>
      </c>
      <c r="CL514" s="197">
        <f>+CL515</f>
        <v/>
      </c>
      <c r="CO514" s="199" t="n">
        <v>4.721804890981858</v>
      </c>
      <c r="CP514" s="199" t="n">
        <v>2.65</v>
      </c>
      <c r="CR514" s="199" t="n">
        <v>3.74</v>
      </c>
      <c r="CS514" s="970" t="n">
        <v>0.7920700000000001</v>
      </c>
    </row>
    <row r="515">
      <c r="B515" s="204">
        <f>+C515-1</f>
        <v/>
      </c>
      <c r="C515" s="204">
        <f>IF('bands_A-H_Avg'!$D$9+1&gt;MONTH(G515),YEAR(G515),YEAR(G515)+1)</f>
        <v/>
      </c>
      <c r="D515" s="204">
        <f>+C515+1</f>
        <v/>
      </c>
      <c r="E515" s="203">
        <f>IF(C515&gt;C514,1,E514+1)</f>
        <v/>
      </c>
      <c r="F515" s="203">
        <f>COUNTIF(C:C,C515)</f>
        <v/>
      </c>
      <c r="G515" s="198">
        <f>+G514+7</f>
        <v/>
      </c>
      <c r="H515" s="361">
        <f>IF(ISBLANK(CO515),CP515,SUMPRODUCT(CO$32:CP$32,CO515:CP515))</f>
        <v/>
      </c>
      <c r="I515" s="968">
        <f>H515/M515</f>
        <v/>
      </c>
      <c r="J515" s="968">
        <f>H515/N515</f>
        <v/>
      </c>
      <c r="K515" s="968">
        <f>(H515+Q515)/O515</f>
        <v/>
      </c>
      <c r="L515" s="968">
        <f>(H515+Q515)/P515</f>
        <v/>
      </c>
      <c r="M515" s="199">
        <f>HLOOKUP(C:C,$4:$10,3,FALSE)+((HLOOKUP(D:D,$4:$10,3,FALSE)-HLOOKUP(C:C,$4:$10,3,FALSE))*E515/F515)</f>
        <v/>
      </c>
      <c r="N515" s="199">
        <f>HLOOKUP(C:C,$4:$10,2,FALSE)+((HLOOKUP(D:D,$4:$10,2,FALSE)-HLOOKUP(C:C,$4:$10,2,FALSE))*E515/F515)</f>
        <v/>
      </c>
      <c r="O515" s="199">
        <f>HLOOKUP(C:C,$4:$10,5,FALSE)+((HLOOKUP(D:D,$4:$10,5,FALSE)-HLOOKUP(C:C,$4:$10,5,FALSE))*E515/F515)</f>
        <v/>
      </c>
      <c r="P515" s="199">
        <f>HLOOKUP(C:C,$4:$10,4,FALSE)+((HLOOKUP(D:D,$4:$10,4,FALSE)-HLOOKUP(C:C,$4:$10,4,FALSE))*E515/F515)</f>
        <v/>
      </c>
      <c r="Q515" s="199">
        <f>HLOOKUP(B:B,$4:$10,6,FALSE)+((HLOOKUP(C:C,$4:$10,6,FALSE)-HLOOKUP(B:B,$4:$10,6,FALSE))*E515/F515)</f>
        <v/>
      </c>
      <c r="T515" s="198">
        <f>$G515</f>
        <v/>
      </c>
      <c r="U515" s="199">
        <f>H515/(HLOOKUP(B:B,$4:$10,3,FALSE)+((HLOOKUP(C:C,$4:$10,3,FALSE)-HLOOKUP(B:B,$4:$10,3,FALSE))*E515/F515))</f>
        <v/>
      </c>
      <c r="V515" s="969">
        <f>HLOOKUP(B:B,$4:$10,7,FALSE)+((HLOOKUP(C:C,$4:$10,7,FALSE)-HLOOKUP(B:B,$4:$10,7,FALSE))*E515/F515)</f>
        <v/>
      </c>
      <c r="AB515" s="198">
        <f>$G515</f>
        <v/>
      </c>
      <c r="AC515" s="199">
        <f>$H515</f>
        <v/>
      </c>
      <c r="AD515" s="199">
        <f>$M515*AD$34</f>
        <v/>
      </c>
      <c r="AE515" s="199">
        <f>$M515*AE$34</f>
        <v/>
      </c>
      <c r="AF515" s="199">
        <f>$M515*AF$34</f>
        <v/>
      </c>
      <c r="AG515" s="199">
        <f>$M515*AG$34</f>
        <v/>
      </c>
      <c r="AH515" s="199">
        <f>$M515*AH$34</f>
        <v/>
      </c>
      <c r="AJ515" s="198">
        <f>$G515</f>
        <v/>
      </c>
      <c r="AK515" s="199">
        <f>$H515</f>
        <v/>
      </c>
      <c r="AL515" s="199">
        <f>$N515*AL$34</f>
        <v/>
      </c>
      <c r="AM515" s="199">
        <f>$N515*AM$34</f>
        <v/>
      </c>
      <c r="AN515" s="199">
        <f>$N515*AN$34</f>
        <v/>
      </c>
      <c r="AO515" s="199">
        <f>$N515*AO$34</f>
        <v/>
      </c>
      <c r="AP515" s="199">
        <f>$N515*AP$34</f>
        <v/>
      </c>
      <c r="AR515" s="198">
        <f>$G515</f>
        <v/>
      </c>
      <c r="AS515" s="199">
        <f>$H515</f>
        <v/>
      </c>
      <c r="AT515" s="199">
        <f>$O515*AT$34-$Q515</f>
        <v/>
      </c>
      <c r="AU515" s="199">
        <f>$O515*AU$34-$Q515</f>
        <v/>
      </c>
      <c r="AV515" s="199">
        <f>$O515*AV$34-$Q515</f>
        <v/>
      </c>
      <c r="AW515" s="199">
        <f>$O515*AW$34-$Q515</f>
        <v/>
      </c>
      <c r="AX515" s="199">
        <f>$O515*AX$34-$Q515</f>
        <v/>
      </c>
      <c r="AZ515" s="198">
        <f>$G515</f>
        <v/>
      </c>
      <c r="BA515" s="199">
        <f>$H515</f>
        <v/>
      </c>
      <c r="BB515" s="199">
        <f>$P515*BB$34-$Q515</f>
        <v/>
      </c>
      <c r="BC515" s="199">
        <f>$P515*BC$34-$Q515</f>
        <v/>
      </c>
      <c r="BD515" s="199">
        <f>$P515*BD$34-$Q515</f>
        <v/>
      </c>
      <c r="BE515" s="199">
        <f>$P515*BE$34-$Q515</f>
        <v/>
      </c>
      <c r="BF515" s="199">
        <f>$P515*BF$34-$Q515</f>
        <v/>
      </c>
      <c r="BH515" s="198">
        <f>$G515</f>
        <v/>
      </c>
      <c r="BI515" s="197">
        <f>$I515</f>
        <v/>
      </c>
      <c r="BJ515" s="197">
        <f>+BJ516</f>
        <v/>
      </c>
      <c r="BK515" s="197">
        <f>+BK516</f>
        <v/>
      </c>
      <c r="BL515" s="197">
        <f>+BL516</f>
        <v/>
      </c>
      <c r="BM515" s="197">
        <f>+BM516</f>
        <v/>
      </c>
      <c r="BN515" s="197">
        <f>+BN516</f>
        <v/>
      </c>
      <c r="BP515" s="198">
        <f>$G515</f>
        <v/>
      </c>
      <c r="BQ515" s="197">
        <f>$J515</f>
        <v/>
      </c>
      <c r="BR515" s="197">
        <f>+BR516</f>
        <v/>
      </c>
      <c r="BS515" s="197">
        <f>+BS516</f>
        <v/>
      </c>
      <c r="BT515" s="197">
        <f>+BT516</f>
        <v/>
      </c>
      <c r="BU515" s="197">
        <f>+BU516</f>
        <v/>
      </c>
      <c r="BV515" s="197">
        <f>+BV516</f>
        <v/>
      </c>
      <c r="BX515" s="198">
        <f>$G515</f>
        <v/>
      </c>
      <c r="BY515" s="197">
        <f>$K515</f>
        <v/>
      </c>
      <c r="BZ515" s="197">
        <f>+BZ516</f>
        <v/>
      </c>
      <c r="CA515" s="197">
        <f>+CA516</f>
        <v/>
      </c>
      <c r="CB515" s="197">
        <f>+CB516</f>
        <v/>
      </c>
      <c r="CC515" s="197">
        <f>+CC516</f>
        <v/>
      </c>
      <c r="CD515" s="197">
        <f>+CD516</f>
        <v/>
      </c>
      <c r="CF515" s="198">
        <f>$G515</f>
        <v/>
      </c>
      <c r="CG515" s="197">
        <f>$L515</f>
        <v/>
      </c>
      <c r="CH515" s="197">
        <f>+CH516</f>
        <v/>
      </c>
      <c r="CI515" s="197">
        <f>+CI516</f>
        <v/>
      </c>
      <c r="CJ515" s="197">
        <f>+CJ516</f>
        <v/>
      </c>
      <c r="CK515" s="197">
        <f>+CK516</f>
        <v/>
      </c>
      <c r="CL515" s="197">
        <f>+CL516</f>
        <v/>
      </c>
      <c r="CO515" s="199" t="n">
        <v>4.852216436724818</v>
      </c>
      <c r="CP515" s="199" t="n">
        <v>2.86</v>
      </c>
      <c r="CR515" s="199" t="n">
        <v>3.83</v>
      </c>
      <c r="CS515" s="970" t="n">
        <v>0.78933</v>
      </c>
    </row>
    <row r="516">
      <c r="B516" s="204">
        <f>+C516-1</f>
        <v/>
      </c>
      <c r="C516" s="204">
        <f>IF('bands_A-H_Avg'!$D$9+1&gt;MONTH(G516),YEAR(G516),YEAR(G516)+1)</f>
        <v/>
      </c>
      <c r="D516" s="204">
        <f>+C516+1</f>
        <v/>
      </c>
      <c r="E516" s="203">
        <f>IF(C516&gt;C515,1,E515+1)</f>
        <v/>
      </c>
      <c r="F516" s="203">
        <f>COUNTIF(C:C,C516)</f>
        <v/>
      </c>
      <c r="G516" s="198">
        <f>+G515+7</f>
        <v/>
      </c>
      <c r="H516" s="361">
        <f>IF(ISBLANK(CO516),CP516,SUMPRODUCT(CO$32:CP$32,CO516:CP516))</f>
        <v/>
      </c>
      <c r="I516" s="968">
        <f>H516/M516</f>
        <v/>
      </c>
      <c r="J516" s="968">
        <f>H516/N516</f>
        <v/>
      </c>
      <c r="K516" s="968">
        <f>(H516+Q516)/O516</f>
        <v/>
      </c>
      <c r="L516" s="968">
        <f>(H516+Q516)/P516</f>
        <v/>
      </c>
      <c r="M516" s="199">
        <f>HLOOKUP(C:C,$4:$10,3,FALSE)+((HLOOKUP(D:D,$4:$10,3,FALSE)-HLOOKUP(C:C,$4:$10,3,FALSE))*E516/F516)</f>
        <v/>
      </c>
      <c r="N516" s="199">
        <f>HLOOKUP(C:C,$4:$10,2,FALSE)+((HLOOKUP(D:D,$4:$10,2,FALSE)-HLOOKUP(C:C,$4:$10,2,FALSE))*E516/F516)</f>
        <v/>
      </c>
      <c r="O516" s="199">
        <f>HLOOKUP(C:C,$4:$10,5,FALSE)+((HLOOKUP(D:D,$4:$10,5,FALSE)-HLOOKUP(C:C,$4:$10,5,FALSE))*E516/F516)</f>
        <v/>
      </c>
      <c r="P516" s="199">
        <f>HLOOKUP(C:C,$4:$10,4,FALSE)+((HLOOKUP(D:D,$4:$10,4,FALSE)-HLOOKUP(C:C,$4:$10,4,FALSE))*E516/F516)</f>
        <v/>
      </c>
      <c r="Q516" s="199">
        <f>HLOOKUP(B:B,$4:$10,6,FALSE)+((HLOOKUP(C:C,$4:$10,6,FALSE)-HLOOKUP(B:B,$4:$10,6,FALSE))*E516/F516)</f>
        <v/>
      </c>
      <c r="T516" s="198">
        <f>$G516</f>
        <v/>
      </c>
      <c r="U516" s="199">
        <f>H516/(HLOOKUP(B:B,$4:$10,3,FALSE)+((HLOOKUP(C:C,$4:$10,3,FALSE)-HLOOKUP(B:B,$4:$10,3,FALSE))*E516/F516))</f>
        <v/>
      </c>
      <c r="V516" s="969">
        <f>HLOOKUP(B:B,$4:$10,7,FALSE)+((HLOOKUP(C:C,$4:$10,7,FALSE)-HLOOKUP(B:B,$4:$10,7,FALSE))*E516/F516)</f>
        <v/>
      </c>
      <c r="AB516" s="198">
        <f>$G516</f>
        <v/>
      </c>
      <c r="AC516" s="199">
        <f>$H516</f>
        <v/>
      </c>
      <c r="AD516" s="199">
        <f>$M516*AD$34</f>
        <v/>
      </c>
      <c r="AE516" s="199">
        <f>$M516*AE$34</f>
        <v/>
      </c>
      <c r="AF516" s="199">
        <f>$M516*AF$34</f>
        <v/>
      </c>
      <c r="AG516" s="199">
        <f>$M516*AG$34</f>
        <v/>
      </c>
      <c r="AH516" s="199">
        <f>$M516*AH$34</f>
        <v/>
      </c>
      <c r="AJ516" s="198">
        <f>$G516</f>
        <v/>
      </c>
      <c r="AK516" s="199">
        <f>$H516</f>
        <v/>
      </c>
      <c r="AL516" s="199">
        <f>$N516*AL$34</f>
        <v/>
      </c>
      <c r="AM516" s="199">
        <f>$N516*AM$34</f>
        <v/>
      </c>
      <c r="AN516" s="199">
        <f>$N516*AN$34</f>
        <v/>
      </c>
      <c r="AO516" s="199">
        <f>$N516*AO$34</f>
        <v/>
      </c>
      <c r="AP516" s="199">
        <f>$N516*AP$34</f>
        <v/>
      </c>
      <c r="AR516" s="198">
        <f>$G516</f>
        <v/>
      </c>
      <c r="AS516" s="199">
        <f>$H516</f>
        <v/>
      </c>
      <c r="AT516" s="199">
        <f>$O516*AT$34-$Q516</f>
        <v/>
      </c>
      <c r="AU516" s="199">
        <f>$O516*AU$34-$Q516</f>
        <v/>
      </c>
      <c r="AV516" s="199">
        <f>$O516*AV$34-$Q516</f>
        <v/>
      </c>
      <c r="AW516" s="199">
        <f>$O516*AW$34-$Q516</f>
        <v/>
      </c>
      <c r="AX516" s="199">
        <f>$O516*AX$34-$Q516</f>
        <v/>
      </c>
      <c r="AZ516" s="198">
        <f>$G516</f>
        <v/>
      </c>
      <c r="BA516" s="199">
        <f>$H516</f>
        <v/>
      </c>
      <c r="BB516" s="199">
        <f>$P516*BB$34-$Q516</f>
        <v/>
      </c>
      <c r="BC516" s="199">
        <f>$P516*BC$34-$Q516</f>
        <v/>
      </c>
      <c r="BD516" s="199">
        <f>$P516*BD$34-$Q516</f>
        <v/>
      </c>
      <c r="BE516" s="199">
        <f>$P516*BE$34-$Q516</f>
        <v/>
      </c>
      <c r="BF516" s="199">
        <f>$P516*BF$34-$Q516</f>
        <v/>
      </c>
      <c r="BH516" s="198">
        <f>$G516</f>
        <v/>
      </c>
      <c r="BI516" s="197">
        <f>$I516</f>
        <v/>
      </c>
      <c r="BJ516" s="197">
        <f>+BJ517</f>
        <v/>
      </c>
      <c r="BK516" s="197">
        <f>+BK517</f>
        <v/>
      </c>
      <c r="BL516" s="197">
        <f>+BL517</f>
        <v/>
      </c>
      <c r="BM516" s="197">
        <f>+BM517</f>
        <v/>
      </c>
      <c r="BN516" s="197">
        <f>+BN517</f>
        <v/>
      </c>
      <c r="BP516" s="198">
        <f>$G516</f>
        <v/>
      </c>
      <c r="BQ516" s="197">
        <f>$J516</f>
        <v/>
      </c>
      <c r="BR516" s="197">
        <f>+BR517</f>
        <v/>
      </c>
      <c r="BS516" s="197">
        <f>+BS517</f>
        <v/>
      </c>
      <c r="BT516" s="197">
        <f>+BT517</f>
        <v/>
      </c>
      <c r="BU516" s="197">
        <f>+BU517</f>
        <v/>
      </c>
      <c r="BV516" s="197">
        <f>+BV517</f>
        <v/>
      </c>
      <c r="BX516" s="198">
        <f>$G516</f>
        <v/>
      </c>
      <c r="BY516" s="197">
        <f>$K516</f>
        <v/>
      </c>
      <c r="BZ516" s="197">
        <f>+BZ517</f>
        <v/>
      </c>
      <c r="CA516" s="197">
        <f>+CA517</f>
        <v/>
      </c>
      <c r="CB516" s="197">
        <f>+CB517</f>
        <v/>
      </c>
      <c r="CC516" s="197">
        <f>+CC517</f>
        <v/>
      </c>
      <c r="CD516" s="197">
        <f>+CD517</f>
        <v/>
      </c>
      <c r="CF516" s="198">
        <f>$G516</f>
        <v/>
      </c>
      <c r="CG516" s="197">
        <f>$L516</f>
        <v/>
      </c>
      <c r="CH516" s="197">
        <f>+CH517</f>
        <v/>
      </c>
      <c r="CI516" s="197">
        <f>+CI517</f>
        <v/>
      </c>
      <c r="CJ516" s="197">
        <f>+CJ517</f>
        <v/>
      </c>
      <c r="CK516" s="197">
        <f>+CK517</f>
        <v/>
      </c>
      <c r="CL516" s="197">
        <f>+CL517</f>
        <v/>
      </c>
      <c r="CO516" s="199" t="n">
        <v>4.811638861876918</v>
      </c>
      <c r="CP516" s="199" t="n">
        <v>2.8</v>
      </c>
      <c r="CR516" s="199" t="n">
        <v>3.81</v>
      </c>
      <c r="CS516" s="970" t="n">
        <v>0.79183</v>
      </c>
    </row>
    <row r="517">
      <c r="B517" s="204">
        <f>+C517-1</f>
        <v/>
      </c>
      <c r="C517" s="204">
        <f>IF('bands_A-H_Avg'!$D$9+1&gt;MONTH(G517),YEAR(G517),YEAR(G517)+1)</f>
        <v/>
      </c>
      <c r="D517" s="204">
        <f>+C517+1</f>
        <v/>
      </c>
      <c r="E517" s="203">
        <f>IF(C517&gt;C516,1,E516+1)</f>
        <v/>
      </c>
      <c r="F517" s="203">
        <f>COUNTIF(C:C,C517)</f>
        <v/>
      </c>
      <c r="G517" s="198">
        <f>+G516+7</f>
        <v/>
      </c>
      <c r="H517" s="361">
        <f>IF(ISBLANK(CO517),CP517,SUMPRODUCT(CO$32:CP$32,CO517:CP517))</f>
        <v/>
      </c>
      <c r="I517" s="968">
        <f>H517/M517</f>
        <v/>
      </c>
      <c r="J517" s="968">
        <f>H517/N517</f>
        <v/>
      </c>
      <c r="K517" s="968">
        <f>(H517+Q517)/O517</f>
        <v/>
      </c>
      <c r="L517" s="968">
        <f>(H517+Q517)/P517</f>
        <v/>
      </c>
      <c r="M517" s="199">
        <f>HLOOKUP(C:C,$4:$10,3,FALSE)+((HLOOKUP(D:D,$4:$10,3,FALSE)-HLOOKUP(C:C,$4:$10,3,FALSE))*E517/F517)</f>
        <v/>
      </c>
      <c r="N517" s="199">
        <f>HLOOKUP(C:C,$4:$10,2,FALSE)+((HLOOKUP(D:D,$4:$10,2,FALSE)-HLOOKUP(C:C,$4:$10,2,FALSE))*E517/F517)</f>
        <v/>
      </c>
      <c r="O517" s="199">
        <f>HLOOKUP(C:C,$4:$10,5,FALSE)+((HLOOKUP(D:D,$4:$10,5,FALSE)-HLOOKUP(C:C,$4:$10,5,FALSE))*E517/F517)</f>
        <v/>
      </c>
      <c r="P517" s="199">
        <f>HLOOKUP(C:C,$4:$10,4,FALSE)+((HLOOKUP(D:D,$4:$10,4,FALSE)-HLOOKUP(C:C,$4:$10,4,FALSE))*E517/F517)</f>
        <v/>
      </c>
      <c r="Q517" s="199">
        <f>HLOOKUP(B:B,$4:$10,6,FALSE)+((HLOOKUP(C:C,$4:$10,6,FALSE)-HLOOKUP(B:B,$4:$10,6,FALSE))*E517/F517)</f>
        <v/>
      </c>
      <c r="T517" s="198">
        <f>$G517</f>
        <v/>
      </c>
      <c r="U517" s="199">
        <f>H517/(HLOOKUP(B:B,$4:$10,3,FALSE)+((HLOOKUP(C:C,$4:$10,3,FALSE)-HLOOKUP(B:B,$4:$10,3,FALSE))*E517/F517))</f>
        <v/>
      </c>
      <c r="V517" s="969">
        <f>HLOOKUP(B:B,$4:$10,7,FALSE)+((HLOOKUP(C:C,$4:$10,7,FALSE)-HLOOKUP(B:B,$4:$10,7,FALSE))*E517/F517)</f>
        <v/>
      </c>
      <c r="AB517" s="198">
        <f>$G517</f>
        <v/>
      </c>
      <c r="AC517" s="199">
        <f>$H517</f>
        <v/>
      </c>
      <c r="AD517" s="199">
        <f>$M517*AD$34</f>
        <v/>
      </c>
      <c r="AE517" s="199">
        <f>$M517*AE$34</f>
        <v/>
      </c>
      <c r="AF517" s="199">
        <f>$M517*AF$34</f>
        <v/>
      </c>
      <c r="AG517" s="199">
        <f>$M517*AG$34</f>
        <v/>
      </c>
      <c r="AH517" s="199">
        <f>$M517*AH$34</f>
        <v/>
      </c>
      <c r="AJ517" s="198">
        <f>$G517</f>
        <v/>
      </c>
      <c r="AK517" s="199">
        <f>$H517</f>
        <v/>
      </c>
      <c r="AL517" s="199">
        <f>$N517*AL$34</f>
        <v/>
      </c>
      <c r="AM517" s="199">
        <f>$N517*AM$34</f>
        <v/>
      </c>
      <c r="AN517" s="199">
        <f>$N517*AN$34</f>
        <v/>
      </c>
      <c r="AO517" s="199">
        <f>$N517*AO$34</f>
        <v/>
      </c>
      <c r="AP517" s="199">
        <f>$N517*AP$34</f>
        <v/>
      </c>
      <c r="AR517" s="198">
        <f>$G517</f>
        <v/>
      </c>
      <c r="AS517" s="199">
        <f>$H517</f>
        <v/>
      </c>
      <c r="AT517" s="199">
        <f>$O517*AT$34-$Q517</f>
        <v/>
      </c>
      <c r="AU517" s="199">
        <f>$O517*AU$34-$Q517</f>
        <v/>
      </c>
      <c r="AV517" s="199">
        <f>$O517*AV$34-$Q517</f>
        <v/>
      </c>
      <c r="AW517" s="199">
        <f>$O517*AW$34-$Q517</f>
        <v/>
      </c>
      <c r="AX517" s="199">
        <f>$O517*AX$34-$Q517</f>
        <v/>
      </c>
      <c r="AZ517" s="198">
        <f>$G517</f>
        <v/>
      </c>
      <c r="BA517" s="199">
        <f>$H517</f>
        <v/>
      </c>
      <c r="BB517" s="199">
        <f>$P517*BB$34-$Q517</f>
        <v/>
      </c>
      <c r="BC517" s="199">
        <f>$P517*BC$34-$Q517</f>
        <v/>
      </c>
      <c r="BD517" s="199">
        <f>$P517*BD$34-$Q517</f>
        <v/>
      </c>
      <c r="BE517" s="199">
        <f>$P517*BE$34-$Q517</f>
        <v/>
      </c>
      <c r="BF517" s="199">
        <f>$P517*BF$34-$Q517</f>
        <v/>
      </c>
      <c r="BH517" s="198">
        <f>$G517</f>
        <v/>
      </c>
      <c r="BI517" s="197">
        <f>$I517</f>
        <v/>
      </c>
      <c r="BJ517" s="197">
        <f>+BJ518</f>
        <v/>
      </c>
      <c r="BK517" s="197">
        <f>+BK518</f>
        <v/>
      </c>
      <c r="BL517" s="197">
        <f>+BL518</f>
        <v/>
      </c>
      <c r="BM517" s="197">
        <f>+BM518</f>
        <v/>
      </c>
      <c r="BN517" s="197">
        <f>+BN518</f>
        <v/>
      </c>
      <c r="BP517" s="198">
        <f>$G517</f>
        <v/>
      </c>
      <c r="BQ517" s="197">
        <f>$J517</f>
        <v/>
      </c>
      <c r="BR517" s="197">
        <f>+BR518</f>
        <v/>
      </c>
      <c r="BS517" s="197">
        <f>+BS518</f>
        <v/>
      </c>
      <c r="BT517" s="197">
        <f>+BT518</f>
        <v/>
      </c>
      <c r="BU517" s="197">
        <f>+BU518</f>
        <v/>
      </c>
      <c r="BV517" s="197">
        <f>+BV518</f>
        <v/>
      </c>
      <c r="BX517" s="198">
        <f>$G517</f>
        <v/>
      </c>
      <c r="BY517" s="197">
        <f>$K517</f>
        <v/>
      </c>
      <c r="BZ517" s="197">
        <f>+BZ518</f>
        <v/>
      </c>
      <c r="CA517" s="197">
        <f>+CA518</f>
        <v/>
      </c>
      <c r="CB517" s="197">
        <f>+CB518</f>
        <v/>
      </c>
      <c r="CC517" s="197">
        <f>+CC518</f>
        <v/>
      </c>
      <c r="CD517" s="197">
        <f>+CD518</f>
        <v/>
      </c>
      <c r="CF517" s="198">
        <f>$G517</f>
        <v/>
      </c>
      <c r="CG517" s="197">
        <f>$L517</f>
        <v/>
      </c>
      <c r="CH517" s="197">
        <f>+CH518</f>
        <v/>
      </c>
      <c r="CI517" s="197">
        <f>+CI518</f>
        <v/>
      </c>
      <c r="CJ517" s="197">
        <f>+CJ518</f>
        <v/>
      </c>
      <c r="CK517" s="197">
        <f>+CK518</f>
        <v/>
      </c>
      <c r="CL517" s="197">
        <f>+CL518</f>
        <v/>
      </c>
      <c r="CO517" s="199" t="n">
        <v>4.77347790864336</v>
      </c>
      <c r="CP517" s="199" t="n">
        <v>2.8</v>
      </c>
      <c r="CR517" s="199" t="n">
        <v>3.83</v>
      </c>
      <c r="CS517" s="970" t="n">
        <v>0.80235</v>
      </c>
    </row>
    <row r="518">
      <c r="B518" s="204">
        <f>+C518-1</f>
        <v/>
      </c>
      <c r="C518" s="204">
        <f>IF('bands_A-H_Avg'!$D$9+1&gt;MONTH(G518),YEAR(G518),YEAR(G518)+1)</f>
        <v/>
      </c>
      <c r="D518" s="204">
        <f>+C518+1</f>
        <v/>
      </c>
      <c r="E518" s="203">
        <f>IF(C518&gt;C517,1,E517+1)</f>
        <v/>
      </c>
      <c r="F518" s="203">
        <f>COUNTIF(C:C,C518)</f>
        <v/>
      </c>
      <c r="G518" s="198">
        <f>+G517+7</f>
        <v/>
      </c>
      <c r="H518" s="361">
        <f>IF(ISBLANK(CO518),CP518,SUMPRODUCT(CO$32:CP$32,CO518:CP518))</f>
        <v/>
      </c>
      <c r="I518" s="968">
        <f>H518/M518</f>
        <v/>
      </c>
      <c r="J518" s="968">
        <f>H518/N518</f>
        <v/>
      </c>
      <c r="K518" s="968">
        <f>(H518+Q518)/O518</f>
        <v/>
      </c>
      <c r="L518" s="968">
        <f>(H518+Q518)/P518</f>
        <v/>
      </c>
      <c r="M518" s="199">
        <f>HLOOKUP(C:C,$4:$10,3,FALSE)+((HLOOKUP(D:D,$4:$10,3,FALSE)-HLOOKUP(C:C,$4:$10,3,FALSE))*E518/F518)</f>
        <v/>
      </c>
      <c r="N518" s="199">
        <f>HLOOKUP(C:C,$4:$10,2,FALSE)+((HLOOKUP(D:D,$4:$10,2,FALSE)-HLOOKUP(C:C,$4:$10,2,FALSE))*E518/F518)</f>
        <v/>
      </c>
      <c r="O518" s="199">
        <f>HLOOKUP(C:C,$4:$10,5,FALSE)+((HLOOKUP(D:D,$4:$10,5,FALSE)-HLOOKUP(C:C,$4:$10,5,FALSE))*E518/F518)</f>
        <v/>
      </c>
      <c r="P518" s="199">
        <f>HLOOKUP(C:C,$4:$10,4,FALSE)+((HLOOKUP(D:D,$4:$10,4,FALSE)-HLOOKUP(C:C,$4:$10,4,FALSE))*E518/F518)</f>
        <v/>
      </c>
      <c r="Q518" s="199">
        <f>HLOOKUP(B:B,$4:$10,6,FALSE)+((HLOOKUP(C:C,$4:$10,6,FALSE)-HLOOKUP(B:B,$4:$10,6,FALSE))*E518/F518)</f>
        <v/>
      </c>
      <c r="T518" s="198">
        <f>$G518</f>
        <v/>
      </c>
      <c r="U518" s="199">
        <f>H518/(HLOOKUP(B:B,$4:$10,3,FALSE)+((HLOOKUP(C:C,$4:$10,3,FALSE)-HLOOKUP(B:B,$4:$10,3,FALSE))*E518/F518))</f>
        <v/>
      </c>
      <c r="V518" s="969">
        <f>HLOOKUP(B:B,$4:$10,7,FALSE)+((HLOOKUP(C:C,$4:$10,7,FALSE)-HLOOKUP(B:B,$4:$10,7,FALSE))*E518/F518)</f>
        <v/>
      </c>
      <c r="AB518" s="198">
        <f>$G518</f>
        <v/>
      </c>
      <c r="AC518" s="199">
        <f>$H518</f>
        <v/>
      </c>
      <c r="AD518" s="199">
        <f>$M518*AD$34</f>
        <v/>
      </c>
      <c r="AE518" s="199">
        <f>$M518*AE$34</f>
        <v/>
      </c>
      <c r="AF518" s="199">
        <f>$M518*AF$34</f>
        <v/>
      </c>
      <c r="AG518" s="199">
        <f>$M518*AG$34</f>
        <v/>
      </c>
      <c r="AH518" s="199">
        <f>$M518*AH$34</f>
        <v/>
      </c>
      <c r="AJ518" s="198">
        <f>$G518</f>
        <v/>
      </c>
      <c r="AK518" s="199">
        <f>$H518</f>
        <v/>
      </c>
      <c r="AL518" s="199">
        <f>$N518*AL$34</f>
        <v/>
      </c>
      <c r="AM518" s="199">
        <f>$N518*AM$34</f>
        <v/>
      </c>
      <c r="AN518" s="199">
        <f>$N518*AN$34</f>
        <v/>
      </c>
      <c r="AO518" s="199">
        <f>$N518*AO$34</f>
        <v/>
      </c>
      <c r="AP518" s="199">
        <f>$N518*AP$34</f>
        <v/>
      </c>
      <c r="AR518" s="198">
        <f>$G518</f>
        <v/>
      </c>
      <c r="AS518" s="199">
        <f>$H518</f>
        <v/>
      </c>
      <c r="AT518" s="199">
        <f>$O518*AT$34-$Q518</f>
        <v/>
      </c>
      <c r="AU518" s="199">
        <f>$O518*AU$34-$Q518</f>
        <v/>
      </c>
      <c r="AV518" s="199">
        <f>$O518*AV$34-$Q518</f>
        <v/>
      </c>
      <c r="AW518" s="199">
        <f>$O518*AW$34-$Q518</f>
        <v/>
      </c>
      <c r="AX518" s="199">
        <f>$O518*AX$34-$Q518</f>
        <v/>
      </c>
      <c r="AZ518" s="198">
        <f>$G518</f>
        <v/>
      </c>
      <c r="BA518" s="199">
        <f>$H518</f>
        <v/>
      </c>
      <c r="BB518" s="199">
        <f>$P518*BB$34-$Q518</f>
        <v/>
      </c>
      <c r="BC518" s="199">
        <f>$P518*BC$34-$Q518</f>
        <v/>
      </c>
      <c r="BD518" s="199">
        <f>$P518*BD$34-$Q518</f>
        <v/>
      </c>
      <c r="BE518" s="199">
        <f>$P518*BE$34-$Q518</f>
        <v/>
      </c>
      <c r="BF518" s="199">
        <f>$P518*BF$34-$Q518</f>
        <v/>
      </c>
      <c r="BH518" s="198">
        <f>$G518</f>
        <v/>
      </c>
      <c r="BI518" s="197">
        <f>$I518</f>
        <v/>
      </c>
      <c r="BJ518" s="197">
        <f>+BJ519</f>
        <v/>
      </c>
      <c r="BK518" s="197">
        <f>+BK519</f>
        <v/>
      </c>
      <c r="BL518" s="197">
        <f>+BL519</f>
        <v/>
      </c>
      <c r="BM518" s="197">
        <f>+BM519</f>
        <v/>
      </c>
      <c r="BN518" s="197">
        <f>+BN519</f>
        <v/>
      </c>
      <c r="BP518" s="198">
        <f>$G518</f>
        <v/>
      </c>
      <c r="BQ518" s="197">
        <f>$J518</f>
        <v/>
      </c>
      <c r="BR518" s="197">
        <f>+BR519</f>
        <v/>
      </c>
      <c r="BS518" s="197">
        <f>+BS519</f>
        <v/>
      </c>
      <c r="BT518" s="197">
        <f>+BT519</f>
        <v/>
      </c>
      <c r="BU518" s="197">
        <f>+BU519</f>
        <v/>
      </c>
      <c r="BV518" s="197">
        <f>+BV519</f>
        <v/>
      </c>
      <c r="BX518" s="198">
        <f>$G518</f>
        <v/>
      </c>
      <c r="BY518" s="197">
        <f>$K518</f>
        <v/>
      </c>
      <c r="BZ518" s="197">
        <f>+BZ519</f>
        <v/>
      </c>
      <c r="CA518" s="197">
        <f>+CA519</f>
        <v/>
      </c>
      <c r="CB518" s="197">
        <f>+CB519</f>
        <v/>
      </c>
      <c r="CC518" s="197">
        <f>+CC519</f>
        <v/>
      </c>
      <c r="CD518" s="197">
        <f>+CD519</f>
        <v/>
      </c>
      <c r="CF518" s="198">
        <f>$G518</f>
        <v/>
      </c>
      <c r="CG518" s="197">
        <f>$L518</f>
        <v/>
      </c>
      <c r="CH518" s="197">
        <f>+CH519</f>
        <v/>
      </c>
      <c r="CI518" s="197">
        <f>+CI519</f>
        <v/>
      </c>
      <c r="CJ518" s="197">
        <f>+CJ519</f>
        <v/>
      </c>
      <c r="CK518" s="197">
        <f>+CK519</f>
        <v/>
      </c>
      <c r="CL518" s="197">
        <f>+CL519</f>
        <v/>
      </c>
      <c r="CO518" s="199" t="n">
        <v>4.970216166939321</v>
      </c>
      <c r="CP518" s="199" t="n">
        <v>2.86</v>
      </c>
      <c r="CR518" s="199" t="n">
        <v>3.98</v>
      </c>
      <c r="CS518" s="970" t="n">
        <v>0.80077</v>
      </c>
    </row>
    <row r="519">
      <c r="B519" s="204">
        <f>+C519-1</f>
        <v/>
      </c>
      <c r="C519" s="204">
        <f>IF('bands_A-H_Avg'!$D$9+1&gt;MONTH(G519),YEAR(G519),YEAR(G519)+1)</f>
        <v/>
      </c>
      <c r="D519" s="204">
        <f>+C519+1</f>
        <v/>
      </c>
      <c r="E519" s="203">
        <f>IF(C519&gt;C518,1,E518+1)</f>
        <v/>
      </c>
      <c r="F519" s="203">
        <f>COUNTIF(C:C,C519)</f>
        <v/>
      </c>
      <c r="G519" s="198">
        <f>+G518+7</f>
        <v/>
      </c>
      <c r="H519" s="361">
        <f>IF(ISBLANK(CO519),CP519,SUMPRODUCT(CO$32:CP$32,CO519:CP519))</f>
        <v/>
      </c>
      <c r="I519" s="968">
        <f>H519/M519</f>
        <v/>
      </c>
      <c r="J519" s="968">
        <f>H519/N519</f>
        <v/>
      </c>
      <c r="K519" s="968">
        <f>(H519+Q519)/O519</f>
        <v/>
      </c>
      <c r="L519" s="968">
        <f>(H519+Q519)/P519</f>
        <v/>
      </c>
      <c r="M519" s="199">
        <f>HLOOKUP(C:C,$4:$10,3,FALSE)+((HLOOKUP(D:D,$4:$10,3,FALSE)-HLOOKUP(C:C,$4:$10,3,FALSE))*E519/F519)</f>
        <v/>
      </c>
      <c r="N519" s="199">
        <f>HLOOKUP(C:C,$4:$10,2,FALSE)+((HLOOKUP(D:D,$4:$10,2,FALSE)-HLOOKUP(C:C,$4:$10,2,FALSE))*E519/F519)</f>
        <v/>
      </c>
      <c r="O519" s="199">
        <f>HLOOKUP(C:C,$4:$10,5,FALSE)+((HLOOKUP(D:D,$4:$10,5,FALSE)-HLOOKUP(C:C,$4:$10,5,FALSE))*E519/F519)</f>
        <v/>
      </c>
      <c r="P519" s="199">
        <f>HLOOKUP(C:C,$4:$10,4,FALSE)+((HLOOKUP(D:D,$4:$10,4,FALSE)-HLOOKUP(C:C,$4:$10,4,FALSE))*E519/F519)</f>
        <v/>
      </c>
      <c r="Q519" s="199">
        <f>HLOOKUP(B:B,$4:$10,6,FALSE)+((HLOOKUP(C:C,$4:$10,6,FALSE)-HLOOKUP(B:B,$4:$10,6,FALSE))*E519/F519)</f>
        <v/>
      </c>
      <c r="T519" s="198">
        <f>$G519</f>
        <v/>
      </c>
      <c r="U519" s="199">
        <f>H519/(HLOOKUP(B:B,$4:$10,3,FALSE)+((HLOOKUP(C:C,$4:$10,3,FALSE)-HLOOKUP(B:B,$4:$10,3,FALSE))*E519/F519))</f>
        <v/>
      </c>
      <c r="V519" s="969">
        <f>HLOOKUP(B:B,$4:$10,7,FALSE)+((HLOOKUP(C:C,$4:$10,7,FALSE)-HLOOKUP(B:B,$4:$10,7,FALSE))*E519/F519)</f>
        <v/>
      </c>
      <c r="AB519" s="198">
        <f>$G519</f>
        <v/>
      </c>
      <c r="AC519" s="199">
        <f>$H519</f>
        <v/>
      </c>
      <c r="AD519" s="199">
        <f>$M519*AD$34</f>
        <v/>
      </c>
      <c r="AE519" s="199">
        <f>$M519*AE$34</f>
        <v/>
      </c>
      <c r="AF519" s="199">
        <f>$M519*AF$34</f>
        <v/>
      </c>
      <c r="AG519" s="199">
        <f>$M519*AG$34</f>
        <v/>
      </c>
      <c r="AH519" s="199">
        <f>$M519*AH$34</f>
        <v/>
      </c>
      <c r="AJ519" s="198">
        <f>$G519</f>
        <v/>
      </c>
      <c r="AK519" s="199">
        <f>$H519</f>
        <v/>
      </c>
      <c r="AL519" s="199">
        <f>$N519*AL$34</f>
        <v/>
      </c>
      <c r="AM519" s="199">
        <f>$N519*AM$34</f>
        <v/>
      </c>
      <c r="AN519" s="199">
        <f>$N519*AN$34</f>
        <v/>
      </c>
      <c r="AO519" s="199">
        <f>$N519*AO$34</f>
        <v/>
      </c>
      <c r="AP519" s="199">
        <f>$N519*AP$34</f>
        <v/>
      </c>
      <c r="AR519" s="198">
        <f>$G519</f>
        <v/>
      </c>
      <c r="AS519" s="199">
        <f>$H519</f>
        <v/>
      </c>
      <c r="AT519" s="199">
        <f>$O519*AT$34-$Q519</f>
        <v/>
      </c>
      <c r="AU519" s="199">
        <f>$O519*AU$34-$Q519</f>
        <v/>
      </c>
      <c r="AV519" s="199">
        <f>$O519*AV$34-$Q519</f>
        <v/>
      </c>
      <c r="AW519" s="199">
        <f>$O519*AW$34-$Q519</f>
        <v/>
      </c>
      <c r="AX519" s="199">
        <f>$O519*AX$34-$Q519</f>
        <v/>
      </c>
      <c r="AZ519" s="198">
        <f>$G519</f>
        <v/>
      </c>
      <c r="BA519" s="199">
        <f>$H519</f>
        <v/>
      </c>
      <c r="BB519" s="199">
        <f>$P519*BB$34-$Q519</f>
        <v/>
      </c>
      <c r="BC519" s="199">
        <f>$P519*BC$34-$Q519</f>
        <v/>
      </c>
      <c r="BD519" s="199">
        <f>$P519*BD$34-$Q519</f>
        <v/>
      </c>
      <c r="BE519" s="199">
        <f>$P519*BE$34-$Q519</f>
        <v/>
      </c>
      <c r="BF519" s="199">
        <f>$P519*BF$34-$Q519</f>
        <v/>
      </c>
      <c r="BH519" s="198">
        <f>$G519</f>
        <v/>
      </c>
      <c r="BI519" s="197">
        <f>$I519</f>
        <v/>
      </c>
      <c r="BJ519" s="197">
        <f>+BJ520</f>
        <v/>
      </c>
      <c r="BK519" s="197">
        <f>+BK520</f>
        <v/>
      </c>
      <c r="BL519" s="197">
        <f>+BL520</f>
        <v/>
      </c>
      <c r="BM519" s="197">
        <f>+BM520</f>
        <v/>
      </c>
      <c r="BN519" s="197">
        <f>+BN520</f>
        <v/>
      </c>
      <c r="BP519" s="198">
        <f>$G519</f>
        <v/>
      </c>
      <c r="BQ519" s="197">
        <f>$J519</f>
        <v/>
      </c>
      <c r="BR519" s="197">
        <f>+BR520</f>
        <v/>
      </c>
      <c r="BS519" s="197">
        <f>+BS520</f>
        <v/>
      </c>
      <c r="BT519" s="197">
        <f>+BT520</f>
        <v/>
      </c>
      <c r="BU519" s="197">
        <f>+BU520</f>
        <v/>
      </c>
      <c r="BV519" s="197">
        <f>+BV520</f>
        <v/>
      </c>
      <c r="BX519" s="198">
        <f>$G519</f>
        <v/>
      </c>
      <c r="BY519" s="197">
        <f>$K519</f>
        <v/>
      </c>
      <c r="BZ519" s="197">
        <f>+BZ520</f>
        <v/>
      </c>
      <c r="CA519" s="197">
        <f>+CA520</f>
        <v/>
      </c>
      <c r="CB519" s="197">
        <f>+CB520</f>
        <v/>
      </c>
      <c r="CC519" s="197">
        <f>+CC520</f>
        <v/>
      </c>
      <c r="CD519" s="197">
        <f>+CD520</f>
        <v/>
      </c>
      <c r="CF519" s="198">
        <f>$G519</f>
        <v/>
      </c>
      <c r="CG519" s="197">
        <f>$L519</f>
        <v/>
      </c>
      <c r="CH519" s="197">
        <f>+CH520</f>
        <v/>
      </c>
      <c r="CI519" s="197">
        <f>+CI520</f>
        <v/>
      </c>
      <c r="CJ519" s="197">
        <f>+CJ520</f>
        <v/>
      </c>
      <c r="CK519" s="197">
        <f>+CK520</f>
        <v/>
      </c>
      <c r="CL519" s="197">
        <f>+CL520</f>
        <v/>
      </c>
      <c r="CO519" s="199" t="n">
        <v>4.83387459405446</v>
      </c>
      <c r="CP519" s="199" t="n">
        <v>2.73</v>
      </c>
      <c r="CR519" s="199" t="n">
        <v>3.87</v>
      </c>
      <c r="CS519" s="970" t="n">
        <v>0.8006</v>
      </c>
    </row>
    <row r="520">
      <c r="B520" s="204">
        <f>+C520-1</f>
        <v/>
      </c>
      <c r="C520" s="204">
        <f>IF('bands_A-H_Avg'!$D$9+1&gt;MONTH(G520),YEAR(G520),YEAR(G520)+1)</f>
        <v/>
      </c>
      <c r="D520" s="204">
        <f>+C520+1</f>
        <v/>
      </c>
      <c r="E520" s="203">
        <f>IF(C520&gt;C519,1,E519+1)</f>
        <v/>
      </c>
      <c r="F520" s="203">
        <f>COUNTIF(C:C,C520)</f>
        <v/>
      </c>
      <c r="G520" s="198">
        <f>+G519+7</f>
        <v/>
      </c>
      <c r="H520" s="361">
        <f>IF(ISBLANK(CO520),CP520,SUMPRODUCT(CO$32:CP$32,CO520:CP520))</f>
        <v/>
      </c>
      <c r="I520" s="968">
        <f>H520/M520</f>
        <v/>
      </c>
      <c r="J520" s="968">
        <f>H520/N520</f>
        <v/>
      </c>
      <c r="K520" s="968">
        <f>(H520+Q520)/O520</f>
        <v/>
      </c>
      <c r="L520" s="968">
        <f>(H520+Q520)/P520</f>
        <v/>
      </c>
      <c r="M520" s="199">
        <f>HLOOKUP(C:C,$4:$10,3,FALSE)+((HLOOKUP(D:D,$4:$10,3,FALSE)-HLOOKUP(C:C,$4:$10,3,FALSE))*E520/F520)</f>
        <v/>
      </c>
      <c r="N520" s="199">
        <f>HLOOKUP(C:C,$4:$10,2,FALSE)+((HLOOKUP(D:D,$4:$10,2,FALSE)-HLOOKUP(C:C,$4:$10,2,FALSE))*E520/F520)</f>
        <v/>
      </c>
      <c r="O520" s="199">
        <f>HLOOKUP(C:C,$4:$10,5,FALSE)+((HLOOKUP(D:D,$4:$10,5,FALSE)-HLOOKUP(C:C,$4:$10,5,FALSE))*E520/F520)</f>
        <v/>
      </c>
      <c r="P520" s="199">
        <f>HLOOKUP(C:C,$4:$10,4,FALSE)+((HLOOKUP(D:D,$4:$10,4,FALSE)-HLOOKUP(C:C,$4:$10,4,FALSE))*E520/F520)</f>
        <v/>
      </c>
      <c r="Q520" s="199">
        <f>HLOOKUP(B:B,$4:$10,6,FALSE)+((HLOOKUP(C:C,$4:$10,6,FALSE)-HLOOKUP(B:B,$4:$10,6,FALSE))*E520/F520)</f>
        <v/>
      </c>
      <c r="T520" s="198">
        <f>$G520</f>
        <v/>
      </c>
      <c r="U520" s="199">
        <f>H520/(HLOOKUP(B:B,$4:$10,3,FALSE)+((HLOOKUP(C:C,$4:$10,3,FALSE)-HLOOKUP(B:B,$4:$10,3,FALSE))*E520/F520))</f>
        <v/>
      </c>
      <c r="V520" s="969">
        <f>HLOOKUP(B:B,$4:$10,7,FALSE)+((HLOOKUP(C:C,$4:$10,7,FALSE)-HLOOKUP(B:B,$4:$10,7,FALSE))*E520/F520)</f>
        <v/>
      </c>
      <c r="AB520" s="198">
        <f>$G520</f>
        <v/>
      </c>
      <c r="AC520" s="199">
        <f>$H520</f>
        <v/>
      </c>
      <c r="AD520" s="199">
        <f>$M520*AD$34</f>
        <v/>
      </c>
      <c r="AE520" s="199">
        <f>$M520*AE$34</f>
        <v/>
      </c>
      <c r="AF520" s="199">
        <f>$M520*AF$34</f>
        <v/>
      </c>
      <c r="AG520" s="199">
        <f>$M520*AG$34</f>
        <v/>
      </c>
      <c r="AH520" s="199">
        <f>$M520*AH$34</f>
        <v/>
      </c>
      <c r="AJ520" s="198">
        <f>$G520</f>
        <v/>
      </c>
      <c r="AK520" s="199">
        <f>$H520</f>
        <v/>
      </c>
      <c r="AL520" s="199">
        <f>$N520*AL$34</f>
        <v/>
      </c>
      <c r="AM520" s="199">
        <f>$N520*AM$34</f>
        <v/>
      </c>
      <c r="AN520" s="199">
        <f>$N520*AN$34</f>
        <v/>
      </c>
      <c r="AO520" s="199">
        <f>$N520*AO$34</f>
        <v/>
      </c>
      <c r="AP520" s="199">
        <f>$N520*AP$34</f>
        <v/>
      </c>
      <c r="AR520" s="198">
        <f>$G520</f>
        <v/>
      </c>
      <c r="AS520" s="199">
        <f>$H520</f>
        <v/>
      </c>
      <c r="AT520" s="199">
        <f>$O520*AT$34-$Q520</f>
        <v/>
      </c>
      <c r="AU520" s="199">
        <f>$O520*AU$34-$Q520</f>
        <v/>
      </c>
      <c r="AV520" s="199">
        <f>$O520*AV$34-$Q520</f>
        <v/>
      </c>
      <c r="AW520" s="199">
        <f>$O520*AW$34-$Q520</f>
        <v/>
      </c>
      <c r="AX520" s="199">
        <f>$O520*AX$34-$Q520</f>
        <v/>
      </c>
      <c r="AZ520" s="198">
        <f>$G520</f>
        <v/>
      </c>
      <c r="BA520" s="199">
        <f>$H520</f>
        <v/>
      </c>
      <c r="BB520" s="199">
        <f>$P520*BB$34-$Q520</f>
        <v/>
      </c>
      <c r="BC520" s="199">
        <f>$P520*BC$34-$Q520</f>
        <v/>
      </c>
      <c r="BD520" s="199">
        <f>$P520*BD$34-$Q520</f>
        <v/>
      </c>
      <c r="BE520" s="199">
        <f>$P520*BE$34-$Q520</f>
        <v/>
      </c>
      <c r="BF520" s="199">
        <f>$P520*BF$34-$Q520</f>
        <v/>
      </c>
      <c r="BH520" s="198">
        <f>$G520</f>
        <v/>
      </c>
      <c r="BI520" s="197">
        <f>$I520</f>
        <v/>
      </c>
      <c r="BJ520" s="197">
        <f>+BJ521</f>
        <v/>
      </c>
      <c r="BK520" s="197">
        <f>+BK521</f>
        <v/>
      </c>
      <c r="BL520" s="197">
        <f>+BL521</f>
        <v/>
      </c>
      <c r="BM520" s="197">
        <f>+BM521</f>
        <v/>
      </c>
      <c r="BN520" s="197">
        <f>+BN521</f>
        <v/>
      </c>
      <c r="BP520" s="198">
        <f>$G520</f>
        <v/>
      </c>
      <c r="BQ520" s="197">
        <f>$J520</f>
        <v/>
      </c>
      <c r="BR520" s="197">
        <f>+BR521</f>
        <v/>
      </c>
      <c r="BS520" s="197">
        <f>+BS521</f>
        <v/>
      </c>
      <c r="BT520" s="197">
        <f>+BT521</f>
        <v/>
      </c>
      <c r="BU520" s="197">
        <f>+BU521</f>
        <v/>
      </c>
      <c r="BV520" s="197">
        <f>+BV521</f>
        <v/>
      </c>
      <c r="BX520" s="198">
        <f>$G520</f>
        <v/>
      </c>
      <c r="BY520" s="197">
        <f>$K520</f>
        <v/>
      </c>
      <c r="BZ520" s="197">
        <f>+BZ521</f>
        <v/>
      </c>
      <c r="CA520" s="197">
        <f>+CA521</f>
        <v/>
      </c>
      <c r="CB520" s="197">
        <f>+CB521</f>
        <v/>
      </c>
      <c r="CC520" s="197">
        <f>+CC521</f>
        <v/>
      </c>
      <c r="CD520" s="197">
        <f>+CD521</f>
        <v/>
      </c>
      <c r="CF520" s="198">
        <f>$G520</f>
        <v/>
      </c>
      <c r="CG520" s="197">
        <f>$L520</f>
        <v/>
      </c>
      <c r="CH520" s="197">
        <f>+CH521</f>
        <v/>
      </c>
      <c r="CI520" s="197">
        <f>+CI521</f>
        <v/>
      </c>
      <c r="CJ520" s="197">
        <f>+CJ521</f>
        <v/>
      </c>
      <c r="CK520" s="197">
        <f>+CK521</f>
        <v/>
      </c>
      <c r="CL520" s="197">
        <f>+CL521</f>
        <v/>
      </c>
      <c r="CO520" s="199" t="n">
        <v>4.91762356465302</v>
      </c>
      <c r="CP520" s="199" t="n">
        <v>3.15</v>
      </c>
      <c r="CR520" s="199" t="n">
        <v>3.94</v>
      </c>
      <c r="CS520" s="970" t="n">
        <v>0.8012</v>
      </c>
    </row>
    <row r="521">
      <c r="B521" s="204">
        <f>+C521-1</f>
        <v/>
      </c>
      <c r="C521" s="204">
        <f>IF('bands_A-H_Avg'!$D$9+1&gt;MONTH(G521),YEAR(G521),YEAR(G521)+1)</f>
        <v/>
      </c>
      <c r="D521" s="204">
        <f>+C521+1</f>
        <v/>
      </c>
      <c r="E521" s="203">
        <f>IF(C521&gt;C520,1,E520+1)</f>
        <v/>
      </c>
      <c r="F521" s="203">
        <f>COUNTIF(C:C,C521)</f>
        <v/>
      </c>
      <c r="G521" s="198">
        <f>+G520+7</f>
        <v/>
      </c>
      <c r="H521" s="361">
        <f>IF(ISBLANK(CO521),CP521,SUMPRODUCT(CO$32:CP$32,CO521:CP521))</f>
        <v/>
      </c>
      <c r="I521" s="968">
        <f>H521/M521</f>
        <v/>
      </c>
      <c r="J521" s="968">
        <f>H521/N521</f>
        <v/>
      </c>
      <c r="K521" s="968">
        <f>(H521+Q521)/O521</f>
        <v/>
      </c>
      <c r="L521" s="968">
        <f>(H521+Q521)/P521</f>
        <v/>
      </c>
      <c r="M521" s="199">
        <f>HLOOKUP(C:C,$4:$10,3,FALSE)+((HLOOKUP(D:D,$4:$10,3,FALSE)-HLOOKUP(C:C,$4:$10,3,FALSE))*E521/F521)</f>
        <v/>
      </c>
      <c r="N521" s="199">
        <f>HLOOKUP(C:C,$4:$10,2,FALSE)+((HLOOKUP(D:D,$4:$10,2,FALSE)-HLOOKUP(C:C,$4:$10,2,FALSE))*E521/F521)</f>
        <v/>
      </c>
      <c r="O521" s="199">
        <f>HLOOKUP(C:C,$4:$10,5,FALSE)+((HLOOKUP(D:D,$4:$10,5,FALSE)-HLOOKUP(C:C,$4:$10,5,FALSE))*E521/F521)</f>
        <v/>
      </c>
      <c r="P521" s="199">
        <f>HLOOKUP(C:C,$4:$10,4,FALSE)+((HLOOKUP(D:D,$4:$10,4,FALSE)-HLOOKUP(C:C,$4:$10,4,FALSE))*E521/F521)</f>
        <v/>
      </c>
      <c r="Q521" s="199">
        <f>HLOOKUP(B:B,$4:$10,6,FALSE)+((HLOOKUP(C:C,$4:$10,6,FALSE)-HLOOKUP(B:B,$4:$10,6,FALSE))*E521/F521)</f>
        <v/>
      </c>
      <c r="T521" s="198">
        <f>$G521</f>
        <v/>
      </c>
      <c r="U521" s="199">
        <f>H521/(HLOOKUP(B:B,$4:$10,3,FALSE)+((HLOOKUP(C:C,$4:$10,3,FALSE)-HLOOKUP(B:B,$4:$10,3,FALSE))*E521/F521))</f>
        <v/>
      </c>
      <c r="V521" s="969">
        <f>HLOOKUP(B:B,$4:$10,7,FALSE)+((HLOOKUP(C:C,$4:$10,7,FALSE)-HLOOKUP(B:B,$4:$10,7,FALSE))*E521/F521)</f>
        <v/>
      </c>
      <c r="AB521" s="198">
        <f>$G521</f>
        <v/>
      </c>
      <c r="AC521" s="199">
        <f>$H521</f>
        <v/>
      </c>
      <c r="AD521" s="199">
        <f>$M521*AD$34</f>
        <v/>
      </c>
      <c r="AE521" s="199">
        <f>$M521*AE$34</f>
        <v/>
      </c>
      <c r="AF521" s="199">
        <f>$M521*AF$34</f>
        <v/>
      </c>
      <c r="AG521" s="199">
        <f>$M521*AG$34</f>
        <v/>
      </c>
      <c r="AH521" s="199">
        <f>$M521*AH$34</f>
        <v/>
      </c>
      <c r="AJ521" s="198">
        <f>$G521</f>
        <v/>
      </c>
      <c r="AK521" s="199">
        <f>$H521</f>
        <v/>
      </c>
      <c r="AL521" s="199">
        <f>$N521*AL$34</f>
        <v/>
      </c>
      <c r="AM521" s="199">
        <f>$N521*AM$34</f>
        <v/>
      </c>
      <c r="AN521" s="199">
        <f>$N521*AN$34</f>
        <v/>
      </c>
      <c r="AO521" s="199">
        <f>$N521*AO$34</f>
        <v/>
      </c>
      <c r="AP521" s="199">
        <f>$N521*AP$34</f>
        <v/>
      </c>
      <c r="AR521" s="198">
        <f>$G521</f>
        <v/>
      </c>
      <c r="AS521" s="199">
        <f>$H521</f>
        <v/>
      </c>
      <c r="AT521" s="199">
        <f>$O521*AT$34-$Q521</f>
        <v/>
      </c>
      <c r="AU521" s="199">
        <f>$O521*AU$34-$Q521</f>
        <v/>
      </c>
      <c r="AV521" s="199">
        <f>$O521*AV$34-$Q521</f>
        <v/>
      </c>
      <c r="AW521" s="199">
        <f>$O521*AW$34-$Q521</f>
        <v/>
      </c>
      <c r="AX521" s="199">
        <f>$O521*AX$34-$Q521</f>
        <v/>
      </c>
      <c r="AZ521" s="198">
        <f>$G521</f>
        <v/>
      </c>
      <c r="BA521" s="199">
        <f>$H521</f>
        <v/>
      </c>
      <c r="BB521" s="199">
        <f>$P521*BB$34-$Q521</f>
        <v/>
      </c>
      <c r="BC521" s="199">
        <f>$P521*BC$34-$Q521</f>
        <v/>
      </c>
      <c r="BD521" s="199">
        <f>$P521*BD$34-$Q521</f>
        <v/>
      </c>
      <c r="BE521" s="199">
        <f>$P521*BE$34-$Q521</f>
        <v/>
      </c>
      <c r="BF521" s="199">
        <f>$P521*BF$34-$Q521</f>
        <v/>
      </c>
      <c r="BH521" s="198">
        <f>$G521</f>
        <v/>
      </c>
      <c r="BI521" s="197">
        <f>$I521</f>
        <v/>
      </c>
      <c r="BJ521" s="197">
        <f>+BJ522</f>
        <v/>
      </c>
      <c r="BK521" s="197">
        <f>+BK522</f>
        <v/>
      </c>
      <c r="BL521" s="197">
        <f>+BL522</f>
        <v/>
      </c>
      <c r="BM521" s="197">
        <f>+BM522</f>
        <v/>
      </c>
      <c r="BN521" s="197">
        <f>+BN522</f>
        <v/>
      </c>
      <c r="BP521" s="198">
        <f>$G521</f>
        <v/>
      </c>
      <c r="BQ521" s="197">
        <f>$J521</f>
        <v/>
      </c>
      <c r="BR521" s="197">
        <f>+BR522</f>
        <v/>
      </c>
      <c r="BS521" s="197">
        <f>+BS522</f>
        <v/>
      </c>
      <c r="BT521" s="197">
        <f>+BT522</f>
        <v/>
      </c>
      <c r="BU521" s="197">
        <f>+BU522</f>
        <v/>
      </c>
      <c r="BV521" s="197">
        <f>+BV522</f>
        <v/>
      </c>
      <c r="BX521" s="198">
        <f>$G521</f>
        <v/>
      </c>
      <c r="BY521" s="197">
        <f>$K521</f>
        <v/>
      </c>
      <c r="BZ521" s="197">
        <f>+BZ522</f>
        <v/>
      </c>
      <c r="CA521" s="197">
        <f>+CA522</f>
        <v/>
      </c>
      <c r="CB521" s="197">
        <f>+CB522</f>
        <v/>
      </c>
      <c r="CC521" s="197">
        <f>+CC522</f>
        <v/>
      </c>
      <c r="CD521" s="197">
        <f>+CD522</f>
        <v/>
      </c>
      <c r="CF521" s="198">
        <f>$G521</f>
        <v/>
      </c>
      <c r="CG521" s="197">
        <f>$L521</f>
        <v/>
      </c>
      <c r="CH521" s="197">
        <f>+CH522</f>
        <v/>
      </c>
      <c r="CI521" s="197">
        <f>+CI522</f>
        <v/>
      </c>
      <c r="CJ521" s="197">
        <f>+CJ522</f>
        <v/>
      </c>
      <c r="CK521" s="197">
        <f>+CK522</f>
        <v/>
      </c>
      <c r="CL521" s="197">
        <f>+CL522</f>
        <v/>
      </c>
      <c r="CO521" s="199" t="n">
        <v>4.796372198482603</v>
      </c>
      <c r="CP521" s="199" t="n">
        <v>3.02</v>
      </c>
      <c r="CR521" s="199" t="n">
        <v>3.85</v>
      </c>
      <c r="CS521" s="970" t="n">
        <v>0.80269</v>
      </c>
    </row>
    <row r="522">
      <c r="B522" s="204">
        <f>+C522-1</f>
        <v/>
      </c>
      <c r="C522" s="204">
        <f>IF('bands_A-H_Avg'!$D$9+1&gt;MONTH(G522),YEAR(G522),YEAR(G522)+1)</f>
        <v/>
      </c>
      <c r="D522" s="204">
        <f>+C522+1</f>
        <v/>
      </c>
      <c r="E522" s="203">
        <f>IF(C522&gt;C521,1,E521+1)</f>
        <v/>
      </c>
      <c r="F522" s="203">
        <f>COUNTIF(C:C,C522)</f>
        <v/>
      </c>
      <c r="G522" s="198">
        <f>+G521+7</f>
        <v/>
      </c>
      <c r="H522" s="361">
        <f>IF(ISBLANK(CO522),CP522,SUMPRODUCT(CO$32:CP$32,CO522:CP522))</f>
        <v/>
      </c>
      <c r="I522" s="968">
        <f>H522/M522</f>
        <v/>
      </c>
      <c r="J522" s="968">
        <f>H522/N522</f>
        <v/>
      </c>
      <c r="K522" s="968">
        <f>(H522+Q522)/O522</f>
        <v/>
      </c>
      <c r="L522" s="968">
        <f>(H522+Q522)/P522</f>
        <v/>
      </c>
      <c r="M522" s="199">
        <f>HLOOKUP(C:C,$4:$10,3,FALSE)+((HLOOKUP(D:D,$4:$10,3,FALSE)-HLOOKUP(C:C,$4:$10,3,FALSE))*E522/F522)</f>
        <v/>
      </c>
      <c r="N522" s="199">
        <f>HLOOKUP(C:C,$4:$10,2,FALSE)+((HLOOKUP(D:D,$4:$10,2,FALSE)-HLOOKUP(C:C,$4:$10,2,FALSE))*E522/F522)</f>
        <v/>
      </c>
      <c r="O522" s="199">
        <f>HLOOKUP(C:C,$4:$10,5,FALSE)+((HLOOKUP(D:D,$4:$10,5,FALSE)-HLOOKUP(C:C,$4:$10,5,FALSE))*E522/F522)</f>
        <v/>
      </c>
      <c r="P522" s="199">
        <f>HLOOKUP(C:C,$4:$10,4,FALSE)+((HLOOKUP(D:D,$4:$10,4,FALSE)-HLOOKUP(C:C,$4:$10,4,FALSE))*E522/F522)</f>
        <v/>
      </c>
      <c r="Q522" s="199">
        <f>HLOOKUP(B:B,$4:$10,6,FALSE)+((HLOOKUP(C:C,$4:$10,6,FALSE)-HLOOKUP(B:B,$4:$10,6,FALSE))*E522/F522)</f>
        <v/>
      </c>
      <c r="T522" s="198">
        <f>$G522</f>
        <v/>
      </c>
      <c r="U522" s="199">
        <f>H522/(HLOOKUP(B:B,$4:$10,3,FALSE)+((HLOOKUP(C:C,$4:$10,3,FALSE)-HLOOKUP(B:B,$4:$10,3,FALSE))*E522/F522))</f>
        <v/>
      </c>
      <c r="V522" s="969">
        <f>HLOOKUP(B:B,$4:$10,7,FALSE)+((HLOOKUP(C:C,$4:$10,7,FALSE)-HLOOKUP(B:B,$4:$10,7,FALSE))*E522/F522)</f>
        <v/>
      </c>
      <c r="AB522" s="198">
        <f>$G522</f>
        <v/>
      </c>
      <c r="AC522" s="199">
        <f>$H522</f>
        <v/>
      </c>
      <c r="AD522" s="199">
        <f>$M522*AD$34</f>
        <v/>
      </c>
      <c r="AE522" s="199">
        <f>$M522*AE$34</f>
        <v/>
      </c>
      <c r="AF522" s="199">
        <f>$M522*AF$34</f>
        <v/>
      </c>
      <c r="AG522" s="199">
        <f>$M522*AG$34</f>
        <v/>
      </c>
      <c r="AH522" s="199">
        <f>$M522*AH$34</f>
        <v/>
      </c>
      <c r="AJ522" s="198">
        <f>$G522</f>
        <v/>
      </c>
      <c r="AK522" s="199">
        <f>$H522</f>
        <v/>
      </c>
      <c r="AL522" s="199">
        <f>$N522*AL$34</f>
        <v/>
      </c>
      <c r="AM522" s="199">
        <f>$N522*AM$34</f>
        <v/>
      </c>
      <c r="AN522" s="199">
        <f>$N522*AN$34</f>
        <v/>
      </c>
      <c r="AO522" s="199">
        <f>$N522*AO$34</f>
        <v/>
      </c>
      <c r="AP522" s="199">
        <f>$N522*AP$34</f>
        <v/>
      </c>
      <c r="AR522" s="198">
        <f>$G522</f>
        <v/>
      </c>
      <c r="AS522" s="199">
        <f>$H522</f>
        <v/>
      </c>
      <c r="AT522" s="199">
        <f>$O522*AT$34-$Q522</f>
        <v/>
      </c>
      <c r="AU522" s="199">
        <f>$O522*AU$34-$Q522</f>
        <v/>
      </c>
      <c r="AV522" s="199">
        <f>$O522*AV$34-$Q522</f>
        <v/>
      </c>
      <c r="AW522" s="199">
        <f>$O522*AW$34-$Q522</f>
        <v/>
      </c>
      <c r="AX522" s="199">
        <f>$O522*AX$34-$Q522</f>
        <v/>
      </c>
      <c r="AZ522" s="198">
        <f>$G522</f>
        <v/>
      </c>
      <c r="BA522" s="199">
        <f>$H522</f>
        <v/>
      </c>
      <c r="BB522" s="199">
        <f>$P522*BB$34-$Q522</f>
        <v/>
      </c>
      <c r="BC522" s="199">
        <f>$P522*BC$34-$Q522</f>
        <v/>
      </c>
      <c r="BD522" s="199">
        <f>$P522*BD$34-$Q522</f>
        <v/>
      </c>
      <c r="BE522" s="199">
        <f>$P522*BE$34-$Q522</f>
        <v/>
      </c>
      <c r="BF522" s="199">
        <f>$P522*BF$34-$Q522</f>
        <v/>
      </c>
      <c r="BH522" s="198">
        <f>$G522</f>
        <v/>
      </c>
      <c r="BI522" s="197">
        <f>$I522</f>
        <v/>
      </c>
      <c r="BJ522" s="197">
        <f>+BJ523</f>
        <v/>
      </c>
      <c r="BK522" s="197">
        <f>+BK523</f>
        <v/>
      </c>
      <c r="BL522" s="197">
        <f>+BL523</f>
        <v/>
      </c>
      <c r="BM522" s="197">
        <f>+BM523</f>
        <v/>
      </c>
      <c r="BN522" s="197">
        <f>+BN523</f>
        <v/>
      </c>
      <c r="BP522" s="198">
        <f>$G522</f>
        <v/>
      </c>
      <c r="BQ522" s="197">
        <f>$J522</f>
        <v/>
      </c>
      <c r="BR522" s="197">
        <f>+BR523</f>
        <v/>
      </c>
      <c r="BS522" s="197">
        <f>+BS523</f>
        <v/>
      </c>
      <c r="BT522" s="197">
        <f>+BT523</f>
        <v/>
      </c>
      <c r="BU522" s="197">
        <f>+BU523</f>
        <v/>
      </c>
      <c r="BV522" s="197">
        <f>+BV523</f>
        <v/>
      </c>
      <c r="BX522" s="198">
        <f>$G522</f>
        <v/>
      </c>
      <c r="BY522" s="197">
        <f>$K522</f>
        <v/>
      </c>
      <c r="BZ522" s="197">
        <f>+BZ523</f>
        <v/>
      </c>
      <c r="CA522" s="197">
        <f>+CA523</f>
        <v/>
      </c>
      <c r="CB522" s="197">
        <f>+CB523</f>
        <v/>
      </c>
      <c r="CC522" s="197">
        <f>+CC523</f>
        <v/>
      </c>
      <c r="CD522" s="197">
        <f>+CD523</f>
        <v/>
      </c>
      <c r="CF522" s="198">
        <f>$G522</f>
        <v/>
      </c>
      <c r="CG522" s="197">
        <f>$L522</f>
        <v/>
      </c>
      <c r="CH522" s="197">
        <f>+CH523</f>
        <v/>
      </c>
      <c r="CI522" s="197">
        <f>+CI523</f>
        <v/>
      </c>
      <c r="CJ522" s="197">
        <f>+CJ523</f>
        <v/>
      </c>
      <c r="CK522" s="197">
        <f>+CK523</f>
        <v/>
      </c>
      <c r="CL522" s="197">
        <f>+CL523</f>
        <v/>
      </c>
      <c r="CO522" s="199" t="n">
        <v>4.673882049565465</v>
      </c>
      <c r="CP522" s="199" t="n">
        <v>3.06</v>
      </c>
      <c r="CR522" s="199" t="n">
        <v>3.77</v>
      </c>
      <c r="CS522" s="970" t="n">
        <v>0.80661</v>
      </c>
    </row>
    <row r="523">
      <c r="B523" s="204">
        <f>+C523-1</f>
        <v/>
      </c>
      <c r="C523" s="204">
        <f>IF('bands_A-H_Avg'!$D$9+1&gt;MONTH(G523),YEAR(G523),YEAR(G523)+1)</f>
        <v/>
      </c>
      <c r="D523" s="204">
        <f>+C523+1</f>
        <v/>
      </c>
      <c r="E523" s="203">
        <f>IF(C523&gt;C522,1,E522+1)</f>
        <v/>
      </c>
      <c r="F523" s="203">
        <f>COUNTIF(C:C,C523)</f>
        <v/>
      </c>
      <c r="G523" s="198">
        <f>+G522+7</f>
        <v/>
      </c>
      <c r="H523" s="361">
        <f>IF(ISBLANK(CO523),CP523,SUMPRODUCT(CO$32:CP$32,CO523:CP523))</f>
        <v/>
      </c>
      <c r="I523" s="968">
        <f>H523/M523</f>
        <v/>
      </c>
      <c r="J523" s="968">
        <f>H523/N523</f>
        <v/>
      </c>
      <c r="K523" s="968">
        <f>(H523+Q523)/O523</f>
        <v/>
      </c>
      <c r="L523" s="968">
        <f>(H523+Q523)/P523</f>
        <v/>
      </c>
      <c r="M523" s="199">
        <f>HLOOKUP(C:C,$4:$10,3,FALSE)+((HLOOKUP(D:D,$4:$10,3,FALSE)-HLOOKUP(C:C,$4:$10,3,FALSE))*E523/F523)</f>
        <v/>
      </c>
      <c r="N523" s="199">
        <f>HLOOKUP(C:C,$4:$10,2,FALSE)+((HLOOKUP(D:D,$4:$10,2,FALSE)-HLOOKUP(C:C,$4:$10,2,FALSE))*E523/F523)</f>
        <v/>
      </c>
      <c r="O523" s="199">
        <f>HLOOKUP(C:C,$4:$10,5,FALSE)+((HLOOKUP(D:D,$4:$10,5,FALSE)-HLOOKUP(C:C,$4:$10,5,FALSE))*E523/F523)</f>
        <v/>
      </c>
      <c r="P523" s="199">
        <f>HLOOKUP(C:C,$4:$10,4,FALSE)+((HLOOKUP(D:D,$4:$10,4,FALSE)-HLOOKUP(C:C,$4:$10,4,FALSE))*E523/F523)</f>
        <v/>
      </c>
      <c r="Q523" s="199">
        <f>HLOOKUP(B:B,$4:$10,6,FALSE)+((HLOOKUP(C:C,$4:$10,6,FALSE)-HLOOKUP(B:B,$4:$10,6,FALSE))*E523/F523)</f>
        <v/>
      </c>
      <c r="T523" s="198">
        <f>$G523</f>
        <v/>
      </c>
      <c r="U523" s="199">
        <f>H523/(HLOOKUP(B:B,$4:$10,3,FALSE)+((HLOOKUP(C:C,$4:$10,3,FALSE)-HLOOKUP(B:B,$4:$10,3,FALSE))*E523/F523))</f>
        <v/>
      </c>
      <c r="V523" s="969">
        <f>HLOOKUP(B:B,$4:$10,7,FALSE)+((HLOOKUP(C:C,$4:$10,7,FALSE)-HLOOKUP(B:B,$4:$10,7,FALSE))*E523/F523)</f>
        <v/>
      </c>
      <c r="AB523" s="198">
        <f>$G523</f>
        <v/>
      </c>
      <c r="AC523" s="199">
        <f>$H523</f>
        <v/>
      </c>
      <c r="AD523" s="199">
        <f>$M523*AD$34</f>
        <v/>
      </c>
      <c r="AE523" s="199">
        <f>$M523*AE$34</f>
        <v/>
      </c>
      <c r="AF523" s="199">
        <f>$M523*AF$34</f>
        <v/>
      </c>
      <c r="AG523" s="199">
        <f>$M523*AG$34</f>
        <v/>
      </c>
      <c r="AH523" s="199">
        <f>$M523*AH$34</f>
        <v/>
      </c>
      <c r="AJ523" s="198">
        <f>$G523</f>
        <v/>
      </c>
      <c r="AK523" s="199">
        <f>$H523</f>
        <v/>
      </c>
      <c r="AL523" s="199">
        <f>$N523*AL$34</f>
        <v/>
      </c>
      <c r="AM523" s="199">
        <f>$N523*AM$34</f>
        <v/>
      </c>
      <c r="AN523" s="199">
        <f>$N523*AN$34</f>
        <v/>
      </c>
      <c r="AO523" s="199">
        <f>$N523*AO$34</f>
        <v/>
      </c>
      <c r="AP523" s="199">
        <f>$N523*AP$34</f>
        <v/>
      </c>
      <c r="AR523" s="198">
        <f>$G523</f>
        <v/>
      </c>
      <c r="AS523" s="199">
        <f>$H523</f>
        <v/>
      </c>
      <c r="AT523" s="199">
        <f>$O523*AT$34-$Q523</f>
        <v/>
      </c>
      <c r="AU523" s="199">
        <f>$O523*AU$34-$Q523</f>
        <v/>
      </c>
      <c r="AV523" s="199">
        <f>$O523*AV$34-$Q523</f>
        <v/>
      </c>
      <c r="AW523" s="199">
        <f>$O523*AW$34-$Q523</f>
        <v/>
      </c>
      <c r="AX523" s="199">
        <f>$O523*AX$34-$Q523</f>
        <v/>
      </c>
      <c r="AZ523" s="198">
        <f>$G523</f>
        <v/>
      </c>
      <c r="BA523" s="199">
        <f>$H523</f>
        <v/>
      </c>
      <c r="BB523" s="199">
        <f>$P523*BB$34-$Q523</f>
        <v/>
      </c>
      <c r="BC523" s="199">
        <f>$P523*BC$34-$Q523</f>
        <v/>
      </c>
      <c r="BD523" s="199">
        <f>$P523*BD$34-$Q523</f>
        <v/>
      </c>
      <c r="BE523" s="199">
        <f>$P523*BE$34-$Q523</f>
        <v/>
      </c>
      <c r="BF523" s="199">
        <f>$P523*BF$34-$Q523</f>
        <v/>
      </c>
      <c r="BH523" s="198">
        <f>$G523</f>
        <v/>
      </c>
      <c r="BI523" s="197">
        <f>$I523</f>
        <v/>
      </c>
      <c r="BJ523" s="197">
        <f>+BJ524</f>
        <v/>
      </c>
      <c r="BK523" s="197">
        <f>+BK524</f>
        <v/>
      </c>
      <c r="BL523" s="197">
        <f>+BL524</f>
        <v/>
      </c>
      <c r="BM523" s="197">
        <f>+BM524</f>
        <v/>
      </c>
      <c r="BN523" s="197">
        <f>+BN524</f>
        <v/>
      </c>
      <c r="BP523" s="198">
        <f>$G523</f>
        <v/>
      </c>
      <c r="BQ523" s="197">
        <f>$J523</f>
        <v/>
      </c>
      <c r="BR523" s="197">
        <f>+BR524</f>
        <v/>
      </c>
      <c r="BS523" s="197">
        <f>+BS524</f>
        <v/>
      </c>
      <c r="BT523" s="197">
        <f>+BT524</f>
        <v/>
      </c>
      <c r="BU523" s="197">
        <f>+BU524</f>
        <v/>
      </c>
      <c r="BV523" s="197">
        <f>+BV524</f>
        <v/>
      </c>
      <c r="BX523" s="198">
        <f>$G523</f>
        <v/>
      </c>
      <c r="BY523" s="197">
        <f>$K523</f>
        <v/>
      </c>
      <c r="BZ523" s="197">
        <f>+BZ524</f>
        <v/>
      </c>
      <c r="CA523" s="197">
        <f>+CA524</f>
        <v/>
      </c>
      <c r="CB523" s="197">
        <f>+CB524</f>
        <v/>
      </c>
      <c r="CC523" s="197">
        <f>+CC524</f>
        <v/>
      </c>
      <c r="CD523" s="197">
        <f>+CD524</f>
        <v/>
      </c>
      <c r="CF523" s="198">
        <f>$G523</f>
        <v/>
      </c>
      <c r="CG523" s="197">
        <f>$L523</f>
        <v/>
      </c>
      <c r="CH523" s="197">
        <f>+CH524</f>
        <v/>
      </c>
      <c r="CI523" s="197">
        <f>+CI524</f>
        <v/>
      </c>
      <c r="CJ523" s="197">
        <f>+CJ524</f>
        <v/>
      </c>
      <c r="CK523" s="197">
        <f>+CK524</f>
        <v/>
      </c>
      <c r="CL523" s="197">
        <f>+CL524</f>
        <v/>
      </c>
      <c r="CO523" s="199" t="n">
        <v>4.582270329180393</v>
      </c>
      <c r="CP523" s="199" t="n">
        <v>3.17</v>
      </c>
      <c r="CR523" s="199" t="n">
        <v>3.7</v>
      </c>
      <c r="CS523" s="970" t="n">
        <v>0.80746</v>
      </c>
    </row>
    <row r="524">
      <c r="B524" s="204">
        <f>+C524-1</f>
        <v/>
      </c>
      <c r="C524" s="204">
        <f>IF('bands_A-H_Avg'!$D$9+1&gt;MONTH(G524),YEAR(G524),YEAR(G524)+1)</f>
        <v/>
      </c>
      <c r="D524" s="204">
        <f>+C524+1</f>
        <v/>
      </c>
      <c r="E524" s="203">
        <f>IF(C524&gt;C523,1,E523+1)</f>
        <v/>
      </c>
      <c r="F524" s="203">
        <f>COUNTIF(C:C,C524)</f>
        <v/>
      </c>
      <c r="G524" s="198">
        <f>+G523+7</f>
        <v/>
      </c>
      <c r="H524" s="361">
        <f>IF(ISBLANK(CO524),CP524,SUMPRODUCT(CO$32:CP$32,CO524:CP524))</f>
        <v/>
      </c>
      <c r="I524" s="968">
        <f>H524/M524</f>
        <v/>
      </c>
      <c r="J524" s="968">
        <f>H524/N524</f>
        <v/>
      </c>
      <c r="K524" s="968">
        <f>(H524+Q524)/O524</f>
        <v/>
      </c>
      <c r="L524" s="968">
        <f>(H524+Q524)/P524</f>
        <v/>
      </c>
      <c r="M524" s="199">
        <f>HLOOKUP(C:C,$4:$10,3,FALSE)+((HLOOKUP(D:D,$4:$10,3,FALSE)-HLOOKUP(C:C,$4:$10,3,FALSE))*E524/F524)</f>
        <v/>
      </c>
      <c r="N524" s="199">
        <f>HLOOKUP(C:C,$4:$10,2,FALSE)+((HLOOKUP(D:D,$4:$10,2,FALSE)-HLOOKUP(C:C,$4:$10,2,FALSE))*E524/F524)</f>
        <v/>
      </c>
      <c r="O524" s="199">
        <f>HLOOKUP(C:C,$4:$10,5,FALSE)+((HLOOKUP(D:D,$4:$10,5,FALSE)-HLOOKUP(C:C,$4:$10,5,FALSE))*E524/F524)</f>
        <v/>
      </c>
      <c r="P524" s="199">
        <f>HLOOKUP(C:C,$4:$10,4,FALSE)+((HLOOKUP(D:D,$4:$10,4,FALSE)-HLOOKUP(C:C,$4:$10,4,FALSE))*E524/F524)</f>
        <v/>
      </c>
      <c r="Q524" s="199">
        <f>HLOOKUP(B:B,$4:$10,6,FALSE)+((HLOOKUP(C:C,$4:$10,6,FALSE)-HLOOKUP(B:B,$4:$10,6,FALSE))*E524/F524)</f>
        <v/>
      </c>
      <c r="T524" s="198">
        <f>$G524</f>
        <v/>
      </c>
      <c r="U524" s="199">
        <f>H524/(HLOOKUP(B:B,$4:$10,3,FALSE)+((HLOOKUP(C:C,$4:$10,3,FALSE)-HLOOKUP(B:B,$4:$10,3,FALSE))*E524/F524))</f>
        <v/>
      </c>
      <c r="V524" s="969">
        <f>HLOOKUP(B:B,$4:$10,7,FALSE)+((HLOOKUP(C:C,$4:$10,7,FALSE)-HLOOKUP(B:B,$4:$10,7,FALSE))*E524/F524)</f>
        <v/>
      </c>
      <c r="AB524" s="198">
        <f>$G524</f>
        <v/>
      </c>
      <c r="AC524" s="199">
        <f>$H524</f>
        <v/>
      </c>
      <c r="AD524" s="199">
        <f>$M524*AD$34</f>
        <v/>
      </c>
      <c r="AE524" s="199">
        <f>$M524*AE$34</f>
        <v/>
      </c>
      <c r="AF524" s="199">
        <f>$M524*AF$34</f>
        <v/>
      </c>
      <c r="AG524" s="199">
        <f>$M524*AG$34</f>
        <v/>
      </c>
      <c r="AH524" s="199">
        <f>$M524*AH$34</f>
        <v/>
      </c>
      <c r="AJ524" s="198">
        <f>$G524</f>
        <v/>
      </c>
      <c r="AK524" s="199">
        <f>$H524</f>
        <v/>
      </c>
      <c r="AL524" s="199">
        <f>$N524*AL$34</f>
        <v/>
      </c>
      <c r="AM524" s="199">
        <f>$N524*AM$34</f>
        <v/>
      </c>
      <c r="AN524" s="199">
        <f>$N524*AN$34</f>
        <v/>
      </c>
      <c r="AO524" s="199">
        <f>$N524*AO$34</f>
        <v/>
      </c>
      <c r="AP524" s="199">
        <f>$N524*AP$34</f>
        <v/>
      </c>
      <c r="AR524" s="198">
        <f>$G524</f>
        <v/>
      </c>
      <c r="AS524" s="199">
        <f>$H524</f>
        <v/>
      </c>
      <c r="AT524" s="199">
        <f>$O524*AT$34-$Q524</f>
        <v/>
      </c>
      <c r="AU524" s="199">
        <f>$O524*AU$34-$Q524</f>
        <v/>
      </c>
      <c r="AV524" s="199">
        <f>$O524*AV$34-$Q524</f>
        <v/>
      </c>
      <c r="AW524" s="199">
        <f>$O524*AW$34-$Q524</f>
        <v/>
      </c>
      <c r="AX524" s="199">
        <f>$O524*AX$34-$Q524</f>
        <v/>
      </c>
      <c r="AZ524" s="198">
        <f>$G524</f>
        <v/>
      </c>
      <c r="BA524" s="199">
        <f>$H524</f>
        <v/>
      </c>
      <c r="BB524" s="199">
        <f>$P524*BB$34-$Q524</f>
        <v/>
      </c>
      <c r="BC524" s="199">
        <f>$P524*BC$34-$Q524</f>
        <v/>
      </c>
      <c r="BD524" s="199">
        <f>$P524*BD$34-$Q524</f>
        <v/>
      </c>
      <c r="BE524" s="199">
        <f>$P524*BE$34-$Q524</f>
        <v/>
      </c>
      <c r="BF524" s="199">
        <f>$P524*BF$34-$Q524</f>
        <v/>
      </c>
      <c r="BH524" s="198">
        <f>$G524</f>
        <v/>
      </c>
      <c r="BI524" s="197">
        <f>$I524</f>
        <v/>
      </c>
      <c r="BJ524" s="197">
        <f>+BJ525</f>
        <v/>
      </c>
      <c r="BK524" s="197">
        <f>+BK525</f>
        <v/>
      </c>
      <c r="BL524" s="197">
        <f>+BL525</f>
        <v/>
      </c>
      <c r="BM524" s="197">
        <f>+BM525</f>
        <v/>
      </c>
      <c r="BN524" s="197">
        <f>+BN525</f>
        <v/>
      </c>
      <c r="BP524" s="198">
        <f>$G524</f>
        <v/>
      </c>
      <c r="BQ524" s="197">
        <f>$J524</f>
        <v/>
      </c>
      <c r="BR524" s="197">
        <f>+BR525</f>
        <v/>
      </c>
      <c r="BS524" s="197">
        <f>+BS525</f>
        <v/>
      </c>
      <c r="BT524" s="197">
        <f>+BT525</f>
        <v/>
      </c>
      <c r="BU524" s="197">
        <f>+BU525</f>
        <v/>
      </c>
      <c r="BV524" s="197">
        <f>+BV525</f>
        <v/>
      </c>
      <c r="BX524" s="198">
        <f>$G524</f>
        <v/>
      </c>
      <c r="BY524" s="197">
        <f>$K524</f>
        <v/>
      </c>
      <c r="BZ524" s="197">
        <f>+BZ525</f>
        <v/>
      </c>
      <c r="CA524" s="197">
        <f>+CA525</f>
        <v/>
      </c>
      <c r="CB524" s="197">
        <f>+CB525</f>
        <v/>
      </c>
      <c r="CC524" s="197">
        <f>+CC525</f>
        <v/>
      </c>
      <c r="CD524" s="197">
        <f>+CD525</f>
        <v/>
      </c>
      <c r="CF524" s="198">
        <f>$G524</f>
        <v/>
      </c>
      <c r="CG524" s="197">
        <f>$L524</f>
        <v/>
      </c>
      <c r="CH524" s="197">
        <f>+CH525</f>
        <v/>
      </c>
      <c r="CI524" s="197">
        <f>+CI525</f>
        <v/>
      </c>
      <c r="CJ524" s="197">
        <f>+CJ525</f>
        <v/>
      </c>
      <c r="CK524" s="197">
        <f>+CK525</f>
        <v/>
      </c>
      <c r="CL524" s="197">
        <f>+CL525</f>
        <v/>
      </c>
      <c r="CO524" s="199" t="n">
        <v>4.655099449851884</v>
      </c>
      <c r="CP524" s="199" t="n">
        <v>2.99</v>
      </c>
      <c r="CR524" s="199" t="n">
        <v>3.74</v>
      </c>
      <c r="CS524" s="970" t="n">
        <v>0.80342</v>
      </c>
    </row>
    <row r="525">
      <c r="B525" s="204">
        <f>+C525-1</f>
        <v/>
      </c>
      <c r="C525" s="204">
        <f>IF('bands_A-H_Avg'!$D$9+1&gt;MONTH(G525),YEAR(G525),YEAR(G525)+1)</f>
        <v/>
      </c>
      <c r="D525" s="204">
        <f>+C525+1</f>
        <v/>
      </c>
      <c r="E525" s="203">
        <f>IF(C525&gt;C524,1,E524+1)</f>
        <v/>
      </c>
      <c r="F525" s="203">
        <f>COUNTIF(C:C,C525)</f>
        <v/>
      </c>
      <c r="G525" s="198">
        <f>+G524+7</f>
        <v/>
      </c>
      <c r="H525" s="361">
        <f>IF(ISBLANK(CO525),CP525,SUMPRODUCT(CO$32:CP$32,CO525:CP525))</f>
        <v/>
      </c>
      <c r="I525" s="968">
        <f>H525/M525</f>
        <v/>
      </c>
      <c r="J525" s="968">
        <f>H525/N525</f>
        <v/>
      </c>
      <c r="K525" s="968">
        <f>(H525+Q525)/O525</f>
        <v/>
      </c>
      <c r="L525" s="968">
        <f>(H525+Q525)/P525</f>
        <v/>
      </c>
      <c r="M525" s="199">
        <f>HLOOKUP(C:C,$4:$10,3,FALSE)+((HLOOKUP(D:D,$4:$10,3,FALSE)-HLOOKUP(C:C,$4:$10,3,FALSE))*E525/F525)</f>
        <v/>
      </c>
      <c r="N525" s="199">
        <f>HLOOKUP(C:C,$4:$10,2,FALSE)+((HLOOKUP(D:D,$4:$10,2,FALSE)-HLOOKUP(C:C,$4:$10,2,FALSE))*E525/F525)</f>
        <v/>
      </c>
      <c r="O525" s="199">
        <f>HLOOKUP(C:C,$4:$10,5,FALSE)+((HLOOKUP(D:D,$4:$10,5,FALSE)-HLOOKUP(C:C,$4:$10,5,FALSE))*E525/F525)</f>
        <v/>
      </c>
      <c r="P525" s="199">
        <f>HLOOKUP(C:C,$4:$10,4,FALSE)+((HLOOKUP(D:D,$4:$10,4,FALSE)-HLOOKUP(C:C,$4:$10,4,FALSE))*E525/F525)</f>
        <v/>
      </c>
      <c r="Q525" s="199">
        <f>HLOOKUP(B:B,$4:$10,6,FALSE)+((HLOOKUP(C:C,$4:$10,6,FALSE)-HLOOKUP(B:B,$4:$10,6,FALSE))*E525/F525)</f>
        <v/>
      </c>
      <c r="T525" s="198">
        <f>$G525</f>
        <v/>
      </c>
      <c r="U525" s="199">
        <f>H525/(HLOOKUP(B:B,$4:$10,3,FALSE)+((HLOOKUP(C:C,$4:$10,3,FALSE)-HLOOKUP(B:B,$4:$10,3,FALSE))*E525/F525))</f>
        <v/>
      </c>
      <c r="V525" s="969">
        <f>HLOOKUP(B:B,$4:$10,7,FALSE)+((HLOOKUP(C:C,$4:$10,7,FALSE)-HLOOKUP(B:B,$4:$10,7,FALSE))*E525/F525)</f>
        <v/>
      </c>
      <c r="AB525" s="198">
        <f>$G525</f>
        <v/>
      </c>
      <c r="AC525" s="199">
        <f>$H525</f>
        <v/>
      </c>
      <c r="AD525" s="199">
        <f>$M525*AD$34</f>
        <v/>
      </c>
      <c r="AE525" s="199">
        <f>$M525*AE$34</f>
        <v/>
      </c>
      <c r="AF525" s="199">
        <f>$M525*AF$34</f>
        <v/>
      </c>
      <c r="AG525" s="199">
        <f>$M525*AG$34</f>
        <v/>
      </c>
      <c r="AH525" s="199">
        <f>$M525*AH$34</f>
        <v/>
      </c>
      <c r="AJ525" s="198">
        <f>$G525</f>
        <v/>
      </c>
      <c r="AK525" s="199">
        <f>$H525</f>
        <v/>
      </c>
      <c r="AL525" s="199">
        <f>$N525*AL$34</f>
        <v/>
      </c>
      <c r="AM525" s="199">
        <f>$N525*AM$34</f>
        <v/>
      </c>
      <c r="AN525" s="199">
        <f>$N525*AN$34</f>
        <v/>
      </c>
      <c r="AO525" s="199">
        <f>$N525*AO$34</f>
        <v/>
      </c>
      <c r="AP525" s="199">
        <f>$N525*AP$34</f>
        <v/>
      </c>
      <c r="AR525" s="198">
        <f>$G525</f>
        <v/>
      </c>
      <c r="AS525" s="199">
        <f>$H525</f>
        <v/>
      </c>
      <c r="AT525" s="199">
        <f>$O525*AT$34-$Q525</f>
        <v/>
      </c>
      <c r="AU525" s="199">
        <f>$O525*AU$34-$Q525</f>
        <v/>
      </c>
      <c r="AV525" s="199">
        <f>$O525*AV$34-$Q525</f>
        <v/>
      </c>
      <c r="AW525" s="199">
        <f>$O525*AW$34-$Q525</f>
        <v/>
      </c>
      <c r="AX525" s="199">
        <f>$O525*AX$34-$Q525</f>
        <v/>
      </c>
      <c r="AZ525" s="198">
        <f>$G525</f>
        <v/>
      </c>
      <c r="BA525" s="199">
        <f>$H525</f>
        <v/>
      </c>
      <c r="BB525" s="199">
        <f>$P525*BB$34-$Q525</f>
        <v/>
      </c>
      <c r="BC525" s="199">
        <f>$P525*BC$34-$Q525</f>
        <v/>
      </c>
      <c r="BD525" s="199">
        <f>$P525*BD$34-$Q525</f>
        <v/>
      </c>
      <c r="BE525" s="199">
        <f>$P525*BE$34-$Q525</f>
        <v/>
      </c>
      <c r="BF525" s="199">
        <f>$P525*BF$34-$Q525</f>
        <v/>
      </c>
      <c r="BH525" s="198">
        <f>$G525</f>
        <v/>
      </c>
      <c r="BI525" s="197">
        <f>$I525</f>
        <v/>
      </c>
      <c r="BJ525" s="197">
        <f>+BJ526</f>
        <v/>
      </c>
      <c r="BK525" s="197">
        <f>+BK526</f>
        <v/>
      </c>
      <c r="BL525" s="197">
        <f>+BL526</f>
        <v/>
      </c>
      <c r="BM525" s="197">
        <f>+BM526</f>
        <v/>
      </c>
      <c r="BN525" s="197">
        <f>+BN526</f>
        <v/>
      </c>
      <c r="BP525" s="198">
        <f>$G525</f>
        <v/>
      </c>
      <c r="BQ525" s="197">
        <f>$J525</f>
        <v/>
      </c>
      <c r="BR525" s="197">
        <f>+BR526</f>
        <v/>
      </c>
      <c r="BS525" s="197">
        <f>+BS526</f>
        <v/>
      </c>
      <c r="BT525" s="197">
        <f>+BT526</f>
        <v/>
      </c>
      <c r="BU525" s="197">
        <f>+BU526</f>
        <v/>
      </c>
      <c r="BV525" s="197">
        <f>+BV526</f>
        <v/>
      </c>
      <c r="BX525" s="198">
        <f>$G525</f>
        <v/>
      </c>
      <c r="BY525" s="197">
        <f>$K525</f>
        <v/>
      </c>
      <c r="BZ525" s="197">
        <f>+BZ526</f>
        <v/>
      </c>
      <c r="CA525" s="197">
        <f>+CA526</f>
        <v/>
      </c>
      <c r="CB525" s="197">
        <f>+CB526</f>
        <v/>
      </c>
      <c r="CC525" s="197">
        <f>+CC526</f>
        <v/>
      </c>
      <c r="CD525" s="197">
        <f>+CD526</f>
        <v/>
      </c>
      <c r="CF525" s="198">
        <f>$G525</f>
        <v/>
      </c>
      <c r="CG525" s="197">
        <f>$L525</f>
        <v/>
      </c>
      <c r="CH525" s="197">
        <f>+CH526</f>
        <v/>
      </c>
      <c r="CI525" s="197">
        <f>+CI526</f>
        <v/>
      </c>
      <c r="CJ525" s="197">
        <f>+CJ526</f>
        <v/>
      </c>
      <c r="CK525" s="197">
        <f>+CK526</f>
        <v/>
      </c>
      <c r="CL525" s="197">
        <f>+CL526</f>
        <v/>
      </c>
      <c r="CO525" s="199" t="n">
        <v>4.626002611453087</v>
      </c>
      <c r="CP525" s="199" t="n">
        <v>2.85</v>
      </c>
      <c r="CR525" s="199" t="n">
        <v>3.72</v>
      </c>
      <c r="CS525" s="970" t="n">
        <v>0.80415</v>
      </c>
    </row>
    <row r="526">
      <c r="B526" s="204">
        <f>+C526-1</f>
        <v/>
      </c>
      <c r="C526" s="204">
        <f>IF('bands_A-H_Avg'!$D$9+1&gt;MONTH(G526),YEAR(G526),YEAR(G526)+1)</f>
        <v/>
      </c>
      <c r="D526" s="204">
        <f>+C526+1</f>
        <v/>
      </c>
      <c r="E526" s="203">
        <f>IF(C526&gt;C525,1,E525+1)</f>
        <v/>
      </c>
      <c r="F526" s="203">
        <f>COUNTIF(C:C,C526)</f>
        <v/>
      </c>
      <c r="G526" s="198">
        <f>+G525+7</f>
        <v/>
      </c>
      <c r="H526" s="361">
        <f>IF(ISBLANK(CO526),CP526,SUMPRODUCT(CO$32:CP$32,CO526:CP526))</f>
        <v/>
      </c>
      <c r="I526" s="968">
        <f>H526/M526</f>
        <v/>
      </c>
      <c r="J526" s="968">
        <f>H526/N526</f>
        <v/>
      </c>
      <c r="K526" s="968">
        <f>(H526+Q526)/O526</f>
        <v/>
      </c>
      <c r="L526" s="968">
        <f>(H526+Q526)/P526</f>
        <v/>
      </c>
      <c r="M526" s="199">
        <f>HLOOKUP(C:C,$4:$10,3,FALSE)+((HLOOKUP(D:D,$4:$10,3,FALSE)-HLOOKUP(C:C,$4:$10,3,FALSE))*E526/F526)</f>
        <v/>
      </c>
      <c r="N526" s="199">
        <f>HLOOKUP(C:C,$4:$10,2,FALSE)+((HLOOKUP(D:D,$4:$10,2,FALSE)-HLOOKUP(C:C,$4:$10,2,FALSE))*E526/F526)</f>
        <v/>
      </c>
      <c r="O526" s="199">
        <f>HLOOKUP(C:C,$4:$10,5,FALSE)+((HLOOKUP(D:D,$4:$10,5,FALSE)-HLOOKUP(C:C,$4:$10,5,FALSE))*E526/F526)</f>
        <v/>
      </c>
      <c r="P526" s="199">
        <f>HLOOKUP(C:C,$4:$10,4,FALSE)+((HLOOKUP(D:D,$4:$10,4,FALSE)-HLOOKUP(C:C,$4:$10,4,FALSE))*E526/F526)</f>
        <v/>
      </c>
      <c r="Q526" s="199">
        <f>HLOOKUP(B:B,$4:$10,6,FALSE)+((HLOOKUP(C:C,$4:$10,6,FALSE)-HLOOKUP(B:B,$4:$10,6,FALSE))*E526/F526)</f>
        <v/>
      </c>
      <c r="T526" s="198">
        <f>$G526</f>
        <v/>
      </c>
      <c r="U526" s="199">
        <f>H526/(HLOOKUP(B:B,$4:$10,3,FALSE)+((HLOOKUP(C:C,$4:$10,3,FALSE)-HLOOKUP(B:B,$4:$10,3,FALSE))*E526/F526))</f>
        <v/>
      </c>
      <c r="V526" s="969">
        <f>HLOOKUP(B:B,$4:$10,7,FALSE)+((HLOOKUP(C:C,$4:$10,7,FALSE)-HLOOKUP(B:B,$4:$10,7,FALSE))*E526/F526)</f>
        <v/>
      </c>
      <c r="AB526" s="198">
        <f>$G526</f>
        <v/>
      </c>
      <c r="AC526" s="199">
        <f>$H526</f>
        <v/>
      </c>
      <c r="AD526" s="199">
        <f>$M526*AD$34</f>
        <v/>
      </c>
      <c r="AE526" s="199">
        <f>$M526*AE$34</f>
        <v/>
      </c>
      <c r="AF526" s="199">
        <f>$M526*AF$34</f>
        <v/>
      </c>
      <c r="AG526" s="199">
        <f>$M526*AG$34</f>
        <v/>
      </c>
      <c r="AH526" s="199">
        <f>$M526*AH$34</f>
        <v/>
      </c>
      <c r="AJ526" s="198">
        <f>$G526</f>
        <v/>
      </c>
      <c r="AK526" s="199">
        <f>$H526</f>
        <v/>
      </c>
      <c r="AL526" s="199">
        <f>$N526*AL$34</f>
        <v/>
      </c>
      <c r="AM526" s="199">
        <f>$N526*AM$34</f>
        <v/>
      </c>
      <c r="AN526" s="199">
        <f>$N526*AN$34</f>
        <v/>
      </c>
      <c r="AO526" s="199">
        <f>$N526*AO$34</f>
        <v/>
      </c>
      <c r="AP526" s="199">
        <f>$N526*AP$34</f>
        <v/>
      </c>
      <c r="AR526" s="198">
        <f>$G526</f>
        <v/>
      </c>
      <c r="AS526" s="199">
        <f>$H526</f>
        <v/>
      </c>
      <c r="AT526" s="199">
        <f>$O526*AT$34-$Q526</f>
        <v/>
      </c>
      <c r="AU526" s="199">
        <f>$O526*AU$34-$Q526</f>
        <v/>
      </c>
      <c r="AV526" s="199">
        <f>$O526*AV$34-$Q526</f>
        <v/>
      </c>
      <c r="AW526" s="199">
        <f>$O526*AW$34-$Q526</f>
        <v/>
      </c>
      <c r="AX526" s="199">
        <f>$O526*AX$34-$Q526</f>
        <v/>
      </c>
      <c r="AZ526" s="198">
        <f>$G526</f>
        <v/>
      </c>
      <c r="BA526" s="199">
        <f>$H526</f>
        <v/>
      </c>
      <c r="BB526" s="199">
        <f>$P526*BB$34-$Q526</f>
        <v/>
      </c>
      <c r="BC526" s="199">
        <f>$P526*BC$34-$Q526</f>
        <v/>
      </c>
      <c r="BD526" s="199">
        <f>$P526*BD$34-$Q526</f>
        <v/>
      </c>
      <c r="BE526" s="199">
        <f>$P526*BE$34-$Q526</f>
        <v/>
      </c>
      <c r="BF526" s="199">
        <f>$P526*BF$34-$Q526</f>
        <v/>
      </c>
      <c r="BH526" s="198">
        <f>$G526</f>
        <v/>
      </c>
      <c r="BI526" s="197">
        <f>$I526</f>
        <v/>
      </c>
      <c r="BJ526" s="197">
        <f>+BJ527</f>
        <v/>
      </c>
      <c r="BK526" s="197">
        <f>+BK527</f>
        <v/>
      </c>
      <c r="BL526" s="197">
        <f>+BL527</f>
        <v/>
      </c>
      <c r="BM526" s="197">
        <f>+BM527</f>
        <v/>
      </c>
      <c r="BN526" s="197">
        <f>+BN527</f>
        <v/>
      </c>
      <c r="BP526" s="198">
        <f>$G526</f>
        <v/>
      </c>
      <c r="BQ526" s="197">
        <f>$J526</f>
        <v/>
      </c>
      <c r="BR526" s="197">
        <f>+BR527</f>
        <v/>
      </c>
      <c r="BS526" s="197">
        <f>+BS527</f>
        <v/>
      </c>
      <c r="BT526" s="197">
        <f>+BT527</f>
        <v/>
      </c>
      <c r="BU526" s="197">
        <f>+BU527</f>
        <v/>
      </c>
      <c r="BV526" s="197">
        <f>+BV527</f>
        <v/>
      </c>
      <c r="BX526" s="198">
        <f>$G526</f>
        <v/>
      </c>
      <c r="BY526" s="197">
        <f>$K526</f>
        <v/>
      </c>
      <c r="BZ526" s="197">
        <f>+BZ527</f>
        <v/>
      </c>
      <c r="CA526" s="197">
        <f>+CA527</f>
        <v/>
      </c>
      <c r="CB526" s="197">
        <f>+CB527</f>
        <v/>
      </c>
      <c r="CC526" s="197">
        <f>+CC527</f>
        <v/>
      </c>
      <c r="CD526" s="197">
        <f>+CD527</f>
        <v/>
      </c>
      <c r="CF526" s="198">
        <f>$G526</f>
        <v/>
      </c>
      <c r="CG526" s="197">
        <f>$L526</f>
        <v/>
      </c>
      <c r="CH526" s="197">
        <f>+CH527</f>
        <v/>
      </c>
      <c r="CI526" s="197">
        <f>+CI527</f>
        <v/>
      </c>
      <c r="CJ526" s="197">
        <f>+CJ527</f>
        <v/>
      </c>
      <c r="CK526" s="197">
        <f>+CK527</f>
        <v/>
      </c>
      <c r="CL526" s="197">
        <f>+CL527</f>
        <v/>
      </c>
      <c r="CO526" s="199" t="n">
        <v>4.637688367235291</v>
      </c>
      <c r="CP526" s="199" t="n">
        <v>2.89</v>
      </c>
      <c r="CR526" s="199" t="n">
        <v>3.73</v>
      </c>
      <c r="CS526" s="970" t="n">
        <v>0.80428</v>
      </c>
    </row>
    <row r="527">
      <c r="B527" s="204">
        <f>+C527-1</f>
        <v/>
      </c>
      <c r="C527" s="204">
        <f>IF('bands_A-H_Avg'!$D$9+1&gt;MONTH(G527),YEAR(G527),YEAR(G527)+1)</f>
        <v/>
      </c>
      <c r="D527" s="204">
        <f>+C527+1</f>
        <v/>
      </c>
      <c r="E527" s="203">
        <f>IF(C527&gt;C526,1,E526+1)</f>
        <v/>
      </c>
      <c r="F527" s="203">
        <f>COUNTIF(C:C,C527)</f>
        <v/>
      </c>
      <c r="G527" s="198">
        <f>+G526+7</f>
        <v/>
      </c>
      <c r="H527" s="361">
        <f>IF(ISBLANK(CO527),CP527,SUMPRODUCT(CO$32:CP$32,CO527:CP527))</f>
        <v/>
      </c>
      <c r="I527" s="968">
        <f>H527/M527</f>
        <v/>
      </c>
      <c r="J527" s="968">
        <f>H527/N527</f>
        <v/>
      </c>
      <c r="K527" s="968">
        <f>(H527+Q527)/O527</f>
        <v/>
      </c>
      <c r="L527" s="968">
        <f>(H527+Q527)/P527</f>
        <v/>
      </c>
      <c r="M527" s="199">
        <f>HLOOKUP(C:C,$4:$10,3,FALSE)+((HLOOKUP(D:D,$4:$10,3,FALSE)-HLOOKUP(C:C,$4:$10,3,FALSE))*E527/F527)</f>
        <v/>
      </c>
      <c r="N527" s="199">
        <f>HLOOKUP(C:C,$4:$10,2,FALSE)+((HLOOKUP(D:D,$4:$10,2,FALSE)-HLOOKUP(C:C,$4:$10,2,FALSE))*E527/F527)</f>
        <v/>
      </c>
      <c r="O527" s="199">
        <f>HLOOKUP(C:C,$4:$10,5,FALSE)+((HLOOKUP(D:D,$4:$10,5,FALSE)-HLOOKUP(C:C,$4:$10,5,FALSE))*E527/F527)</f>
        <v/>
      </c>
      <c r="P527" s="199">
        <f>HLOOKUP(C:C,$4:$10,4,FALSE)+((HLOOKUP(D:D,$4:$10,4,FALSE)-HLOOKUP(C:C,$4:$10,4,FALSE))*E527/F527)</f>
        <v/>
      </c>
      <c r="Q527" s="199">
        <f>HLOOKUP(B:B,$4:$10,6,FALSE)+((HLOOKUP(C:C,$4:$10,6,FALSE)-HLOOKUP(B:B,$4:$10,6,FALSE))*E527/F527)</f>
        <v/>
      </c>
      <c r="T527" s="198">
        <f>$G527</f>
        <v/>
      </c>
      <c r="U527" s="199">
        <f>H527/(HLOOKUP(B:B,$4:$10,3,FALSE)+((HLOOKUP(C:C,$4:$10,3,FALSE)-HLOOKUP(B:B,$4:$10,3,FALSE))*E527/F527))</f>
        <v/>
      </c>
      <c r="V527" s="969">
        <f>HLOOKUP(B:B,$4:$10,7,FALSE)+((HLOOKUP(C:C,$4:$10,7,FALSE)-HLOOKUP(B:B,$4:$10,7,FALSE))*E527/F527)</f>
        <v/>
      </c>
      <c r="AB527" s="198">
        <f>$G527</f>
        <v/>
      </c>
      <c r="AC527" s="199">
        <f>$H527</f>
        <v/>
      </c>
      <c r="AD527" s="199">
        <f>$M527*AD$34</f>
        <v/>
      </c>
      <c r="AE527" s="199">
        <f>$M527*AE$34</f>
        <v/>
      </c>
      <c r="AF527" s="199">
        <f>$M527*AF$34</f>
        <v/>
      </c>
      <c r="AG527" s="199">
        <f>$M527*AG$34</f>
        <v/>
      </c>
      <c r="AH527" s="199">
        <f>$M527*AH$34</f>
        <v/>
      </c>
      <c r="AJ527" s="198">
        <f>$G527</f>
        <v/>
      </c>
      <c r="AK527" s="199">
        <f>$H527</f>
        <v/>
      </c>
      <c r="AL527" s="199">
        <f>$N527*AL$34</f>
        <v/>
      </c>
      <c r="AM527" s="199">
        <f>$N527*AM$34</f>
        <v/>
      </c>
      <c r="AN527" s="199">
        <f>$N527*AN$34</f>
        <v/>
      </c>
      <c r="AO527" s="199">
        <f>$N527*AO$34</f>
        <v/>
      </c>
      <c r="AP527" s="199">
        <f>$N527*AP$34</f>
        <v/>
      </c>
      <c r="AR527" s="198">
        <f>$G527</f>
        <v/>
      </c>
      <c r="AS527" s="199">
        <f>$H527</f>
        <v/>
      </c>
      <c r="AT527" s="199">
        <f>$O527*AT$34-$Q527</f>
        <v/>
      </c>
      <c r="AU527" s="199">
        <f>$O527*AU$34-$Q527</f>
        <v/>
      </c>
      <c r="AV527" s="199">
        <f>$O527*AV$34-$Q527</f>
        <v/>
      </c>
      <c r="AW527" s="199">
        <f>$O527*AW$34-$Q527</f>
        <v/>
      </c>
      <c r="AX527" s="199">
        <f>$O527*AX$34-$Q527</f>
        <v/>
      </c>
      <c r="AZ527" s="198">
        <f>$G527</f>
        <v/>
      </c>
      <c r="BA527" s="199">
        <f>$H527</f>
        <v/>
      </c>
      <c r="BB527" s="199">
        <f>$P527*BB$34-$Q527</f>
        <v/>
      </c>
      <c r="BC527" s="199">
        <f>$P527*BC$34-$Q527</f>
        <v/>
      </c>
      <c r="BD527" s="199">
        <f>$P527*BD$34-$Q527</f>
        <v/>
      </c>
      <c r="BE527" s="199">
        <f>$P527*BE$34-$Q527</f>
        <v/>
      </c>
      <c r="BF527" s="199">
        <f>$P527*BF$34-$Q527</f>
        <v/>
      </c>
      <c r="BH527" s="198">
        <f>$G527</f>
        <v/>
      </c>
      <c r="BI527" s="197">
        <f>$I527</f>
        <v/>
      </c>
      <c r="BJ527" s="197">
        <f>+BJ528</f>
        <v/>
      </c>
      <c r="BK527" s="197">
        <f>+BK528</f>
        <v/>
      </c>
      <c r="BL527" s="197">
        <f>+BL528</f>
        <v/>
      </c>
      <c r="BM527" s="197">
        <f>+BM528</f>
        <v/>
      </c>
      <c r="BN527" s="197">
        <f>+BN528</f>
        <v/>
      </c>
      <c r="BP527" s="198">
        <f>$G527</f>
        <v/>
      </c>
      <c r="BQ527" s="197">
        <f>$J527</f>
        <v/>
      </c>
      <c r="BR527" s="197">
        <f>+BR528</f>
        <v/>
      </c>
      <c r="BS527" s="197">
        <f>+BS528</f>
        <v/>
      </c>
      <c r="BT527" s="197">
        <f>+BT528</f>
        <v/>
      </c>
      <c r="BU527" s="197">
        <f>+BU528</f>
        <v/>
      </c>
      <c r="BV527" s="197">
        <f>+BV528</f>
        <v/>
      </c>
      <c r="BX527" s="198">
        <f>$G527</f>
        <v/>
      </c>
      <c r="BY527" s="197">
        <f>$K527</f>
        <v/>
      </c>
      <c r="BZ527" s="197">
        <f>+BZ528</f>
        <v/>
      </c>
      <c r="CA527" s="197">
        <f>+CA528</f>
        <v/>
      </c>
      <c r="CB527" s="197">
        <f>+CB528</f>
        <v/>
      </c>
      <c r="CC527" s="197">
        <f>+CC528</f>
        <v/>
      </c>
      <c r="CD527" s="197">
        <f>+CD528</f>
        <v/>
      </c>
      <c r="CF527" s="198">
        <f>$G527</f>
        <v/>
      </c>
      <c r="CG527" s="197">
        <f>$L527</f>
        <v/>
      </c>
      <c r="CH527" s="197">
        <f>+CH528</f>
        <v/>
      </c>
      <c r="CI527" s="197">
        <f>+CI528</f>
        <v/>
      </c>
      <c r="CJ527" s="197">
        <f>+CJ528</f>
        <v/>
      </c>
      <c r="CK527" s="197">
        <f>+CK528</f>
        <v/>
      </c>
      <c r="CL527" s="197">
        <f>+CL528</f>
        <v/>
      </c>
      <c r="CO527" s="199" t="n">
        <v>4.529322711140892</v>
      </c>
      <c r="CP527" s="199" t="n">
        <v>2.8</v>
      </c>
      <c r="CR527" s="199" t="n">
        <v>3.65</v>
      </c>
      <c r="CS527" s="970" t="n">
        <v>0.80586</v>
      </c>
    </row>
    <row r="528">
      <c r="B528" s="204">
        <f>+C528-1</f>
        <v/>
      </c>
      <c r="C528" s="204">
        <f>IF('bands_A-H_Avg'!$D$9+1&gt;MONTH(G528),YEAR(G528),YEAR(G528)+1)</f>
        <v/>
      </c>
      <c r="D528" s="204">
        <f>+C528+1</f>
        <v/>
      </c>
      <c r="E528" s="203">
        <f>IF(C528&gt;C527,1,E527+1)</f>
        <v/>
      </c>
      <c r="F528" s="203">
        <f>COUNTIF(C:C,C528)</f>
        <v/>
      </c>
      <c r="G528" s="198">
        <f>+G527+7</f>
        <v/>
      </c>
      <c r="H528" s="361">
        <f>IF(ISBLANK(CO528),CP528,SUMPRODUCT(CO$32:CP$32,CO528:CP528))</f>
        <v/>
      </c>
      <c r="I528" s="968">
        <f>H528/M528</f>
        <v/>
      </c>
      <c r="J528" s="968">
        <f>H528/N528</f>
        <v/>
      </c>
      <c r="K528" s="968">
        <f>(H528+Q528)/O528</f>
        <v/>
      </c>
      <c r="L528" s="968">
        <f>(H528+Q528)/P528</f>
        <v/>
      </c>
      <c r="M528" s="199">
        <f>HLOOKUP(C:C,$4:$10,3,FALSE)+((HLOOKUP(D:D,$4:$10,3,FALSE)-HLOOKUP(C:C,$4:$10,3,FALSE))*E528/F528)</f>
        <v/>
      </c>
      <c r="N528" s="199">
        <f>HLOOKUP(C:C,$4:$10,2,FALSE)+((HLOOKUP(D:D,$4:$10,2,FALSE)-HLOOKUP(C:C,$4:$10,2,FALSE))*E528/F528)</f>
        <v/>
      </c>
      <c r="O528" s="199">
        <f>HLOOKUP(C:C,$4:$10,5,FALSE)+((HLOOKUP(D:D,$4:$10,5,FALSE)-HLOOKUP(C:C,$4:$10,5,FALSE))*E528/F528)</f>
        <v/>
      </c>
      <c r="P528" s="199">
        <f>HLOOKUP(C:C,$4:$10,4,FALSE)+((HLOOKUP(D:D,$4:$10,4,FALSE)-HLOOKUP(C:C,$4:$10,4,FALSE))*E528/F528)</f>
        <v/>
      </c>
      <c r="Q528" s="199">
        <f>HLOOKUP(B:B,$4:$10,6,FALSE)+((HLOOKUP(C:C,$4:$10,6,FALSE)-HLOOKUP(B:B,$4:$10,6,FALSE))*E528/F528)</f>
        <v/>
      </c>
      <c r="T528" s="198">
        <f>$G528</f>
        <v/>
      </c>
      <c r="U528" s="199">
        <f>H528/(HLOOKUP(B:B,$4:$10,3,FALSE)+((HLOOKUP(C:C,$4:$10,3,FALSE)-HLOOKUP(B:B,$4:$10,3,FALSE))*E528/F528))</f>
        <v/>
      </c>
      <c r="V528" s="969">
        <f>HLOOKUP(B:B,$4:$10,7,FALSE)+((HLOOKUP(C:C,$4:$10,7,FALSE)-HLOOKUP(B:B,$4:$10,7,FALSE))*E528/F528)</f>
        <v/>
      </c>
      <c r="AB528" s="198">
        <f>$G528</f>
        <v/>
      </c>
      <c r="AC528" s="199">
        <f>$H528</f>
        <v/>
      </c>
      <c r="AD528" s="199">
        <f>$M528*AD$34</f>
        <v/>
      </c>
      <c r="AE528" s="199">
        <f>$M528*AE$34</f>
        <v/>
      </c>
      <c r="AF528" s="199">
        <f>$M528*AF$34</f>
        <v/>
      </c>
      <c r="AG528" s="199">
        <f>$M528*AG$34</f>
        <v/>
      </c>
      <c r="AH528" s="199">
        <f>$M528*AH$34</f>
        <v/>
      </c>
      <c r="AJ528" s="198">
        <f>$G528</f>
        <v/>
      </c>
      <c r="AK528" s="199">
        <f>$H528</f>
        <v/>
      </c>
      <c r="AL528" s="199">
        <f>$N528*AL$34</f>
        <v/>
      </c>
      <c r="AM528" s="199">
        <f>$N528*AM$34</f>
        <v/>
      </c>
      <c r="AN528" s="199">
        <f>$N528*AN$34</f>
        <v/>
      </c>
      <c r="AO528" s="199">
        <f>$N528*AO$34</f>
        <v/>
      </c>
      <c r="AP528" s="199">
        <f>$N528*AP$34</f>
        <v/>
      </c>
      <c r="AR528" s="198">
        <f>$G528</f>
        <v/>
      </c>
      <c r="AS528" s="199">
        <f>$H528</f>
        <v/>
      </c>
      <c r="AT528" s="199">
        <f>$O528*AT$34-$Q528</f>
        <v/>
      </c>
      <c r="AU528" s="199">
        <f>$O528*AU$34-$Q528</f>
        <v/>
      </c>
      <c r="AV528" s="199">
        <f>$O528*AV$34-$Q528</f>
        <v/>
      </c>
      <c r="AW528" s="199">
        <f>$O528*AW$34-$Q528</f>
        <v/>
      </c>
      <c r="AX528" s="199">
        <f>$O528*AX$34-$Q528</f>
        <v/>
      </c>
      <c r="AZ528" s="198">
        <f>$G528</f>
        <v/>
      </c>
      <c r="BA528" s="199">
        <f>$H528</f>
        <v/>
      </c>
      <c r="BB528" s="199">
        <f>$P528*BB$34-$Q528</f>
        <v/>
      </c>
      <c r="BC528" s="199">
        <f>$P528*BC$34-$Q528</f>
        <v/>
      </c>
      <c r="BD528" s="199">
        <f>$P528*BD$34-$Q528</f>
        <v/>
      </c>
      <c r="BE528" s="199">
        <f>$P528*BE$34-$Q528</f>
        <v/>
      </c>
      <c r="BF528" s="199">
        <f>$P528*BF$34-$Q528</f>
        <v/>
      </c>
      <c r="BH528" s="198">
        <f>$G528</f>
        <v/>
      </c>
      <c r="BI528" s="197">
        <f>$I528</f>
        <v/>
      </c>
      <c r="BJ528" s="197">
        <f>+BJ529</f>
        <v/>
      </c>
      <c r="BK528" s="197">
        <f>+BK529</f>
        <v/>
      </c>
      <c r="BL528" s="197">
        <f>+BL529</f>
        <v/>
      </c>
      <c r="BM528" s="197">
        <f>+BM529</f>
        <v/>
      </c>
      <c r="BN528" s="197">
        <f>+BN529</f>
        <v/>
      </c>
      <c r="BP528" s="198">
        <f>$G528</f>
        <v/>
      </c>
      <c r="BQ528" s="197">
        <f>$J528</f>
        <v/>
      </c>
      <c r="BR528" s="197">
        <f>+BR529</f>
        <v/>
      </c>
      <c r="BS528" s="197">
        <f>+BS529</f>
        <v/>
      </c>
      <c r="BT528" s="197">
        <f>+BT529</f>
        <v/>
      </c>
      <c r="BU528" s="197">
        <f>+BU529</f>
        <v/>
      </c>
      <c r="BV528" s="197">
        <f>+BV529</f>
        <v/>
      </c>
      <c r="BX528" s="198">
        <f>$G528</f>
        <v/>
      </c>
      <c r="BY528" s="197">
        <f>$K528</f>
        <v/>
      </c>
      <c r="BZ528" s="197">
        <f>+BZ529</f>
        <v/>
      </c>
      <c r="CA528" s="197">
        <f>+CA529</f>
        <v/>
      </c>
      <c r="CB528" s="197">
        <f>+CB529</f>
        <v/>
      </c>
      <c r="CC528" s="197">
        <f>+CC529</f>
        <v/>
      </c>
      <c r="CD528" s="197">
        <f>+CD529</f>
        <v/>
      </c>
      <c r="CF528" s="198">
        <f>$G528</f>
        <v/>
      </c>
      <c r="CG528" s="197">
        <f>$L528</f>
        <v/>
      </c>
      <c r="CH528" s="197">
        <f>+CH529</f>
        <v/>
      </c>
      <c r="CI528" s="197">
        <f>+CI529</f>
        <v/>
      </c>
      <c r="CJ528" s="197">
        <f>+CJ529</f>
        <v/>
      </c>
      <c r="CK528" s="197">
        <f>+CK529</f>
        <v/>
      </c>
      <c r="CL528" s="197">
        <f>+CL529</f>
        <v/>
      </c>
      <c r="CO528" s="199" t="n">
        <v>4.527131782945736</v>
      </c>
      <c r="CP528" s="199" t="n">
        <v>2.87</v>
      </c>
      <c r="CR528" s="199" t="n">
        <v>3.65</v>
      </c>
      <c r="CS528" s="970" t="n">
        <v>0.80625</v>
      </c>
    </row>
    <row r="529">
      <c r="B529" s="204">
        <f>+C529-1</f>
        <v/>
      </c>
      <c r="C529" s="204">
        <f>IF('bands_A-H_Avg'!$D$9+1&gt;MONTH(G529),YEAR(G529),YEAR(G529)+1)</f>
        <v/>
      </c>
      <c r="D529" s="204">
        <f>+C529+1</f>
        <v/>
      </c>
      <c r="E529" s="203">
        <f>IF(C529&gt;C528,1,E528+1)</f>
        <v/>
      </c>
      <c r="F529" s="203">
        <f>COUNTIF(C:C,C529)</f>
        <v/>
      </c>
      <c r="G529" s="198">
        <f>+G528+7</f>
        <v/>
      </c>
      <c r="H529" s="361">
        <f>IF(ISBLANK(CO529),CP529,SUMPRODUCT(CO$32:CP$32,CO529:CP529))</f>
        <v/>
      </c>
      <c r="I529" s="968">
        <f>H529/M529</f>
        <v/>
      </c>
      <c r="J529" s="968">
        <f>H529/N529</f>
        <v/>
      </c>
      <c r="K529" s="968">
        <f>(H529+Q529)/O529</f>
        <v/>
      </c>
      <c r="L529" s="968">
        <f>(H529+Q529)/P529</f>
        <v/>
      </c>
      <c r="M529" s="199">
        <f>HLOOKUP(C:C,$4:$10,3,FALSE)+((HLOOKUP(D:D,$4:$10,3,FALSE)-HLOOKUP(C:C,$4:$10,3,FALSE))*E529/F529)</f>
        <v/>
      </c>
      <c r="N529" s="199">
        <f>HLOOKUP(C:C,$4:$10,2,FALSE)+((HLOOKUP(D:D,$4:$10,2,FALSE)-HLOOKUP(C:C,$4:$10,2,FALSE))*E529/F529)</f>
        <v/>
      </c>
      <c r="O529" s="199">
        <f>HLOOKUP(C:C,$4:$10,5,FALSE)+((HLOOKUP(D:D,$4:$10,5,FALSE)-HLOOKUP(C:C,$4:$10,5,FALSE))*E529/F529)</f>
        <v/>
      </c>
      <c r="P529" s="199">
        <f>HLOOKUP(C:C,$4:$10,4,FALSE)+((HLOOKUP(D:D,$4:$10,4,FALSE)-HLOOKUP(C:C,$4:$10,4,FALSE))*E529/F529)</f>
        <v/>
      </c>
      <c r="Q529" s="199">
        <f>HLOOKUP(B:B,$4:$10,6,FALSE)+((HLOOKUP(C:C,$4:$10,6,FALSE)-HLOOKUP(B:B,$4:$10,6,FALSE))*E529/F529)</f>
        <v/>
      </c>
      <c r="T529" s="198">
        <f>$G529</f>
        <v/>
      </c>
      <c r="U529" s="199">
        <f>H529/(HLOOKUP(B:B,$4:$10,3,FALSE)+((HLOOKUP(C:C,$4:$10,3,FALSE)-HLOOKUP(B:B,$4:$10,3,FALSE))*E529/F529))</f>
        <v/>
      </c>
      <c r="V529" s="969">
        <f>HLOOKUP(B:B,$4:$10,7,FALSE)+((HLOOKUP(C:C,$4:$10,7,FALSE)-HLOOKUP(B:B,$4:$10,7,FALSE))*E529/F529)</f>
        <v/>
      </c>
      <c r="AB529" s="198">
        <f>$G529</f>
        <v/>
      </c>
      <c r="AC529" s="199">
        <f>$H529</f>
        <v/>
      </c>
      <c r="AD529" s="199">
        <f>$M529*AD$34</f>
        <v/>
      </c>
      <c r="AE529" s="199">
        <f>$M529*AE$34</f>
        <v/>
      </c>
      <c r="AF529" s="199">
        <f>$M529*AF$34</f>
        <v/>
      </c>
      <c r="AG529" s="199">
        <f>$M529*AG$34</f>
        <v/>
      </c>
      <c r="AH529" s="199">
        <f>$M529*AH$34</f>
        <v/>
      </c>
      <c r="AJ529" s="198">
        <f>$G529</f>
        <v/>
      </c>
      <c r="AK529" s="199">
        <f>$H529</f>
        <v/>
      </c>
      <c r="AL529" s="199">
        <f>$N529*AL$34</f>
        <v/>
      </c>
      <c r="AM529" s="199">
        <f>$N529*AM$34</f>
        <v/>
      </c>
      <c r="AN529" s="199">
        <f>$N529*AN$34</f>
        <v/>
      </c>
      <c r="AO529" s="199">
        <f>$N529*AO$34</f>
        <v/>
      </c>
      <c r="AP529" s="199">
        <f>$N529*AP$34</f>
        <v/>
      </c>
      <c r="AR529" s="198">
        <f>$G529</f>
        <v/>
      </c>
      <c r="AS529" s="199">
        <f>$H529</f>
        <v/>
      </c>
      <c r="AT529" s="199">
        <f>$O529*AT$34-$Q529</f>
        <v/>
      </c>
      <c r="AU529" s="199">
        <f>$O529*AU$34-$Q529</f>
        <v/>
      </c>
      <c r="AV529" s="199">
        <f>$O529*AV$34-$Q529</f>
        <v/>
      </c>
      <c r="AW529" s="199">
        <f>$O529*AW$34-$Q529</f>
        <v/>
      </c>
      <c r="AX529" s="199">
        <f>$O529*AX$34-$Q529</f>
        <v/>
      </c>
      <c r="AZ529" s="198">
        <f>$G529</f>
        <v/>
      </c>
      <c r="BA529" s="199">
        <f>$H529</f>
        <v/>
      </c>
      <c r="BB529" s="199">
        <f>$P529*BB$34-$Q529</f>
        <v/>
      </c>
      <c r="BC529" s="199">
        <f>$P529*BC$34-$Q529</f>
        <v/>
      </c>
      <c r="BD529" s="199">
        <f>$P529*BD$34-$Q529</f>
        <v/>
      </c>
      <c r="BE529" s="199">
        <f>$P529*BE$34-$Q529</f>
        <v/>
      </c>
      <c r="BF529" s="199">
        <f>$P529*BF$34-$Q529</f>
        <v/>
      </c>
      <c r="BH529" s="198">
        <f>$G529</f>
        <v/>
      </c>
      <c r="BI529" s="197">
        <f>$I529</f>
        <v/>
      </c>
      <c r="BJ529" s="197">
        <f>+BJ530</f>
        <v/>
      </c>
      <c r="BK529" s="197">
        <f>+BK530</f>
        <v/>
      </c>
      <c r="BL529" s="197">
        <f>+BL530</f>
        <v/>
      </c>
      <c r="BM529" s="197">
        <f>+BM530</f>
        <v/>
      </c>
      <c r="BN529" s="197">
        <f>+BN530</f>
        <v/>
      </c>
      <c r="BP529" s="198">
        <f>$G529</f>
        <v/>
      </c>
      <c r="BQ529" s="197">
        <f>$J529</f>
        <v/>
      </c>
      <c r="BR529" s="197">
        <f>+BR530</f>
        <v/>
      </c>
      <c r="BS529" s="197">
        <f>+BS530</f>
        <v/>
      </c>
      <c r="BT529" s="197">
        <f>+BT530</f>
        <v/>
      </c>
      <c r="BU529" s="197">
        <f>+BU530</f>
        <v/>
      </c>
      <c r="BV529" s="197">
        <f>+BV530</f>
        <v/>
      </c>
      <c r="BX529" s="198">
        <f>$G529</f>
        <v/>
      </c>
      <c r="BY529" s="197">
        <f>$K529</f>
        <v/>
      </c>
      <c r="BZ529" s="197">
        <f>+BZ530</f>
        <v/>
      </c>
      <c r="CA529" s="197">
        <f>+CA530</f>
        <v/>
      </c>
      <c r="CB529" s="197">
        <f>+CB530</f>
        <v/>
      </c>
      <c r="CC529" s="197">
        <f>+CC530</f>
        <v/>
      </c>
      <c r="CD529" s="197">
        <f>+CD530</f>
        <v/>
      </c>
      <c r="CF529" s="198">
        <f>$G529</f>
        <v/>
      </c>
      <c r="CG529" s="197">
        <f>$L529</f>
        <v/>
      </c>
      <c r="CH529" s="197">
        <f>+CH530</f>
        <v/>
      </c>
      <c r="CI529" s="197">
        <f>+CI530</f>
        <v/>
      </c>
      <c r="CJ529" s="197">
        <f>+CJ530</f>
        <v/>
      </c>
      <c r="CK529" s="197">
        <f>+CK530</f>
        <v/>
      </c>
      <c r="CL529" s="197">
        <f>+CL530</f>
        <v/>
      </c>
      <c r="CO529" s="199" t="n">
        <v>4.768026760862239</v>
      </c>
      <c r="CP529" s="199" t="n">
        <v>3.01</v>
      </c>
      <c r="CR529" s="199" t="n">
        <v>3.82</v>
      </c>
      <c r="CS529" s="970" t="n">
        <v>0.80117</v>
      </c>
    </row>
    <row r="530">
      <c r="B530" s="204">
        <f>+C530-1</f>
        <v/>
      </c>
      <c r="C530" s="204">
        <f>IF('bands_A-H_Avg'!$D$9+1&gt;MONTH(G530),YEAR(G530),YEAR(G530)+1)</f>
        <v/>
      </c>
      <c r="D530" s="204">
        <f>+C530+1</f>
        <v/>
      </c>
      <c r="E530" s="203">
        <f>IF(C530&gt;C529,1,E529+1)</f>
        <v/>
      </c>
      <c r="F530" s="203">
        <f>COUNTIF(C:C,C530)</f>
        <v/>
      </c>
      <c r="G530" s="198">
        <f>+G529+7</f>
        <v/>
      </c>
      <c r="H530" s="361">
        <f>IF(ISBLANK(CO530),CP530,SUMPRODUCT(CO$32:CP$32,CO530:CP530))</f>
        <v/>
      </c>
      <c r="I530" s="968">
        <f>H530/M530</f>
        <v/>
      </c>
      <c r="J530" s="968">
        <f>H530/N530</f>
        <v/>
      </c>
      <c r="K530" s="968">
        <f>(H530+Q530)/O530</f>
        <v/>
      </c>
      <c r="L530" s="968">
        <f>(H530+Q530)/P530</f>
        <v/>
      </c>
      <c r="M530" s="199">
        <f>HLOOKUP(C:C,$4:$10,3,FALSE)+((HLOOKUP(D:D,$4:$10,3,FALSE)-HLOOKUP(C:C,$4:$10,3,FALSE))*E530/F530)</f>
        <v/>
      </c>
      <c r="N530" s="199">
        <f>HLOOKUP(C:C,$4:$10,2,FALSE)+((HLOOKUP(D:D,$4:$10,2,FALSE)-HLOOKUP(C:C,$4:$10,2,FALSE))*E530/F530)</f>
        <v/>
      </c>
      <c r="O530" s="199">
        <f>HLOOKUP(C:C,$4:$10,5,FALSE)+((HLOOKUP(D:D,$4:$10,5,FALSE)-HLOOKUP(C:C,$4:$10,5,FALSE))*E530/F530)</f>
        <v/>
      </c>
      <c r="P530" s="199">
        <f>HLOOKUP(C:C,$4:$10,4,FALSE)+((HLOOKUP(D:D,$4:$10,4,FALSE)-HLOOKUP(C:C,$4:$10,4,FALSE))*E530/F530)</f>
        <v/>
      </c>
      <c r="Q530" s="199">
        <f>HLOOKUP(B:B,$4:$10,6,FALSE)+((HLOOKUP(C:C,$4:$10,6,FALSE)-HLOOKUP(B:B,$4:$10,6,FALSE))*E530/F530)</f>
        <v/>
      </c>
      <c r="T530" s="198">
        <f>$G530</f>
        <v/>
      </c>
      <c r="U530" s="199">
        <f>H530/(HLOOKUP(B:B,$4:$10,3,FALSE)+((HLOOKUP(C:C,$4:$10,3,FALSE)-HLOOKUP(B:B,$4:$10,3,FALSE))*E530/F530))</f>
        <v/>
      </c>
      <c r="V530" s="969">
        <f>HLOOKUP(B:B,$4:$10,7,FALSE)+((HLOOKUP(C:C,$4:$10,7,FALSE)-HLOOKUP(B:B,$4:$10,7,FALSE))*E530/F530)</f>
        <v/>
      </c>
      <c r="AB530" s="198">
        <f>$G530</f>
        <v/>
      </c>
      <c r="AC530" s="199">
        <f>$H530</f>
        <v/>
      </c>
      <c r="AD530" s="199">
        <f>$M530*AD$34</f>
        <v/>
      </c>
      <c r="AE530" s="199">
        <f>$M530*AE$34</f>
        <v/>
      </c>
      <c r="AF530" s="199">
        <f>$M530*AF$34</f>
        <v/>
      </c>
      <c r="AG530" s="199">
        <f>$M530*AG$34</f>
        <v/>
      </c>
      <c r="AH530" s="199">
        <f>$M530*AH$34</f>
        <v/>
      </c>
      <c r="AJ530" s="198">
        <f>$G530</f>
        <v/>
      </c>
      <c r="AK530" s="199">
        <f>$H530</f>
        <v/>
      </c>
      <c r="AL530" s="199">
        <f>$N530*AL$34</f>
        <v/>
      </c>
      <c r="AM530" s="199">
        <f>$N530*AM$34</f>
        <v/>
      </c>
      <c r="AN530" s="199">
        <f>$N530*AN$34</f>
        <v/>
      </c>
      <c r="AO530" s="199">
        <f>$N530*AO$34</f>
        <v/>
      </c>
      <c r="AP530" s="199">
        <f>$N530*AP$34</f>
        <v/>
      </c>
      <c r="AR530" s="198">
        <f>$G530</f>
        <v/>
      </c>
      <c r="AS530" s="199">
        <f>$H530</f>
        <v/>
      </c>
      <c r="AT530" s="199">
        <f>$O530*AT$34-$Q530</f>
        <v/>
      </c>
      <c r="AU530" s="199">
        <f>$O530*AU$34-$Q530</f>
        <v/>
      </c>
      <c r="AV530" s="199">
        <f>$O530*AV$34-$Q530</f>
        <v/>
      </c>
      <c r="AW530" s="199">
        <f>$O530*AW$34-$Q530</f>
        <v/>
      </c>
      <c r="AX530" s="199">
        <f>$O530*AX$34-$Q530</f>
        <v/>
      </c>
      <c r="AZ530" s="198">
        <f>$G530</f>
        <v/>
      </c>
      <c r="BA530" s="199">
        <f>$H530</f>
        <v/>
      </c>
      <c r="BB530" s="199">
        <f>$P530*BB$34-$Q530</f>
        <v/>
      </c>
      <c r="BC530" s="199">
        <f>$P530*BC$34-$Q530</f>
        <v/>
      </c>
      <c r="BD530" s="199">
        <f>$P530*BD$34-$Q530</f>
        <v/>
      </c>
      <c r="BE530" s="199">
        <f>$P530*BE$34-$Q530</f>
        <v/>
      </c>
      <c r="BF530" s="199">
        <f>$P530*BF$34-$Q530</f>
        <v/>
      </c>
      <c r="BH530" s="198">
        <f>$G530</f>
        <v/>
      </c>
      <c r="BI530" s="197">
        <f>$I530</f>
        <v/>
      </c>
      <c r="BJ530" s="197">
        <f>+BJ531</f>
        <v/>
      </c>
      <c r="BK530" s="197">
        <f>+BK531</f>
        <v/>
      </c>
      <c r="BL530" s="197">
        <f>+BL531</f>
        <v/>
      </c>
      <c r="BM530" s="197">
        <f>+BM531</f>
        <v/>
      </c>
      <c r="BN530" s="197">
        <f>+BN531</f>
        <v/>
      </c>
      <c r="BP530" s="198">
        <f>$G530</f>
        <v/>
      </c>
      <c r="BQ530" s="197">
        <f>$J530</f>
        <v/>
      </c>
      <c r="BR530" s="197">
        <f>+BR531</f>
        <v/>
      </c>
      <c r="BS530" s="197">
        <f>+BS531</f>
        <v/>
      </c>
      <c r="BT530" s="197">
        <f>+BT531</f>
        <v/>
      </c>
      <c r="BU530" s="197">
        <f>+BU531</f>
        <v/>
      </c>
      <c r="BV530" s="197">
        <f>+BV531</f>
        <v/>
      </c>
      <c r="BX530" s="198">
        <f>$G530</f>
        <v/>
      </c>
      <c r="BY530" s="197">
        <f>$K530</f>
        <v/>
      </c>
      <c r="BZ530" s="197">
        <f>+BZ531</f>
        <v/>
      </c>
      <c r="CA530" s="197">
        <f>+CA531</f>
        <v/>
      </c>
      <c r="CB530" s="197">
        <f>+CB531</f>
        <v/>
      </c>
      <c r="CC530" s="197">
        <f>+CC531</f>
        <v/>
      </c>
      <c r="CD530" s="197">
        <f>+CD531</f>
        <v/>
      </c>
      <c r="CF530" s="198">
        <f>$G530</f>
        <v/>
      </c>
      <c r="CG530" s="197">
        <f>$L530</f>
        <v/>
      </c>
      <c r="CH530" s="197">
        <f>+CH531</f>
        <v/>
      </c>
      <c r="CI530" s="197">
        <f>+CI531</f>
        <v/>
      </c>
      <c r="CJ530" s="197">
        <f>+CJ531</f>
        <v/>
      </c>
      <c r="CK530" s="197">
        <f>+CK531</f>
        <v/>
      </c>
      <c r="CL530" s="197">
        <f>+CL531</f>
        <v/>
      </c>
      <c r="CO530" s="199" t="n">
        <v>4.720447383825929</v>
      </c>
      <c r="CP530" s="199" t="n">
        <v>3.1</v>
      </c>
      <c r="CR530" s="199" t="n">
        <v>3.79</v>
      </c>
      <c r="CS530" s="970" t="n">
        <v>0.80289</v>
      </c>
    </row>
    <row r="531">
      <c r="B531" s="204">
        <f>+C531-1</f>
        <v/>
      </c>
      <c r="C531" s="204">
        <f>IF('bands_A-H_Avg'!$D$9+1&gt;MONTH(G531),YEAR(G531),YEAR(G531)+1)</f>
        <v/>
      </c>
      <c r="D531" s="204">
        <f>+C531+1</f>
        <v/>
      </c>
      <c r="E531" s="203">
        <f>IF(C531&gt;C530,1,E530+1)</f>
        <v/>
      </c>
      <c r="F531" s="203">
        <f>COUNTIF(C:C,C531)</f>
        <v/>
      </c>
      <c r="G531" s="198">
        <f>+G530+7</f>
        <v/>
      </c>
      <c r="H531" s="361">
        <f>IF(ISBLANK(CO531),CP531,SUMPRODUCT(CO$32:CP$32,CO531:CP531))</f>
        <v/>
      </c>
      <c r="I531" s="968">
        <f>H531/M531</f>
        <v/>
      </c>
      <c r="J531" s="968">
        <f>H531/N531</f>
        <v/>
      </c>
      <c r="K531" s="968">
        <f>(H531+Q531)/O531</f>
        <v/>
      </c>
      <c r="L531" s="968">
        <f>(H531+Q531)/P531</f>
        <v/>
      </c>
      <c r="M531" s="199">
        <f>HLOOKUP(C:C,$4:$10,3,FALSE)+((HLOOKUP(D:D,$4:$10,3,FALSE)-HLOOKUP(C:C,$4:$10,3,FALSE))*E531/F531)</f>
        <v/>
      </c>
      <c r="N531" s="199">
        <f>HLOOKUP(C:C,$4:$10,2,FALSE)+((HLOOKUP(D:D,$4:$10,2,FALSE)-HLOOKUP(C:C,$4:$10,2,FALSE))*E531/F531)</f>
        <v/>
      </c>
      <c r="O531" s="199">
        <f>HLOOKUP(C:C,$4:$10,5,FALSE)+((HLOOKUP(D:D,$4:$10,5,FALSE)-HLOOKUP(C:C,$4:$10,5,FALSE))*E531/F531)</f>
        <v/>
      </c>
      <c r="P531" s="199">
        <f>HLOOKUP(C:C,$4:$10,4,FALSE)+((HLOOKUP(D:D,$4:$10,4,FALSE)-HLOOKUP(C:C,$4:$10,4,FALSE))*E531/F531)</f>
        <v/>
      </c>
      <c r="Q531" s="199">
        <f>HLOOKUP(B:B,$4:$10,6,FALSE)+((HLOOKUP(C:C,$4:$10,6,FALSE)-HLOOKUP(B:B,$4:$10,6,FALSE))*E531/F531)</f>
        <v/>
      </c>
      <c r="T531" s="198">
        <f>$G531</f>
        <v/>
      </c>
      <c r="U531" s="199">
        <f>H531/(HLOOKUP(B:B,$4:$10,3,FALSE)+((HLOOKUP(C:C,$4:$10,3,FALSE)-HLOOKUP(B:B,$4:$10,3,FALSE))*E531/F531))</f>
        <v/>
      </c>
      <c r="V531" s="969">
        <f>HLOOKUP(B:B,$4:$10,7,FALSE)+((HLOOKUP(C:C,$4:$10,7,FALSE)-HLOOKUP(B:B,$4:$10,7,FALSE))*E531/F531)</f>
        <v/>
      </c>
      <c r="AB531" s="198">
        <f>$G531</f>
        <v/>
      </c>
      <c r="AC531" s="199">
        <f>$H531</f>
        <v/>
      </c>
      <c r="AD531" s="199">
        <f>$M531*AD$34</f>
        <v/>
      </c>
      <c r="AE531" s="199">
        <f>$M531*AE$34</f>
        <v/>
      </c>
      <c r="AF531" s="199">
        <f>$M531*AF$34</f>
        <v/>
      </c>
      <c r="AG531" s="199">
        <f>$M531*AG$34</f>
        <v/>
      </c>
      <c r="AH531" s="199">
        <f>$M531*AH$34</f>
        <v/>
      </c>
      <c r="AJ531" s="198">
        <f>$G531</f>
        <v/>
      </c>
      <c r="AK531" s="199">
        <f>$H531</f>
        <v/>
      </c>
      <c r="AL531" s="199">
        <f>$N531*AL$34</f>
        <v/>
      </c>
      <c r="AM531" s="199">
        <f>$N531*AM$34</f>
        <v/>
      </c>
      <c r="AN531" s="199">
        <f>$N531*AN$34</f>
        <v/>
      </c>
      <c r="AO531" s="199">
        <f>$N531*AO$34</f>
        <v/>
      </c>
      <c r="AP531" s="199">
        <f>$N531*AP$34</f>
        <v/>
      </c>
      <c r="AR531" s="198">
        <f>$G531</f>
        <v/>
      </c>
      <c r="AS531" s="199">
        <f>$H531</f>
        <v/>
      </c>
      <c r="AT531" s="199">
        <f>$O531*AT$34-$Q531</f>
        <v/>
      </c>
      <c r="AU531" s="199">
        <f>$O531*AU$34-$Q531</f>
        <v/>
      </c>
      <c r="AV531" s="199">
        <f>$O531*AV$34-$Q531</f>
        <v/>
      </c>
      <c r="AW531" s="199">
        <f>$O531*AW$34-$Q531</f>
        <v/>
      </c>
      <c r="AX531" s="199">
        <f>$O531*AX$34-$Q531</f>
        <v/>
      </c>
      <c r="AZ531" s="198">
        <f>$G531</f>
        <v/>
      </c>
      <c r="BA531" s="199">
        <f>$H531</f>
        <v/>
      </c>
      <c r="BB531" s="199">
        <f>$P531*BB$34-$Q531</f>
        <v/>
      </c>
      <c r="BC531" s="199">
        <f>$P531*BC$34-$Q531</f>
        <v/>
      </c>
      <c r="BD531" s="199">
        <f>$P531*BD$34-$Q531</f>
        <v/>
      </c>
      <c r="BE531" s="199">
        <f>$P531*BE$34-$Q531</f>
        <v/>
      </c>
      <c r="BF531" s="199">
        <f>$P531*BF$34-$Q531</f>
        <v/>
      </c>
      <c r="BH531" s="198">
        <f>$G531</f>
        <v/>
      </c>
      <c r="BI531" s="197">
        <f>$I531</f>
        <v/>
      </c>
      <c r="BJ531" s="197">
        <f>+BJ532</f>
        <v/>
      </c>
      <c r="BK531" s="197">
        <f>+BK532</f>
        <v/>
      </c>
      <c r="BL531" s="197">
        <f>+BL532</f>
        <v/>
      </c>
      <c r="BM531" s="197">
        <f>+BM532</f>
        <v/>
      </c>
      <c r="BN531" s="197">
        <f>+BN532</f>
        <v/>
      </c>
      <c r="BP531" s="198">
        <f>$G531</f>
        <v/>
      </c>
      <c r="BQ531" s="197">
        <f>$J531</f>
        <v/>
      </c>
      <c r="BR531" s="197">
        <f>+BR532</f>
        <v/>
      </c>
      <c r="BS531" s="197">
        <f>+BS532</f>
        <v/>
      </c>
      <c r="BT531" s="197">
        <f>+BT532</f>
        <v/>
      </c>
      <c r="BU531" s="197">
        <f>+BU532</f>
        <v/>
      </c>
      <c r="BV531" s="197">
        <f>+BV532</f>
        <v/>
      </c>
      <c r="BX531" s="198">
        <f>$G531</f>
        <v/>
      </c>
      <c r="BY531" s="197">
        <f>$K531</f>
        <v/>
      </c>
      <c r="BZ531" s="197">
        <f>+BZ532</f>
        <v/>
      </c>
      <c r="CA531" s="197">
        <f>+CA532</f>
        <v/>
      </c>
      <c r="CB531" s="197">
        <f>+CB532</f>
        <v/>
      </c>
      <c r="CC531" s="197">
        <f>+CC532</f>
        <v/>
      </c>
      <c r="CD531" s="197">
        <f>+CD532</f>
        <v/>
      </c>
      <c r="CF531" s="198">
        <f>$G531</f>
        <v/>
      </c>
      <c r="CG531" s="197">
        <f>$L531</f>
        <v/>
      </c>
      <c r="CH531" s="197">
        <f>+CH532</f>
        <v/>
      </c>
      <c r="CI531" s="197">
        <f>+CI532</f>
        <v/>
      </c>
      <c r="CJ531" s="197">
        <f>+CJ532</f>
        <v/>
      </c>
      <c r="CK531" s="197">
        <f>+CK532</f>
        <v/>
      </c>
      <c r="CL531" s="197">
        <f>+CL532</f>
        <v/>
      </c>
      <c r="CO531" s="199" t="n">
        <v>4.748787875010906</v>
      </c>
      <c r="CP531" s="199" t="n">
        <v>3.1</v>
      </c>
      <c r="CR531" s="199" t="n">
        <v>3.81</v>
      </c>
      <c r="CS531" s="970" t="n">
        <v>0.80231</v>
      </c>
    </row>
    <row r="532">
      <c r="B532" s="204">
        <f>+C532-1</f>
        <v/>
      </c>
      <c r="C532" s="204">
        <f>IF('bands_A-H_Avg'!$D$9+1&gt;MONTH(G532),YEAR(G532),YEAR(G532)+1)</f>
        <v/>
      </c>
      <c r="D532" s="204">
        <f>+C532+1</f>
        <v/>
      </c>
      <c r="E532" s="203">
        <f>IF(C532&gt;C531,1,E531+1)</f>
        <v/>
      </c>
      <c r="F532" s="203">
        <f>COUNTIF(C:C,C532)</f>
        <v/>
      </c>
      <c r="G532" s="198">
        <f>+G531+7</f>
        <v/>
      </c>
      <c r="H532" s="361">
        <f>IF(ISBLANK(CO532),CP532,SUMPRODUCT(CO$32:CP$32,CO532:CP532))</f>
        <v/>
      </c>
      <c r="I532" s="968">
        <f>H532/M532</f>
        <v/>
      </c>
      <c r="J532" s="968">
        <f>H532/N532</f>
        <v/>
      </c>
      <c r="K532" s="968">
        <f>(H532+Q532)/O532</f>
        <v/>
      </c>
      <c r="L532" s="968">
        <f>(H532+Q532)/P532</f>
        <v/>
      </c>
      <c r="M532" s="199">
        <f>HLOOKUP(C:C,$4:$10,3,FALSE)+((HLOOKUP(D:D,$4:$10,3,FALSE)-HLOOKUP(C:C,$4:$10,3,FALSE))*E532/F532)</f>
        <v/>
      </c>
      <c r="N532" s="199">
        <f>HLOOKUP(C:C,$4:$10,2,FALSE)+((HLOOKUP(D:D,$4:$10,2,FALSE)-HLOOKUP(C:C,$4:$10,2,FALSE))*E532/F532)</f>
        <v/>
      </c>
      <c r="O532" s="199">
        <f>HLOOKUP(C:C,$4:$10,5,FALSE)+((HLOOKUP(D:D,$4:$10,5,FALSE)-HLOOKUP(C:C,$4:$10,5,FALSE))*E532/F532)</f>
        <v/>
      </c>
      <c r="P532" s="199">
        <f>HLOOKUP(C:C,$4:$10,4,FALSE)+((HLOOKUP(D:D,$4:$10,4,FALSE)-HLOOKUP(C:C,$4:$10,4,FALSE))*E532/F532)</f>
        <v/>
      </c>
      <c r="Q532" s="199">
        <f>HLOOKUP(B:B,$4:$10,6,FALSE)+((HLOOKUP(C:C,$4:$10,6,FALSE)-HLOOKUP(B:B,$4:$10,6,FALSE))*E532/F532)</f>
        <v/>
      </c>
      <c r="T532" s="198">
        <f>$G532</f>
        <v/>
      </c>
      <c r="U532" s="199">
        <f>H532/(HLOOKUP(B:B,$4:$10,3,FALSE)+((HLOOKUP(C:C,$4:$10,3,FALSE)-HLOOKUP(B:B,$4:$10,3,FALSE))*E532/F532))</f>
        <v/>
      </c>
      <c r="V532" s="969">
        <f>HLOOKUP(B:B,$4:$10,7,FALSE)+((HLOOKUP(C:C,$4:$10,7,FALSE)-HLOOKUP(B:B,$4:$10,7,FALSE))*E532/F532)</f>
        <v/>
      </c>
      <c r="AB532" s="198">
        <f>$G532</f>
        <v/>
      </c>
      <c r="AC532" s="199">
        <f>$H532</f>
        <v/>
      </c>
      <c r="AD532" s="199">
        <f>$M532*AD$34</f>
        <v/>
      </c>
      <c r="AE532" s="199">
        <f>$M532*AE$34</f>
        <v/>
      </c>
      <c r="AF532" s="199">
        <f>$M532*AF$34</f>
        <v/>
      </c>
      <c r="AG532" s="199">
        <f>$M532*AG$34</f>
        <v/>
      </c>
      <c r="AH532" s="199">
        <f>$M532*AH$34</f>
        <v/>
      </c>
      <c r="AJ532" s="198">
        <f>$G532</f>
        <v/>
      </c>
      <c r="AK532" s="199">
        <f>$H532</f>
        <v/>
      </c>
      <c r="AL532" s="199">
        <f>$N532*AL$34</f>
        <v/>
      </c>
      <c r="AM532" s="199">
        <f>$N532*AM$34</f>
        <v/>
      </c>
      <c r="AN532" s="199">
        <f>$N532*AN$34</f>
        <v/>
      </c>
      <c r="AO532" s="199">
        <f>$N532*AO$34</f>
        <v/>
      </c>
      <c r="AP532" s="199">
        <f>$N532*AP$34</f>
        <v/>
      </c>
      <c r="AR532" s="198">
        <f>$G532</f>
        <v/>
      </c>
      <c r="AS532" s="199">
        <f>$H532</f>
        <v/>
      </c>
      <c r="AT532" s="199">
        <f>$O532*AT$34-$Q532</f>
        <v/>
      </c>
      <c r="AU532" s="199">
        <f>$O532*AU$34-$Q532</f>
        <v/>
      </c>
      <c r="AV532" s="199">
        <f>$O532*AV$34-$Q532</f>
        <v/>
      </c>
      <c r="AW532" s="199">
        <f>$O532*AW$34-$Q532</f>
        <v/>
      </c>
      <c r="AX532" s="199">
        <f>$O532*AX$34-$Q532</f>
        <v/>
      </c>
      <c r="AZ532" s="198">
        <f>$G532</f>
        <v/>
      </c>
      <c r="BA532" s="199">
        <f>$H532</f>
        <v/>
      </c>
      <c r="BB532" s="199">
        <f>$P532*BB$34-$Q532</f>
        <v/>
      </c>
      <c r="BC532" s="199">
        <f>$P532*BC$34-$Q532</f>
        <v/>
      </c>
      <c r="BD532" s="199">
        <f>$P532*BD$34-$Q532</f>
        <v/>
      </c>
      <c r="BE532" s="199">
        <f>$P532*BE$34-$Q532</f>
        <v/>
      </c>
      <c r="BF532" s="199">
        <f>$P532*BF$34-$Q532</f>
        <v/>
      </c>
      <c r="BH532" s="198">
        <f>$G532</f>
        <v/>
      </c>
      <c r="BI532" s="197">
        <f>$I532</f>
        <v/>
      </c>
      <c r="BJ532" s="197">
        <f>+BJ533</f>
        <v/>
      </c>
      <c r="BK532" s="197">
        <f>+BK533</f>
        <v/>
      </c>
      <c r="BL532" s="197">
        <f>+BL533</f>
        <v/>
      </c>
      <c r="BM532" s="197">
        <f>+BM533</f>
        <v/>
      </c>
      <c r="BN532" s="197">
        <f>+BN533</f>
        <v/>
      </c>
      <c r="BP532" s="198">
        <f>$G532</f>
        <v/>
      </c>
      <c r="BQ532" s="197">
        <f>$J532</f>
        <v/>
      </c>
      <c r="BR532" s="197">
        <f>+BR533</f>
        <v/>
      </c>
      <c r="BS532" s="197">
        <f>+BS533</f>
        <v/>
      </c>
      <c r="BT532" s="197">
        <f>+BT533</f>
        <v/>
      </c>
      <c r="BU532" s="197">
        <f>+BU533</f>
        <v/>
      </c>
      <c r="BV532" s="197">
        <f>+BV533</f>
        <v/>
      </c>
      <c r="BX532" s="198">
        <f>$G532</f>
        <v/>
      </c>
      <c r="BY532" s="197">
        <f>$K532</f>
        <v/>
      </c>
      <c r="BZ532" s="197">
        <f>+BZ533</f>
        <v/>
      </c>
      <c r="CA532" s="197">
        <f>+CA533</f>
        <v/>
      </c>
      <c r="CB532" s="197">
        <f>+CB533</f>
        <v/>
      </c>
      <c r="CC532" s="197">
        <f>+CC533</f>
        <v/>
      </c>
      <c r="CD532" s="197">
        <f>+CD533</f>
        <v/>
      </c>
      <c r="CF532" s="198">
        <f>$G532</f>
        <v/>
      </c>
      <c r="CG532" s="197">
        <f>$L532</f>
        <v/>
      </c>
      <c r="CH532" s="197">
        <f>+CH533</f>
        <v/>
      </c>
      <c r="CI532" s="197">
        <f>+CI533</f>
        <v/>
      </c>
      <c r="CJ532" s="197">
        <f>+CJ533</f>
        <v/>
      </c>
      <c r="CK532" s="197">
        <f>+CK533</f>
        <v/>
      </c>
      <c r="CL532" s="197">
        <f>+CL533</f>
        <v/>
      </c>
      <c r="CO532" s="199" t="n">
        <v>4.797301517896183</v>
      </c>
      <c r="CP532" s="199" t="n">
        <v>3.16</v>
      </c>
      <c r="CR532" s="199" t="n">
        <v>3.84</v>
      </c>
      <c r="CS532" s="970" t="n">
        <v>0.80045</v>
      </c>
    </row>
    <row r="533">
      <c r="B533" s="204">
        <f>+C533-1</f>
        <v/>
      </c>
      <c r="C533" s="204">
        <f>IF('bands_A-H_Avg'!$D$9+1&gt;MONTH(G533),YEAR(G533),YEAR(G533)+1)</f>
        <v/>
      </c>
      <c r="D533" s="204">
        <f>+C533+1</f>
        <v/>
      </c>
      <c r="E533" s="203">
        <f>IF(C533&gt;C532,1,E532+1)</f>
        <v/>
      </c>
      <c r="F533" s="203">
        <f>COUNTIF(C:C,C533)</f>
        <v/>
      </c>
      <c r="G533" s="198">
        <f>+G532+7</f>
        <v/>
      </c>
      <c r="H533" s="361">
        <f>IF(ISBLANK(CO533),CP533,SUMPRODUCT(CO$32:CP$32,CO533:CP533))</f>
        <v/>
      </c>
      <c r="I533" s="968">
        <f>H533/M533</f>
        <v/>
      </c>
      <c r="J533" s="968">
        <f>H533/N533</f>
        <v/>
      </c>
      <c r="K533" s="968">
        <f>(H533+Q533)/O533</f>
        <v/>
      </c>
      <c r="L533" s="968">
        <f>(H533+Q533)/P533</f>
        <v/>
      </c>
      <c r="M533" s="199">
        <f>HLOOKUP(C:C,$4:$10,3,FALSE)+((HLOOKUP(D:D,$4:$10,3,FALSE)-HLOOKUP(C:C,$4:$10,3,FALSE))*E533/F533)</f>
        <v/>
      </c>
      <c r="N533" s="199">
        <f>HLOOKUP(C:C,$4:$10,2,FALSE)+((HLOOKUP(D:D,$4:$10,2,FALSE)-HLOOKUP(C:C,$4:$10,2,FALSE))*E533/F533)</f>
        <v/>
      </c>
      <c r="O533" s="199">
        <f>HLOOKUP(C:C,$4:$10,5,FALSE)+((HLOOKUP(D:D,$4:$10,5,FALSE)-HLOOKUP(C:C,$4:$10,5,FALSE))*E533/F533)</f>
        <v/>
      </c>
      <c r="P533" s="199">
        <f>HLOOKUP(C:C,$4:$10,4,FALSE)+((HLOOKUP(D:D,$4:$10,4,FALSE)-HLOOKUP(C:C,$4:$10,4,FALSE))*E533/F533)</f>
        <v/>
      </c>
      <c r="Q533" s="199">
        <f>HLOOKUP(B:B,$4:$10,6,FALSE)+((HLOOKUP(C:C,$4:$10,6,FALSE)-HLOOKUP(B:B,$4:$10,6,FALSE))*E533/F533)</f>
        <v/>
      </c>
      <c r="T533" s="198">
        <f>$G533</f>
        <v/>
      </c>
      <c r="U533" s="199">
        <f>H533/(HLOOKUP(B:B,$4:$10,3,FALSE)+((HLOOKUP(C:C,$4:$10,3,FALSE)-HLOOKUP(B:B,$4:$10,3,FALSE))*E533/F533))</f>
        <v/>
      </c>
      <c r="V533" s="969">
        <f>HLOOKUP(B:B,$4:$10,7,FALSE)+((HLOOKUP(C:C,$4:$10,7,FALSE)-HLOOKUP(B:B,$4:$10,7,FALSE))*E533/F533)</f>
        <v/>
      </c>
      <c r="AB533" s="198">
        <f>$G533</f>
        <v/>
      </c>
      <c r="AC533" s="199">
        <f>$H533</f>
        <v/>
      </c>
      <c r="AD533" s="199">
        <f>$M533*AD$34</f>
        <v/>
      </c>
      <c r="AE533" s="199">
        <f>$M533*AE$34</f>
        <v/>
      </c>
      <c r="AF533" s="199">
        <f>$M533*AF$34</f>
        <v/>
      </c>
      <c r="AG533" s="199">
        <f>$M533*AG$34</f>
        <v/>
      </c>
      <c r="AH533" s="199">
        <f>$M533*AH$34</f>
        <v/>
      </c>
      <c r="AJ533" s="198">
        <f>$G533</f>
        <v/>
      </c>
      <c r="AK533" s="199">
        <f>$H533</f>
        <v/>
      </c>
      <c r="AL533" s="199">
        <f>$N533*AL$34</f>
        <v/>
      </c>
      <c r="AM533" s="199">
        <f>$N533*AM$34</f>
        <v/>
      </c>
      <c r="AN533" s="199">
        <f>$N533*AN$34</f>
        <v/>
      </c>
      <c r="AO533" s="199">
        <f>$N533*AO$34</f>
        <v/>
      </c>
      <c r="AP533" s="199">
        <f>$N533*AP$34</f>
        <v/>
      </c>
      <c r="AR533" s="198">
        <f>$G533</f>
        <v/>
      </c>
      <c r="AS533" s="199">
        <f>$H533</f>
        <v/>
      </c>
      <c r="AT533" s="199">
        <f>$O533*AT$34-$Q533</f>
        <v/>
      </c>
      <c r="AU533" s="199">
        <f>$O533*AU$34-$Q533</f>
        <v/>
      </c>
      <c r="AV533" s="199">
        <f>$O533*AV$34-$Q533</f>
        <v/>
      </c>
      <c r="AW533" s="199">
        <f>$O533*AW$34-$Q533</f>
        <v/>
      </c>
      <c r="AX533" s="199">
        <f>$O533*AX$34-$Q533</f>
        <v/>
      </c>
      <c r="AZ533" s="198">
        <f>$G533</f>
        <v/>
      </c>
      <c r="BA533" s="199">
        <f>$H533</f>
        <v/>
      </c>
      <c r="BB533" s="199">
        <f>$P533*BB$34-$Q533</f>
        <v/>
      </c>
      <c r="BC533" s="199">
        <f>$P533*BC$34-$Q533</f>
        <v/>
      </c>
      <c r="BD533" s="199">
        <f>$P533*BD$34-$Q533</f>
        <v/>
      </c>
      <c r="BE533" s="199">
        <f>$P533*BE$34-$Q533</f>
        <v/>
      </c>
      <c r="BF533" s="199">
        <f>$P533*BF$34-$Q533</f>
        <v/>
      </c>
      <c r="BH533" s="198">
        <f>$G533</f>
        <v/>
      </c>
      <c r="BI533" s="197">
        <f>$I533</f>
        <v/>
      </c>
      <c r="BJ533" s="197">
        <f>+BJ534</f>
        <v/>
      </c>
      <c r="BK533" s="197">
        <f>+BK534</f>
        <v/>
      </c>
      <c r="BL533" s="197">
        <f>+BL534</f>
        <v/>
      </c>
      <c r="BM533" s="197">
        <f>+BM534</f>
        <v/>
      </c>
      <c r="BN533" s="197">
        <f>+BN534</f>
        <v/>
      </c>
      <c r="BP533" s="198">
        <f>$G533</f>
        <v/>
      </c>
      <c r="BQ533" s="197">
        <f>$J533</f>
        <v/>
      </c>
      <c r="BR533" s="197">
        <f>+BR534</f>
        <v/>
      </c>
      <c r="BS533" s="197">
        <f>+BS534</f>
        <v/>
      </c>
      <c r="BT533" s="197">
        <f>+BT534</f>
        <v/>
      </c>
      <c r="BU533" s="197">
        <f>+BU534</f>
        <v/>
      </c>
      <c r="BV533" s="197">
        <f>+BV534</f>
        <v/>
      </c>
      <c r="BX533" s="198">
        <f>$G533</f>
        <v/>
      </c>
      <c r="BY533" s="197">
        <f>$K533</f>
        <v/>
      </c>
      <c r="BZ533" s="197">
        <f>+BZ534</f>
        <v/>
      </c>
      <c r="CA533" s="197">
        <f>+CA534</f>
        <v/>
      </c>
      <c r="CB533" s="197">
        <f>+CB534</f>
        <v/>
      </c>
      <c r="CC533" s="197">
        <f>+CC534</f>
        <v/>
      </c>
      <c r="CD533" s="197">
        <f>+CD534</f>
        <v/>
      </c>
      <c r="CF533" s="198">
        <f>$G533</f>
        <v/>
      </c>
      <c r="CG533" s="197">
        <f>$L533</f>
        <v/>
      </c>
      <c r="CH533" s="197">
        <f>+CH534</f>
        <v/>
      </c>
      <c r="CI533" s="197">
        <f>+CI534</f>
        <v/>
      </c>
      <c r="CJ533" s="197">
        <f>+CJ534</f>
        <v/>
      </c>
      <c r="CK533" s="197">
        <f>+CK534</f>
        <v/>
      </c>
      <c r="CL533" s="197">
        <f>+CL534</f>
        <v/>
      </c>
      <c r="CO533" s="199" t="n">
        <v>4.784748769457562</v>
      </c>
      <c r="CP533" s="199" t="n">
        <v>3.15</v>
      </c>
      <c r="CR533" s="199" t="n">
        <v>3.83</v>
      </c>
      <c r="CS533" s="970" t="n">
        <v>0.8004599999999999</v>
      </c>
    </row>
    <row r="534">
      <c r="B534" s="204">
        <f>+C534-1</f>
        <v/>
      </c>
      <c r="C534" s="204">
        <f>IF('bands_A-H_Avg'!$D$9+1&gt;MONTH(G534),YEAR(G534),YEAR(G534)+1)</f>
        <v/>
      </c>
      <c r="D534" s="204">
        <f>+C534+1</f>
        <v/>
      </c>
      <c r="E534" s="203">
        <f>IF(C534&gt;C533,1,E533+1)</f>
        <v/>
      </c>
      <c r="F534" s="203">
        <f>COUNTIF(C:C,C534)</f>
        <v/>
      </c>
      <c r="G534" s="198">
        <f>+G533+7</f>
        <v/>
      </c>
      <c r="H534" s="361">
        <f>IF(ISBLANK(CO534),CP534,SUMPRODUCT(CO$32:CP$32,CO534:CP534))</f>
        <v/>
      </c>
      <c r="I534" s="968">
        <f>H534/M534</f>
        <v/>
      </c>
      <c r="J534" s="968">
        <f>H534/N534</f>
        <v/>
      </c>
      <c r="K534" s="968">
        <f>(H534+Q534)/O534</f>
        <v/>
      </c>
      <c r="L534" s="968">
        <f>(H534+Q534)/P534</f>
        <v/>
      </c>
      <c r="M534" s="199">
        <f>HLOOKUP(C:C,$4:$10,3,FALSE)+((HLOOKUP(D:D,$4:$10,3,FALSE)-HLOOKUP(C:C,$4:$10,3,FALSE))*E534/F534)</f>
        <v/>
      </c>
      <c r="N534" s="199">
        <f>HLOOKUP(C:C,$4:$10,2,FALSE)+((HLOOKUP(D:D,$4:$10,2,FALSE)-HLOOKUP(C:C,$4:$10,2,FALSE))*E534/F534)</f>
        <v/>
      </c>
      <c r="O534" s="199">
        <f>HLOOKUP(C:C,$4:$10,5,FALSE)+((HLOOKUP(D:D,$4:$10,5,FALSE)-HLOOKUP(C:C,$4:$10,5,FALSE))*E534/F534)</f>
        <v/>
      </c>
      <c r="P534" s="199">
        <f>HLOOKUP(C:C,$4:$10,4,FALSE)+((HLOOKUP(D:D,$4:$10,4,FALSE)-HLOOKUP(C:C,$4:$10,4,FALSE))*E534/F534)</f>
        <v/>
      </c>
      <c r="Q534" s="199">
        <f>HLOOKUP(B:B,$4:$10,6,FALSE)+((HLOOKUP(C:C,$4:$10,6,FALSE)-HLOOKUP(B:B,$4:$10,6,FALSE))*E534/F534)</f>
        <v/>
      </c>
      <c r="T534" s="198">
        <f>$G534</f>
        <v/>
      </c>
      <c r="U534" s="199">
        <f>H534/(HLOOKUP(B:B,$4:$10,3,FALSE)+((HLOOKUP(C:C,$4:$10,3,FALSE)-HLOOKUP(B:B,$4:$10,3,FALSE))*E534/F534))</f>
        <v/>
      </c>
      <c r="V534" s="969">
        <f>HLOOKUP(B:B,$4:$10,7,FALSE)+((HLOOKUP(C:C,$4:$10,7,FALSE)-HLOOKUP(B:B,$4:$10,7,FALSE))*E534/F534)</f>
        <v/>
      </c>
      <c r="AB534" s="198">
        <f>$G534</f>
        <v/>
      </c>
      <c r="AC534" s="199">
        <f>$H534</f>
        <v/>
      </c>
      <c r="AD534" s="199">
        <f>$M534*AD$34</f>
        <v/>
      </c>
      <c r="AE534" s="199">
        <f>$M534*AE$34</f>
        <v/>
      </c>
      <c r="AF534" s="199">
        <f>$M534*AF$34</f>
        <v/>
      </c>
      <c r="AG534" s="199">
        <f>$M534*AG$34</f>
        <v/>
      </c>
      <c r="AH534" s="199">
        <f>$M534*AH$34</f>
        <v/>
      </c>
      <c r="AJ534" s="198">
        <f>$G534</f>
        <v/>
      </c>
      <c r="AK534" s="199">
        <f>$H534</f>
        <v/>
      </c>
      <c r="AL534" s="199">
        <f>$N534*AL$34</f>
        <v/>
      </c>
      <c r="AM534" s="199">
        <f>$N534*AM$34</f>
        <v/>
      </c>
      <c r="AN534" s="199">
        <f>$N534*AN$34</f>
        <v/>
      </c>
      <c r="AO534" s="199">
        <f>$N534*AO$34</f>
        <v/>
      </c>
      <c r="AP534" s="199">
        <f>$N534*AP$34</f>
        <v/>
      </c>
      <c r="AR534" s="198">
        <f>$G534</f>
        <v/>
      </c>
      <c r="AS534" s="199">
        <f>$H534</f>
        <v/>
      </c>
      <c r="AT534" s="199">
        <f>$O534*AT$34-$Q534</f>
        <v/>
      </c>
      <c r="AU534" s="199">
        <f>$O534*AU$34-$Q534</f>
        <v/>
      </c>
      <c r="AV534" s="199">
        <f>$O534*AV$34-$Q534</f>
        <v/>
      </c>
      <c r="AW534" s="199">
        <f>$O534*AW$34-$Q534</f>
        <v/>
      </c>
      <c r="AX534" s="199">
        <f>$O534*AX$34-$Q534</f>
        <v/>
      </c>
      <c r="AZ534" s="198">
        <f>$G534</f>
        <v/>
      </c>
      <c r="BA534" s="199">
        <f>$H534</f>
        <v/>
      </c>
      <c r="BB534" s="199">
        <f>$P534*BB$34-$Q534</f>
        <v/>
      </c>
      <c r="BC534" s="199">
        <f>$P534*BC$34-$Q534</f>
        <v/>
      </c>
      <c r="BD534" s="199">
        <f>$P534*BD$34-$Q534</f>
        <v/>
      </c>
      <c r="BE534" s="199">
        <f>$P534*BE$34-$Q534</f>
        <v/>
      </c>
      <c r="BF534" s="199">
        <f>$P534*BF$34-$Q534</f>
        <v/>
      </c>
      <c r="BH534" s="198">
        <f>$G534</f>
        <v/>
      </c>
      <c r="BI534" s="197">
        <f>$I534</f>
        <v/>
      </c>
      <c r="BJ534" s="197">
        <f>+BJ535</f>
        <v/>
      </c>
      <c r="BK534" s="197">
        <f>+BK535</f>
        <v/>
      </c>
      <c r="BL534" s="197">
        <f>+BL535</f>
        <v/>
      </c>
      <c r="BM534" s="197">
        <f>+BM535</f>
        <v/>
      </c>
      <c r="BN534" s="197">
        <f>+BN535</f>
        <v/>
      </c>
      <c r="BP534" s="198">
        <f>$G534</f>
        <v/>
      </c>
      <c r="BQ534" s="197">
        <f>$J534</f>
        <v/>
      </c>
      <c r="BR534" s="197">
        <f>+BR535</f>
        <v/>
      </c>
      <c r="BS534" s="197">
        <f>+BS535</f>
        <v/>
      </c>
      <c r="BT534" s="197">
        <f>+BT535</f>
        <v/>
      </c>
      <c r="BU534" s="197">
        <f>+BU535</f>
        <v/>
      </c>
      <c r="BV534" s="197">
        <f>+BV535</f>
        <v/>
      </c>
      <c r="BX534" s="198">
        <f>$G534</f>
        <v/>
      </c>
      <c r="BY534" s="197">
        <f>$K534</f>
        <v/>
      </c>
      <c r="BZ534" s="197">
        <f>+BZ535</f>
        <v/>
      </c>
      <c r="CA534" s="197">
        <f>+CA535</f>
        <v/>
      </c>
      <c r="CB534" s="197">
        <f>+CB535</f>
        <v/>
      </c>
      <c r="CC534" s="197">
        <f>+CC535</f>
        <v/>
      </c>
      <c r="CD534" s="197">
        <f>+CD535</f>
        <v/>
      </c>
      <c r="CF534" s="198">
        <f>$G534</f>
        <v/>
      </c>
      <c r="CG534" s="197">
        <f>$L534</f>
        <v/>
      </c>
      <c r="CH534" s="197">
        <f>+CH535</f>
        <v/>
      </c>
      <c r="CI534" s="197">
        <f>+CI535</f>
        <v/>
      </c>
      <c r="CJ534" s="197">
        <f>+CJ535</f>
        <v/>
      </c>
      <c r="CK534" s="197">
        <f>+CK535</f>
        <v/>
      </c>
      <c r="CL534" s="197">
        <f>+CL535</f>
        <v/>
      </c>
      <c r="CO534" s="199" t="n">
        <v>4.890707655454636</v>
      </c>
      <c r="CP534" s="199" t="n">
        <v>3.28</v>
      </c>
      <c r="CR534" s="199" t="n">
        <v>3.92</v>
      </c>
      <c r="CS534" s="970" t="n">
        <v>0.80152</v>
      </c>
    </row>
    <row r="535">
      <c r="B535" s="204">
        <f>+C535-1</f>
        <v/>
      </c>
      <c r="C535" s="204">
        <f>IF('bands_A-H_Avg'!$D$9+1&gt;MONTH(G535),YEAR(G535),YEAR(G535)+1)</f>
        <v/>
      </c>
      <c r="D535" s="204">
        <f>+C535+1</f>
        <v/>
      </c>
      <c r="E535" s="203">
        <f>IF(C535&gt;C534,1,E534+1)</f>
        <v/>
      </c>
      <c r="F535" s="203">
        <f>COUNTIF(C:C,C535)</f>
        <v/>
      </c>
      <c r="G535" s="198">
        <f>+G534+7</f>
        <v/>
      </c>
      <c r="H535" s="361">
        <f>IF(ISBLANK(CO535),CP535,SUMPRODUCT(CO$32:CP$32,CO535:CP535))</f>
        <v/>
      </c>
      <c r="I535" s="968">
        <f>H535/M535</f>
        <v/>
      </c>
      <c r="J535" s="968">
        <f>H535/N535</f>
        <v/>
      </c>
      <c r="K535" s="968">
        <f>(H535+Q535)/O535</f>
        <v/>
      </c>
      <c r="L535" s="968">
        <f>(H535+Q535)/P535</f>
        <v/>
      </c>
      <c r="M535" s="199">
        <f>HLOOKUP(C:C,$4:$10,3,FALSE)+((HLOOKUP(D:D,$4:$10,3,FALSE)-HLOOKUP(C:C,$4:$10,3,FALSE))*E535/F535)</f>
        <v/>
      </c>
      <c r="N535" s="199">
        <f>HLOOKUP(C:C,$4:$10,2,FALSE)+((HLOOKUP(D:D,$4:$10,2,FALSE)-HLOOKUP(C:C,$4:$10,2,FALSE))*E535/F535)</f>
        <v/>
      </c>
      <c r="O535" s="199">
        <f>HLOOKUP(C:C,$4:$10,5,FALSE)+((HLOOKUP(D:D,$4:$10,5,FALSE)-HLOOKUP(C:C,$4:$10,5,FALSE))*E535/F535)</f>
        <v/>
      </c>
      <c r="P535" s="199">
        <f>HLOOKUP(C:C,$4:$10,4,FALSE)+((HLOOKUP(D:D,$4:$10,4,FALSE)-HLOOKUP(C:C,$4:$10,4,FALSE))*E535/F535)</f>
        <v/>
      </c>
      <c r="Q535" s="199">
        <f>HLOOKUP(B:B,$4:$10,6,FALSE)+((HLOOKUP(C:C,$4:$10,6,FALSE)-HLOOKUP(B:B,$4:$10,6,FALSE))*E535/F535)</f>
        <v/>
      </c>
      <c r="T535" s="198">
        <f>$G535</f>
        <v/>
      </c>
      <c r="U535" s="199">
        <f>H535/(HLOOKUP(B:B,$4:$10,3,FALSE)+((HLOOKUP(C:C,$4:$10,3,FALSE)-HLOOKUP(B:B,$4:$10,3,FALSE))*E535/F535))</f>
        <v/>
      </c>
      <c r="V535" s="969">
        <f>HLOOKUP(B:B,$4:$10,7,FALSE)+((HLOOKUP(C:C,$4:$10,7,FALSE)-HLOOKUP(B:B,$4:$10,7,FALSE))*E535/F535)</f>
        <v/>
      </c>
      <c r="AB535" s="198">
        <f>$G535</f>
        <v/>
      </c>
      <c r="AC535" s="199">
        <f>$H535</f>
        <v/>
      </c>
      <c r="AD535" s="199">
        <f>$M535*AD$34</f>
        <v/>
      </c>
      <c r="AE535" s="199">
        <f>$M535*AE$34</f>
        <v/>
      </c>
      <c r="AF535" s="199">
        <f>$M535*AF$34</f>
        <v/>
      </c>
      <c r="AG535" s="199">
        <f>$M535*AG$34</f>
        <v/>
      </c>
      <c r="AH535" s="199">
        <f>$M535*AH$34</f>
        <v/>
      </c>
      <c r="AJ535" s="198">
        <f>$G535</f>
        <v/>
      </c>
      <c r="AK535" s="199">
        <f>$H535</f>
        <v/>
      </c>
      <c r="AL535" s="199">
        <f>$N535*AL$34</f>
        <v/>
      </c>
      <c r="AM535" s="199">
        <f>$N535*AM$34</f>
        <v/>
      </c>
      <c r="AN535" s="199">
        <f>$N535*AN$34</f>
        <v/>
      </c>
      <c r="AO535" s="199">
        <f>$N535*AO$34</f>
        <v/>
      </c>
      <c r="AP535" s="199">
        <f>$N535*AP$34</f>
        <v/>
      </c>
      <c r="AR535" s="198">
        <f>$G535</f>
        <v/>
      </c>
      <c r="AS535" s="199">
        <f>$H535</f>
        <v/>
      </c>
      <c r="AT535" s="199">
        <f>$O535*AT$34-$Q535</f>
        <v/>
      </c>
      <c r="AU535" s="199">
        <f>$O535*AU$34-$Q535</f>
        <v/>
      </c>
      <c r="AV535" s="199">
        <f>$O535*AV$34-$Q535</f>
        <v/>
      </c>
      <c r="AW535" s="199">
        <f>$O535*AW$34-$Q535</f>
        <v/>
      </c>
      <c r="AX535" s="199">
        <f>$O535*AX$34-$Q535</f>
        <v/>
      </c>
      <c r="AZ535" s="198">
        <f>$G535</f>
        <v/>
      </c>
      <c r="BA535" s="199">
        <f>$H535</f>
        <v/>
      </c>
      <c r="BB535" s="199">
        <f>$P535*BB$34-$Q535</f>
        <v/>
      </c>
      <c r="BC535" s="199">
        <f>$P535*BC$34-$Q535</f>
        <v/>
      </c>
      <c r="BD535" s="199">
        <f>$P535*BD$34-$Q535</f>
        <v/>
      </c>
      <c r="BE535" s="199">
        <f>$P535*BE$34-$Q535</f>
        <v/>
      </c>
      <c r="BF535" s="199">
        <f>$P535*BF$34-$Q535</f>
        <v/>
      </c>
      <c r="BH535" s="198">
        <f>$G535</f>
        <v/>
      </c>
      <c r="BI535" s="197">
        <f>$I535</f>
        <v/>
      </c>
      <c r="BJ535" s="197">
        <f>+BJ536</f>
        <v/>
      </c>
      <c r="BK535" s="197">
        <f>+BK536</f>
        <v/>
      </c>
      <c r="BL535" s="197">
        <f>+BL536</f>
        <v/>
      </c>
      <c r="BM535" s="197">
        <f>+BM536</f>
        <v/>
      </c>
      <c r="BN535" s="197">
        <f>+BN536</f>
        <v/>
      </c>
      <c r="BP535" s="198">
        <f>$G535</f>
        <v/>
      </c>
      <c r="BQ535" s="197">
        <f>$J535</f>
        <v/>
      </c>
      <c r="BR535" s="197">
        <f>+BR536</f>
        <v/>
      </c>
      <c r="BS535" s="197">
        <f>+BS536</f>
        <v/>
      </c>
      <c r="BT535" s="197">
        <f>+BT536</f>
        <v/>
      </c>
      <c r="BU535" s="197">
        <f>+BU536</f>
        <v/>
      </c>
      <c r="BV535" s="197">
        <f>+BV536</f>
        <v/>
      </c>
      <c r="BX535" s="198">
        <f>$G535</f>
        <v/>
      </c>
      <c r="BY535" s="197">
        <f>$K535</f>
        <v/>
      </c>
      <c r="BZ535" s="197">
        <f>+BZ536</f>
        <v/>
      </c>
      <c r="CA535" s="197">
        <f>+CA536</f>
        <v/>
      </c>
      <c r="CB535" s="197">
        <f>+CB536</f>
        <v/>
      </c>
      <c r="CC535" s="197">
        <f>+CC536</f>
        <v/>
      </c>
      <c r="CD535" s="197">
        <f>+CD536</f>
        <v/>
      </c>
      <c r="CF535" s="198">
        <f>$G535</f>
        <v/>
      </c>
      <c r="CG535" s="197">
        <f>$L535</f>
        <v/>
      </c>
      <c r="CH535" s="197">
        <f>+CH536</f>
        <v/>
      </c>
      <c r="CI535" s="197">
        <f>+CI536</f>
        <v/>
      </c>
      <c r="CJ535" s="197">
        <f>+CJ536</f>
        <v/>
      </c>
      <c r="CK535" s="197">
        <f>+CK536</f>
        <v/>
      </c>
      <c r="CL535" s="197">
        <f>+CL536</f>
        <v/>
      </c>
      <c r="CO535" s="199" t="n">
        <v>5.006257822277847</v>
      </c>
      <c r="CP535" s="199" t="n">
        <v>3.33</v>
      </c>
      <c r="CR535" s="199" t="n">
        <v>4</v>
      </c>
      <c r="CS535" s="970" t="n">
        <v>0.799</v>
      </c>
    </row>
    <row r="536">
      <c r="B536" s="204">
        <f>+C536-1</f>
        <v/>
      </c>
      <c r="C536" s="204">
        <f>IF('bands_A-H_Avg'!$D$9+1&gt;MONTH(G536),YEAR(G536),YEAR(G536)+1)</f>
        <v/>
      </c>
      <c r="D536" s="204">
        <f>+C536+1</f>
        <v/>
      </c>
      <c r="E536" s="203">
        <f>IF(C536&gt;C535,1,E535+1)</f>
        <v/>
      </c>
      <c r="F536" s="203">
        <f>COUNTIF(C:C,C536)</f>
        <v/>
      </c>
      <c r="G536" s="198">
        <f>+G535+7</f>
        <v/>
      </c>
      <c r="H536" s="361">
        <f>IF(ISBLANK(CO536),CP536,SUMPRODUCT(CO$32:CP$32,CO536:CP536))</f>
        <v/>
      </c>
      <c r="I536" s="968">
        <f>H536/M536</f>
        <v/>
      </c>
      <c r="J536" s="968">
        <f>H536/N536</f>
        <v/>
      </c>
      <c r="K536" s="968">
        <f>(H536+Q536)/O536</f>
        <v/>
      </c>
      <c r="L536" s="968">
        <f>(H536+Q536)/P536</f>
        <v/>
      </c>
      <c r="M536" s="199">
        <f>HLOOKUP(C:C,$4:$10,3,FALSE)+((HLOOKUP(D:D,$4:$10,3,FALSE)-HLOOKUP(C:C,$4:$10,3,FALSE))*E536/F536)</f>
        <v/>
      </c>
      <c r="N536" s="199">
        <f>HLOOKUP(C:C,$4:$10,2,FALSE)+((HLOOKUP(D:D,$4:$10,2,FALSE)-HLOOKUP(C:C,$4:$10,2,FALSE))*E536/F536)</f>
        <v/>
      </c>
      <c r="O536" s="199">
        <f>HLOOKUP(C:C,$4:$10,5,FALSE)+((HLOOKUP(D:D,$4:$10,5,FALSE)-HLOOKUP(C:C,$4:$10,5,FALSE))*E536/F536)</f>
        <v/>
      </c>
      <c r="P536" s="199">
        <f>HLOOKUP(C:C,$4:$10,4,FALSE)+((HLOOKUP(D:D,$4:$10,4,FALSE)-HLOOKUP(C:C,$4:$10,4,FALSE))*E536/F536)</f>
        <v/>
      </c>
      <c r="Q536" s="199">
        <f>HLOOKUP(B:B,$4:$10,6,FALSE)+((HLOOKUP(C:C,$4:$10,6,FALSE)-HLOOKUP(B:B,$4:$10,6,FALSE))*E536/F536)</f>
        <v/>
      </c>
      <c r="T536" s="198">
        <f>$G536</f>
        <v/>
      </c>
      <c r="U536" s="199">
        <f>H536/(HLOOKUP(B:B,$4:$10,3,FALSE)+((HLOOKUP(C:C,$4:$10,3,FALSE)-HLOOKUP(B:B,$4:$10,3,FALSE))*E536/F536))</f>
        <v/>
      </c>
      <c r="V536" s="969">
        <f>HLOOKUP(B:B,$4:$10,7,FALSE)+((HLOOKUP(C:C,$4:$10,7,FALSE)-HLOOKUP(B:B,$4:$10,7,FALSE))*E536/F536)</f>
        <v/>
      </c>
      <c r="AB536" s="198">
        <f>$G536</f>
        <v/>
      </c>
      <c r="AC536" s="199">
        <f>$H536</f>
        <v/>
      </c>
      <c r="AD536" s="199">
        <f>$M536*AD$34</f>
        <v/>
      </c>
      <c r="AE536" s="199">
        <f>$M536*AE$34</f>
        <v/>
      </c>
      <c r="AF536" s="199">
        <f>$M536*AF$34</f>
        <v/>
      </c>
      <c r="AG536" s="199">
        <f>$M536*AG$34</f>
        <v/>
      </c>
      <c r="AH536" s="199">
        <f>$M536*AH$34</f>
        <v/>
      </c>
      <c r="AJ536" s="198">
        <f>$G536</f>
        <v/>
      </c>
      <c r="AK536" s="199">
        <f>$H536</f>
        <v/>
      </c>
      <c r="AL536" s="199">
        <f>$N536*AL$34</f>
        <v/>
      </c>
      <c r="AM536" s="199">
        <f>$N536*AM$34</f>
        <v/>
      </c>
      <c r="AN536" s="199">
        <f>$N536*AN$34</f>
        <v/>
      </c>
      <c r="AO536" s="199">
        <f>$N536*AO$34</f>
        <v/>
      </c>
      <c r="AP536" s="199">
        <f>$N536*AP$34</f>
        <v/>
      </c>
      <c r="AR536" s="198">
        <f>$G536</f>
        <v/>
      </c>
      <c r="AS536" s="199">
        <f>$H536</f>
        <v/>
      </c>
      <c r="AT536" s="199">
        <f>$O536*AT$34-$Q536</f>
        <v/>
      </c>
      <c r="AU536" s="199">
        <f>$O536*AU$34-$Q536</f>
        <v/>
      </c>
      <c r="AV536" s="199">
        <f>$O536*AV$34-$Q536</f>
        <v/>
      </c>
      <c r="AW536" s="199">
        <f>$O536*AW$34-$Q536</f>
        <v/>
      </c>
      <c r="AX536" s="199">
        <f>$O536*AX$34-$Q536</f>
        <v/>
      </c>
      <c r="AZ536" s="198">
        <f>$G536</f>
        <v/>
      </c>
      <c r="BA536" s="199">
        <f>$H536</f>
        <v/>
      </c>
      <c r="BB536" s="199">
        <f>$P536*BB$34-$Q536</f>
        <v/>
      </c>
      <c r="BC536" s="199">
        <f>$P536*BC$34-$Q536</f>
        <v/>
      </c>
      <c r="BD536" s="199">
        <f>$P536*BD$34-$Q536</f>
        <v/>
      </c>
      <c r="BE536" s="199">
        <f>$P536*BE$34-$Q536</f>
        <v/>
      </c>
      <c r="BF536" s="199">
        <f>$P536*BF$34-$Q536</f>
        <v/>
      </c>
      <c r="BH536" s="198">
        <f>$G536</f>
        <v/>
      </c>
      <c r="BI536" s="197">
        <f>$I536</f>
        <v/>
      </c>
      <c r="BJ536" s="197">
        <f>+BJ537</f>
        <v/>
      </c>
      <c r="BK536" s="197">
        <f>+BK537</f>
        <v/>
      </c>
      <c r="BL536" s="197">
        <f>+BL537</f>
        <v/>
      </c>
      <c r="BM536" s="197">
        <f>+BM537</f>
        <v/>
      </c>
      <c r="BN536" s="197">
        <f>+BN537</f>
        <v/>
      </c>
      <c r="BP536" s="198">
        <f>$G536</f>
        <v/>
      </c>
      <c r="BQ536" s="197">
        <f>$J536</f>
        <v/>
      </c>
      <c r="BR536" s="197">
        <f>+BR537</f>
        <v/>
      </c>
      <c r="BS536" s="197">
        <f>+BS537</f>
        <v/>
      </c>
      <c r="BT536" s="197">
        <f>+BT537</f>
        <v/>
      </c>
      <c r="BU536" s="197">
        <f>+BU537</f>
        <v/>
      </c>
      <c r="BV536" s="197">
        <f>+BV537</f>
        <v/>
      </c>
      <c r="BX536" s="198">
        <f>$G536</f>
        <v/>
      </c>
      <c r="BY536" s="197">
        <f>$K536</f>
        <v/>
      </c>
      <c r="BZ536" s="197">
        <f>+BZ537</f>
        <v/>
      </c>
      <c r="CA536" s="197">
        <f>+CA537</f>
        <v/>
      </c>
      <c r="CB536" s="197">
        <f>+CB537</f>
        <v/>
      </c>
      <c r="CC536" s="197">
        <f>+CC537</f>
        <v/>
      </c>
      <c r="CD536" s="197">
        <f>+CD537</f>
        <v/>
      </c>
      <c r="CF536" s="198">
        <f>$G536</f>
        <v/>
      </c>
      <c r="CG536" s="197">
        <f>$L536</f>
        <v/>
      </c>
      <c r="CH536" s="197">
        <f>+CH537</f>
        <v/>
      </c>
      <c r="CI536" s="197">
        <f>+CI537</f>
        <v/>
      </c>
      <c r="CJ536" s="197">
        <f>+CJ537</f>
        <v/>
      </c>
      <c r="CK536" s="197">
        <f>+CK537</f>
        <v/>
      </c>
      <c r="CL536" s="197">
        <f>+CL537</f>
        <v/>
      </c>
      <c r="CO536" s="199" t="n">
        <v>5.005143129531599</v>
      </c>
      <c r="CP536" s="199" t="n">
        <v>3.38</v>
      </c>
      <c r="CR536" s="199" t="n">
        <v>3.99</v>
      </c>
      <c r="CS536" s="970" t="n">
        <v>0.79718</v>
      </c>
    </row>
    <row r="537">
      <c r="B537" s="204">
        <f>+C537-1</f>
        <v/>
      </c>
      <c r="C537" s="204">
        <f>IF('bands_A-H_Avg'!$D$9+1&gt;MONTH(G537),YEAR(G537),YEAR(G537)+1)</f>
        <v/>
      </c>
      <c r="D537" s="204">
        <f>+C537+1</f>
        <v/>
      </c>
      <c r="E537" s="203">
        <f>IF(C537&gt;C536,1,E536+1)</f>
        <v/>
      </c>
      <c r="F537" s="203">
        <f>COUNTIF(C:C,C537)</f>
        <v/>
      </c>
      <c r="G537" s="198">
        <f>+G536+7</f>
        <v/>
      </c>
      <c r="H537" s="361">
        <f>IF(ISBLANK(CO537),CP537,SUMPRODUCT(CO$32:CP$32,CO537:CP537))</f>
        <v/>
      </c>
      <c r="I537" s="968">
        <f>H537/M537</f>
        <v/>
      </c>
      <c r="J537" s="968">
        <f>H537/N537</f>
        <v/>
      </c>
      <c r="K537" s="968">
        <f>(H537+Q537)/O537</f>
        <v/>
      </c>
      <c r="L537" s="968">
        <f>(H537+Q537)/P537</f>
        <v/>
      </c>
      <c r="M537" s="199">
        <f>HLOOKUP(C:C,$4:$10,3,FALSE)+((HLOOKUP(D:D,$4:$10,3,FALSE)-HLOOKUP(C:C,$4:$10,3,FALSE))*E537/F537)</f>
        <v/>
      </c>
      <c r="N537" s="199">
        <f>HLOOKUP(C:C,$4:$10,2,FALSE)+((HLOOKUP(D:D,$4:$10,2,FALSE)-HLOOKUP(C:C,$4:$10,2,FALSE))*E537/F537)</f>
        <v/>
      </c>
      <c r="O537" s="199">
        <f>HLOOKUP(C:C,$4:$10,5,FALSE)+((HLOOKUP(D:D,$4:$10,5,FALSE)-HLOOKUP(C:C,$4:$10,5,FALSE))*E537/F537)</f>
        <v/>
      </c>
      <c r="P537" s="199">
        <f>HLOOKUP(C:C,$4:$10,4,FALSE)+((HLOOKUP(D:D,$4:$10,4,FALSE)-HLOOKUP(C:C,$4:$10,4,FALSE))*E537/F537)</f>
        <v/>
      </c>
      <c r="Q537" s="199">
        <f>HLOOKUP(B:B,$4:$10,6,FALSE)+((HLOOKUP(C:C,$4:$10,6,FALSE)-HLOOKUP(B:B,$4:$10,6,FALSE))*E537/F537)</f>
        <v/>
      </c>
      <c r="T537" s="198">
        <f>$G537</f>
        <v/>
      </c>
      <c r="U537" s="199">
        <f>H537/(HLOOKUP(B:B,$4:$10,3,FALSE)+((HLOOKUP(C:C,$4:$10,3,FALSE)-HLOOKUP(B:B,$4:$10,3,FALSE))*E537/F537))</f>
        <v/>
      </c>
      <c r="V537" s="969">
        <f>HLOOKUP(B:B,$4:$10,7,FALSE)+((HLOOKUP(C:C,$4:$10,7,FALSE)-HLOOKUP(B:B,$4:$10,7,FALSE))*E537/F537)</f>
        <v/>
      </c>
      <c r="AB537" s="198">
        <f>$G537</f>
        <v/>
      </c>
      <c r="AC537" s="199">
        <f>$H537</f>
        <v/>
      </c>
      <c r="AD537" s="199">
        <f>$M537*AD$34</f>
        <v/>
      </c>
      <c r="AE537" s="199">
        <f>$M537*AE$34</f>
        <v/>
      </c>
      <c r="AF537" s="199">
        <f>$M537*AF$34</f>
        <v/>
      </c>
      <c r="AG537" s="199">
        <f>$M537*AG$34</f>
        <v/>
      </c>
      <c r="AH537" s="199">
        <f>$M537*AH$34</f>
        <v/>
      </c>
      <c r="AJ537" s="198">
        <f>$G537</f>
        <v/>
      </c>
      <c r="AK537" s="199">
        <f>$H537</f>
        <v/>
      </c>
      <c r="AL537" s="199">
        <f>$N537*AL$34</f>
        <v/>
      </c>
      <c r="AM537" s="199">
        <f>$N537*AM$34</f>
        <v/>
      </c>
      <c r="AN537" s="199">
        <f>$N537*AN$34</f>
        <v/>
      </c>
      <c r="AO537" s="199">
        <f>$N537*AO$34</f>
        <v/>
      </c>
      <c r="AP537" s="199">
        <f>$N537*AP$34</f>
        <v/>
      </c>
      <c r="AR537" s="198">
        <f>$G537</f>
        <v/>
      </c>
      <c r="AS537" s="199">
        <f>$H537</f>
        <v/>
      </c>
      <c r="AT537" s="199">
        <f>$O537*AT$34-$Q537</f>
        <v/>
      </c>
      <c r="AU537" s="199">
        <f>$O537*AU$34-$Q537</f>
        <v/>
      </c>
      <c r="AV537" s="199">
        <f>$O537*AV$34-$Q537</f>
        <v/>
      </c>
      <c r="AW537" s="199">
        <f>$O537*AW$34-$Q537</f>
        <v/>
      </c>
      <c r="AX537" s="199">
        <f>$O537*AX$34-$Q537</f>
        <v/>
      </c>
      <c r="AZ537" s="198">
        <f>$G537</f>
        <v/>
      </c>
      <c r="BA537" s="199">
        <f>$H537</f>
        <v/>
      </c>
      <c r="BB537" s="199">
        <f>$P537*BB$34-$Q537</f>
        <v/>
      </c>
      <c r="BC537" s="199">
        <f>$P537*BC$34-$Q537</f>
        <v/>
      </c>
      <c r="BD537" s="199">
        <f>$P537*BD$34-$Q537</f>
        <v/>
      </c>
      <c r="BE537" s="199">
        <f>$P537*BE$34-$Q537</f>
        <v/>
      </c>
      <c r="BF537" s="199">
        <f>$P537*BF$34-$Q537</f>
        <v/>
      </c>
      <c r="BH537" s="198">
        <f>$G537</f>
        <v/>
      </c>
      <c r="BI537" s="197">
        <f>$I537</f>
        <v/>
      </c>
      <c r="BJ537" s="197">
        <f>+BJ538</f>
        <v/>
      </c>
      <c r="BK537" s="197">
        <f>+BK538</f>
        <v/>
      </c>
      <c r="BL537" s="197">
        <f>+BL538</f>
        <v/>
      </c>
      <c r="BM537" s="197">
        <f>+BM538</f>
        <v/>
      </c>
      <c r="BN537" s="197">
        <f>+BN538</f>
        <v/>
      </c>
      <c r="BP537" s="198">
        <f>$G537</f>
        <v/>
      </c>
      <c r="BQ537" s="197">
        <f>$J537</f>
        <v/>
      </c>
      <c r="BR537" s="197">
        <f>+BR538</f>
        <v/>
      </c>
      <c r="BS537" s="197">
        <f>+BS538</f>
        <v/>
      </c>
      <c r="BT537" s="197">
        <f>+BT538</f>
        <v/>
      </c>
      <c r="BU537" s="197">
        <f>+BU538</f>
        <v/>
      </c>
      <c r="BV537" s="197">
        <f>+BV538</f>
        <v/>
      </c>
      <c r="BX537" s="198">
        <f>$G537</f>
        <v/>
      </c>
      <c r="BY537" s="197">
        <f>$K537</f>
        <v/>
      </c>
      <c r="BZ537" s="197">
        <f>+BZ538</f>
        <v/>
      </c>
      <c r="CA537" s="197">
        <f>+CA538</f>
        <v/>
      </c>
      <c r="CB537" s="197">
        <f>+CB538</f>
        <v/>
      </c>
      <c r="CC537" s="197">
        <f>+CC538</f>
        <v/>
      </c>
      <c r="CD537" s="197">
        <f>+CD538</f>
        <v/>
      </c>
      <c r="CF537" s="198">
        <f>$G537</f>
        <v/>
      </c>
      <c r="CG537" s="197">
        <f>$L537</f>
        <v/>
      </c>
      <c r="CH537" s="197">
        <f>+CH538</f>
        <v/>
      </c>
      <c r="CI537" s="197">
        <f>+CI538</f>
        <v/>
      </c>
      <c r="CJ537" s="197">
        <f>+CJ538</f>
        <v/>
      </c>
      <c r="CK537" s="197">
        <f>+CK538</f>
        <v/>
      </c>
      <c r="CL537" s="197">
        <f>+CL538</f>
        <v/>
      </c>
      <c r="CO537" s="199" t="n">
        <v>5.062462220431191</v>
      </c>
      <c r="CP537" s="199" t="n">
        <v>3.46</v>
      </c>
      <c r="CR537" s="199" t="n">
        <v>4.02</v>
      </c>
      <c r="CS537" s="970" t="n">
        <v>0.79408</v>
      </c>
    </row>
    <row r="538">
      <c r="B538" s="204">
        <f>+C538-1</f>
        <v/>
      </c>
      <c r="C538" s="204">
        <f>IF('bands_A-H_Avg'!$D$9+1&gt;MONTH(G538),YEAR(G538),YEAR(G538)+1)</f>
        <v/>
      </c>
      <c r="D538" s="204">
        <f>+C538+1</f>
        <v/>
      </c>
      <c r="E538" s="203">
        <f>IF(C538&gt;C537,1,E537+1)</f>
        <v/>
      </c>
      <c r="F538" s="203">
        <f>COUNTIF(C:C,C538)</f>
        <v/>
      </c>
      <c r="G538" s="198">
        <f>+G537+7</f>
        <v/>
      </c>
      <c r="H538" s="361">
        <f>IF(ISBLANK(CO538),CP538,SUMPRODUCT(CO$32:CP$32,CO538:CP538))</f>
        <v/>
      </c>
      <c r="I538" s="968">
        <f>H538/M538</f>
        <v/>
      </c>
      <c r="J538" s="968">
        <f>H538/N538</f>
        <v/>
      </c>
      <c r="K538" s="968">
        <f>(H538+Q538)/O538</f>
        <v/>
      </c>
      <c r="L538" s="968">
        <f>(H538+Q538)/P538</f>
        <v/>
      </c>
      <c r="M538" s="199">
        <f>HLOOKUP(C:C,$4:$10,3,FALSE)+((HLOOKUP(D:D,$4:$10,3,FALSE)-HLOOKUP(C:C,$4:$10,3,FALSE))*E538/F538)</f>
        <v/>
      </c>
      <c r="N538" s="199">
        <f>HLOOKUP(C:C,$4:$10,2,FALSE)+((HLOOKUP(D:D,$4:$10,2,FALSE)-HLOOKUP(C:C,$4:$10,2,FALSE))*E538/F538)</f>
        <v/>
      </c>
      <c r="O538" s="199">
        <f>HLOOKUP(C:C,$4:$10,5,FALSE)+((HLOOKUP(D:D,$4:$10,5,FALSE)-HLOOKUP(C:C,$4:$10,5,FALSE))*E538/F538)</f>
        <v/>
      </c>
      <c r="P538" s="199">
        <f>HLOOKUP(C:C,$4:$10,4,FALSE)+((HLOOKUP(D:D,$4:$10,4,FALSE)-HLOOKUP(C:C,$4:$10,4,FALSE))*E538/F538)</f>
        <v/>
      </c>
      <c r="Q538" s="199">
        <f>HLOOKUP(B:B,$4:$10,6,FALSE)+((HLOOKUP(C:C,$4:$10,6,FALSE)-HLOOKUP(B:B,$4:$10,6,FALSE))*E538/F538)</f>
        <v/>
      </c>
      <c r="T538" s="198">
        <f>$G538</f>
        <v/>
      </c>
      <c r="U538" s="199">
        <f>H538/(HLOOKUP(B:B,$4:$10,3,FALSE)+((HLOOKUP(C:C,$4:$10,3,FALSE)-HLOOKUP(B:B,$4:$10,3,FALSE))*E538/F538))</f>
        <v/>
      </c>
      <c r="V538" s="969">
        <f>HLOOKUP(B:B,$4:$10,7,FALSE)+((HLOOKUP(C:C,$4:$10,7,FALSE)-HLOOKUP(B:B,$4:$10,7,FALSE))*E538/F538)</f>
        <v/>
      </c>
      <c r="AB538" s="198">
        <f>$G538</f>
        <v/>
      </c>
      <c r="AC538" s="199">
        <f>$H538</f>
        <v/>
      </c>
      <c r="AD538" s="199">
        <f>$M538*AD$34</f>
        <v/>
      </c>
      <c r="AE538" s="199">
        <f>$M538*AE$34</f>
        <v/>
      </c>
      <c r="AF538" s="199">
        <f>$M538*AF$34</f>
        <v/>
      </c>
      <c r="AG538" s="199">
        <f>$M538*AG$34</f>
        <v/>
      </c>
      <c r="AH538" s="199">
        <f>$M538*AH$34</f>
        <v/>
      </c>
      <c r="AJ538" s="198">
        <f>$G538</f>
        <v/>
      </c>
      <c r="AK538" s="199">
        <f>$H538</f>
        <v/>
      </c>
      <c r="AL538" s="199">
        <f>$N538*AL$34</f>
        <v/>
      </c>
      <c r="AM538" s="199">
        <f>$N538*AM$34</f>
        <v/>
      </c>
      <c r="AN538" s="199">
        <f>$N538*AN$34</f>
        <v/>
      </c>
      <c r="AO538" s="199">
        <f>$N538*AO$34</f>
        <v/>
      </c>
      <c r="AP538" s="199">
        <f>$N538*AP$34</f>
        <v/>
      </c>
      <c r="AR538" s="198">
        <f>$G538</f>
        <v/>
      </c>
      <c r="AS538" s="199">
        <f>$H538</f>
        <v/>
      </c>
      <c r="AT538" s="199">
        <f>$O538*AT$34-$Q538</f>
        <v/>
      </c>
      <c r="AU538" s="199">
        <f>$O538*AU$34-$Q538</f>
        <v/>
      </c>
      <c r="AV538" s="199">
        <f>$O538*AV$34-$Q538</f>
        <v/>
      </c>
      <c r="AW538" s="199">
        <f>$O538*AW$34-$Q538</f>
        <v/>
      </c>
      <c r="AX538" s="199">
        <f>$O538*AX$34-$Q538</f>
        <v/>
      </c>
      <c r="AZ538" s="198">
        <f>$G538</f>
        <v/>
      </c>
      <c r="BA538" s="199">
        <f>$H538</f>
        <v/>
      </c>
      <c r="BB538" s="199">
        <f>$P538*BB$34-$Q538</f>
        <v/>
      </c>
      <c r="BC538" s="199">
        <f>$P538*BC$34-$Q538</f>
        <v/>
      </c>
      <c r="BD538" s="199">
        <f>$P538*BD$34-$Q538</f>
        <v/>
      </c>
      <c r="BE538" s="199">
        <f>$P538*BE$34-$Q538</f>
        <v/>
      </c>
      <c r="BF538" s="199">
        <f>$P538*BF$34-$Q538</f>
        <v/>
      </c>
      <c r="BH538" s="198">
        <f>$G538</f>
        <v/>
      </c>
      <c r="BI538" s="197">
        <f>$I538</f>
        <v/>
      </c>
      <c r="BJ538" s="197">
        <f>+BJ539</f>
        <v/>
      </c>
      <c r="BK538" s="197">
        <f>+BK539</f>
        <v/>
      </c>
      <c r="BL538" s="197">
        <f>+BL539</f>
        <v/>
      </c>
      <c r="BM538" s="197">
        <f>+BM539</f>
        <v/>
      </c>
      <c r="BN538" s="197">
        <f>+BN539</f>
        <v/>
      </c>
      <c r="BP538" s="198">
        <f>$G538</f>
        <v/>
      </c>
      <c r="BQ538" s="197">
        <f>$J538</f>
        <v/>
      </c>
      <c r="BR538" s="197">
        <f>+BR539</f>
        <v/>
      </c>
      <c r="BS538" s="197">
        <f>+BS539</f>
        <v/>
      </c>
      <c r="BT538" s="197">
        <f>+BT539</f>
        <v/>
      </c>
      <c r="BU538" s="197">
        <f>+BU539</f>
        <v/>
      </c>
      <c r="BV538" s="197">
        <f>+BV539</f>
        <v/>
      </c>
      <c r="BX538" s="198">
        <f>$G538</f>
        <v/>
      </c>
      <c r="BY538" s="197">
        <f>$K538</f>
        <v/>
      </c>
      <c r="BZ538" s="197">
        <f>+BZ539</f>
        <v/>
      </c>
      <c r="CA538" s="197">
        <f>+CA539</f>
        <v/>
      </c>
      <c r="CB538" s="197">
        <f>+CB539</f>
        <v/>
      </c>
      <c r="CC538" s="197">
        <f>+CC539</f>
        <v/>
      </c>
      <c r="CD538" s="197">
        <f>+CD539</f>
        <v/>
      </c>
      <c r="CF538" s="198">
        <f>$G538</f>
        <v/>
      </c>
      <c r="CG538" s="197">
        <f>$L538</f>
        <v/>
      </c>
      <c r="CH538" s="197">
        <f>+CH539</f>
        <v/>
      </c>
      <c r="CI538" s="197">
        <f>+CI539</f>
        <v/>
      </c>
      <c r="CJ538" s="197">
        <f>+CJ539</f>
        <v/>
      </c>
      <c r="CK538" s="197">
        <f>+CK539</f>
        <v/>
      </c>
      <c r="CL538" s="197">
        <f>+CL539</f>
        <v/>
      </c>
      <c r="CO538" s="199" t="n">
        <v>5.037275841225066</v>
      </c>
      <c r="CP538" s="199" t="n">
        <v>3.48</v>
      </c>
      <c r="CR538" s="199" t="n">
        <v>4</v>
      </c>
      <c r="CS538" s="970" t="n">
        <v>0.79408</v>
      </c>
    </row>
    <row r="539">
      <c r="B539" s="204">
        <f>+C539-1</f>
        <v/>
      </c>
      <c r="C539" s="204">
        <f>IF('bands_A-H_Avg'!$D$9+1&gt;MONTH(G539),YEAR(G539),YEAR(G539)+1)</f>
        <v/>
      </c>
      <c r="D539" s="204">
        <f>+C539+1</f>
        <v/>
      </c>
      <c r="E539" s="203">
        <f>IF(C539&gt;C538,1,E538+1)</f>
        <v/>
      </c>
      <c r="F539" s="203">
        <f>COUNTIF(C:C,C539)</f>
        <v/>
      </c>
      <c r="G539" s="198">
        <f>+G538+7</f>
        <v/>
      </c>
      <c r="H539" s="361">
        <f>IF(ISBLANK(CO539),CP539,SUMPRODUCT(CO$32:CP$32,CO539:CP539))</f>
        <v/>
      </c>
      <c r="I539" s="968">
        <f>H539/M539</f>
        <v/>
      </c>
      <c r="J539" s="968">
        <f>H539/N539</f>
        <v/>
      </c>
      <c r="K539" s="968">
        <f>(H539+Q539)/O539</f>
        <v/>
      </c>
      <c r="L539" s="968">
        <f>(H539+Q539)/P539</f>
        <v/>
      </c>
      <c r="M539" s="199">
        <f>HLOOKUP(C:C,$4:$10,3,FALSE)+((HLOOKUP(D:D,$4:$10,3,FALSE)-HLOOKUP(C:C,$4:$10,3,FALSE))*E539/F539)</f>
        <v/>
      </c>
      <c r="N539" s="199">
        <f>HLOOKUP(C:C,$4:$10,2,FALSE)+((HLOOKUP(D:D,$4:$10,2,FALSE)-HLOOKUP(C:C,$4:$10,2,FALSE))*E539/F539)</f>
        <v/>
      </c>
      <c r="O539" s="199">
        <f>HLOOKUP(C:C,$4:$10,5,FALSE)+((HLOOKUP(D:D,$4:$10,5,FALSE)-HLOOKUP(C:C,$4:$10,5,FALSE))*E539/F539)</f>
        <v/>
      </c>
      <c r="P539" s="199">
        <f>HLOOKUP(C:C,$4:$10,4,FALSE)+((HLOOKUP(D:D,$4:$10,4,FALSE)-HLOOKUP(C:C,$4:$10,4,FALSE))*E539/F539)</f>
        <v/>
      </c>
      <c r="Q539" s="199">
        <f>HLOOKUP(B:B,$4:$10,6,FALSE)+((HLOOKUP(C:C,$4:$10,6,FALSE)-HLOOKUP(B:B,$4:$10,6,FALSE))*E539/F539)</f>
        <v/>
      </c>
      <c r="T539" s="198">
        <f>$G539</f>
        <v/>
      </c>
      <c r="U539" s="199">
        <f>H539/(HLOOKUP(B:B,$4:$10,3,FALSE)+((HLOOKUP(C:C,$4:$10,3,FALSE)-HLOOKUP(B:B,$4:$10,3,FALSE))*E539/F539))</f>
        <v/>
      </c>
      <c r="V539" s="969">
        <f>HLOOKUP(B:B,$4:$10,7,FALSE)+((HLOOKUP(C:C,$4:$10,7,FALSE)-HLOOKUP(B:B,$4:$10,7,FALSE))*E539/F539)</f>
        <v/>
      </c>
      <c r="AB539" s="198">
        <f>$G539</f>
        <v/>
      </c>
      <c r="AC539" s="199">
        <f>$H539</f>
        <v/>
      </c>
      <c r="AD539" s="199">
        <f>$M539*AD$34</f>
        <v/>
      </c>
      <c r="AE539" s="199">
        <f>$M539*AE$34</f>
        <v/>
      </c>
      <c r="AF539" s="199">
        <f>$M539*AF$34</f>
        <v/>
      </c>
      <c r="AG539" s="199">
        <f>$M539*AG$34</f>
        <v/>
      </c>
      <c r="AH539" s="199">
        <f>$M539*AH$34</f>
        <v/>
      </c>
      <c r="AJ539" s="198">
        <f>$G539</f>
        <v/>
      </c>
      <c r="AK539" s="199">
        <f>$H539</f>
        <v/>
      </c>
      <c r="AL539" s="199">
        <f>$N539*AL$34</f>
        <v/>
      </c>
      <c r="AM539" s="199">
        <f>$N539*AM$34</f>
        <v/>
      </c>
      <c r="AN539" s="199">
        <f>$N539*AN$34</f>
        <v/>
      </c>
      <c r="AO539" s="199">
        <f>$N539*AO$34</f>
        <v/>
      </c>
      <c r="AP539" s="199">
        <f>$N539*AP$34</f>
        <v/>
      </c>
      <c r="AR539" s="198">
        <f>$G539</f>
        <v/>
      </c>
      <c r="AS539" s="199">
        <f>$H539</f>
        <v/>
      </c>
      <c r="AT539" s="199">
        <f>$O539*AT$34-$Q539</f>
        <v/>
      </c>
      <c r="AU539" s="199">
        <f>$O539*AU$34-$Q539</f>
        <v/>
      </c>
      <c r="AV539" s="199">
        <f>$O539*AV$34-$Q539</f>
        <v/>
      </c>
      <c r="AW539" s="199">
        <f>$O539*AW$34-$Q539</f>
        <v/>
      </c>
      <c r="AX539" s="199">
        <f>$O539*AX$34-$Q539</f>
        <v/>
      </c>
      <c r="AZ539" s="198">
        <f>$G539</f>
        <v/>
      </c>
      <c r="BA539" s="199">
        <f>$H539</f>
        <v/>
      </c>
      <c r="BB539" s="199">
        <f>$P539*BB$34-$Q539</f>
        <v/>
      </c>
      <c r="BC539" s="199">
        <f>$P539*BC$34-$Q539</f>
        <v/>
      </c>
      <c r="BD539" s="199">
        <f>$P539*BD$34-$Q539</f>
        <v/>
      </c>
      <c r="BE539" s="199">
        <f>$P539*BE$34-$Q539</f>
        <v/>
      </c>
      <c r="BF539" s="199">
        <f>$P539*BF$34-$Q539</f>
        <v/>
      </c>
      <c r="BH539" s="198">
        <f>$G539</f>
        <v/>
      </c>
      <c r="BI539" s="197">
        <f>$I539</f>
        <v/>
      </c>
      <c r="BJ539" s="197">
        <f>+BJ540</f>
        <v/>
      </c>
      <c r="BK539" s="197">
        <f>+BK540</f>
        <v/>
      </c>
      <c r="BL539" s="197">
        <f>+BL540</f>
        <v/>
      </c>
      <c r="BM539" s="197">
        <f>+BM540</f>
        <v/>
      </c>
      <c r="BN539" s="197">
        <f>+BN540</f>
        <v/>
      </c>
      <c r="BP539" s="198">
        <f>$G539</f>
        <v/>
      </c>
      <c r="BQ539" s="197">
        <f>$J539</f>
        <v/>
      </c>
      <c r="BR539" s="197">
        <f>+BR540</f>
        <v/>
      </c>
      <c r="BS539" s="197">
        <f>+BS540</f>
        <v/>
      </c>
      <c r="BT539" s="197">
        <f>+BT540</f>
        <v/>
      </c>
      <c r="BU539" s="197">
        <f>+BU540</f>
        <v/>
      </c>
      <c r="BV539" s="197">
        <f>+BV540</f>
        <v/>
      </c>
      <c r="BX539" s="198">
        <f>$G539</f>
        <v/>
      </c>
      <c r="BY539" s="197">
        <f>$K539</f>
        <v/>
      </c>
      <c r="BZ539" s="197">
        <f>+BZ540</f>
        <v/>
      </c>
      <c r="CA539" s="197">
        <f>+CA540</f>
        <v/>
      </c>
      <c r="CB539" s="197">
        <f>+CB540</f>
        <v/>
      </c>
      <c r="CC539" s="197">
        <f>+CC540</f>
        <v/>
      </c>
      <c r="CD539" s="197">
        <f>+CD540</f>
        <v/>
      </c>
      <c r="CF539" s="198">
        <f>$G539</f>
        <v/>
      </c>
      <c r="CG539" s="197">
        <f>$L539</f>
        <v/>
      </c>
      <c r="CH539" s="197">
        <f>+CH540</f>
        <v/>
      </c>
      <c r="CI539" s="197">
        <f>+CI540</f>
        <v/>
      </c>
      <c r="CJ539" s="197">
        <f>+CJ540</f>
        <v/>
      </c>
      <c r="CK539" s="197">
        <f>+CK540</f>
        <v/>
      </c>
      <c r="CL539" s="197">
        <f>+CL540</f>
        <v/>
      </c>
      <c r="CO539" s="199" t="n">
        <v>5.059913402477092</v>
      </c>
      <c r="CP539" s="199" t="n">
        <v>3.57</v>
      </c>
      <c r="CR539" s="199" t="n">
        <v>4.02</v>
      </c>
      <c r="CS539" s="970" t="n">
        <v>0.79448</v>
      </c>
    </row>
    <row r="540">
      <c r="B540" s="204">
        <f>+C540-1</f>
        <v/>
      </c>
      <c r="C540" s="204">
        <f>IF('bands_A-H_Avg'!$D$9+1&gt;MONTH(G540),YEAR(G540),YEAR(G540)+1)</f>
        <v/>
      </c>
      <c r="D540" s="204">
        <f>+C540+1</f>
        <v/>
      </c>
      <c r="E540" s="203">
        <f>IF(C540&gt;C539,1,E539+1)</f>
        <v/>
      </c>
      <c r="F540" s="203">
        <f>COUNTIF(C:C,C540)</f>
        <v/>
      </c>
      <c r="G540" s="198">
        <f>+G539+7</f>
        <v/>
      </c>
      <c r="H540" s="361">
        <f>IF(ISBLANK(CO540),CP540,SUMPRODUCT(CO$32:CP$32,CO540:CP540))</f>
        <v/>
      </c>
      <c r="I540" s="968">
        <f>H540/M540</f>
        <v/>
      </c>
      <c r="J540" s="968">
        <f>H540/N540</f>
        <v/>
      </c>
      <c r="K540" s="968">
        <f>(H540+Q540)/O540</f>
        <v/>
      </c>
      <c r="L540" s="968">
        <f>(H540+Q540)/P540</f>
        <v/>
      </c>
      <c r="M540" s="199">
        <f>HLOOKUP(C:C,$4:$10,3,FALSE)+((HLOOKUP(D:D,$4:$10,3,FALSE)-HLOOKUP(C:C,$4:$10,3,FALSE))*E540/F540)</f>
        <v/>
      </c>
      <c r="N540" s="199">
        <f>HLOOKUP(C:C,$4:$10,2,FALSE)+((HLOOKUP(D:D,$4:$10,2,FALSE)-HLOOKUP(C:C,$4:$10,2,FALSE))*E540/F540)</f>
        <v/>
      </c>
      <c r="O540" s="199">
        <f>HLOOKUP(C:C,$4:$10,5,FALSE)+((HLOOKUP(D:D,$4:$10,5,FALSE)-HLOOKUP(C:C,$4:$10,5,FALSE))*E540/F540)</f>
        <v/>
      </c>
      <c r="P540" s="199">
        <f>HLOOKUP(C:C,$4:$10,4,FALSE)+((HLOOKUP(D:D,$4:$10,4,FALSE)-HLOOKUP(C:C,$4:$10,4,FALSE))*E540/F540)</f>
        <v/>
      </c>
      <c r="Q540" s="199">
        <f>HLOOKUP(B:B,$4:$10,6,FALSE)+((HLOOKUP(C:C,$4:$10,6,FALSE)-HLOOKUP(B:B,$4:$10,6,FALSE))*E540/F540)</f>
        <v/>
      </c>
      <c r="T540" s="198">
        <f>$G540</f>
        <v/>
      </c>
      <c r="U540" s="199">
        <f>H540/(HLOOKUP(B:B,$4:$10,3,FALSE)+((HLOOKUP(C:C,$4:$10,3,FALSE)-HLOOKUP(B:B,$4:$10,3,FALSE))*E540/F540))</f>
        <v/>
      </c>
      <c r="V540" s="969">
        <f>HLOOKUP(B:B,$4:$10,7,FALSE)+((HLOOKUP(C:C,$4:$10,7,FALSE)-HLOOKUP(B:B,$4:$10,7,FALSE))*E540/F540)</f>
        <v/>
      </c>
      <c r="AB540" s="198">
        <f>$G540</f>
        <v/>
      </c>
      <c r="AC540" s="199">
        <f>$H540</f>
        <v/>
      </c>
      <c r="AD540" s="199">
        <f>$M540*AD$34</f>
        <v/>
      </c>
      <c r="AE540" s="199">
        <f>$M540*AE$34</f>
        <v/>
      </c>
      <c r="AF540" s="199">
        <f>$M540*AF$34</f>
        <v/>
      </c>
      <c r="AG540" s="199">
        <f>$M540*AG$34</f>
        <v/>
      </c>
      <c r="AH540" s="199">
        <f>$M540*AH$34</f>
        <v/>
      </c>
      <c r="AJ540" s="198">
        <f>$G540</f>
        <v/>
      </c>
      <c r="AK540" s="199">
        <f>$H540</f>
        <v/>
      </c>
      <c r="AL540" s="199">
        <f>$N540*AL$34</f>
        <v/>
      </c>
      <c r="AM540" s="199">
        <f>$N540*AM$34</f>
        <v/>
      </c>
      <c r="AN540" s="199">
        <f>$N540*AN$34</f>
        <v/>
      </c>
      <c r="AO540" s="199">
        <f>$N540*AO$34</f>
        <v/>
      </c>
      <c r="AP540" s="199">
        <f>$N540*AP$34</f>
        <v/>
      </c>
      <c r="AR540" s="198">
        <f>$G540</f>
        <v/>
      </c>
      <c r="AS540" s="199">
        <f>$H540</f>
        <v/>
      </c>
      <c r="AT540" s="199">
        <f>$O540*AT$34-$Q540</f>
        <v/>
      </c>
      <c r="AU540" s="199">
        <f>$O540*AU$34-$Q540</f>
        <v/>
      </c>
      <c r="AV540" s="199">
        <f>$O540*AV$34-$Q540</f>
        <v/>
      </c>
      <c r="AW540" s="199">
        <f>$O540*AW$34-$Q540</f>
        <v/>
      </c>
      <c r="AX540" s="199">
        <f>$O540*AX$34-$Q540</f>
        <v/>
      </c>
      <c r="AZ540" s="198">
        <f>$G540</f>
        <v/>
      </c>
      <c r="BA540" s="199">
        <f>$H540</f>
        <v/>
      </c>
      <c r="BB540" s="199">
        <f>$P540*BB$34-$Q540</f>
        <v/>
      </c>
      <c r="BC540" s="199">
        <f>$P540*BC$34-$Q540</f>
        <v/>
      </c>
      <c r="BD540" s="199">
        <f>$P540*BD$34-$Q540</f>
        <v/>
      </c>
      <c r="BE540" s="199">
        <f>$P540*BE$34-$Q540</f>
        <v/>
      </c>
      <c r="BF540" s="199">
        <f>$P540*BF$34-$Q540</f>
        <v/>
      </c>
      <c r="BH540" s="198">
        <f>$G540</f>
        <v/>
      </c>
      <c r="BI540" s="197">
        <f>$I540</f>
        <v/>
      </c>
      <c r="BJ540" s="197">
        <f>+BJ541</f>
        <v/>
      </c>
      <c r="BK540" s="197">
        <f>+BK541</f>
        <v/>
      </c>
      <c r="BL540" s="197">
        <f>+BL541</f>
        <v/>
      </c>
      <c r="BM540" s="197">
        <f>+BM541</f>
        <v/>
      </c>
      <c r="BN540" s="197">
        <f>+BN541</f>
        <v/>
      </c>
      <c r="BP540" s="198">
        <f>$G540</f>
        <v/>
      </c>
      <c r="BQ540" s="197">
        <f>$J540</f>
        <v/>
      </c>
      <c r="BR540" s="197">
        <f>+BR541</f>
        <v/>
      </c>
      <c r="BS540" s="197">
        <f>+BS541</f>
        <v/>
      </c>
      <c r="BT540" s="197">
        <f>+BT541</f>
        <v/>
      </c>
      <c r="BU540" s="197">
        <f>+BU541</f>
        <v/>
      </c>
      <c r="BV540" s="197">
        <f>+BV541</f>
        <v/>
      </c>
      <c r="BX540" s="198">
        <f>$G540</f>
        <v/>
      </c>
      <c r="BY540" s="197">
        <f>$K540</f>
        <v/>
      </c>
      <c r="BZ540" s="197">
        <f>+BZ541</f>
        <v/>
      </c>
      <c r="CA540" s="197">
        <f>+CA541</f>
        <v/>
      </c>
      <c r="CB540" s="197">
        <f>+CB541</f>
        <v/>
      </c>
      <c r="CC540" s="197">
        <f>+CC541</f>
        <v/>
      </c>
      <c r="CD540" s="197">
        <f>+CD541</f>
        <v/>
      </c>
      <c r="CF540" s="198">
        <f>$G540</f>
        <v/>
      </c>
      <c r="CG540" s="197">
        <f>$L540</f>
        <v/>
      </c>
      <c r="CH540" s="197">
        <f>+CH541</f>
        <v/>
      </c>
      <c r="CI540" s="197">
        <f>+CI541</f>
        <v/>
      </c>
      <c r="CJ540" s="197">
        <f>+CJ541</f>
        <v/>
      </c>
      <c r="CK540" s="197">
        <f>+CK541</f>
        <v/>
      </c>
      <c r="CL540" s="197">
        <f>+CL541</f>
        <v/>
      </c>
      <c r="CO540" s="199" t="n">
        <v>5.007252317588446</v>
      </c>
      <c r="CP540" s="199" t="n">
        <v>3.4</v>
      </c>
      <c r="CR540" s="199" t="n">
        <v>3.97</v>
      </c>
      <c r="CS540" s="970" t="n">
        <v>0.7928500000000001</v>
      </c>
    </row>
    <row r="541">
      <c r="B541" s="204">
        <f>+C541-1</f>
        <v/>
      </c>
      <c r="C541" s="204">
        <f>IF('bands_A-H_Avg'!$D$9+1&gt;MONTH(G541),YEAR(G541),YEAR(G541)+1)</f>
        <v/>
      </c>
      <c r="D541" s="204">
        <f>+C541+1</f>
        <v/>
      </c>
      <c r="E541" s="203">
        <f>IF(C541&gt;C540,1,E540+1)</f>
        <v/>
      </c>
      <c r="F541" s="203">
        <f>COUNTIF(C:C,C541)</f>
        <v/>
      </c>
      <c r="G541" s="198">
        <f>+G540+7</f>
        <v/>
      </c>
      <c r="H541" s="361">
        <f>IF(ISBLANK(CO541),CP541,SUMPRODUCT(CO$32:CP$32,CO541:CP541))</f>
        <v/>
      </c>
      <c r="I541" s="968">
        <f>H541/M541</f>
        <v/>
      </c>
      <c r="J541" s="968">
        <f>H541/N541</f>
        <v/>
      </c>
      <c r="K541" s="968">
        <f>(H541+Q541)/O541</f>
        <v/>
      </c>
      <c r="L541" s="968">
        <f>(H541+Q541)/P541</f>
        <v/>
      </c>
      <c r="M541" s="199">
        <f>HLOOKUP(C:C,$4:$10,3,FALSE)+((HLOOKUP(D:D,$4:$10,3,FALSE)-HLOOKUP(C:C,$4:$10,3,FALSE))*E541/F541)</f>
        <v/>
      </c>
      <c r="N541" s="199">
        <f>HLOOKUP(C:C,$4:$10,2,FALSE)+((HLOOKUP(D:D,$4:$10,2,FALSE)-HLOOKUP(C:C,$4:$10,2,FALSE))*E541/F541)</f>
        <v/>
      </c>
      <c r="O541" s="199">
        <f>HLOOKUP(C:C,$4:$10,5,FALSE)+((HLOOKUP(D:D,$4:$10,5,FALSE)-HLOOKUP(C:C,$4:$10,5,FALSE))*E541/F541)</f>
        <v/>
      </c>
      <c r="P541" s="199">
        <f>HLOOKUP(C:C,$4:$10,4,FALSE)+((HLOOKUP(D:D,$4:$10,4,FALSE)-HLOOKUP(C:C,$4:$10,4,FALSE))*E541/F541)</f>
        <v/>
      </c>
      <c r="Q541" s="199">
        <f>HLOOKUP(B:B,$4:$10,6,FALSE)+((HLOOKUP(C:C,$4:$10,6,FALSE)-HLOOKUP(B:B,$4:$10,6,FALSE))*E541/F541)</f>
        <v/>
      </c>
      <c r="T541" s="198">
        <f>$G541</f>
        <v/>
      </c>
      <c r="U541" s="199">
        <f>H541/(HLOOKUP(B:B,$4:$10,3,FALSE)+((HLOOKUP(C:C,$4:$10,3,FALSE)-HLOOKUP(B:B,$4:$10,3,FALSE))*E541/F541))</f>
        <v/>
      </c>
      <c r="V541" s="969">
        <f>HLOOKUP(B:B,$4:$10,7,FALSE)+((HLOOKUP(C:C,$4:$10,7,FALSE)-HLOOKUP(B:B,$4:$10,7,FALSE))*E541/F541)</f>
        <v/>
      </c>
      <c r="AB541" s="198">
        <f>$G541</f>
        <v/>
      </c>
      <c r="AC541" s="199">
        <f>$H541</f>
        <v/>
      </c>
      <c r="AD541" s="199">
        <f>$M541*AD$34</f>
        <v/>
      </c>
      <c r="AE541" s="199">
        <f>$M541*AE$34</f>
        <v/>
      </c>
      <c r="AF541" s="199">
        <f>$M541*AF$34</f>
        <v/>
      </c>
      <c r="AG541" s="199">
        <f>$M541*AG$34</f>
        <v/>
      </c>
      <c r="AH541" s="199">
        <f>$M541*AH$34</f>
        <v/>
      </c>
      <c r="AJ541" s="198">
        <f>$G541</f>
        <v/>
      </c>
      <c r="AK541" s="199">
        <f>$H541</f>
        <v/>
      </c>
      <c r="AL541" s="199">
        <f>$N541*AL$34</f>
        <v/>
      </c>
      <c r="AM541" s="199">
        <f>$N541*AM$34</f>
        <v/>
      </c>
      <c r="AN541" s="199">
        <f>$N541*AN$34</f>
        <v/>
      </c>
      <c r="AO541" s="199">
        <f>$N541*AO$34</f>
        <v/>
      </c>
      <c r="AP541" s="199">
        <f>$N541*AP$34</f>
        <v/>
      </c>
      <c r="AR541" s="198">
        <f>$G541</f>
        <v/>
      </c>
      <c r="AS541" s="199">
        <f>$H541</f>
        <v/>
      </c>
      <c r="AT541" s="199">
        <f>$O541*AT$34-$Q541</f>
        <v/>
      </c>
      <c r="AU541" s="199">
        <f>$O541*AU$34-$Q541</f>
        <v/>
      </c>
      <c r="AV541" s="199">
        <f>$O541*AV$34-$Q541</f>
        <v/>
      </c>
      <c r="AW541" s="199">
        <f>$O541*AW$34-$Q541</f>
        <v/>
      </c>
      <c r="AX541" s="199">
        <f>$O541*AX$34-$Q541</f>
        <v/>
      </c>
      <c r="AZ541" s="198">
        <f>$G541</f>
        <v/>
      </c>
      <c r="BA541" s="199">
        <f>$H541</f>
        <v/>
      </c>
      <c r="BB541" s="199">
        <f>$P541*BB$34-$Q541</f>
        <v/>
      </c>
      <c r="BC541" s="199">
        <f>$P541*BC$34-$Q541</f>
        <v/>
      </c>
      <c r="BD541" s="199">
        <f>$P541*BD$34-$Q541</f>
        <v/>
      </c>
      <c r="BE541" s="199">
        <f>$P541*BE$34-$Q541</f>
        <v/>
      </c>
      <c r="BF541" s="199">
        <f>$P541*BF$34-$Q541</f>
        <v/>
      </c>
      <c r="BH541" s="198">
        <f>$G541</f>
        <v/>
      </c>
      <c r="BI541" s="197">
        <f>$I541</f>
        <v/>
      </c>
      <c r="BJ541" s="197">
        <f>+BJ542</f>
        <v/>
      </c>
      <c r="BK541" s="197">
        <f>+BK542</f>
        <v/>
      </c>
      <c r="BL541" s="197">
        <f>+BL542</f>
        <v/>
      </c>
      <c r="BM541" s="197">
        <f>+BM542</f>
        <v/>
      </c>
      <c r="BN541" s="197">
        <f>+BN542</f>
        <v/>
      </c>
      <c r="BP541" s="198">
        <f>$G541</f>
        <v/>
      </c>
      <c r="BQ541" s="197">
        <f>$J541</f>
        <v/>
      </c>
      <c r="BR541" s="197">
        <f>+BR542</f>
        <v/>
      </c>
      <c r="BS541" s="197">
        <f>+BS542</f>
        <v/>
      </c>
      <c r="BT541" s="197">
        <f>+BT542</f>
        <v/>
      </c>
      <c r="BU541" s="197">
        <f>+BU542</f>
        <v/>
      </c>
      <c r="BV541" s="197">
        <f>+BV542</f>
        <v/>
      </c>
      <c r="BX541" s="198">
        <f>$G541</f>
        <v/>
      </c>
      <c r="BY541" s="197">
        <f>$K541</f>
        <v/>
      </c>
      <c r="BZ541" s="197">
        <f>+BZ542</f>
        <v/>
      </c>
      <c r="CA541" s="197">
        <f>+CA542</f>
        <v/>
      </c>
      <c r="CB541" s="197">
        <f>+CB542</f>
        <v/>
      </c>
      <c r="CC541" s="197">
        <f>+CC542</f>
        <v/>
      </c>
      <c r="CD541" s="197">
        <f>+CD542</f>
        <v/>
      </c>
      <c r="CF541" s="198">
        <f>$G541</f>
        <v/>
      </c>
      <c r="CG541" s="197">
        <f>$L541</f>
        <v/>
      </c>
      <c r="CH541" s="197">
        <f>+CH542</f>
        <v/>
      </c>
      <c r="CI541" s="197">
        <f>+CI542</f>
        <v/>
      </c>
      <c r="CJ541" s="197">
        <f>+CJ542</f>
        <v/>
      </c>
      <c r="CK541" s="197">
        <f>+CK542</f>
        <v/>
      </c>
      <c r="CL541" s="197">
        <f>+CL542</f>
        <v/>
      </c>
      <c r="CO541" s="199" t="n">
        <v>5.439789981194229</v>
      </c>
      <c r="CP541" s="199" t="n">
        <v>3.64</v>
      </c>
      <c r="CR541" s="199" t="n">
        <v>4.31</v>
      </c>
      <c r="CS541" s="970" t="n">
        <v>0.79231</v>
      </c>
    </row>
    <row r="542">
      <c r="B542" s="204">
        <f>+C542-1</f>
        <v/>
      </c>
      <c r="C542" s="204">
        <f>IF('bands_A-H_Avg'!$D$9+1&gt;MONTH(G542),YEAR(G542),YEAR(G542)+1)</f>
        <v/>
      </c>
      <c r="D542" s="204">
        <f>+C542+1</f>
        <v/>
      </c>
      <c r="E542" s="203">
        <f>IF(C542&gt;C541,1,E541+1)</f>
        <v/>
      </c>
      <c r="F542" s="203">
        <f>COUNTIF(C:C,C542)</f>
        <v/>
      </c>
      <c r="G542" s="198">
        <f>+G541+7</f>
        <v/>
      </c>
      <c r="H542" s="361">
        <f>IF(ISBLANK(CO542),CP542,SUMPRODUCT(CO$32:CP$32,CO542:CP542))</f>
        <v/>
      </c>
      <c r="I542" s="968">
        <f>H542/M542</f>
        <v/>
      </c>
      <c r="J542" s="968">
        <f>H542/N542</f>
        <v/>
      </c>
      <c r="K542" s="968">
        <f>(H542+Q542)/O542</f>
        <v/>
      </c>
      <c r="L542" s="968">
        <f>(H542+Q542)/P542</f>
        <v/>
      </c>
      <c r="M542" s="199">
        <f>HLOOKUP(C:C,$4:$10,3,FALSE)+((HLOOKUP(D:D,$4:$10,3,FALSE)-HLOOKUP(C:C,$4:$10,3,FALSE))*E542/F542)</f>
        <v/>
      </c>
      <c r="N542" s="199">
        <f>HLOOKUP(C:C,$4:$10,2,FALSE)+((HLOOKUP(D:D,$4:$10,2,FALSE)-HLOOKUP(C:C,$4:$10,2,FALSE))*E542/F542)</f>
        <v/>
      </c>
      <c r="O542" s="199">
        <f>HLOOKUP(C:C,$4:$10,5,FALSE)+((HLOOKUP(D:D,$4:$10,5,FALSE)-HLOOKUP(C:C,$4:$10,5,FALSE))*E542/F542)</f>
        <v/>
      </c>
      <c r="P542" s="199">
        <f>HLOOKUP(C:C,$4:$10,4,FALSE)+((HLOOKUP(D:D,$4:$10,4,FALSE)-HLOOKUP(C:C,$4:$10,4,FALSE))*E542/F542)</f>
        <v/>
      </c>
      <c r="Q542" s="199">
        <f>HLOOKUP(B:B,$4:$10,6,FALSE)+((HLOOKUP(C:C,$4:$10,6,FALSE)-HLOOKUP(B:B,$4:$10,6,FALSE))*E542/F542)</f>
        <v/>
      </c>
      <c r="T542" s="198">
        <f>$G542</f>
        <v/>
      </c>
      <c r="U542" s="199">
        <f>H542/(HLOOKUP(B:B,$4:$10,3,FALSE)+((HLOOKUP(C:C,$4:$10,3,FALSE)-HLOOKUP(B:B,$4:$10,3,FALSE))*E542/F542))</f>
        <v/>
      </c>
      <c r="V542" s="969">
        <f>HLOOKUP(B:B,$4:$10,7,FALSE)+((HLOOKUP(C:C,$4:$10,7,FALSE)-HLOOKUP(B:B,$4:$10,7,FALSE))*E542/F542)</f>
        <v/>
      </c>
      <c r="AB542" s="198">
        <f>$G542</f>
        <v/>
      </c>
      <c r="AC542" s="199">
        <f>$H542</f>
        <v/>
      </c>
      <c r="AD542" s="199">
        <f>$M542*AD$34</f>
        <v/>
      </c>
      <c r="AE542" s="199">
        <f>$M542*AE$34</f>
        <v/>
      </c>
      <c r="AF542" s="199">
        <f>$M542*AF$34</f>
        <v/>
      </c>
      <c r="AG542" s="199">
        <f>$M542*AG$34</f>
        <v/>
      </c>
      <c r="AH542" s="199">
        <f>$M542*AH$34</f>
        <v/>
      </c>
      <c r="AJ542" s="198">
        <f>$G542</f>
        <v/>
      </c>
      <c r="AK542" s="199">
        <f>$H542</f>
        <v/>
      </c>
      <c r="AL542" s="199">
        <f>$N542*AL$34</f>
        <v/>
      </c>
      <c r="AM542" s="199">
        <f>$N542*AM$34</f>
        <v/>
      </c>
      <c r="AN542" s="199">
        <f>$N542*AN$34</f>
        <v/>
      </c>
      <c r="AO542" s="199">
        <f>$N542*AO$34</f>
        <v/>
      </c>
      <c r="AP542" s="199">
        <f>$N542*AP$34</f>
        <v/>
      </c>
      <c r="AR542" s="198">
        <f>$G542</f>
        <v/>
      </c>
      <c r="AS542" s="199">
        <f>$H542</f>
        <v/>
      </c>
      <c r="AT542" s="199">
        <f>$O542*AT$34-$Q542</f>
        <v/>
      </c>
      <c r="AU542" s="199">
        <f>$O542*AU$34-$Q542</f>
        <v/>
      </c>
      <c r="AV542" s="199">
        <f>$O542*AV$34-$Q542</f>
        <v/>
      </c>
      <c r="AW542" s="199">
        <f>$O542*AW$34-$Q542</f>
        <v/>
      </c>
      <c r="AX542" s="199">
        <f>$O542*AX$34-$Q542</f>
        <v/>
      </c>
      <c r="AZ542" s="198">
        <f>$G542</f>
        <v/>
      </c>
      <c r="BA542" s="199">
        <f>$H542</f>
        <v/>
      </c>
      <c r="BB542" s="199">
        <f>$P542*BB$34-$Q542</f>
        <v/>
      </c>
      <c r="BC542" s="199">
        <f>$P542*BC$34-$Q542</f>
        <v/>
      </c>
      <c r="BD542" s="199">
        <f>$P542*BD$34-$Q542</f>
        <v/>
      </c>
      <c r="BE542" s="199">
        <f>$P542*BE$34-$Q542</f>
        <v/>
      </c>
      <c r="BF542" s="199">
        <f>$P542*BF$34-$Q542</f>
        <v/>
      </c>
      <c r="BH542" s="198">
        <f>$G542</f>
        <v/>
      </c>
      <c r="BI542" s="197">
        <f>$I542</f>
        <v/>
      </c>
      <c r="BJ542" s="197">
        <f>+BJ543</f>
        <v/>
      </c>
      <c r="BK542" s="197">
        <f>+BK543</f>
        <v/>
      </c>
      <c r="BL542" s="197">
        <f>+BL543</f>
        <v/>
      </c>
      <c r="BM542" s="197">
        <f>+BM543</f>
        <v/>
      </c>
      <c r="BN542" s="197">
        <f>+BN543</f>
        <v/>
      </c>
      <c r="BP542" s="198">
        <f>$G542</f>
        <v/>
      </c>
      <c r="BQ542" s="197">
        <f>$J542</f>
        <v/>
      </c>
      <c r="BR542" s="197">
        <f>+BR543</f>
        <v/>
      </c>
      <c r="BS542" s="197">
        <f>+BS543</f>
        <v/>
      </c>
      <c r="BT542" s="197">
        <f>+BT543</f>
        <v/>
      </c>
      <c r="BU542" s="197">
        <f>+BU543</f>
        <v/>
      </c>
      <c r="BV542" s="197">
        <f>+BV543</f>
        <v/>
      </c>
      <c r="BX542" s="198">
        <f>$G542</f>
        <v/>
      </c>
      <c r="BY542" s="197">
        <f>$K542</f>
        <v/>
      </c>
      <c r="BZ542" s="197">
        <f>+BZ543</f>
        <v/>
      </c>
      <c r="CA542" s="197">
        <f>+CA543</f>
        <v/>
      </c>
      <c r="CB542" s="197">
        <f>+CB543</f>
        <v/>
      </c>
      <c r="CC542" s="197">
        <f>+CC543</f>
        <v/>
      </c>
      <c r="CD542" s="197">
        <f>+CD543</f>
        <v/>
      </c>
      <c r="CF542" s="198">
        <f>$G542</f>
        <v/>
      </c>
      <c r="CG542" s="197">
        <f>$L542</f>
        <v/>
      </c>
      <c r="CH542" s="197">
        <f>+CH543</f>
        <v/>
      </c>
      <c r="CI542" s="197">
        <f>+CI543</f>
        <v/>
      </c>
      <c r="CJ542" s="197">
        <f>+CJ543</f>
        <v/>
      </c>
      <c r="CK542" s="197">
        <f>+CK543</f>
        <v/>
      </c>
      <c r="CL542" s="197">
        <f>+CL543</f>
        <v/>
      </c>
      <c r="CO542" s="199" t="n">
        <v>5.534915459852908</v>
      </c>
      <c r="CP542" s="199" t="n">
        <v>3.82</v>
      </c>
      <c r="CR542" s="199" t="n">
        <v>4.38</v>
      </c>
      <c r="CS542" s="970" t="n">
        <v>0.79134</v>
      </c>
    </row>
    <row r="543">
      <c r="B543" s="204">
        <f>+C543-1</f>
        <v/>
      </c>
      <c r="C543" s="204">
        <f>IF('bands_A-H_Avg'!$D$9+1&gt;MONTH(G543),YEAR(G543),YEAR(G543)+1)</f>
        <v/>
      </c>
      <c r="D543" s="204">
        <f>+C543+1</f>
        <v/>
      </c>
      <c r="E543" s="203">
        <f>IF(C543&gt;C542,1,E542+1)</f>
        <v/>
      </c>
      <c r="F543" s="203">
        <f>COUNTIF(C:C,C543)</f>
        <v/>
      </c>
      <c r="G543" s="198">
        <f>+G542+7</f>
        <v/>
      </c>
      <c r="H543" s="361">
        <f>IF(ISBLANK(CO543),CP543,SUMPRODUCT(CO$32:CP$32,CO543:CP543))</f>
        <v/>
      </c>
      <c r="I543" s="968">
        <f>H543/M543</f>
        <v/>
      </c>
      <c r="J543" s="968">
        <f>H543/N543</f>
        <v/>
      </c>
      <c r="K543" s="968">
        <f>(H543+Q543)/O543</f>
        <v/>
      </c>
      <c r="L543" s="968">
        <f>(H543+Q543)/P543</f>
        <v/>
      </c>
      <c r="M543" s="199">
        <f>HLOOKUP(C:C,$4:$10,3,FALSE)+((HLOOKUP(D:D,$4:$10,3,FALSE)-HLOOKUP(C:C,$4:$10,3,FALSE))*E543/F543)</f>
        <v/>
      </c>
      <c r="N543" s="199">
        <f>HLOOKUP(C:C,$4:$10,2,FALSE)+((HLOOKUP(D:D,$4:$10,2,FALSE)-HLOOKUP(C:C,$4:$10,2,FALSE))*E543/F543)</f>
        <v/>
      </c>
      <c r="O543" s="199">
        <f>HLOOKUP(C:C,$4:$10,5,FALSE)+((HLOOKUP(D:D,$4:$10,5,FALSE)-HLOOKUP(C:C,$4:$10,5,FALSE))*E543/F543)</f>
        <v/>
      </c>
      <c r="P543" s="199">
        <f>HLOOKUP(C:C,$4:$10,4,FALSE)+((HLOOKUP(D:D,$4:$10,4,FALSE)-HLOOKUP(C:C,$4:$10,4,FALSE))*E543/F543)</f>
        <v/>
      </c>
      <c r="Q543" s="199">
        <f>HLOOKUP(B:B,$4:$10,6,FALSE)+((HLOOKUP(C:C,$4:$10,6,FALSE)-HLOOKUP(B:B,$4:$10,6,FALSE))*E543/F543)</f>
        <v/>
      </c>
      <c r="T543" s="198">
        <f>$G543</f>
        <v/>
      </c>
      <c r="U543" s="199">
        <f>H543/(HLOOKUP(B:B,$4:$10,3,FALSE)+((HLOOKUP(C:C,$4:$10,3,FALSE)-HLOOKUP(B:B,$4:$10,3,FALSE))*E543/F543))</f>
        <v/>
      </c>
      <c r="V543" s="969">
        <f>HLOOKUP(B:B,$4:$10,7,FALSE)+((HLOOKUP(C:C,$4:$10,7,FALSE)-HLOOKUP(B:B,$4:$10,7,FALSE))*E543/F543)</f>
        <v/>
      </c>
      <c r="AB543" s="198">
        <f>$G543</f>
        <v/>
      </c>
      <c r="AC543" s="199">
        <f>$H543</f>
        <v/>
      </c>
      <c r="AD543" s="199">
        <f>$M543*AD$34</f>
        <v/>
      </c>
      <c r="AE543" s="199">
        <f>$M543*AE$34</f>
        <v/>
      </c>
      <c r="AF543" s="199">
        <f>$M543*AF$34</f>
        <v/>
      </c>
      <c r="AG543" s="199">
        <f>$M543*AG$34</f>
        <v/>
      </c>
      <c r="AH543" s="199">
        <f>$M543*AH$34</f>
        <v/>
      </c>
      <c r="AJ543" s="198">
        <f>$G543</f>
        <v/>
      </c>
      <c r="AK543" s="199">
        <f>$H543</f>
        <v/>
      </c>
      <c r="AL543" s="199">
        <f>$N543*AL$34</f>
        <v/>
      </c>
      <c r="AM543" s="199">
        <f>$N543*AM$34</f>
        <v/>
      </c>
      <c r="AN543" s="199">
        <f>$N543*AN$34</f>
        <v/>
      </c>
      <c r="AO543" s="199">
        <f>$N543*AO$34</f>
        <v/>
      </c>
      <c r="AP543" s="199">
        <f>$N543*AP$34</f>
        <v/>
      </c>
      <c r="AR543" s="198">
        <f>$G543</f>
        <v/>
      </c>
      <c r="AS543" s="199">
        <f>$H543</f>
        <v/>
      </c>
      <c r="AT543" s="199">
        <f>$O543*AT$34-$Q543</f>
        <v/>
      </c>
      <c r="AU543" s="199">
        <f>$O543*AU$34-$Q543</f>
        <v/>
      </c>
      <c r="AV543" s="199">
        <f>$O543*AV$34-$Q543</f>
        <v/>
      </c>
      <c r="AW543" s="199">
        <f>$O543*AW$34-$Q543</f>
        <v/>
      </c>
      <c r="AX543" s="199">
        <f>$O543*AX$34-$Q543</f>
        <v/>
      </c>
      <c r="AZ543" s="198">
        <f>$G543</f>
        <v/>
      </c>
      <c r="BA543" s="199">
        <f>$H543</f>
        <v/>
      </c>
      <c r="BB543" s="199">
        <f>$P543*BB$34-$Q543</f>
        <v/>
      </c>
      <c r="BC543" s="199">
        <f>$P543*BC$34-$Q543</f>
        <v/>
      </c>
      <c r="BD543" s="199">
        <f>$P543*BD$34-$Q543</f>
        <v/>
      </c>
      <c r="BE543" s="199">
        <f>$P543*BE$34-$Q543</f>
        <v/>
      </c>
      <c r="BF543" s="199">
        <f>$P543*BF$34-$Q543</f>
        <v/>
      </c>
      <c r="BH543" s="198">
        <f>$G543</f>
        <v/>
      </c>
      <c r="BI543" s="197">
        <f>$I543</f>
        <v/>
      </c>
      <c r="BJ543" s="197">
        <f>+BJ544</f>
        <v/>
      </c>
      <c r="BK543" s="197">
        <f>+BK544</f>
        <v/>
      </c>
      <c r="BL543" s="197">
        <f>+BL544</f>
        <v/>
      </c>
      <c r="BM543" s="197">
        <f>+BM544</f>
        <v/>
      </c>
      <c r="BN543" s="197">
        <f>+BN544</f>
        <v/>
      </c>
      <c r="BP543" s="198">
        <f>$G543</f>
        <v/>
      </c>
      <c r="BQ543" s="197">
        <f>$J543</f>
        <v/>
      </c>
      <c r="BR543" s="197">
        <f>+BR544</f>
        <v/>
      </c>
      <c r="BS543" s="197">
        <f>+BS544</f>
        <v/>
      </c>
      <c r="BT543" s="197">
        <f>+BT544</f>
        <v/>
      </c>
      <c r="BU543" s="197">
        <f>+BU544</f>
        <v/>
      </c>
      <c r="BV543" s="197">
        <f>+BV544</f>
        <v/>
      </c>
      <c r="BX543" s="198">
        <f>$G543</f>
        <v/>
      </c>
      <c r="BY543" s="197">
        <f>$K543</f>
        <v/>
      </c>
      <c r="BZ543" s="197">
        <f>+BZ544</f>
        <v/>
      </c>
      <c r="CA543" s="197">
        <f>+CA544</f>
        <v/>
      </c>
      <c r="CB543" s="197">
        <f>+CB544</f>
        <v/>
      </c>
      <c r="CC543" s="197">
        <f>+CC544</f>
        <v/>
      </c>
      <c r="CD543" s="197">
        <f>+CD544</f>
        <v/>
      </c>
      <c r="CF543" s="198">
        <f>$G543</f>
        <v/>
      </c>
      <c r="CG543" s="197">
        <f>$L543</f>
        <v/>
      </c>
      <c r="CH543" s="197">
        <f>+CH544</f>
        <v/>
      </c>
      <c r="CI543" s="197">
        <f>+CI544</f>
        <v/>
      </c>
      <c r="CJ543" s="197">
        <f>+CJ544</f>
        <v/>
      </c>
      <c r="CK543" s="197">
        <f>+CK544</f>
        <v/>
      </c>
      <c r="CL543" s="197">
        <f>+CL544</f>
        <v/>
      </c>
      <c r="CO543" s="199" t="n">
        <v>5.490691069738087</v>
      </c>
      <c r="CP543" s="199" t="n">
        <v>3.77</v>
      </c>
      <c r="CR543" s="199" t="n">
        <v>4.35</v>
      </c>
      <c r="CS543" s="970" t="n">
        <v>0.79225</v>
      </c>
    </row>
    <row r="544">
      <c r="B544" s="204">
        <f>+C544-1</f>
        <v/>
      </c>
      <c r="C544" s="204">
        <f>IF('bands_A-H_Avg'!$D$9+1&gt;MONTH(G544),YEAR(G544),YEAR(G544)+1)</f>
        <v/>
      </c>
      <c r="D544" s="204">
        <f>+C544+1</f>
        <v/>
      </c>
      <c r="E544" s="203">
        <f>IF(C544&gt;C543,1,E543+1)</f>
        <v/>
      </c>
      <c r="F544" s="203">
        <f>COUNTIF(C:C,C544)</f>
        <v/>
      </c>
      <c r="G544" s="198">
        <f>+G543+7</f>
        <v/>
      </c>
      <c r="H544" s="361">
        <f>IF(ISBLANK(CO544),CP544,SUMPRODUCT(CO$32:CP$32,CO544:CP544))</f>
        <v/>
      </c>
      <c r="I544" s="968">
        <f>H544/M544</f>
        <v/>
      </c>
      <c r="J544" s="968">
        <f>H544/N544</f>
        <v/>
      </c>
      <c r="K544" s="968">
        <f>(H544+Q544)/O544</f>
        <v/>
      </c>
      <c r="L544" s="968">
        <f>(H544+Q544)/P544</f>
        <v/>
      </c>
      <c r="M544" s="199">
        <f>HLOOKUP(C:C,$4:$10,3,FALSE)+((HLOOKUP(D:D,$4:$10,3,FALSE)-HLOOKUP(C:C,$4:$10,3,FALSE))*E544/F544)</f>
        <v/>
      </c>
      <c r="N544" s="199">
        <f>HLOOKUP(C:C,$4:$10,2,FALSE)+((HLOOKUP(D:D,$4:$10,2,FALSE)-HLOOKUP(C:C,$4:$10,2,FALSE))*E544/F544)</f>
        <v/>
      </c>
      <c r="O544" s="199">
        <f>HLOOKUP(C:C,$4:$10,5,FALSE)+((HLOOKUP(D:D,$4:$10,5,FALSE)-HLOOKUP(C:C,$4:$10,5,FALSE))*E544/F544)</f>
        <v/>
      </c>
      <c r="P544" s="199">
        <f>HLOOKUP(C:C,$4:$10,4,FALSE)+((HLOOKUP(D:D,$4:$10,4,FALSE)-HLOOKUP(C:C,$4:$10,4,FALSE))*E544/F544)</f>
        <v/>
      </c>
      <c r="Q544" s="199">
        <f>HLOOKUP(B:B,$4:$10,6,FALSE)+((HLOOKUP(C:C,$4:$10,6,FALSE)-HLOOKUP(B:B,$4:$10,6,FALSE))*E544/F544)</f>
        <v/>
      </c>
      <c r="T544" s="198">
        <f>$G544</f>
        <v/>
      </c>
      <c r="U544" s="199">
        <f>H544/(HLOOKUP(B:B,$4:$10,3,FALSE)+((HLOOKUP(C:C,$4:$10,3,FALSE)-HLOOKUP(B:B,$4:$10,3,FALSE))*E544/F544))</f>
        <v/>
      </c>
      <c r="V544" s="969">
        <f>HLOOKUP(B:B,$4:$10,7,FALSE)+((HLOOKUP(C:C,$4:$10,7,FALSE)-HLOOKUP(B:B,$4:$10,7,FALSE))*E544/F544)</f>
        <v/>
      </c>
      <c r="AB544" s="198">
        <f>$G544</f>
        <v/>
      </c>
      <c r="AC544" s="199">
        <f>$H544</f>
        <v/>
      </c>
      <c r="AD544" s="199">
        <f>$M544*AD$34</f>
        <v/>
      </c>
      <c r="AE544" s="199">
        <f>$M544*AE$34</f>
        <v/>
      </c>
      <c r="AF544" s="199">
        <f>$M544*AF$34</f>
        <v/>
      </c>
      <c r="AG544" s="199">
        <f>$M544*AG$34</f>
        <v/>
      </c>
      <c r="AH544" s="199">
        <f>$M544*AH$34</f>
        <v/>
      </c>
      <c r="AJ544" s="198">
        <f>$G544</f>
        <v/>
      </c>
      <c r="AK544" s="199">
        <f>$H544</f>
        <v/>
      </c>
      <c r="AL544" s="199">
        <f>$N544*AL$34</f>
        <v/>
      </c>
      <c r="AM544" s="199">
        <f>$N544*AM$34</f>
        <v/>
      </c>
      <c r="AN544" s="199">
        <f>$N544*AN$34</f>
        <v/>
      </c>
      <c r="AO544" s="199">
        <f>$N544*AO$34</f>
        <v/>
      </c>
      <c r="AP544" s="199">
        <f>$N544*AP$34</f>
        <v/>
      </c>
      <c r="AR544" s="198">
        <f>$G544</f>
        <v/>
      </c>
      <c r="AS544" s="199">
        <f>$H544</f>
        <v/>
      </c>
      <c r="AT544" s="199">
        <f>$O544*AT$34-$Q544</f>
        <v/>
      </c>
      <c r="AU544" s="199">
        <f>$O544*AU$34-$Q544</f>
        <v/>
      </c>
      <c r="AV544" s="199">
        <f>$O544*AV$34-$Q544</f>
        <v/>
      </c>
      <c r="AW544" s="199">
        <f>$O544*AW$34-$Q544</f>
        <v/>
      </c>
      <c r="AX544" s="199">
        <f>$O544*AX$34-$Q544</f>
        <v/>
      </c>
      <c r="AZ544" s="198">
        <f>$G544</f>
        <v/>
      </c>
      <c r="BA544" s="199">
        <f>$H544</f>
        <v/>
      </c>
      <c r="BB544" s="199">
        <f>$P544*BB$34-$Q544</f>
        <v/>
      </c>
      <c r="BC544" s="199">
        <f>$P544*BC$34-$Q544</f>
        <v/>
      </c>
      <c r="BD544" s="199">
        <f>$P544*BD$34-$Q544</f>
        <v/>
      </c>
      <c r="BE544" s="199">
        <f>$P544*BE$34-$Q544</f>
        <v/>
      </c>
      <c r="BF544" s="199">
        <f>$P544*BF$34-$Q544</f>
        <v/>
      </c>
      <c r="BH544" s="198">
        <f>$G544</f>
        <v/>
      </c>
      <c r="BI544" s="197">
        <f>$I544</f>
        <v/>
      </c>
      <c r="BJ544" s="197">
        <f>+BJ545</f>
        <v/>
      </c>
      <c r="BK544" s="197">
        <f>+BK545</f>
        <v/>
      </c>
      <c r="BL544" s="197">
        <f>+BL545</f>
        <v/>
      </c>
      <c r="BM544" s="197">
        <f>+BM545</f>
        <v/>
      </c>
      <c r="BN544" s="197">
        <f>+BN545</f>
        <v/>
      </c>
      <c r="BP544" s="198">
        <f>$G544</f>
        <v/>
      </c>
      <c r="BQ544" s="197">
        <f>$J544</f>
        <v/>
      </c>
      <c r="BR544" s="197">
        <f>+BR545</f>
        <v/>
      </c>
      <c r="BS544" s="197">
        <f>+BS545</f>
        <v/>
      </c>
      <c r="BT544" s="197">
        <f>+BT545</f>
        <v/>
      </c>
      <c r="BU544" s="197">
        <f>+BU545</f>
        <v/>
      </c>
      <c r="BV544" s="197">
        <f>+BV545</f>
        <v/>
      </c>
      <c r="BX544" s="198">
        <f>$G544</f>
        <v/>
      </c>
      <c r="BY544" s="197">
        <f>$K544</f>
        <v/>
      </c>
      <c r="BZ544" s="197">
        <f>+BZ545</f>
        <v/>
      </c>
      <c r="CA544" s="197">
        <f>+CA545</f>
        <v/>
      </c>
      <c r="CB544" s="197">
        <f>+CB545</f>
        <v/>
      </c>
      <c r="CC544" s="197">
        <f>+CC545</f>
        <v/>
      </c>
      <c r="CD544" s="197">
        <f>+CD545</f>
        <v/>
      </c>
      <c r="CF544" s="198">
        <f>$G544</f>
        <v/>
      </c>
      <c r="CG544" s="197">
        <f>$L544</f>
        <v/>
      </c>
      <c r="CH544" s="197">
        <f>+CH545</f>
        <v/>
      </c>
      <c r="CI544" s="197">
        <f>+CI545</f>
        <v/>
      </c>
      <c r="CJ544" s="197">
        <f>+CJ545</f>
        <v/>
      </c>
      <c r="CK544" s="197">
        <f>+CK545</f>
        <v/>
      </c>
      <c r="CL544" s="197">
        <f>+CL545</f>
        <v/>
      </c>
      <c r="CO544" s="199" t="n">
        <v>6.925716311517959</v>
      </c>
      <c r="CP544" s="199" t="n">
        <v>4.33</v>
      </c>
      <c r="CR544" s="199" t="n">
        <v>5.47</v>
      </c>
      <c r="CS544" s="970" t="n">
        <v>0.78981</v>
      </c>
    </row>
    <row r="545">
      <c r="B545" s="204">
        <f>+C545-1</f>
        <v/>
      </c>
      <c r="C545" s="204">
        <f>IF('bands_A-H_Avg'!$D$9+1&gt;MONTH(G545),YEAR(G545),YEAR(G545)+1)</f>
        <v/>
      </c>
      <c r="D545" s="204">
        <f>+C545+1</f>
        <v/>
      </c>
      <c r="E545" s="203">
        <f>IF(C545&gt;C544,1,E544+1)</f>
        <v/>
      </c>
      <c r="F545" s="203">
        <f>COUNTIF(C:C,C545)</f>
        <v/>
      </c>
      <c r="G545" s="198">
        <f>+G544+7</f>
        <v/>
      </c>
      <c r="H545" s="361">
        <f>IF(ISBLANK(CO545),CP545,SUMPRODUCT(CO$32:CP$32,CO545:CP545))</f>
        <v/>
      </c>
      <c r="I545" s="968">
        <f>H545/M545</f>
        <v/>
      </c>
      <c r="J545" s="968">
        <f>H545/N545</f>
        <v/>
      </c>
      <c r="K545" s="968">
        <f>(H545+Q545)/O545</f>
        <v/>
      </c>
      <c r="L545" s="968">
        <f>(H545+Q545)/P545</f>
        <v/>
      </c>
      <c r="M545" s="199">
        <f>HLOOKUP(C:C,$4:$10,3,FALSE)+((HLOOKUP(D:D,$4:$10,3,FALSE)-HLOOKUP(C:C,$4:$10,3,FALSE))*E545/F545)</f>
        <v/>
      </c>
      <c r="N545" s="199">
        <f>HLOOKUP(C:C,$4:$10,2,FALSE)+((HLOOKUP(D:D,$4:$10,2,FALSE)-HLOOKUP(C:C,$4:$10,2,FALSE))*E545/F545)</f>
        <v/>
      </c>
      <c r="O545" s="199">
        <f>HLOOKUP(C:C,$4:$10,5,FALSE)+((HLOOKUP(D:D,$4:$10,5,FALSE)-HLOOKUP(C:C,$4:$10,5,FALSE))*E545/F545)</f>
        <v/>
      </c>
      <c r="P545" s="199">
        <f>HLOOKUP(C:C,$4:$10,4,FALSE)+((HLOOKUP(D:D,$4:$10,4,FALSE)-HLOOKUP(C:C,$4:$10,4,FALSE))*E545/F545)</f>
        <v/>
      </c>
      <c r="Q545" s="199">
        <f>HLOOKUP(B:B,$4:$10,6,FALSE)+((HLOOKUP(C:C,$4:$10,6,FALSE)-HLOOKUP(B:B,$4:$10,6,FALSE))*E545/F545)</f>
        <v/>
      </c>
      <c r="T545" s="198">
        <f>$G545</f>
        <v/>
      </c>
      <c r="U545" s="199">
        <f>H545/(HLOOKUP(B:B,$4:$10,3,FALSE)+((HLOOKUP(C:C,$4:$10,3,FALSE)-HLOOKUP(B:B,$4:$10,3,FALSE))*E545/F545))</f>
        <v/>
      </c>
      <c r="V545" s="969">
        <f>HLOOKUP(B:B,$4:$10,7,FALSE)+((HLOOKUP(C:C,$4:$10,7,FALSE)-HLOOKUP(B:B,$4:$10,7,FALSE))*E545/F545)</f>
        <v/>
      </c>
      <c r="AB545" s="198">
        <f>$G545</f>
        <v/>
      </c>
      <c r="AC545" s="199">
        <f>$H545</f>
        <v/>
      </c>
      <c r="AD545" s="199">
        <f>$M545*AD$34</f>
        <v/>
      </c>
      <c r="AE545" s="199">
        <f>$M545*AE$34</f>
        <v/>
      </c>
      <c r="AF545" s="199">
        <f>$M545*AF$34</f>
        <v/>
      </c>
      <c r="AG545" s="199">
        <f>$M545*AG$34</f>
        <v/>
      </c>
      <c r="AH545" s="199">
        <f>$M545*AH$34</f>
        <v/>
      </c>
      <c r="AJ545" s="198">
        <f>$G545</f>
        <v/>
      </c>
      <c r="AK545" s="199">
        <f>$H545</f>
        <v/>
      </c>
      <c r="AL545" s="199">
        <f>$N545*AL$34</f>
        <v/>
      </c>
      <c r="AM545" s="199">
        <f>$N545*AM$34</f>
        <v/>
      </c>
      <c r="AN545" s="199">
        <f>$N545*AN$34</f>
        <v/>
      </c>
      <c r="AO545" s="199">
        <f>$N545*AO$34</f>
        <v/>
      </c>
      <c r="AP545" s="199">
        <f>$N545*AP$34</f>
        <v/>
      </c>
      <c r="AR545" s="198">
        <f>$G545</f>
        <v/>
      </c>
      <c r="AS545" s="199">
        <f>$H545</f>
        <v/>
      </c>
      <c r="AT545" s="199">
        <f>$O545*AT$34-$Q545</f>
        <v/>
      </c>
      <c r="AU545" s="199">
        <f>$O545*AU$34-$Q545</f>
        <v/>
      </c>
      <c r="AV545" s="199">
        <f>$O545*AV$34-$Q545</f>
        <v/>
      </c>
      <c r="AW545" s="199">
        <f>$O545*AW$34-$Q545</f>
        <v/>
      </c>
      <c r="AX545" s="199">
        <f>$O545*AX$34-$Q545</f>
        <v/>
      </c>
      <c r="AZ545" s="198">
        <f>$G545</f>
        <v/>
      </c>
      <c r="BA545" s="199">
        <f>$H545</f>
        <v/>
      </c>
      <c r="BB545" s="199">
        <f>$P545*BB$34-$Q545</f>
        <v/>
      </c>
      <c r="BC545" s="199">
        <f>$P545*BC$34-$Q545</f>
        <v/>
      </c>
      <c r="BD545" s="199">
        <f>$P545*BD$34-$Q545</f>
        <v/>
      </c>
      <c r="BE545" s="199">
        <f>$P545*BE$34-$Q545</f>
        <v/>
      </c>
      <c r="BF545" s="199">
        <f>$P545*BF$34-$Q545</f>
        <v/>
      </c>
      <c r="BH545" s="198">
        <f>$G545</f>
        <v/>
      </c>
      <c r="BI545" s="197">
        <f>$I545</f>
        <v/>
      </c>
      <c r="BJ545" s="197">
        <f>+BJ546</f>
        <v/>
      </c>
      <c r="BK545" s="197">
        <f>+BK546</f>
        <v/>
      </c>
      <c r="BL545" s="197">
        <f>+BL546</f>
        <v/>
      </c>
      <c r="BM545" s="197">
        <f>+BM546</f>
        <v/>
      </c>
      <c r="BN545" s="197">
        <f>+BN546</f>
        <v/>
      </c>
      <c r="BP545" s="198">
        <f>$G545</f>
        <v/>
      </c>
      <c r="BQ545" s="197">
        <f>$J545</f>
        <v/>
      </c>
      <c r="BR545" s="197">
        <f>+BR546</f>
        <v/>
      </c>
      <c r="BS545" s="197">
        <f>+BS546</f>
        <v/>
      </c>
      <c r="BT545" s="197">
        <f>+BT546</f>
        <v/>
      </c>
      <c r="BU545" s="197">
        <f>+BU546</f>
        <v/>
      </c>
      <c r="BV545" s="197">
        <f>+BV546</f>
        <v/>
      </c>
      <c r="BX545" s="198">
        <f>$G545</f>
        <v/>
      </c>
      <c r="BY545" s="197">
        <f>$K545</f>
        <v/>
      </c>
      <c r="BZ545" s="197">
        <f>+BZ546</f>
        <v/>
      </c>
      <c r="CA545" s="197">
        <f>+CA546</f>
        <v/>
      </c>
      <c r="CB545" s="197">
        <f>+CB546</f>
        <v/>
      </c>
      <c r="CC545" s="197">
        <f>+CC546</f>
        <v/>
      </c>
      <c r="CD545" s="197">
        <f>+CD546</f>
        <v/>
      </c>
      <c r="CF545" s="198">
        <f>$G545</f>
        <v/>
      </c>
      <c r="CG545" s="197">
        <f>$L545</f>
        <v/>
      </c>
      <c r="CH545" s="197">
        <f>+CH546</f>
        <v/>
      </c>
      <c r="CI545" s="197">
        <f>+CI546</f>
        <v/>
      </c>
      <c r="CJ545" s="197">
        <f>+CJ546</f>
        <v/>
      </c>
      <c r="CK545" s="197">
        <f>+CK546</f>
        <v/>
      </c>
      <c r="CL545" s="197">
        <f>+CL546</f>
        <v/>
      </c>
      <c r="CO545" s="199" t="n">
        <v>6.853732249212833</v>
      </c>
      <c r="CP545" s="199" t="n">
        <v>4.2</v>
      </c>
      <c r="CR545" s="199" t="n">
        <v>5.42</v>
      </c>
      <c r="CS545" s="970" t="n">
        <v>0.79081</v>
      </c>
    </row>
    <row r="546">
      <c r="B546" s="204">
        <f>+C546-1</f>
        <v/>
      </c>
      <c r="C546" s="204">
        <f>IF('bands_A-H_Avg'!$D$9+1&gt;MONTH(G546),YEAR(G546),YEAR(G546)+1)</f>
        <v/>
      </c>
      <c r="D546" s="204">
        <f>+C546+1</f>
        <v/>
      </c>
      <c r="E546" s="203">
        <f>IF(C546&gt;C545,1,E545+1)</f>
        <v/>
      </c>
      <c r="F546" s="203">
        <f>COUNTIF(C:C,C546)</f>
        <v/>
      </c>
      <c r="G546" s="198">
        <f>+G545+7</f>
        <v/>
      </c>
      <c r="H546" s="361">
        <f>IF(ISBLANK(CO546),CP546,SUMPRODUCT(CO$32:CP$32,CO546:CP546))</f>
        <v/>
      </c>
      <c r="I546" s="968">
        <f>H546/M546</f>
        <v/>
      </c>
      <c r="J546" s="968">
        <f>H546/N546</f>
        <v/>
      </c>
      <c r="K546" s="968">
        <f>(H546+Q546)/O546</f>
        <v/>
      </c>
      <c r="L546" s="968">
        <f>(H546+Q546)/P546</f>
        <v/>
      </c>
      <c r="M546" s="199">
        <f>HLOOKUP(C:C,$4:$10,3,FALSE)+((HLOOKUP(D:D,$4:$10,3,FALSE)-HLOOKUP(C:C,$4:$10,3,FALSE))*E546/F546)</f>
        <v/>
      </c>
      <c r="N546" s="199">
        <f>HLOOKUP(C:C,$4:$10,2,FALSE)+((HLOOKUP(D:D,$4:$10,2,FALSE)-HLOOKUP(C:C,$4:$10,2,FALSE))*E546/F546)</f>
        <v/>
      </c>
      <c r="O546" s="199">
        <f>HLOOKUP(C:C,$4:$10,5,FALSE)+((HLOOKUP(D:D,$4:$10,5,FALSE)-HLOOKUP(C:C,$4:$10,5,FALSE))*E546/F546)</f>
        <v/>
      </c>
      <c r="P546" s="199">
        <f>HLOOKUP(C:C,$4:$10,4,FALSE)+((HLOOKUP(D:D,$4:$10,4,FALSE)-HLOOKUP(C:C,$4:$10,4,FALSE))*E546/F546)</f>
        <v/>
      </c>
      <c r="Q546" s="199">
        <f>HLOOKUP(B:B,$4:$10,6,FALSE)+((HLOOKUP(C:C,$4:$10,6,FALSE)-HLOOKUP(B:B,$4:$10,6,FALSE))*E546/F546)</f>
        <v/>
      </c>
      <c r="T546" s="198">
        <f>$G546</f>
        <v/>
      </c>
      <c r="U546" s="199">
        <f>H546/(HLOOKUP(B:B,$4:$10,3,FALSE)+((HLOOKUP(C:C,$4:$10,3,FALSE)-HLOOKUP(B:B,$4:$10,3,FALSE))*E546/F546))</f>
        <v/>
      </c>
      <c r="V546" s="969">
        <f>HLOOKUP(B:B,$4:$10,7,FALSE)+((HLOOKUP(C:C,$4:$10,7,FALSE)-HLOOKUP(B:B,$4:$10,7,FALSE))*E546/F546)</f>
        <v/>
      </c>
      <c r="AB546" s="198">
        <f>$G546</f>
        <v/>
      </c>
      <c r="AC546" s="199">
        <f>$H546</f>
        <v/>
      </c>
      <c r="AD546" s="199">
        <f>$M546*AD$34</f>
        <v/>
      </c>
      <c r="AE546" s="199">
        <f>$M546*AE$34</f>
        <v/>
      </c>
      <c r="AF546" s="199">
        <f>$M546*AF$34</f>
        <v/>
      </c>
      <c r="AG546" s="199">
        <f>$M546*AG$34</f>
        <v/>
      </c>
      <c r="AH546" s="199">
        <f>$M546*AH$34</f>
        <v/>
      </c>
      <c r="AJ546" s="198">
        <f>$G546</f>
        <v/>
      </c>
      <c r="AK546" s="199">
        <f>$H546</f>
        <v/>
      </c>
      <c r="AL546" s="199">
        <f>$N546*AL$34</f>
        <v/>
      </c>
      <c r="AM546" s="199">
        <f>$N546*AM$34</f>
        <v/>
      </c>
      <c r="AN546" s="199">
        <f>$N546*AN$34</f>
        <v/>
      </c>
      <c r="AO546" s="199">
        <f>$N546*AO$34</f>
        <v/>
      </c>
      <c r="AP546" s="199">
        <f>$N546*AP$34</f>
        <v/>
      </c>
      <c r="AR546" s="198">
        <f>$G546</f>
        <v/>
      </c>
      <c r="AS546" s="199">
        <f>$H546</f>
        <v/>
      </c>
      <c r="AT546" s="199">
        <f>$O546*AT$34-$Q546</f>
        <v/>
      </c>
      <c r="AU546" s="199">
        <f>$O546*AU$34-$Q546</f>
        <v/>
      </c>
      <c r="AV546" s="199">
        <f>$O546*AV$34-$Q546</f>
        <v/>
      </c>
      <c r="AW546" s="199">
        <f>$O546*AW$34-$Q546</f>
        <v/>
      </c>
      <c r="AX546" s="199">
        <f>$O546*AX$34-$Q546</f>
        <v/>
      </c>
      <c r="AZ546" s="198">
        <f>$G546</f>
        <v/>
      </c>
      <c r="BA546" s="199">
        <f>$H546</f>
        <v/>
      </c>
      <c r="BB546" s="199">
        <f>$P546*BB$34-$Q546</f>
        <v/>
      </c>
      <c r="BC546" s="199">
        <f>$P546*BC$34-$Q546</f>
        <v/>
      </c>
      <c r="BD546" s="199">
        <f>$P546*BD$34-$Q546</f>
        <v/>
      </c>
      <c r="BE546" s="199">
        <f>$P546*BE$34-$Q546</f>
        <v/>
      </c>
      <c r="BF546" s="199">
        <f>$P546*BF$34-$Q546</f>
        <v/>
      </c>
      <c r="BH546" s="198">
        <f>$G546</f>
        <v/>
      </c>
      <c r="BI546" s="197">
        <f>$I546</f>
        <v/>
      </c>
      <c r="BJ546" s="197">
        <f>+BJ547</f>
        <v/>
      </c>
      <c r="BK546" s="197">
        <f>+BK547</f>
        <v/>
      </c>
      <c r="BL546" s="197">
        <f>+BL547</f>
        <v/>
      </c>
      <c r="BM546" s="197">
        <f>+BM547</f>
        <v/>
      </c>
      <c r="BN546" s="197">
        <f>+BN547</f>
        <v/>
      </c>
      <c r="BP546" s="198">
        <f>$G546</f>
        <v/>
      </c>
      <c r="BQ546" s="197">
        <f>$J546</f>
        <v/>
      </c>
      <c r="BR546" s="197">
        <f>+BR547</f>
        <v/>
      </c>
      <c r="BS546" s="197">
        <f>+BS547</f>
        <v/>
      </c>
      <c r="BT546" s="197">
        <f>+BT547</f>
        <v/>
      </c>
      <c r="BU546" s="197">
        <f>+BU547</f>
        <v/>
      </c>
      <c r="BV546" s="197">
        <f>+BV547</f>
        <v/>
      </c>
      <c r="BX546" s="198">
        <f>$G546</f>
        <v/>
      </c>
      <c r="BY546" s="197">
        <f>$K546</f>
        <v/>
      </c>
      <c r="BZ546" s="197">
        <f>+BZ547</f>
        <v/>
      </c>
      <c r="CA546" s="197">
        <f>+CA547</f>
        <v/>
      </c>
      <c r="CB546" s="197">
        <f>+CB547</f>
        <v/>
      </c>
      <c r="CC546" s="197">
        <f>+CC547</f>
        <v/>
      </c>
      <c r="CD546" s="197">
        <f>+CD547</f>
        <v/>
      </c>
      <c r="CF546" s="198">
        <f>$G546</f>
        <v/>
      </c>
      <c r="CG546" s="197">
        <f>$L546</f>
        <v/>
      </c>
      <c r="CH546" s="197">
        <f>+CH547</f>
        <v/>
      </c>
      <c r="CI546" s="197">
        <f>+CI547</f>
        <v/>
      </c>
      <c r="CJ546" s="197">
        <f>+CJ547</f>
        <v/>
      </c>
      <c r="CK546" s="197">
        <f>+CK547</f>
        <v/>
      </c>
      <c r="CL546" s="197">
        <f>+CL547</f>
        <v/>
      </c>
      <c r="CO546" s="199" t="n">
        <v>7.37890620055943</v>
      </c>
      <c r="CP546" s="199" t="n">
        <v>4.18</v>
      </c>
      <c r="CR546" s="199" t="n">
        <v>5.83</v>
      </c>
      <c r="CS546" s="970" t="n">
        <v>0.79009</v>
      </c>
    </row>
    <row r="547">
      <c r="B547" s="204">
        <f>+C547-1</f>
        <v/>
      </c>
      <c r="C547" s="204">
        <f>IF('bands_A-H_Avg'!$D$9+1&gt;MONTH(G547),YEAR(G547),YEAR(G547)+1)</f>
        <v/>
      </c>
      <c r="D547" s="204">
        <f>+C547+1</f>
        <v/>
      </c>
      <c r="E547" s="203">
        <f>IF(C547&gt;C546,1,E546+1)</f>
        <v/>
      </c>
      <c r="F547" s="203">
        <f>COUNTIF(C:C,C547)</f>
        <v/>
      </c>
      <c r="G547" s="198">
        <f>+G546+7</f>
        <v/>
      </c>
      <c r="H547" s="361">
        <f>IF(ISBLANK(CO547),CP547,SUMPRODUCT(CO$32:CP$32,CO547:CP547))</f>
        <v/>
      </c>
      <c r="I547" s="968">
        <f>H547/M547</f>
        <v/>
      </c>
      <c r="J547" s="968">
        <f>H547/N547</f>
        <v/>
      </c>
      <c r="K547" s="968">
        <f>(H547+Q547)/O547</f>
        <v/>
      </c>
      <c r="L547" s="968">
        <f>(H547+Q547)/P547</f>
        <v/>
      </c>
      <c r="M547" s="199">
        <f>HLOOKUP(C:C,$4:$10,3,FALSE)+((HLOOKUP(D:D,$4:$10,3,FALSE)-HLOOKUP(C:C,$4:$10,3,FALSE))*E547/F547)</f>
        <v/>
      </c>
      <c r="N547" s="199">
        <f>HLOOKUP(C:C,$4:$10,2,FALSE)+((HLOOKUP(D:D,$4:$10,2,FALSE)-HLOOKUP(C:C,$4:$10,2,FALSE))*E547/F547)</f>
        <v/>
      </c>
      <c r="O547" s="199">
        <f>HLOOKUP(C:C,$4:$10,5,FALSE)+((HLOOKUP(D:D,$4:$10,5,FALSE)-HLOOKUP(C:C,$4:$10,5,FALSE))*E547/F547)</f>
        <v/>
      </c>
      <c r="P547" s="199">
        <f>HLOOKUP(C:C,$4:$10,4,FALSE)+((HLOOKUP(D:D,$4:$10,4,FALSE)-HLOOKUP(C:C,$4:$10,4,FALSE))*E547/F547)</f>
        <v/>
      </c>
      <c r="Q547" s="199">
        <f>HLOOKUP(B:B,$4:$10,6,FALSE)+((HLOOKUP(C:C,$4:$10,6,FALSE)-HLOOKUP(B:B,$4:$10,6,FALSE))*E547/F547)</f>
        <v/>
      </c>
      <c r="T547" s="198">
        <f>$G547</f>
        <v/>
      </c>
      <c r="U547" s="199">
        <f>H547/(HLOOKUP(B:B,$4:$10,3,FALSE)+((HLOOKUP(C:C,$4:$10,3,FALSE)-HLOOKUP(B:B,$4:$10,3,FALSE))*E547/F547))</f>
        <v/>
      </c>
      <c r="V547" s="969">
        <f>HLOOKUP(B:B,$4:$10,7,FALSE)+((HLOOKUP(C:C,$4:$10,7,FALSE)-HLOOKUP(B:B,$4:$10,7,FALSE))*E547/F547)</f>
        <v/>
      </c>
      <c r="AB547" s="198">
        <f>$G547</f>
        <v/>
      </c>
      <c r="AC547" s="199">
        <f>$H547</f>
        <v/>
      </c>
      <c r="AD547" s="199">
        <f>$M547*AD$34</f>
        <v/>
      </c>
      <c r="AE547" s="199">
        <f>$M547*AE$34</f>
        <v/>
      </c>
      <c r="AF547" s="199">
        <f>$M547*AF$34</f>
        <v/>
      </c>
      <c r="AG547" s="199">
        <f>$M547*AG$34</f>
        <v/>
      </c>
      <c r="AH547" s="199">
        <f>$M547*AH$34</f>
        <v/>
      </c>
      <c r="AJ547" s="198">
        <f>$G547</f>
        <v/>
      </c>
      <c r="AK547" s="199">
        <f>$H547</f>
        <v/>
      </c>
      <c r="AL547" s="199">
        <f>$N547*AL$34</f>
        <v/>
      </c>
      <c r="AM547" s="199">
        <f>$N547*AM$34</f>
        <v/>
      </c>
      <c r="AN547" s="199">
        <f>$N547*AN$34</f>
        <v/>
      </c>
      <c r="AO547" s="199">
        <f>$N547*AO$34</f>
        <v/>
      </c>
      <c r="AP547" s="199">
        <f>$N547*AP$34</f>
        <v/>
      </c>
      <c r="AR547" s="198">
        <f>$G547</f>
        <v/>
      </c>
      <c r="AS547" s="199">
        <f>$H547</f>
        <v/>
      </c>
      <c r="AT547" s="199">
        <f>$O547*AT$34-$Q547</f>
        <v/>
      </c>
      <c r="AU547" s="199">
        <f>$O547*AU$34-$Q547</f>
        <v/>
      </c>
      <c r="AV547" s="199">
        <f>$O547*AV$34-$Q547</f>
        <v/>
      </c>
      <c r="AW547" s="199">
        <f>$O547*AW$34-$Q547</f>
        <v/>
      </c>
      <c r="AX547" s="199">
        <f>$O547*AX$34-$Q547</f>
        <v/>
      </c>
      <c r="AZ547" s="198">
        <f>$G547</f>
        <v/>
      </c>
      <c r="BA547" s="199">
        <f>$H547</f>
        <v/>
      </c>
      <c r="BB547" s="199">
        <f>$P547*BB$34-$Q547</f>
        <v/>
      </c>
      <c r="BC547" s="199">
        <f>$P547*BC$34-$Q547</f>
        <v/>
      </c>
      <c r="BD547" s="199">
        <f>$P547*BD$34-$Q547</f>
        <v/>
      </c>
      <c r="BE547" s="199">
        <f>$P547*BE$34-$Q547</f>
        <v/>
      </c>
      <c r="BF547" s="199">
        <f>$P547*BF$34-$Q547</f>
        <v/>
      </c>
      <c r="BH547" s="198">
        <f>$G547</f>
        <v/>
      </c>
      <c r="BI547" s="197">
        <f>$I547</f>
        <v/>
      </c>
      <c r="BJ547" s="197">
        <f>+BJ548</f>
        <v/>
      </c>
      <c r="BK547" s="197">
        <f>+BK548</f>
        <v/>
      </c>
      <c r="BL547" s="197">
        <f>+BL548</f>
        <v/>
      </c>
      <c r="BM547" s="197">
        <f>+BM548</f>
        <v/>
      </c>
      <c r="BN547" s="197">
        <f>+BN548</f>
        <v/>
      </c>
      <c r="BP547" s="198">
        <f>$G547</f>
        <v/>
      </c>
      <c r="BQ547" s="197">
        <f>$J547</f>
        <v/>
      </c>
      <c r="BR547" s="197">
        <f>+BR548</f>
        <v/>
      </c>
      <c r="BS547" s="197">
        <f>+BS548</f>
        <v/>
      </c>
      <c r="BT547" s="197">
        <f>+BT548</f>
        <v/>
      </c>
      <c r="BU547" s="197">
        <f>+BU548</f>
        <v/>
      </c>
      <c r="BV547" s="197">
        <f>+BV548</f>
        <v/>
      </c>
      <c r="BX547" s="198">
        <f>$G547</f>
        <v/>
      </c>
      <c r="BY547" s="197">
        <f>$K547</f>
        <v/>
      </c>
      <c r="BZ547" s="197">
        <f>+BZ548</f>
        <v/>
      </c>
      <c r="CA547" s="197">
        <f>+CA548</f>
        <v/>
      </c>
      <c r="CB547" s="197">
        <f>+CB548</f>
        <v/>
      </c>
      <c r="CC547" s="197">
        <f>+CC548</f>
        <v/>
      </c>
      <c r="CD547" s="197">
        <f>+CD548</f>
        <v/>
      </c>
      <c r="CF547" s="198">
        <f>$G547</f>
        <v/>
      </c>
      <c r="CG547" s="197">
        <f>$L547</f>
        <v/>
      </c>
      <c r="CH547" s="197">
        <f>+CH548</f>
        <v/>
      </c>
      <c r="CI547" s="197">
        <f>+CI548</f>
        <v/>
      </c>
      <c r="CJ547" s="197">
        <f>+CJ548</f>
        <v/>
      </c>
      <c r="CK547" s="197">
        <f>+CK548</f>
        <v/>
      </c>
      <c r="CL547" s="197">
        <f>+CL548</f>
        <v/>
      </c>
      <c r="CO547" s="199" t="n">
        <v>6.966787424315354</v>
      </c>
      <c r="CP547" s="199" t="n">
        <v>3.97</v>
      </c>
      <c r="CR547" s="199" t="n">
        <v>5.5</v>
      </c>
      <c r="CS547" s="970" t="n">
        <v>0.7894600000000001</v>
      </c>
    </row>
    <row r="548">
      <c r="B548" s="204">
        <f>+C548-1</f>
        <v/>
      </c>
      <c r="C548" s="204">
        <f>IF('bands_A-H_Avg'!$D$9+1&gt;MONTH(G548),YEAR(G548),YEAR(G548)+1)</f>
        <v/>
      </c>
      <c r="D548" s="204">
        <f>+C548+1</f>
        <v/>
      </c>
      <c r="E548" s="203">
        <f>IF(C548&gt;C547,1,E547+1)</f>
        <v/>
      </c>
      <c r="F548" s="203">
        <f>COUNTIF(C:C,C548)</f>
        <v/>
      </c>
      <c r="G548" s="198">
        <f>+G547+7</f>
        <v/>
      </c>
      <c r="H548" s="361">
        <f>IF(ISBLANK(CO548),CP548,SUMPRODUCT(CO$32:CP$32,CO548:CP548))</f>
        <v/>
      </c>
      <c r="I548" s="968">
        <f>H548/M548</f>
        <v/>
      </c>
      <c r="J548" s="968">
        <f>H548/N548</f>
        <v/>
      </c>
      <c r="K548" s="968">
        <f>(H548+Q548)/O548</f>
        <v/>
      </c>
      <c r="L548" s="968">
        <f>(H548+Q548)/P548</f>
        <v/>
      </c>
      <c r="M548" s="199">
        <f>HLOOKUP(C:C,$4:$10,3,FALSE)+((HLOOKUP(D:D,$4:$10,3,FALSE)-HLOOKUP(C:C,$4:$10,3,FALSE))*E548/F548)</f>
        <v/>
      </c>
      <c r="N548" s="199">
        <f>HLOOKUP(C:C,$4:$10,2,FALSE)+((HLOOKUP(D:D,$4:$10,2,FALSE)-HLOOKUP(C:C,$4:$10,2,FALSE))*E548/F548)</f>
        <v/>
      </c>
      <c r="O548" s="199">
        <f>HLOOKUP(C:C,$4:$10,5,FALSE)+((HLOOKUP(D:D,$4:$10,5,FALSE)-HLOOKUP(C:C,$4:$10,5,FALSE))*E548/F548)</f>
        <v/>
      </c>
      <c r="P548" s="199">
        <f>HLOOKUP(C:C,$4:$10,4,FALSE)+((HLOOKUP(D:D,$4:$10,4,FALSE)-HLOOKUP(C:C,$4:$10,4,FALSE))*E548/F548)</f>
        <v/>
      </c>
      <c r="Q548" s="199">
        <f>HLOOKUP(B:B,$4:$10,6,FALSE)+((HLOOKUP(C:C,$4:$10,6,FALSE)-HLOOKUP(B:B,$4:$10,6,FALSE))*E548/F548)</f>
        <v/>
      </c>
      <c r="T548" s="198">
        <f>$G548</f>
        <v/>
      </c>
      <c r="U548" s="199">
        <f>H548/(HLOOKUP(B:B,$4:$10,3,FALSE)+((HLOOKUP(C:C,$4:$10,3,FALSE)-HLOOKUP(B:B,$4:$10,3,FALSE))*E548/F548))</f>
        <v/>
      </c>
      <c r="V548" s="969">
        <f>HLOOKUP(B:B,$4:$10,7,FALSE)+((HLOOKUP(C:C,$4:$10,7,FALSE)-HLOOKUP(B:B,$4:$10,7,FALSE))*E548/F548)</f>
        <v/>
      </c>
      <c r="AB548" s="198">
        <f>$G548</f>
        <v/>
      </c>
      <c r="AC548" s="199">
        <f>$H548</f>
        <v/>
      </c>
      <c r="AD548" s="199">
        <f>$M548*AD$34</f>
        <v/>
      </c>
      <c r="AE548" s="199">
        <f>$M548*AE$34</f>
        <v/>
      </c>
      <c r="AF548" s="199">
        <f>$M548*AF$34</f>
        <v/>
      </c>
      <c r="AG548" s="199">
        <f>$M548*AG$34</f>
        <v/>
      </c>
      <c r="AH548" s="199">
        <f>$M548*AH$34</f>
        <v/>
      </c>
      <c r="AJ548" s="198">
        <f>$G548</f>
        <v/>
      </c>
      <c r="AK548" s="199">
        <f>$H548</f>
        <v/>
      </c>
      <c r="AL548" s="199">
        <f>$N548*AL$34</f>
        <v/>
      </c>
      <c r="AM548" s="199">
        <f>$N548*AM$34</f>
        <v/>
      </c>
      <c r="AN548" s="199">
        <f>$N548*AN$34</f>
        <v/>
      </c>
      <c r="AO548" s="199">
        <f>$N548*AO$34</f>
        <v/>
      </c>
      <c r="AP548" s="199">
        <f>$N548*AP$34</f>
        <v/>
      </c>
      <c r="AR548" s="198">
        <f>$G548</f>
        <v/>
      </c>
      <c r="AS548" s="199">
        <f>$H548</f>
        <v/>
      </c>
      <c r="AT548" s="199">
        <f>$O548*AT$34-$Q548</f>
        <v/>
      </c>
      <c r="AU548" s="199">
        <f>$O548*AU$34-$Q548</f>
        <v/>
      </c>
      <c r="AV548" s="199">
        <f>$O548*AV$34-$Q548</f>
        <v/>
      </c>
      <c r="AW548" s="199">
        <f>$O548*AW$34-$Q548</f>
        <v/>
      </c>
      <c r="AX548" s="199">
        <f>$O548*AX$34-$Q548</f>
        <v/>
      </c>
      <c r="AZ548" s="198">
        <f>$G548</f>
        <v/>
      </c>
      <c r="BA548" s="199">
        <f>$H548</f>
        <v/>
      </c>
      <c r="BB548" s="199">
        <f>$P548*BB$34-$Q548</f>
        <v/>
      </c>
      <c r="BC548" s="199">
        <f>$P548*BC$34-$Q548</f>
        <v/>
      </c>
      <c r="BD548" s="199">
        <f>$P548*BD$34-$Q548</f>
        <v/>
      </c>
      <c r="BE548" s="199">
        <f>$P548*BE$34-$Q548</f>
        <v/>
      </c>
      <c r="BF548" s="199">
        <f>$P548*BF$34-$Q548</f>
        <v/>
      </c>
      <c r="BH548" s="198">
        <f>$G548</f>
        <v/>
      </c>
      <c r="BI548" s="197">
        <f>$I548</f>
        <v/>
      </c>
      <c r="BJ548" s="197">
        <f>+BJ549</f>
        <v/>
      </c>
      <c r="BK548" s="197">
        <f>+BK549</f>
        <v/>
      </c>
      <c r="BL548" s="197">
        <f>+BL549</f>
        <v/>
      </c>
      <c r="BM548" s="197">
        <f>+BM549</f>
        <v/>
      </c>
      <c r="BN548" s="197">
        <f>+BN549</f>
        <v/>
      </c>
      <c r="BP548" s="198">
        <f>$G548</f>
        <v/>
      </c>
      <c r="BQ548" s="197">
        <f>$J548</f>
        <v/>
      </c>
      <c r="BR548" s="197">
        <f>+BR549</f>
        <v/>
      </c>
      <c r="BS548" s="197">
        <f>+BS549</f>
        <v/>
      </c>
      <c r="BT548" s="197">
        <f>+BT549</f>
        <v/>
      </c>
      <c r="BU548" s="197">
        <f>+BU549</f>
        <v/>
      </c>
      <c r="BV548" s="197">
        <f>+BV549</f>
        <v/>
      </c>
      <c r="BX548" s="198">
        <f>$G548</f>
        <v/>
      </c>
      <c r="BY548" s="197">
        <f>$K548</f>
        <v/>
      </c>
      <c r="BZ548" s="197">
        <f>+BZ549</f>
        <v/>
      </c>
      <c r="CA548" s="197">
        <f>+CA549</f>
        <v/>
      </c>
      <c r="CB548" s="197">
        <f>+CB549</f>
        <v/>
      </c>
      <c r="CC548" s="197">
        <f>+CC549</f>
        <v/>
      </c>
      <c r="CD548" s="197">
        <f>+CD549</f>
        <v/>
      </c>
      <c r="CF548" s="198">
        <f>$G548</f>
        <v/>
      </c>
      <c r="CG548" s="197">
        <f>$L548</f>
        <v/>
      </c>
      <c r="CH548" s="197">
        <f>+CH549</f>
        <v/>
      </c>
      <c r="CI548" s="197">
        <f>+CI549</f>
        <v/>
      </c>
      <c r="CJ548" s="197">
        <f>+CJ549</f>
        <v/>
      </c>
      <c r="CK548" s="197">
        <f>+CK549</f>
        <v/>
      </c>
      <c r="CL548" s="197">
        <f>+CL549</f>
        <v/>
      </c>
      <c r="CO548" s="372" t="n">
        <v>6.669540739989348</v>
      </c>
      <c r="CP548" s="372" t="n">
        <v>3.64</v>
      </c>
      <c r="CQ548" s="360" t="n"/>
      <c r="CR548" s="372" t="n">
        <v>5.26</v>
      </c>
      <c r="CS548" s="971" t="n">
        <v>0.78866</v>
      </c>
    </row>
    <row r="549">
      <c r="B549" s="204">
        <f>+C549-1</f>
        <v/>
      </c>
      <c r="C549" s="204">
        <f>IF('bands_A-H_Avg'!$D$9+1&gt;MONTH(G549),YEAR(G549),YEAR(G549)+1)</f>
        <v/>
      </c>
      <c r="D549" s="204">
        <f>+C549+1</f>
        <v/>
      </c>
      <c r="E549" s="203">
        <f>IF(C549&gt;C548,1,E548+1)</f>
        <v/>
      </c>
      <c r="F549" s="203">
        <f>COUNTIF(C:C,C549)</f>
        <v/>
      </c>
      <c r="G549" s="198">
        <f>+G548+7</f>
        <v/>
      </c>
      <c r="H549" s="361">
        <f>IF(ISBLANK(CO549),CP549,SUMPRODUCT(CO$32:CP$32,CO549:CP549))</f>
        <v/>
      </c>
      <c r="I549" s="968">
        <f>H549/M549</f>
        <v/>
      </c>
      <c r="J549" s="968">
        <f>H549/N549</f>
        <v/>
      </c>
      <c r="K549" s="968">
        <f>(H549+Q549)/O549</f>
        <v/>
      </c>
      <c r="L549" s="968">
        <f>(H549+Q549)/P549</f>
        <v/>
      </c>
      <c r="M549" s="199">
        <f>HLOOKUP(C:C,$4:$10,3,FALSE)+((HLOOKUP(D:D,$4:$10,3,FALSE)-HLOOKUP(C:C,$4:$10,3,FALSE))*E549/F549)</f>
        <v/>
      </c>
      <c r="N549" s="199">
        <f>HLOOKUP(C:C,$4:$10,2,FALSE)+((HLOOKUP(D:D,$4:$10,2,FALSE)-HLOOKUP(C:C,$4:$10,2,FALSE))*E549/F549)</f>
        <v/>
      </c>
      <c r="O549" s="199">
        <f>HLOOKUP(C:C,$4:$10,5,FALSE)+((HLOOKUP(D:D,$4:$10,5,FALSE)-HLOOKUP(C:C,$4:$10,5,FALSE))*E549/F549)</f>
        <v/>
      </c>
      <c r="P549" s="199">
        <f>HLOOKUP(C:C,$4:$10,4,FALSE)+((HLOOKUP(D:D,$4:$10,4,FALSE)-HLOOKUP(C:C,$4:$10,4,FALSE))*E549/F549)</f>
        <v/>
      </c>
      <c r="Q549" s="199">
        <f>HLOOKUP(B:B,$4:$10,6,FALSE)+((HLOOKUP(C:C,$4:$10,6,FALSE)-HLOOKUP(B:B,$4:$10,6,FALSE))*E549/F549)</f>
        <v/>
      </c>
      <c r="T549" s="198">
        <f>$G549</f>
        <v/>
      </c>
      <c r="U549" s="199">
        <f>H549/(HLOOKUP(B:B,$4:$10,3,FALSE)+((HLOOKUP(C:C,$4:$10,3,FALSE)-HLOOKUP(B:B,$4:$10,3,FALSE))*E549/F549))</f>
        <v/>
      </c>
      <c r="V549" s="969">
        <f>HLOOKUP(B:B,$4:$10,7,FALSE)+((HLOOKUP(C:C,$4:$10,7,FALSE)-HLOOKUP(B:B,$4:$10,7,FALSE))*E549/F549)</f>
        <v/>
      </c>
      <c r="AB549" s="198">
        <f>$G549</f>
        <v/>
      </c>
      <c r="AC549" s="199">
        <f>$H549</f>
        <v/>
      </c>
      <c r="AD549" s="199">
        <f>$M549*AD$34</f>
        <v/>
      </c>
      <c r="AE549" s="199">
        <f>$M549*AE$34</f>
        <v/>
      </c>
      <c r="AF549" s="199">
        <f>$M549*AF$34</f>
        <v/>
      </c>
      <c r="AG549" s="199">
        <f>$M549*AG$34</f>
        <v/>
      </c>
      <c r="AH549" s="199">
        <f>$M549*AH$34</f>
        <v/>
      </c>
      <c r="AJ549" s="198">
        <f>$G549</f>
        <v/>
      </c>
      <c r="AK549" s="199">
        <f>$H549</f>
        <v/>
      </c>
      <c r="AL549" s="199">
        <f>$N549*AL$34</f>
        <v/>
      </c>
      <c r="AM549" s="199">
        <f>$N549*AM$34</f>
        <v/>
      </c>
      <c r="AN549" s="199">
        <f>$N549*AN$34</f>
        <v/>
      </c>
      <c r="AO549" s="199">
        <f>$N549*AO$34</f>
        <v/>
      </c>
      <c r="AP549" s="199">
        <f>$N549*AP$34</f>
        <v/>
      </c>
      <c r="AR549" s="198">
        <f>$G549</f>
        <v/>
      </c>
      <c r="AS549" s="199">
        <f>$H549</f>
        <v/>
      </c>
      <c r="AT549" s="199">
        <f>$O549*AT$34-$Q549</f>
        <v/>
      </c>
      <c r="AU549" s="199">
        <f>$O549*AU$34-$Q549</f>
        <v/>
      </c>
      <c r="AV549" s="199">
        <f>$O549*AV$34-$Q549</f>
        <v/>
      </c>
      <c r="AW549" s="199">
        <f>$O549*AW$34-$Q549</f>
        <v/>
      </c>
      <c r="AX549" s="199">
        <f>$O549*AX$34-$Q549</f>
        <v/>
      </c>
      <c r="AZ549" s="198">
        <f>$G549</f>
        <v/>
      </c>
      <c r="BA549" s="199">
        <f>$H549</f>
        <v/>
      </c>
      <c r="BB549" s="199">
        <f>$P549*BB$34-$Q549</f>
        <v/>
      </c>
      <c r="BC549" s="199">
        <f>$P549*BC$34-$Q549</f>
        <v/>
      </c>
      <c r="BD549" s="199">
        <f>$P549*BD$34-$Q549</f>
        <v/>
      </c>
      <c r="BE549" s="199">
        <f>$P549*BE$34-$Q549</f>
        <v/>
      </c>
      <c r="BF549" s="199">
        <f>$P549*BF$34-$Q549</f>
        <v/>
      </c>
      <c r="BH549" s="198">
        <f>$G549</f>
        <v/>
      </c>
      <c r="BI549" s="197">
        <f>$I549</f>
        <v/>
      </c>
      <c r="BJ549" s="197">
        <f>+BJ550</f>
        <v/>
      </c>
      <c r="BK549" s="197">
        <f>+BK550</f>
        <v/>
      </c>
      <c r="BL549" s="197">
        <f>+BL550</f>
        <v/>
      </c>
      <c r="BM549" s="197">
        <f>+BM550</f>
        <v/>
      </c>
      <c r="BN549" s="197">
        <f>+BN550</f>
        <v/>
      </c>
      <c r="BP549" s="198">
        <f>$G549</f>
        <v/>
      </c>
      <c r="BQ549" s="197">
        <f>$J549</f>
        <v/>
      </c>
      <c r="BR549" s="197">
        <f>+BR550</f>
        <v/>
      </c>
      <c r="BS549" s="197">
        <f>+BS550</f>
        <v/>
      </c>
      <c r="BT549" s="197">
        <f>+BT550</f>
        <v/>
      </c>
      <c r="BU549" s="197">
        <f>+BU550</f>
        <v/>
      </c>
      <c r="BV549" s="197">
        <f>+BV550</f>
        <v/>
      </c>
      <c r="BX549" s="198">
        <f>$G549</f>
        <v/>
      </c>
      <c r="BY549" s="197">
        <f>$K549</f>
        <v/>
      </c>
      <c r="BZ549" s="197">
        <f>+BZ550</f>
        <v/>
      </c>
      <c r="CA549" s="197">
        <f>+CA550</f>
        <v/>
      </c>
      <c r="CB549" s="197">
        <f>+CB550</f>
        <v/>
      </c>
      <c r="CC549" s="197">
        <f>+CC550</f>
        <v/>
      </c>
      <c r="CD549" s="197">
        <f>+CD550</f>
        <v/>
      </c>
      <c r="CF549" s="198">
        <f>$G549</f>
        <v/>
      </c>
      <c r="CG549" s="197">
        <f>$L549</f>
        <v/>
      </c>
      <c r="CH549" s="197">
        <f>+CH550</f>
        <v/>
      </c>
      <c r="CI549" s="197">
        <f>+CI550</f>
        <v/>
      </c>
      <c r="CJ549" s="197">
        <f>+CJ550</f>
        <v/>
      </c>
      <c r="CK549" s="197">
        <f>+CK550</f>
        <v/>
      </c>
      <c r="CL549" s="197">
        <f>+CL550</f>
        <v/>
      </c>
      <c r="CO549" s="372" t="n">
        <v>7.395943014449363</v>
      </c>
      <c r="CP549" s="372" t="n">
        <v>3.88</v>
      </c>
      <c r="CQ549" s="360" t="n"/>
      <c r="CR549" s="372" t="n">
        <v>5.83</v>
      </c>
      <c r="CS549" s="971" t="n">
        <v>0.78827</v>
      </c>
    </row>
    <row r="550">
      <c r="B550" s="204">
        <f>+C550-1</f>
        <v/>
      </c>
      <c r="C550" s="204">
        <f>IF('bands_A-H_Avg'!$D$9+1&gt;MONTH(G550),YEAR(G550),YEAR(G550)+1)</f>
        <v/>
      </c>
      <c r="D550" s="204">
        <f>+C550+1</f>
        <v/>
      </c>
      <c r="E550" s="203">
        <f>IF(C550&gt;C549,1,E549+1)</f>
        <v/>
      </c>
      <c r="F550" s="203">
        <f>COUNTIF(C:C,C550)</f>
        <v/>
      </c>
      <c r="G550" s="198">
        <f>+G549+7</f>
        <v/>
      </c>
      <c r="H550" s="361">
        <f>IF(ISBLANK(CO550),CP550,SUMPRODUCT(CO$32:CP$32,CO550:CP550))</f>
        <v/>
      </c>
      <c r="I550" s="968">
        <f>H550/M550</f>
        <v/>
      </c>
      <c r="J550" s="968">
        <f>H550/N550</f>
        <v/>
      </c>
      <c r="K550" s="968">
        <f>(H550+Q550)/O550</f>
        <v/>
      </c>
      <c r="L550" s="968">
        <f>(H550+Q550)/P550</f>
        <v/>
      </c>
      <c r="M550" s="199">
        <f>HLOOKUP(C:C,$4:$10,3,FALSE)+((HLOOKUP(D:D,$4:$10,3,FALSE)-HLOOKUP(C:C,$4:$10,3,FALSE))*E550/F550)</f>
        <v/>
      </c>
      <c r="N550" s="199">
        <f>HLOOKUP(C:C,$4:$10,2,FALSE)+((HLOOKUP(D:D,$4:$10,2,FALSE)-HLOOKUP(C:C,$4:$10,2,FALSE))*E550/F550)</f>
        <v/>
      </c>
      <c r="O550" s="199">
        <f>HLOOKUP(C:C,$4:$10,5,FALSE)+((HLOOKUP(D:D,$4:$10,5,FALSE)-HLOOKUP(C:C,$4:$10,5,FALSE))*E550/F550)</f>
        <v/>
      </c>
      <c r="P550" s="199">
        <f>HLOOKUP(C:C,$4:$10,4,FALSE)+((HLOOKUP(D:D,$4:$10,4,FALSE)-HLOOKUP(C:C,$4:$10,4,FALSE))*E550/F550)</f>
        <v/>
      </c>
      <c r="Q550" s="199">
        <f>HLOOKUP(B:B,$4:$10,6,FALSE)+((HLOOKUP(C:C,$4:$10,6,FALSE)-HLOOKUP(B:B,$4:$10,6,FALSE))*E550/F550)</f>
        <v/>
      </c>
      <c r="T550" s="198">
        <f>$G550</f>
        <v/>
      </c>
      <c r="U550" s="199">
        <f>H550/(HLOOKUP(B:B,$4:$10,3,FALSE)+((HLOOKUP(C:C,$4:$10,3,FALSE)-HLOOKUP(B:B,$4:$10,3,FALSE))*E550/F550))</f>
        <v/>
      </c>
      <c r="V550" s="969">
        <f>HLOOKUP(B:B,$4:$10,7,FALSE)+((HLOOKUP(C:C,$4:$10,7,FALSE)-HLOOKUP(B:B,$4:$10,7,FALSE))*E550/F550)</f>
        <v/>
      </c>
      <c r="AB550" s="198">
        <f>$G550</f>
        <v/>
      </c>
      <c r="AC550" s="199">
        <f>$H550</f>
        <v/>
      </c>
      <c r="AD550" s="199">
        <f>$M550*AD$34</f>
        <v/>
      </c>
      <c r="AE550" s="199">
        <f>$M550*AE$34</f>
        <v/>
      </c>
      <c r="AF550" s="199">
        <f>$M550*AF$34</f>
        <v/>
      </c>
      <c r="AG550" s="199">
        <f>$M550*AG$34</f>
        <v/>
      </c>
      <c r="AH550" s="199">
        <f>$M550*AH$34</f>
        <v/>
      </c>
      <c r="AJ550" s="198">
        <f>$G550</f>
        <v/>
      </c>
      <c r="AK550" s="199">
        <f>$H550</f>
        <v/>
      </c>
      <c r="AL550" s="199">
        <f>$N550*AL$34</f>
        <v/>
      </c>
      <c r="AM550" s="199">
        <f>$N550*AM$34</f>
        <v/>
      </c>
      <c r="AN550" s="199">
        <f>$N550*AN$34</f>
        <v/>
      </c>
      <c r="AO550" s="199">
        <f>$N550*AO$34</f>
        <v/>
      </c>
      <c r="AP550" s="199">
        <f>$N550*AP$34</f>
        <v/>
      </c>
      <c r="AR550" s="198">
        <f>$G550</f>
        <v/>
      </c>
      <c r="AS550" s="199">
        <f>$H550</f>
        <v/>
      </c>
      <c r="AT550" s="199">
        <f>$O550*AT$34-$Q550</f>
        <v/>
      </c>
      <c r="AU550" s="199">
        <f>$O550*AU$34-$Q550</f>
        <v/>
      </c>
      <c r="AV550" s="199">
        <f>$O550*AV$34-$Q550</f>
        <v/>
      </c>
      <c r="AW550" s="199">
        <f>$O550*AW$34-$Q550</f>
        <v/>
      </c>
      <c r="AX550" s="199">
        <f>$O550*AX$34-$Q550</f>
        <v/>
      </c>
      <c r="AZ550" s="198">
        <f>$G550</f>
        <v/>
      </c>
      <c r="BA550" s="199">
        <f>$H550</f>
        <v/>
      </c>
      <c r="BB550" s="199">
        <f>$P550*BB$34-$Q550</f>
        <v/>
      </c>
      <c r="BC550" s="199">
        <f>$P550*BC$34-$Q550</f>
        <v/>
      </c>
      <c r="BD550" s="199">
        <f>$P550*BD$34-$Q550</f>
        <v/>
      </c>
      <c r="BE550" s="199">
        <f>$P550*BE$34-$Q550</f>
        <v/>
      </c>
      <c r="BF550" s="199">
        <f>$P550*BF$34-$Q550</f>
        <v/>
      </c>
      <c r="BH550" s="198">
        <f>$G550</f>
        <v/>
      </c>
      <c r="BI550" s="197">
        <f>$I550</f>
        <v/>
      </c>
      <c r="BJ550" s="197">
        <f>IF(ISBLANK(BJ551),AVERAGE($I$53:$I550)-STDEV($I$53:$I550)*2,BJ551)</f>
        <v/>
      </c>
      <c r="BK550" s="197">
        <f>IF(ISBLANK(BK551),AVERAGE($I$53:$I550)-STDEV($I$53:$I550),BK551)</f>
        <v/>
      </c>
      <c r="BL550" s="197">
        <f>IF(ISBLANK(BL551),AVERAGE($I$53:$I550),BL551)</f>
        <v/>
      </c>
      <c r="BM550" s="197">
        <f>IF(ISBLANK(BM551),AVERAGE($I$53:$I550)+STDEV($I$53:$I550),BM551)</f>
        <v/>
      </c>
      <c r="BN550" s="197">
        <f>IF(ISBLANK(BN551),AVERAGE($I$53:$I550)+STDEV($I$53:$I550)*2,BN551)</f>
        <v/>
      </c>
      <c r="BP550" s="198">
        <f>$G550</f>
        <v/>
      </c>
      <c r="BQ550" s="197">
        <f>$J550</f>
        <v/>
      </c>
      <c r="BR550" s="197">
        <f>IF(ISBLANK(BR551),AVERAGE($J$53:$J550)-STDEV($J$53:$J550)*2,BR551)</f>
        <v/>
      </c>
      <c r="BS550" s="197">
        <f>IF(ISBLANK(BS551),AVERAGE($J$53:$J550)-STDEV($J$53:$J550),BS551)</f>
        <v/>
      </c>
      <c r="BT550" s="197">
        <f>IF(ISBLANK(BT551),AVERAGE($J$53:$J550),BT551)</f>
        <v/>
      </c>
      <c r="BU550" s="197">
        <f>IF(ISBLANK(BU551),AVERAGE($J$53:$J550)+STDEV($J$53:$J550),BU551)</f>
        <v/>
      </c>
      <c r="BV550" s="197">
        <f>IF(ISBLANK(BV551),AVERAGE($J$53:$J550)+STDEV($J$53:$J550)*2,BV551)</f>
        <v/>
      </c>
      <c r="BX550" s="198">
        <f>$G550</f>
        <v/>
      </c>
      <c r="BY550" s="197">
        <f>$K550</f>
        <v/>
      </c>
      <c r="BZ550" s="197">
        <f>IF(ISBLANK(BZ551),AVERAGE($K$53:$K550)-STDEV($K$53:$K550)*2,BZ551)</f>
        <v/>
      </c>
      <c r="CA550" s="197">
        <f>IF(ISBLANK(CA551),AVERAGE($K$53:$K550)-STDEV($K$53:$K550),CA551)</f>
        <v/>
      </c>
      <c r="CB550" s="197">
        <f>IF(ISBLANK(CB551),AVERAGE($K$53:$K550),CB551)</f>
        <v/>
      </c>
      <c r="CC550" s="197">
        <f>IF(ISBLANK(CC551),AVERAGE($K$53:$K550)+STDEV($K$53:$K550),CC551)</f>
        <v/>
      </c>
      <c r="CD550" s="197">
        <f>IF(ISBLANK(CD551),AVERAGE($K$53:$K550)+STDEV($K$53:$K550)*2,CD551)</f>
        <v/>
      </c>
      <c r="CF550" s="198">
        <f>$G550</f>
        <v/>
      </c>
      <c r="CG550" s="197">
        <f>$L550</f>
        <v/>
      </c>
      <c r="CH550" s="197">
        <f>IF(ISBLANK(CH551),AVERAGE($L$53:$L550)-STDEV($L$53:$L550)*2,CH551)</f>
        <v/>
      </c>
      <c r="CI550" s="197">
        <f>IF(ISBLANK(CI551),AVERAGE($L$53:$L550)-STDEV($L$53:$L550),CI551)</f>
        <v/>
      </c>
      <c r="CJ550" s="197">
        <f>IF(ISBLANK(CJ551),AVERAGE($L$53:$L550),CJ551)</f>
        <v/>
      </c>
      <c r="CK550" s="197">
        <f>IF(ISBLANK(CK551),AVERAGE($L$53:$L550)+STDEV($L$53:$L550),CK551)</f>
        <v/>
      </c>
      <c r="CL550" s="197">
        <f>IF(ISBLANK(CL551),AVERAGE($L$53:$L550)+STDEV($L$53:$L550)*2,CL551)</f>
        <v/>
      </c>
      <c r="CO550" s="372" t="n">
        <v>8.014788741310982</v>
      </c>
      <c r="CP550" s="372" t="n">
        <v>3.76</v>
      </c>
      <c r="CQ550" s="360" t="n"/>
      <c r="CR550" s="372" t="n">
        <v>6.33</v>
      </c>
      <c r="CS550" s="971" t="n">
        <v>0.78979</v>
      </c>
    </row>
    <row r="551">
      <c r="B551" s="204">
        <f>+C551-1</f>
        <v/>
      </c>
      <c r="C551" s="204">
        <f>IF('bands_A-H_Avg'!$D$9+1&gt;MONTH(G551),YEAR(G551),YEAR(G551)+1)</f>
        <v/>
      </c>
      <c r="D551" s="204">
        <f>+C551+1</f>
        <v/>
      </c>
      <c r="E551" s="203">
        <f>IF(C551&gt;C550,1,E550+1)</f>
        <v/>
      </c>
      <c r="F551" s="203">
        <f>COUNTIF(C:C,C551)</f>
        <v/>
      </c>
      <c r="G551" s="198">
        <f>+G550+7</f>
        <v/>
      </c>
      <c r="H551" s="361">
        <f>IF(ISBLANK(CO551),CP551,SUMPRODUCT(CO$32:CP$32,CO551:CP551))</f>
        <v/>
      </c>
      <c r="I551" s="968">
        <f>H551/M551</f>
        <v/>
      </c>
      <c r="J551" s="968">
        <f>H551/N551</f>
        <v/>
      </c>
      <c r="K551" s="968">
        <f>(H551+Q551)/O551</f>
        <v/>
      </c>
      <c r="L551" s="968">
        <f>(H551+Q551)/P551</f>
        <v/>
      </c>
      <c r="M551" s="199">
        <f>HLOOKUP(C:C,$4:$10,3,FALSE)+((HLOOKUP(D:D,$4:$10,3,FALSE)-HLOOKUP(C:C,$4:$10,3,FALSE))*E551/F551)</f>
        <v/>
      </c>
      <c r="N551" s="199">
        <f>HLOOKUP(C:C,$4:$10,2,FALSE)+((HLOOKUP(D:D,$4:$10,2,FALSE)-HLOOKUP(C:C,$4:$10,2,FALSE))*E551/F551)</f>
        <v/>
      </c>
      <c r="O551" s="199">
        <f>HLOOKUP(C:C,$4:$10,5,FALSE)+((HLOOKUP(D:D,$4:$10,5,FALSE)-HLOOKUP(C:C,$4:$10,5,FALSE))*E551/F551)</f>
        <v/>
      </c>
      <c r="P551" s="199">
        <f>HLOOKUP(C:C,$4:$10,4,FALSE)+((HLOOKUP(D:D,$4:$10,4,FALSE)-HLOOKUP(C:C,$4:$10,4,FALSE))*E551/F551)</f>
        <v/>
      </c>
      <c r="Q551" s="199">
        <f>HLOOKUP(B:B,$4:$10,6,FALSE)+((HLOOKUP(C:C,$4:$10,6,FALSE)-HLOOKUP(B:B,$4:$10,6,FALSE))*E551/F551)</f>
        <v/>
      </c>
      <c r="T551" s="198">
        <f>$G551</f>
        <v/>
      </c>
      <c r="U551" s="199">
        <f>H551/(HLOOKUP(B:B,$4:$10,3,FALSE)+((HLOOKUP(C:C,$4:$10,3,FALSE)-HLOOKUP(B:B,$4:$10,3,FALSE))*E551/F551))</f>
        <v/>
      </c>
      <c r="V551" s="969">
        <f>HLOOKUP(B:B,$4:$10,7,FALSE)+((HLOOKUP(C:C,$4:$10,7,FALSE)-HLOOKUP(B:B,$4:$10,7,FALSE))*E551/F551)</f>
        <v/>
      </c>
      <c r="AB551" s="198">
        <f>$G551</f>
        <v/>
      </c>
      <c r="AC551" s="199">
        <f>$H551</f>
        <v/>
      </c>
      <c r="AD551" s="199">
        <f>$M551*AD$34</f>
        <v/>
      </c>
      <c r="AE551" s="199">
        <f>$M551*AE$34</f>
        <v/>
      </c>
      <c r="AF551" s="199">
        <f>$M551*AF$34</f>
        <v/>
      </c>
      <c r="AG551" s="199">
        <f>$M551*AG$34</f>
        <v/>
      </c>
      <c r="AH551" s="199">
        <f>$M551*AH$34</f>
        <v/>
      </c>
      <c r="AJ551" s="198">
        <f>$G551</f>
        <v/>
      </c>
      <c r="AK551" s="199">
        <f>$H551</f>
        <v/>
      </c>
      <c r="AL551" s="199">
        <f>$N551*AL$34</f>
        <v/>
      </c>
      <c r="AM551" s="199">
        <f>$N551*AM$34</f>
        <v/>
      </c>
      <c r="AN551" s="199">
        <f>$N551*AN$34</f>
        <v/>
      </c>
      <c r="AO551" s="199">
        <f>$N551*AO$34</f>
        <v/>
      </c>
      <c r="AP551" s="199">
        <f>$N551*AP$34</f>
        <v/>
      </c>
      <c r="AR551" s="198">
        <f>$G551</f>
        <v/>
      </c>
      <c r="AS551" s="199">
        <f>$H551</f>
        <v/>
      </c>
      <c r="AT551" s="199">
        <f>$O551*AT$34-$Q551</f>
        <v/>
      </c>
      <c r="AU551" s="199">
        <f>$O551*AU$34-$Q551</f>
        <v/>
      </c>
      <c r="AV551" s="199">
        <f>$O551*AV$34-$Q551</f>
        <v/>
      </c>
      <c r="AW551" s="199">
        <f>$O551*AW$34-$Q551</f>
        <v/>
      </c>
      <c r="AX551" s="199">
        <f>$O551*AX$34-$Q551</f>
        <v/>
      </c>
      <c r="AZ551" s="198">
        <f>$G551</f>
        <v/>
      </c>
      <c r="BA551" s="199">
        <f>$H551</f>
        <v/>
      </c>
      <c r="BB551" s="199">
        <f>$P551*BB$34-$Q551</f>
        <v/>
      </c>
      <c r="BC551" s="199">
        <f>$P551*BC$34-$Q551</f>
        <v/>
      </c>
      <c r="BD551" s="199">
        <f>$P551*BD$34-$Q551</f>
        <v/>
      </c>
      <c r="BE551" s="199">
        <f>$P551*BE$34-$Q551</f>
        <v/>
      </c>
      <c r="BF551" s="199">
        <f>$P551*BF$34-$Q551</f>
        <v/>
      </c>
      <c r="BH551" s="198">
        <f>$G551</f>
        <v/>
      </c>
      <c r="BI551" s="197">
        <f>$I551</f>
        <v/>
      </c>
      <c r="BJ551" s="197">
        <f>IF(ISBLANK(BJ552),AVERAGE($I$53:$I551)-STDEV($I$53:$I551)*2,BJ552)</f>
        <v/>
      </c>
      <c r="BK551" s="197">
        <f>IF(ISBLANK(BK552),AVERAGE($I$53:$I551)-STDEV($I$53:$I551),BK552)</f>
        <v/>
      </c>
      <c r="BL551" s="197">
        <f>IF(ISBLANK(BL552),AVERAGE($I$53:$I551),BL552)</f>
        <v/>
      </c>
      <c r="BM551" s="197">
        <f>IF(ISBLANK(BM552),AVERAGE($I$53:$I551)+STDEV($I$53:$I551),BM552)</f>
        <v/>
      </c>
      <c r="BN551" s="197">
        <f>IF(ISBLANK(BN552),AVERAGE($I$53:$I551)+STDEV($I$53:$I551)*2,BN552)</f>
        <v/>
      </c>
      <c r="BP551" s="198">
        <f>$G551</f>
        <v/>
      </c>
      <c r="BQ551" s="197">
        <f>$J551</f>
        <v/>
      </c>
      <c r="BR551" s="197">
        <f>IF(ISBLANK(BR552),AVERAGE($J$53:$J551)-STDEV($J$53:$J551)*2,BR552)</f>
        <v/>
      </c>
      <c r="BS551" s="197">
        <f>IF(ISBLANK(BS552),AVERAGE($J$53:$J551)-STDEV($J$53:$J551),BS552)</f>
        <v/>
      </c>
      <c r="BT551" s="197">
        <f>IF(ISBLANK(BT552),AVERAGE($J$53:$J551),BT552)</f>
        <v/>
      </c>
      <c r="BU551" s="197">
        <f>IF(ISBLANK(BU552),AVERAGE($J$53:$J551)+STDEV($J$53:$J551),BU552)</f>
        <v/>
      </c>
      <c r="BV551" s="197">
        <f>IF(ISBLANK(BV552),AVERAGE($J$53:$J551)+STDEV($J$53:$J551)*2,BV552)</f>
        <v/>
      </c>
      <c r="BX551" s="198">
        <f>$G551</f>
        <v/>
      </c>
      <c r="BY551" s="197">
        <f>$K551</f>
        <v/>
      </c>
      <c r="BZ551" s="197">
        <f>IF(ISBLANK(BZ552),AVERAGE($K$53:$K551)-STDEV($K$53:$K551)*2,BZ552)</f>
        <v/>
      </c>
      <c r="CA551" s="197">
        <f>IF(ISBLANK(CA552),AVERAGE($K$53:$K551)-STDEV($K$53:$K551),CA552)</f>
        <v/>
      </c>
      <c r="CB551" s="197">
        <f>IF(ISBLANK(CB552),AVERAGE($K$53:$K551),CB552)</f>
        <v/>
      </c>
      <c r="CC551" s="197">
        <f>IF(ISBLANK(CC552),AVERAGE($K$53:$K551)+STDEV($K$53:$K551),CC552)</f>
        <v/>
      </c>
      <c r="CD551" s="197">
        <f>IF(ISBLANK(CD552),AVERAGE($K$53:$K551)+STDEV($K$53:$K551)*2,CD552)</f>
        <v/>
      </c>
      <c r="CF551" s="198">
        <f>$G551</f>
        <v/>
      </c>
      <c r="CG551" s="197">
        <f>$L551</f>
        <v/>
      </c>
      <c r="CH551" s="197">
        <f>IF(ISBLANK(CH552),AVERAGE($L$53:$L551)-STDEV($L$53:$L551)*2,CH552)</f>
        <v/>
      </c>
      <c r="CI551" s="197">
        <f>IF(ISBLANK(CI552),AVERAGE($L$53:$L551)-STDEV($L$53:$L551),CI552)</f>
        <v/>
      </c>
      <c r="CJ551" s="197">
        <f>IF(ISBLANK(CJ552),AVERAGE($L$53:$L551),CJ552)</f>
        <v/>
      </c>
      <c r="CK551" s="197">
        <f>IF(ISBLANK(CK552),AVERAGE($L$53:$L551)+STDEV($L$53:$L551),CK552)</f>
        <v/>
      </c>
      <c r="CL551" s="197">
        <f>IF(ISBLANK(CL552),AVERAGE($L$53:$L551)+STDEV($L$53:$L551)*2,CL552)</f>
        <v/>
      </c>
      <c r="CO551" s="372" t="n">
        <v>7.688805705903182</v>
      </c>
      <c r="CP551" s="372" t="n">
        <v>4.65</v>
      </c>
      <c r="CQ551" s="360" t="n"/>
      <c r="CR551" s="372" t="n">
        <v>6.08</v>
      </c>
      <c r="CS551" s="971" t="n">
        <v>0.79076</v>
      </c>
    </row>
    <row r="552">
      <c r="B552" s="204">
        <f>+C552-1</f>
        <v/>
      </c>
      <c r="C552" s="204">
        <f>IF('bands_A-H_Avg'!$D$9+1&gt;MONTH(G552),YEAR(G552),YEAR(G552)+1)</f>
        <v/>
      </c>
      <c r="D552" s="204">
        <f>+C552+1</f>
        <v/>
      </c>
      <c r="E552" s="203">
        <f>IF(C552&gt;C551,1,E551+1)</f>
        <v/>
      </c>
      <c r="F552" s="203">
        <f>COUNTIF(C:C,C552)</f>
        <v/>
      </c>
      <c r="G552" s="198">
        <f>+G551+7</f>
        <v/>
      </c>
      <c r="H552" s="361">
        <f>IF(ISBLANK(CO552),CP552,SUMPRODUCT(CO$32:CP$32,CO552:CP552))</f>
        <v/>
      </c>
      <c r="I552" s="968">
        <f>H552/M552</f>
        <v/>
      </c>
      <c r="J552" s="968">
        <f>H552/N552</f>
        <v/>
      </c>
      <c r="K552" s="968">
        <f>(H552+Q552)/O552</f>
        <v/>
      </c>
      <c r="L552" s="968">
        <f>(H552+Q552)/P552</f>
        <v/>
      </c>
      <c r="M552" s="199">
        <f>HLOOKUP(C:C,$4:$10,3,FALSE)+((HLOOKUP(D:D,$4:$10,3,FALSE)-HLOOKUP(C:C,$4:$10,3,FALSE))*E552/F552)</f>
        <v/>
      </c>
      <c r="N552" s="199">
        <f>HLOOKUP(C:C,$4:$10,2,FALSE)+((HLOOKUP(D:D,$4:$10,2,FALSE)-HLOOKUP(C:C,$4:$10,2,FALSE))*E552/F552)</f>
        <v/>
      </c>
      <c r="O552" s="199">
        <f>HLOOKUP(C:C,$4:$10,5,FALSE)+((HLOOKUP(D:D,$4:$10,5,FALSE)-HLOOKUP(C:C,$4:$10,5,FALSE))*E552/F552)</f>
        <v/>
      </c>
      <c r="P552" s="199">
        <f>HLOOKUP(C:C,$4:$10,4,FALSE)+((HLOOKUP(D:D,$4:$10,4,FALSE)-HLOOKUP(C:C,$4:$10,4,FALSE))*E552/F552)</f>
        <v/>
      </c>
      <c r="Q552" s="199">
        <f>HLOOKUP(B:B,$4:$10,6,FALSE)+((HLOOKUP(C:C,$4:$10,6,FALSE)-HLOOKUP(B:B,$4:$10,6,FALSE))*E552/F552)</f>
        <v/>
      </c>
      <c r="T552" s="198">
        <f>$G552</f>
        <v/>
      </c>
      <c r="U552" s="199">
        <f>H552/(HLOOKUP(B:B,$4:$10,3,FALSE)+((HLOOKUP(C:C,$4:$10,3,FALSE)-HLOOKUP(B:B,$4:$10,3,FALSE))*E552/F552))</f>
        <v/>
      </c>
      <c r="V552" s="969">
        <f>HLOOKUP(B:B,$4:$10,7,FALSE)+((HLOOKUP(C:C,$4:$10,7,FALSE)-HLOOKUP(B:B,$4:$10,7,FALSE))*E552/F552)</f>
        <v/>
      </c>
      <c r="AB552" s="198">
        <f>$G552</f>
        <v/>
      </c>
      <c r="AC552" s="199">
        <f>$H552</f>
        <v/>
      </c>
      <c r="AD552" s="199">
        <f>$M552*AD$34</f>
        <v/>
      </c>
      <c r="AE552" s="199">
        <f>$M552*AE$34</f>
        <v/>
      </c>
      <c r="AF552" s="199">
        <f>$M552*AF$34</f>
        <v/>
      </c>
      <c r="AG552" s="199">
        <f>$M552*AG$34</f>
        <v/>
      </c>
      <c r="AH552" s="199">
        <f>$M552*AH$34</f>
        <v/>
      </c>
      <c r="AJ552" s="198">
        <f>$G552</f>
        <v/>
      </c>
      <c r="AK552" s="199">
        <f>$H552</f>
        <v/>
      </c>
      <c r="AL552" s="199">
        <f>$N552*AL$34</f>
        <v/>
      </c>
      <c r="AM552" s="199">
        <f>$N552*AM$34</f>
        <v/>
      </c>
      <c r="AN552" s="199">
        <f>$N552*AN$34</f>
        <v/>
      </c>
      <c r="AO552" s="199">
        <f>$N552*AO$34</f>
        <v/>
      </c>
      <c r="AP552" s="199">
        <f>$N552*AP$34</f>
        <v/>
      </c>
      <c r="AR552" s="198">
        <f>$G552</f>
        <v/>
      </c>
      <c r="AS552" s="199">
        <f>$H552</f>
        <v/>
      </c>
      <c r="AT552" s="199">
        <f>$O552*AT$34-$Q552</f>
        <v/>
      </c>
      <c r="AU552" s="199">
        <f>$O552*AU$34-$Q552</f>
        <v/>
      </c>
      <c r="AV552" s="199">
        <f>$O552*AV$34-$Q552</f>
        <v/>
      </c>
      <c r="AW552" s="199">
        <f>$O552*AW$34-$Q552</f>
        <v/>
      </c>
      <c r="AX552" s="199">
        <f>$O552*AX$34-$Q552</f>
        <v/>
      </c>
      <c r="AZ552" s="198">
        <f>$G552</f>
        <v/>
      </c>
      <c r="BA552" s="199">
        <f>$H552</f>
        <v/>
      </c>
      <c r="BB552" s="199">
        <f>$P552*BB$34-$Q552</f>
        <v/>
      </c>
      <c r="BC552" s="199">
        <f>$P552*BC$34-$Q552</f>
        <v/>
      </c>
      <c r="BD552" s="199">
        <f>$P552*BD$34-$Q552</f>
        <v/>
      </c>
      <c r="BE552" s="199">
        <f>$P552*BE$34-$Q552</f>
        <v/>
      </c>
      <c r="BF552" s="199">
        <f>$P552*BF$34-$Q552</f>
        <v/>
      </c>
      <c r="BH552" s="198">
        <f>$G552</f>
        <v/>
      </c>
      <c r="BI552" s="197">
        <f>$I552</f>
        <v/>
      </c>
      <c r="BJ552" s="197">
        <f>IF(ISBLANK(BJ553),AVERAGE($I$53:$I552)-STDEV($I$53:$I552)*2,BJ553)</f>
        <v/>
      </c>
      <c r="BK552" s="197">
        <f>IF(ISBLANK(BK553),AVERAGE($I$53:$I552)-STDEV($I$53:$I552),BK553)</f>
        <v/>
      </c>
      <c r="BL552" s="197">
        <f>IF(ISBLANK(BL553),AVERAGE($I$53:$I552),BL553)</f>
        <v/>
      </c>
      <c r="BM552" s="197">
        <f>IF(ISBLANK(BM553),AVERAGE($I$53:$I552)+STDEV($I$53:$I552),BM553)</f>
        <v/>
      </c>
      <c r="BN552" s="197">
        <f>IF(ISBLANK(BN553),AVERAGE($I$53:$I552)+STDEV($I$53:$I552)*2,BN553)</f>
        <v/>
      </c>
      <c r="BP552" s="198">
        <f>$G552</f>
        <v/>
      </c>
      <c r="BQ552" s="197">
        <f>$J552</f>
        <v/>
      </c>
      <c r="BR552" s="197">
        <f>IF(ISBLANK(BR553),AVERAGE($J$53:$J552)-STDEV($J$53:$J552)*2,BR553)</f>
        <v/>
      </c>
      <c r="BS552" s="197">
        <f>IF(ISBLANK(BS553),AVERAGE($J$53:$J552)-STDEV($J$53:$J552),BS553)</f>
        <v/>
      </c>
      <c r="BT552" s="197">
        <f>IF(ISBLANK(BT553),AVERAGE($J$53:$J552),BT553)</f>
        <v/>
      </c>
      <c r="BU552" s="197">
        <f>IF(ISBLANK(BU553),AVERAGE($J$53:$J552)+STDEV($J$53:$J552),BU553)</f>
        <v/>
      </c>
      <c r="BV552" s="197">
        <f>IF(ISBLANK(BV553),AVERAGE($J$53:$J552)+STDEV($J$53:$J552)*2,BV553)</f>
        <v/>
      </c>
      <c r="BX552" s="198">
        <f>$G552</f>
        <v/>
      </c>
      <c r="BY552" s="197">
        <f>$K552</f>
        <v/>
      </c>
      <c r="BZ552" s="197">
        <f>IF(ISBLANK(BZ553),AVERAGE($K$53:$K552)-STDEV($K$53:$K552)*2,BZ553)</f>
        <v/>
      </c>
      <c r="CA552" s="197">
        <f>IF(ISBLANK(CA553),AVERAGE($K$53:$K552)-STDEV($K$53:$K552),CA553)</f>
        <v/>
      </c>
      <c r="CB552" s="197">
        <f>IF(ISBLANK(CB553),AVERAGE($K$53:$K552),CB553)</f>
        <v/>
      </c>
      <c r="CC552" s="197">
        <f>IF(ISBLANK(CC553),AVERAGE($K$53:$K552)+STDEV($K$53:$K552),CC553)</f>
        <v/>
      </c>
      <c r="CD552" s="197">
        <f>IF(ISBLANK(CD553),AVERAGE($K$53:$K552)+STDEV($K$53:$K552)*2,CD553)</f>
        <v/>
      </c>
      <c r="CF552" s="198">
        <f>$G552</f>
        <v/>
      </c>
      <c r="CG552" s="197">
        <f>$L552</f>
        <v/>
      </c>
      <c r="CH552" s="197">
        <f>IF(ISBLANK(CH553),AVERAGE($L$53:$L552)-STDEV($L$53:$L552)*2,CH553)</f>
        <v/>
      </c>
      <c r="CI552" s="197">
        <f>IF(ISBLANK(CI553),AVERAGE($L$53:$L552)-STDEV($L$53:$L552),CI553)</f>
        <v/>
      </c>
      <c r="CJ552" s="197">
        <f>IF(ISBLANK(CJ553),AVERAGE($L$53:$L552),CJ553)</f>
        <v/>
      </c>
      <c r="CK552" s="197">
        <f>IF(ISBLANK(CK553),AVERAGE($L$53:$L552)+STDEV($L$53:$L552),CK553)</f>
        <v/>
      </c>
      <c r="CL552" s="197">
        <f>IF(ISBLANK(CL553),AVERAGE($L$53:$L552)+STDEV($L$53:$L552)*2,CL553)</f>
        <v/>
      </c>
      <c r="CO552" s="372" t="n">
        <v>7.818241719252895</v>
      </c>
      <c r="CP552" s="372" t="n">
        <v>4.36</v>
      </c>
      <c r="CQ552" s="360" t="n"/>
      <c r="CR552" s="372" t="n">
        <v>6.17</v>
      </c>
      <c r="CS552" s="971" t="n">
        <v>0.78918</v>
      </c>
    </row>
    <row r="553">
      <c r="B553" s="204">
        <f>+C553-1</f>
        <v/>
      </c>
      <c r="C553" s="204">
        <f>IF('bands_A-H_Avg'!$D$9+1&gt;MONTH(G553),YEAR(G553),YEAR(G553)+1)</f>
        <v/>
      </c>
      <c r="D553" s="204">
        <f>+C553+1</f>
        <v/>
      </c>
      <c r="E553" s="203">
        <f>IF(C553&gt;C552,1,E552+1)</f>
        <v/>
      </c>
      <c r="F553" s="203">
        <f>COUNTIF(C:C,C553)</f>
        <v/>
      </c>
      <c r="G553" s="198">
        <f>+G552+7</f>
        <v/>
      </c>
      <c r="H553" s="361">
        <f>IF(ISBLANK(CO553),CP553,SUMPRODUCT(CO$32:CP$32,CO553:CP553))</f>
        <v/>
      </c>
      <c r="I553" s="968">
        <f>H553/M553</f>
        <v/>
      </c>
      <c r="J553" s="968">
        <f>H553/N553</f>
        <v/>
      </c>
      <c r="K553" s="968">
        <f>(H553+Q553)/O553</f>
        <v/>
      </c>
      <c r="L553" s="968">
        <f>(H553+Q553)/P553</f>
        <v/>
      </c>
      <c r="M553" s="199">
        <f>HLOOKUP(C:C,$4:$10,3,FALSE)+((HLOOKUP(D:D,$4:$10,3,FALSE)-HLOOKUP(C:C,$4:$10,3,FALSE))*E553/F553)</f>
        <v/>
      </c>
      <c r="N553" s="199">
        <f>HLOOKUP(C:C,$4:$10,2,FALSE)+((HLOOKUP(D:D,$4:$10,2,FALSE)-HLOOKUP(C:C,$4:$10,2,FALSE))*E553/F553)</f>
        <v/>
      </c>
      <c r="O553" s="199">
        <f>HLOOKUP(C:C,$4:$10,5,FALSE)+((HLOOKUP(D:D,$4:$10,5,FALSE)-HLOOKUP(C:C,$4:$10,5,FALSE))*E553/F553)</f>
        <v/>
      </c>
      <c r="P553" s="199">
        <f>HLOOKUP(C:C,$4:$10,4,FALSE)+((HLOOKUP(D:D,$4:$10,4,FALSE)-HLOOKUP(C:C,$4:$10,4,FALSE))*E553/F553)</f>
        <v/>
      </c>
      <c r="Q553" s="199">
        <f>HLOOKUP(B:B,$4:$10,6,FALSE)+((HLOOKUP(C:C,$4:$10,6,FALSE)-HLOOKUP(B:B,$4:$10,6,FALSE))*E553/F553)</f>
        <v/>
      </c>
      <c r="T553" s="198">
        <f>$G553</f>
        <v/>
      </c>
      <c r="U553" s="199">
        <f>H553/(HLOOKUP(B:B,$4:$10,3,FALSE)+((HLOOKUP(C:C,$4:$10,3,FALSE)-HLOOKUP(B:B,$4:$10,3,FALSE))*E553/F553))</f>
        <v/>
      </c>
      <c r="V553" s="969">
        <f>HLOOKUP(B:B,$4:$10,7,FALSE)+((HLOOKUP(C:C,$4:$10,7,FALSE)-HLOOKUP(B:B,$4:$10,7,FALSE))*E553/F553)</f>
        <v/>
      </c>
      <c r="AB553" s="198">
        <f>$G553</f>
        <v/>
      </c>
      <c r="AC553" s="199">
        <f>$H553</f>
        <v/>
      </c>
      <c r="AD553" s="199">
        <f>$M553*AD$34</f>
        <v/>
      </c>
      <c r="AE553" s="199">
        <f>$M553*AE$34</f>
        <v/>
      </c>
      <c r="AF553" s="199">
        <f>$M553*AF$34</f>
        <v/>
      </c>
      <c r="AG553" s="199">
        <f>$M553*AG$34</f>
        <v/>
      </c>
      <c r="AH553" s="199">
        <f>$M553*AH$34</f>
        <v/>
      </c>
      <c r="AJ553" s="198">
        <f>$G553</f>
        <v/>
      </c>
      <c r="AK553" s="199">
        <f>$H553</f>
        <v/>
      </c>
      <c r="AL553" s="199">
        <f>$N553*AL$34</f>
        <v/>
      </c>
      <c r="AM553" s="199">
        <f>$N553*AM$34</f>
        <v/>
      </c>
      <c r="AN553" s="199">
        <f>$N553*AN$34</f>
        <v/>
      </c>
      <c r="AO553" s="199">
        <f>$N553*AO$34</f>
        <v/>
      </c>
      <c r="AP553" s="199">
        <f>$N553*AP$34</f>
        <v/>
      </c>
      <c r="AR553" s="198">
        <f>$G553</f>
        <v/>
      </c>
      <c r="AS553" s="199">
        <f>$H553</f>
        <v/>
      </c>
      <c r="AT553" s="199">
        <f>$O553*AT$34-$Q553</f>
        <v/>
      </c>
      <c r="AU553" s="199">
        <f>$O553*AU$34-$Q553</f>
        <v/>
      </c>
      <c r="AV553" s="199">
        <f>$O553*AV$34-$Q553</f>
        <v/>
      </c>
      <c r="AW553" s="199">
        <f>$O553*AW$34-$Q553</f>
        <v/>
      </c>
      <c r="AX553" s="199">
        <f>$O553*AX$34-$Q553</f>
        <v/>
      </c>
      <c r="AZ553" s="198">
        <f>$G553</f>
        <v/>
      </c>
      <c r="BA553" s="199">
        <f>$H553</f>
        <v/>
      </c>
      <c r="BB553" s="199">
        <f>$P553*BB$34-$Q553</f>
        <v/>
      </c>
      <c r="BC553" s="199">
        <f>$P553*BC$34-$Q553</f>
        <v/>
      </c>
      <c r="BD553" s="199">
        <f>$P553*BD$34-$Q553</f>
        <v/>
      </c>
      <c r="BE553" s="199">
        <f>$P553*BE$34-$Q553</f>
        <v/>
      </c>
      <c r="BF553" s="199">
        <f>$P553*BF$34-$Q553</f>
        <v/>
      </c>
      <c r="BH553" s="198">
        <f>$G553</f>
        <v/>
      </c>
      <c r="BI553" s="197">
        <f>$I553</f>
        <v/>
      </c>
      <c r="BJ553" s="197">
        <f>IF(ISBLANK(BJ554),AVERAGE($I$53:$I553)-STDEV($I$53:$I553)*2,BJ554)</f>
        <v/>
      </c>
      <c r="BK553" s="197">
        <f>IF(ISBLANK(BK554),AVERAGE($I$53:$I553)-STDEV($I$53:$I553),BK554)</f>
        <v/>
      </c>
      <c r="BL553" s="197">
        <f>IF(ISBLANK(BL554),AVERAGE($I$53:$I553),BL554)</f>
        <v/>
      </c>
      <c r="BM553" s="197">
        <f>IF(ISBLANK(BM554),AVERAGE($I$53:$I553)+STDEV($I$53:$I553),BM554)</f>
        <v/>
      </c>
      <c r="BN553" s="197">
        <f>IF(ISBLANK(BN554),AVERAGE($I$53:$I553)+STDEV($I$53:$I553)*2,BN554)</f>
        <v/>
      </c>
      <c r="BP553" s="198">
        <f>$G553</f>
        <v/>
      </c>
      <c r="BQ553" s="197">
        <f>$J553</f>
        <v/>
      </c>
      <c r="BR553" s="197">
        <f>IF(ISBLANK(BR554),AVERAGE($J$53:$J553)-STDEV($J$53:$J553)*2,BR554)</f>
        <v/>
      </c>
      <c r="BS553" s="197">
        <f>IF(ISBLANK(BS554),AVERAGE($J$53:$J553)-STDEV($J$53:$J553),BS554)</f>
        <v/>
      </c>
      <c r="BT553" s="197">
        <f>IF(ISBLANK(BT554),AVERAGE($J$53:$J553),BT554)</f>
        <v/>
      </c>
      <c r="BU553" s="197">
        <f>IF(ISBLANK(BU554),AVERAGE($J$53:$J553)+STDEV($J$53:$J553),BU554)</f>
        <v/>
      </c>
      <c r="BV553" s="197">
        <f>IF(ISBLANK(BV554),AVERAGE($J$53:$J553)+STDEV($J$53:$J553)*2,BV554)</f>
        <v/>
      </c>
      <c r="BX553" s="198">
        <f>$G553</f>
        <v/>
      </c>
      <c r="BY553" s="197">
        <f>$K553</f>
        <v/>
      </c>
      <c r="BZ553" s="197">
        <f>IF(ISBLANK(BZ554),AVERAGE($K$53:$K553)-STDEV($K$53:$K553)*2,BZ554)</f>
        <v/>
      </c>
      <c r="CA553" s="197">
        <f>IF(ISBLANK(CA554),AVERAGE($K$53:$K553)-STDEV($K$53:$K553),CA554)</f>
        <v/>
      </c>
      <c r="CB553" s="197">
        <f>IF(ISBLANK(CB554),AVERAGE($K$53:$K553),CB554)</f>
        <v/>
      </c>
      <c r="CC553" s="197">
        <f>IF(ISBLANK(CC554),AVERAGE($K$53:$K553)+STDEV($K$53:$K553),CC554)</f>
        <v/>
      </c>
      <c r="CD553" s="197">
        <f>IF(ISBLANK(CD554),AVERAGE($K$53:$K553)+STDEV($K$53:$K553)*2,CD554)</f>
        <v/>
      </c>
      <c r="CF553" s="198">
        <f>$G553</f>
        <v/>
      </c>
      <c r="CG553" s="197">
        <f>$L553</f>
        <v/>
      </c>
      <c r="CH553" s="197">
        <f>IF(ISBLANK(CH554),AVERAGE($L$53:$L553)-STDEV($L$53:$L553)*2,CH554)</f>
        <v/>
      </c>
      <c r="CI553" s="197">
        <f>IF(ISBLANK(CI554),AVERAGE($L$53:$L553)-STDEV($L$53:$L553),CI554)</f>
        <v/>
      </c>
      <c r="CJ553" s="197">
        <f>IF(ISBLANK(CJ554),AVERAGE($L$53:$L553),CJ554)</f>
        <v/>
      </c>
      <c r="CK553" s="197">
        <f>IF(ISBLANK(CK554),AVERAGE($L$53:$L553)+STDEV($L$53:$L553),CK554)</f>
        <v/>
      </c>
      <c r="CL553" s="197">
        <f>IF(ISBLANK(CL554),AVERAGE($L$53:$L553)+STDEV($L$53:$L553)*2,CL554)</f>
        <v/>
      </c>
      <c r="CO553" s="372" t="n">
        <v>8.003433649767723</v>
      </c>
      <c r="CP553" s="372" t="n">
        <v>4.65</v>
      </c>
      <c r="CQ553" s="360" t="n"/>
      <c r="CR553" s="372" t="n">
        <v>6.34</v>
      </c>
      <c r="CS553" s="971" t="n">
        <v>0.79216</v>
      </c>
    </row>
    <row r="554">
      <c r="B554" s="204">
        <f>+C554-1</f>
        <v/>
      </c>
      <c r="C554" s="204">
        <f>IF('bands_A-H_Avg'!$D$9+1&gt;MONTH(G554),YEAR(G554),YEAR(G554)+1)</f>
        <v/>
      </c>
      <c r="D554" s="204">
        <f>+C554+1</f>
        <v/>
      </c>
      <c r="E554" s="203">
        <f>IF(C554&gt;C553,1,E553+1)</f>
        <v/>
      </c>
      <c r="F554" s="203">
        <f>COUNTIF(C:C,C554)</f>
        <v/>
      </c>
      <c r="G554" s="198">
        <f>+G553+7</f>
        <v/>
      </c>
      <c r="H554" s="361">
        <f>IF(ISBLANK(CO554),CP554,SUMPRODUCT(CO$32:CP$32,CO554:CP554))</f>
        <v/>
      </c>
      <c r="I554" s="968">
        <f>H554/M554</f>
        <v/>
      </c>
      <c r="J554" s="968">
        <f>H554/N554</f>
        <v/>
      </c>
      <c r="K554" s="968">
        <f>(H554+Q554)/O554</f>
        <v/>
      </c>
      <c r="L554" s="968">
        <f>(H554+Q554)/P554</f>
        <v/>
      </c>
      <c r="M554" s="199">
        <f>HLOOKUP(C:C,$4:$10,3,FALSE)+((HLOOKUP(D:D,$4:$10,3,FALSE)-HLOOKUP(C:C,$4:$10,3,FALSE))*E554/F554)</f>
        <v/>
      </c>
      <c r="N554" s="199">
        <f>HLOOKUP(C:C,$4:$10,2,FALSE)+((HLOOKUP(D:D,$4:$10,2,FALSE)-HLOOKUP(C:C,$4:$10,2,FALSE))*E554/F554)</f>
        <v/>
      </c>
      <c r="O554" s="199">
        <f>HLOOKUP(C:C,$4:$10,5,FALSE)+((HLOOKUP(D:D,$4:$10,5,FALSE)-HLOOKUP(C:C,$4:$10,5,FALSE))*E554/F554)</f>
        <v/>
      </c>
      <c r="P554" s="199">
        <f>HLOOKUP(C:C,$4:$10,4,FALSE)+((HLOOKUP(D:D,$4:$10,4,FALSE)-HLOOKUP(C:C,$4:$10,4,FALSE))*E554/F554)</f>
        <v/>
      </c>
      <c r="Q554" s="199">
        <f>HLOOKUP(B:B,$4:$10,6,FALSE)+((HLOOKUP(C:C,$4:$10,6,FALSE)-HLOOKUP(B:B,$4:$10,6,FALSE))*E554/F554)</f>
        <v/>
      </c>
      <c r="T554" s="198">
        <f>$G554</f>
        <v/>
      </c>
      <c r="U554" s="199">
        <f>H554/(HLOOKUP(B:B,$4:$10,3,FALSE)+((HLOOKUP(C:C,$4:$10,3,FALSE)-HLOOKUP(B:B,$4:$10,3,FALSE))*E554/F554))</f>
        <v/>
      </c>
      <c r="V554" s="969">
        <f>HLOOKUP(B:B,$4:$10,7,FALSE)+((HLOOKUP(C:C,$4:$10,7,FALSE)-HLOOKUP(B:B,$4:$10,7,FALSE))*E554/F554)</f>
        <v/>
      </c>
      <c r="AB554" s="198">
        <f>$G554</f>
        <v/>
      </c>
      <c r="AC554" s="199">
        <f>$H554</f>
        <v/>
      </c>
      <c r="AD554" s="199">
        <f>$M554*AD$34</f>
        <v/>
      </c>
      <c r="AE554" s="199">
        <f>$M554*AE$34</f>
        <v/>
      </c>
      <c r="AF554" s="199">
        <f>$M554*AF$34</f>
        <v/>
      </c>
      <c r="AG554" s="199">
        <f>$M554*AG$34</f>
        <v/>
      </c>
      <c r="AH554" s="199">
        <f>$M554*AH$34</f>
        <v/>
      </c>
      <c r="AJ554" s="198">
        <f>$G554</f>
        <v/>
      </c>
      <c r="AK554" s="199">
        <f>$H554</f>
        <v/>
      </c>
      <c r="AL554" s="199">
        <f>$N554*AL$34</f>
        <v/>
      </c>
      <c r="AM554" s="199">
        <f>$N554*AM$34</f>
        <v/>
      </c>
      <c r="AN554" s="199">
        <f>$N554*AN$34</f>
        <v/>
      </c>
      <c r="AO554" s="199">
        <f>$N554*AO$34</f>
        <v/>
      </c>
      <c r="AP554" s="199">
        <f>$N554*AP$34</f>
        <v/>
      </c>
      <c r="AR554" s="198">
        <f>$G554</f>
        <v/>
      </c>
      <c r="AS554" s="199">
        <f>$H554</f>
        <v/>
      </c>
      <c r="AT554" s="199">
        <f>$O554*AT$34-$Q554</f>
        <v/>
      </c>
      <c r="AU554" s="199">
        <f>$O554*AU$34-$Q554</f>
        <v/>
      </c>
      <c r="AV554" s="199">
        <f>$O554*AV$34-$Q554</f>
        <v/>
      </c>
      <c r="AW554" s="199">
        <f>$O554*AW$34-$Q554</f>
        <v/>
      </c>
      <c r="AX554" s="199">
        <f>$O554*AX$34-$Q554</f>
        <v/>
      </c>
      <c r="AZ554" s="198">
        <f>$G554</f>
        <v/>
      </c>
      <c r="BA554" s="199">
        <f>$H554</f>
        <v/>
      </c>
      <c r="BB554" s="199">
        <f>$P554*BB$34-$Q554</f>
        <v/>
      </c>
      <c r="BC554" s="199">
        <f>$P554*BC$34-$Q554</f>
        <v/>
      </c>
      <c r="BD554" s="199">
        <f>$P554*BD$34-$Q554</f>
        <v/>
      </c>
      <c r="BE554" s="199">
        <f>$P554*BE$34-$Q554</f>
        <v/>
      </c>
      <c r="BF554" s="199">
        <f>$P554*BF$34-$Q554</f>
        <v/>
      </c>
      <c r="BH554" s="198">
        <f>$G554</f>
        <v/>
      </c>
      <c r="BI554" s="197">
        <f>$I554</f>
        <v/>
      </c>
      <c r="BJ554" s="197">
        <f>IF(ISBLANK(BJ555),AVERAGE($I$53:$I554)-STDEV($I$53:$I554)*2,BJ555)</f>
        <v/>
      </c>
      <c r="BK554" s="197">
        <f>IF(ISBLANK(BK555),AVERAGE($I$53:$I554)-STDEV($I$53:$I554),BK555)</f>
        <v/>
      </c>
      <c r="BL554" s="197">
        <f>IF(ISBLANK(BL555),AVERAGE($I$53:$I554),BL555)</f>
        <v/>
      </c>
      <c r="BM554" s="197">
        <f>IF(ISBLANK(BM555),AVERAGE($I$53:$I554)+STDEV($I$53:$I554),BM555)</f>
        <v/>
      </c>
      <c r="BN554" s="197">
        <f>IF(ISBLANK(BN555),AVERAGE($I$53:$I554)+STDEV($I$53:$I554)*2,BN555)</f>
        <v/>
      </c>
      <c r="BP554" s="198">
        <f>$G554</f>
        <v/>
      </c>
      <c r="BQ554" s="197">
        <f>$J554</f>
        <v/>
      </c>
      <c r="BR554" s="197">
        <f>IF(ISBLANK(BR555),AVERAGE($J$53:$J554)-STDEV($J$53:$J554)*2,BR555)</f>
        <v/>
      </c>
      <c r="BS554" s="197">
        <f>IF(ISBLANK(BS555),AVERAGE($J$53:$J554)-STDEV($J$53:$J554),BS555)</f>
        <v/>
      </c>
      <c r="BT554" s="197">
        <f>IF(ISBLANK(BT555),AVERAGE($J$53:$J554),BT555)</f>
        <v/>
      </c>
      <c r="BU554" s="197">
        <f>IF(ISBLANK(BU555),AVERAGE($J$53:$J554)+STDEV($J$53:$J554),BU555)</f>
        <v/>
      </c>
      <c r="BV554" s="197">
        <f>IF(ISBLANK(BV555),AVERAGE($J$53:$J554)+STDEV($J$53:$J554)*2,BV555)</f>
        <v/>
      </c>
      <c r="BX554" s="198">
        <f>$G554</f>
        <v/>
      </c>
      <c r="BY554" s="197">
        <f>$K554</f>
        <v/>
      </c>
      <c r="BZ554" s="197">
        <f>IF(ISBLANK(BZ555),AVERAGE($K$53:$K554)-STDEV($K$53:$K554)*2,BZ555)</f>
        <v/>
      </c>
      <c r="CA554" s="197">
        <f>IF(ISBLANK(CA555),AVERAGE($K$53:$K554)-STDEV($K$53:$K554),CA555)</f>
        <v/>
      </c>
      <c r="CB554" s="197">
        <f>IF(ISBLANK(CB555),AVERAGE($K$53:$K554),CB555)</f>
        <v/>
      </c>
      <c r="CC554" s="197">
        <f>IF(ISBLANK(CC555),AVERAGE($K$53:$K554)+STDEV($K$53:$K554),CC555)</f>
        <v/>
      </c>
      <c r="CD554" s="197">
        <f>IF(ISBLANK(CD555),AVERAGE($K$53:$K554)+STDEV($K$53:$K554)*2,CD555)</f>
        <v/>
      </c>
      <c r="CF554" s="198">
        <f>$G554</f>
        <v/>
      </c>
      <c r="CG554" s="197">
        <f>$L554</f>
        <v/>
      </c>
      <c r="CH554" s="197">
        <f>IF(ISBLANK(CH555),AVERAGE($L$53:$L554)-STDEV($L$53:$L554)*2,CH555)</f>
        <v/>
      </c>
      <c r="CI554" s="197">
        <f>IF(ISBLANK(CI555),AVERAGE($L$53:$L554)-STDEV($L$53:$L554),CI555)</f>
        <v/>
      </c>
      <c r="CJ554" s="197">
        <f>IF(ISBLANK(CJ555),AVERAGE($L$53:$L554),CJ555)</f>
        <v/>
      </c>
      <c r="CK554" s="197">
        <f>IF(ISBLANK(CK555),AVERAGE($L$53:$L554)+STDEV($L$53:$L554),CK555)</f>
        <v/>
      </c>
      <c r="CL554" s="197">
        <f>IF(ISBLANK(CL555),AVERAGE($L$53:$L554)+STDEV($L$53:$L554)*2,CL555)</f>
        <v/>
      </c>
      <c r="CO554" s="372" t="n">
        <v>8.784090336240359</v>
      </c>
      <c r="CP554" s="372" t="n">
        <v>4.42</v>
      </c>
      <c r="CQ554" s="360" t="n"/>
      <c r="CR554" s="372" t="n">
        <v>6.97</v>
      </c>
      <c r="CS554" s="971" t="n">
        <v>0.79348</v>
      </c>
    </row>
    <row r="555">
      <c r="B555" s="204">
        <f>+C555-1</f>
        <v/>
      </c>
      <c r="C555" s="204">
        <f>IF('bands_A-H_Avg'!$D$9+1&gt;MONTH(G555),YEAR(G555),YEAR(G555)+1)</f>
        <v/>
      </c>
      <c r="D555" s="204">
        <f>+C555+1</f>
        <v/>
      </c>
      <c r="E555" s="203">
        <f>IF(C555&gt;C554,1,E554+1)</f>
        <v/>
      </c>
      <c r="F555" s="203">
        <f>COUNTIF(C:C,C555)</f>
        <v/>
      </c>
      <c r="G555" s="198">
        <f>+G554+7</f>
        <v/>
      </c>
      <c r="H555" s="361">
        <f>IF(ISBLANK(CO555),CP555,SUMPRODUCT(CO$32:CP$32,CO555:CP555))</f>
        <v/>
      </c>
      <c r="I555" s="968">
        <f>H555/M555</f>
        <v/>
      </c>
      <c r="J555" s="968">
        <f>H555/N555</f>
        <v/>
      </c>
      <c r="K555" s="968">
        <f>(H555+Q555)/O555</f>
        <v/>
      </c>
      <c r="L555" s="968">
        <f>(H555+Q555)/P555</f>
        <v/>
      </c>
      <c r="M555" s="199">
        <f>HLOOKUP(C:C,$4:$10,3,FALSE)+((HLOOKUP(D:D,$4:$10,3,FALSE)-HLOOKUP(C:C,$4:$10,3,FALSE))*E555/F555)</f>
        <v/>
      </c>
      <c r="N555" s="199">
        <f>HLOOKUP(C:C,$4:$10,2,FALSE)+((HLOOKUP(D:D,$4:$10,2,FALSE)-HLOOKUP(C:C,$4:$10,2,FALSE))*E555/F555)</f>
        <v/>
      </c>
      <c r="O555" s="199">
        <f>HLOOKUP(C:C,$4:$10,5,FALSE)+((HLOOKUP(D:D,$4:$10,5,FALSE)-HLOOKUP(C:C,$4:$10,5,FALSE))*E555/F555)</f>
        <v/>
      </c>
      <c r="P555" s="199">
        <f>HLOOKUP(C:C,$4:$10,4,FALSE)+((HLOOKUP(D:D,$4:$10,4,FALSE)-HLOOKUP(C:C,$4:$10,4,FALSE))*E555/F555)</f>
        <v/>
      </c>
      <c r="Q555" s="199">
        <f>HLOOKUP(B:B,$4:$10,6,FALSE)+((HLOOKUP(C:C,$4:$10,6,FALSE)-HLOOKUP(B:B,$4:$10,6,FALSE))*E555/F555)</f>
        <v/>
      </c>
      <c r="T555" s="198">
        <f>$G555</f>
        <v/>
      </c>
      <c r="U555" s="199">
        <f>H555/(HLOOKUP(B:B,$4:$10,3,FALSE)+((HLOOKUP(C:C,$4:$10,3,FALSE)-HLOOKUP(B:B,$4:$10,3,FALSE))*E555/F555))</f>
        <v/>
      </c>
      <c r="V555" s="969">
        <f>HLOOKUP(B:B,$4:$10,7,FALSE)+((HLOOKUP(C:C,$4:$10,7,FALSE)-HLOOKUP(B:B,$4:$10,7,FALSE))*E555/F555)</f>
        <v/>
      </c>
      <c r="AB555" s="198">
        <f>$G555</f>
        <v/>
      </c>
      <c r="AC555" s="199">
        <f>$H555</f>
        <v/>
      </c>
      <c r="AD555" s="199">
        <f>$M555*AD$34</f>
        <v/>
      </c>
      <c r="AE555" s="199">
        <f>$M555*AE$34</f>
        <v/>
      </c>
      <c r="AF555" s="199">
        <f>$M555*AF$34</f>
        <v/>
      </c>
      <c r="AG555" s="199">
        <f>$M555*AG$34</f>
        <v/>
      </c>
      <c r="AH555" s="199">
        <f>$M555*AH$34</f>
        <v/>
      </c>
      <c r="AJ555" s="198">
        <f>$G555</f>
        <v/>
      </c>
      <c r="AK555" s="199">
        <f>$H555</f>
        <v/>
      </c>
      <c r="AL555" s="199">
        <f>$N555*AL$34</f>
        <v/>
      </c>
      <c r="AM555" s="199">
        <f>$N555*AM$34</f>
        <v/>
      </c>
      <c r="AN555" s="199">
        <f>$N555*AN$34</f>
        <v/>
      </c>
      <c r="AO555" s="199">
        <f>$N555*AO$34</f>
        <v/>
      </c>
      <c r="AP555" s="199">
        <f>$N555*AP$34</f>
        <v/>
      </c>
      <c r="AR555" s="198">
        <f>$G555</f>
        <v/>
      </c>
      <c r="AS555" s="199">
        <f>$H555</f>
        <v/>
      </c>
      <c r="AT555" s="199">
        <f>$O555*AT$34-$Q555</f>
        <v/>
      </c>
      <c r="AU555" s="199">
        <f>$O555*AU$34-$Q555</f>
        <v/>
      </c>
      <c r="AV555" s="199">
        <f>$O555*AV$34-$Q555</f>
        <v/>
      </c>
      <c r="AW555" s="199">
        <f>$O555*AW$34-$Q555</f>
        <v/>
      </c>
      <c r="AX555" s="199">
        <f>$O555*AX$34-$Q555</f>
        <v/>
      </c>
      <c r="AZ555" s="198">
        <f>$G555</f>
        <v/>
      </c>
      <c r="BA555" s="199">
        <f>$H555</f>
        <v/>
      </c>
      <c r="BB555" s="199">
        <f>$P555*BB$34-$Q555</f>
        <v/>
      </c>
      <c r="BC555" s="199">
        <f>$P555*BC$34-$Q555</f>
        <v/>
      </c>
      <c r="BD555" s="199">
        <f>$P555*BD$34-$Q555</f>
        <v/>
      </c>
      <c r="BE555" s="199">
        <f>$P555*BE$34-$Q555</f>
        <v/>
      </c>
      <c r="BF555" s="199">
        <f>$P555*BF$34-$Q555</f>
        <v/>
      </c>
      <c r="BH555" s="198">
        <f>$G555</f>
        <v/>
      </c>
      <c r="BI555" s="197">
        <f>$I555</f>
        <v/>
      </c>
      <c r="BJ555" s="197">
        <f>IF(ISBLANK(BJ556),AVERAGE($I$53:$I555)-STDEV($I$53:$I555)*2,BJ556)</f>
        <v/>
      </c>
      <c r="BK555" s="197">
        <f>IF(ISBLANK(BK556),AVERAGE($I$53:$I555)-STDEV($I$53:$I555),BK556)</f>
        <v/>
      </c>
      <c r="BL555" s="197">
        <f>IF(ISBLANK(BL556),AVERAGE($I$53:$I555),BL556)</f>
        <v/>
      </c>
      <c r="BM555" s="197">
        <f>IF(ISBLANK(BM556),AVERAGE($I$53:$I555)+STDEV($I$53:$I555),BM556)</f>
        <v/>
      </c>
      <c r="BN555" s="197">
        <f>IF(ISBLANK(BN556),AVERAGE($I$53:$I555)+STDEV($I$53:$I555)*2,BN556)</f>
        <v/>
      </c>
      <c r="BP555" s="198">
        <f>$G555</f>
        <v/>
      </c>
      <c r="BQ555" s="197">
        <f>$J555</f>
        <v/>
      </c>
      <c r="BR555" s="197">
        <f>IF(ISBLANK(BR556),AVERAGE($J$53:$J555)-STDEV($J$53:$J555)*2,BR556)</f>
        <v/>
      </c>
      <c r="BS555" s="197">
        <f>IF(ISBLANK(BS556),AVERAGE($J$53:$J555)-STDEV($J$53:$J555),BS556)</f>
        <v/>
      </c>
      <c r="BT555" s="197">
        <f>IF(ISBLANK(BT556),AVERAGE($J$53:$J555),BT556)</f>
        <v/>
      </c>
      <c r="BU555" s="197">
        <f>IF(ISBLANK(BU556),AVERAGE($J$53:$J555)+STDEV($J$53:$J555),BU556)</f>
        <v/>
      </c>
      <c r="BV555" s="197">
        <f>IF(ISBLANK(BV556),AVERAGE($J$53:$J555)+STDEV($J$53:$J555)*2,BV556)</f>
        <v/>
      </c>
      <c r="BX555" s="198">
        <f>$G555</f>
        <v/>
      </c>
      <c r="BY555" s="197">
        <f>$K555</f>
        <v/>
      </c>
      <c r="BZ555" s="197">
        <f>IF(ISBLANK(BZ556),AVERAGE($K$53:$K555)-STDEV($K$53:$K555)*2,BZ556)</f>
        <v/>
      </c>
      <c r="CA555" s="197">
        <f>IF(ISBLANK(CA556),AVERAGE($K$53:$K555)-STDEV($K$53:$K555),CA556)</f>
        <v/>
      </c>
      <c r="CB555" s="197">
        <f>IF(ISBLANK(CB556),AVERAGE($K$53:$K555),CB556)</f>
        <v/>
      </c>
      <c r="CC555" s="197">
        <f>IF(ISBLANK(CC556),AVERAGE($K$53:$K555)+STDEV($K$53:$K555),CC556)</f>
        <v/>
      </c>
      <c r="CD555" s="197">
        <f>IF(ISBLANK(CD556),AVERAGE($K$53:$K555)+STDEV($K$53:$K555)*2,CD556)</f>
        <v/>
      </c>
      <c r="CF555" s="198">
        <f>$G555</f>
        <v/>
      </c>
      <c r="CG555" s="197">
        <f>$L555</f>
        <v/>
      </c>
      <c r="CH555" s="197">
        <f>IF(ISBLANK(CH556),AVERAGE($L$53:$L555)-STDEV($L$53:$L555)*2,CH556)</f>
        <v/>
      </c>
      <c r="CI555" s="197">
        <f>IF(ISBLANK(CI556),AVERAGE($L$53:$L555)-STDEV($L$53:$L555),CI556)</f>
        <v/>
      </c>
      <c r="CJ555" s="197">
        <f>IF(ISBLANK(CJ556),AVERAGE($L$53:$L555),CJ556)</f>
        <v/>
      </c>
      <c r="CK555" s="197">
        <f>IF(ISBLANK(CK556),AVERAGE($L$53:$L555)+STDEV($L$53:$L555),CK556)</f>
        <v/>
      </c>
      <c r="CL555" s="197">
        <f>IF(ISBLANK(CL556),AVERAGE($L$53:$L555)+STDEV($L$53:$L555)*2,CL556)</f>
        <v/>
      </c>
      <c r="CO555" s="372" t="n">
        <v>9.046032024456862</v>
      </c>
      <c r="CP555" s="372" t="n">
        <v>4.23</v>
      </c>
      <c r="CQ555" s="360" t="n"/>
      <c r="CR555" s="372" t="n">
        <v>7.22</v>
      </c>
      <c r="CS555" s="971" t="n">
        <v>0.79814</v>
      </c>
    </row>
    <row r="556">
      <c r="B556" s="204">
        <f>+C556-1</f>
        <v/>
      </c>
      <c r="C556" s="204">
        <f>IF('bands_A-H_Avg'!$D$9+1&gt;MONTH(G556),YEAR(G556),YEAR(G556)+1)</f>
        <v/>
      </c>
      <c r="D556" s="204">
        <f>+C556+1</f>
        <v/>
      </c>
      <c r="E556" s="203">
        <f>IF(C556&gt;C555,1,E555+1)</f>
        <v/>
      </c>
      <c r="F556" s="203">
        <f>COUNTIF(C:C,C556)</f>
        <v/>
      </c>
      <c r="G556" s="198">
        <f>+G555+7</f>
        <v/>
      </c>
      <c r="H556" s="361">
        <f>IF(ISBLANK(CO556),CP556,SUMPRODUCT(CO$32:CP$32,CO556:CP556))</f>
        <v/>
      </c>
      <c r="I556" s="968">
        <f>H556/M556</f>
        <v/>
      </c>
      <c r="J556" s="968">
        <f>H556/N556</f>
        <v/>
      </c>
      <c r="K556" s="968">
        <f>(H556+Q556)/O556</f>
        <v/>
      </c>
      <c r="L556" s="968">
        <f>(H556+Q556)/P556</f>
        <v/>
      </c>
      <c r="M556" s="199">
        <f>HLOOKUP(C:C,$4:$10,3,FALSE)+((HLOOKUP(D:D,$4:$10,3,FALSE)-HLOOKUP(C:C,$4:$10,3,FALSE))*E556/F556)</f>
        <v/>
      </c>
      <c r="N556" s="199">
        <f>HLOOKUP(C:C,$4:$10,2,FALSE)+((HLOOKUP(D:D,$4:$10,2,FALSE)-HLOOKUP(C:C,$4:$10,2,FALSE))*E556/F556)</f>
        <v/>
      </c>
      <c r="O556" s="199">
        <f>HLOOKUP(C:C,$4:$10,5,FALSE)+((HLOOKUP(D:D,$4:$10,5,FALSE)-HLOOKUP(C:C,$4:$10,5,FALSE))*E556/F556)</f>
        <v/>
      </c>
      <c r="P556" s="199">
        <f>HLOOKUP(C:C,$4:$10,4,FALSE)+((HLOOKUP(D:D,$4:$10,4,FALSE)-HLOOKUP(C:C,$4:$10,4,FALSE))*E556/F556)</f>
        <v/>
      </c>
      <c r="Q556" s="199">
        <f>HLOOKUP(B:B,$4:$10,6,FALSE)+((HLOOKUP(C:C,$4:$10,6,FALSE)-HLOOKUP(B:B,$4:$10,6,FALSE))*E556/F556)</f>
        <v/>
      </c>
      <c r="T556" s="198">
        <f>$G556</f>
        <v/>
      </c>
      <c r="U556" s="199">
        <f>H556/(HLOOKUP(B:B,$4:$10,3,FALSE)+((HLOOKUP(C:C,$4:$10,3,FALSE)-HLOOKUP(B:B,$4:$10,3,FALSE))*E556/F556))</f>
        <v/>
      </c>
      <c r="V556" s="969">
        <f>HLOOKUP(B:B,$4:$10,7,FALSE)+((HLOOKUP(C:C,$4:$10,7,FALSE)-HLOOKUP(B:B,$4:$10,7,FALSE))*E556/F556)</f>
        <v/>
      </c>
      <c r="AB556" s="198">
        <f>$G556</f>
        <v/>
      </c>
      <c r="AC556" s="199">
        <f>$H556</f>
        <v/>
      </c>
      <c r="AD556" s="199">
        <f>$M556*AD$34</f>
        <v/>
      </c>
      <c r="AE556" s="199">
        <f>$M556*AE$34</f>
        <v/>
      </c>
      <c r="AF556" s="199">
        <f>$M556*AF$34</f>
        <v/>
      </c>
      <c r="AG556" s="199">
        <f>$M556*AG$34</f>
        <v/>
      </c>
      <c r="AH556" s="199">
        <f>$M556*AH$34</f>
        <v/>
      </c>
      <c r="AJ556" s="198">
        <f>$G556</f>
        <v/>
      </c>
      <c r="AK556" s="199">
        <f>$H556</f>
        <v/>
      </c>
      <c r="AL556" s="199">
        <f>$N556*AL$34</f>
        <v/>
      </c>
      <c r="AM556" s="199">
        <f>$N556*AM$34</f>
        <v/>
      </c>
      <c r="AN556" s="199">
        <f>$N556*AN$34</f>
        <v/>
      </c>
      <c r="AO556" s="199">
        <f>$N556*AO$34</f>
        <v/>
      </c>
      <c r="AP556" s="199">
        <f>$N556*AP$34</f>
        <v/>
      </c>
      <c r="AR556" s="198">
        <f>$G556</f>
        <v/>
      </c>
      <c r="AS556" s="199">
        <f>$H556</f>
        <v/>
      </c>
      <c r="AT556" s="199">
        <f>$O556*AT$34-$Q556</f>
        <v/>
      </c>
      <c r="AU556" s="199">
        <f>$O556*AU$34-$Q556</f>
        <v/>
      </c>
      <c r="AV556" s="199">
        <f>$O556*AV$34-$Q556</f>
        <v/>
      </c>
      <c r="AW556" s="199">
        <f>$O556*AW$34-$Q556</f>
        <v/>
      </c>
      <c r="AX556" s="199">
        <f>$O556*AX$34-$Q556</f>
        <v/>
      </c>
      <c r="AZ556" s="198">
        <f>$G556</f>
        <v/>
      </c>
      <c r="BA556" s="199">
        <f>$H556</f>
        <v/>
      </c>
      <c r="BB556" s="199">
        <f>$P556*BB$34-$Q556</f>
        <v/>
      </c>
      <c r="BC556" s="199">
        <f>$P556*BC$34-$Q556</f>
        <v/>
      </c>
      <c r="BD556" s="199">
        <f>$P556*BD$34-$Q556</f>
        <v/>
      </c>
      <c r="BE556" s="199">
        <f>$P556*BE$34-$Q556</f>
        <v/>
      </c>
      <c r="BF556" s="199">
        <f>$P556*BF$34-$Q556</f>
        <v/>
      </c>
      <c r="BH556" s="198">
        <f>$G556</f>
        <v/>
      </c>
      <c r="BI556" s="197">
        <f>$I556</f>
        <v/>
      </c>
      <c r="BJ556" s="197">
        <f>IF(ISBLANK(BJ557),AVERAGE($I$53:$I556)-STDEV($I$53:$I556)*2,BJ557)</f>
        <v/>
      </c>
      <c r="BK556" s="197">
        <f>IF(ISBLANK(BK557),AVERAGE($I$53:$I556)-STDEV($I$53:$I556),BK557)</f>
        <v/>
      </c>
      <c r="BL556" s="197">
        <f>IF(ISBLANK(BL557),AVERAGE($I$53:$I556),BL557)</f>
        <v/>
      </c>
      <c r="BM556" s="197">
        <f>IF(ISBLANK(BM557),AVERAGE($I$53:$I556)+STDEV($I$53:$I556),BM557)</f>
        <v/>
      </c>
      <c r="BN556" s="197">
        <f>IF(ISBLANK(BN557),AVERAGE($I$53:$I556)+STDEV($I$53:$I556)*2,BN557)</f>
        <v/>
      </c>
      <c r="BP556" s="198">
        <f>$G556</f>
        <v/>
      </c>
      <c r="BQ556" s="197">
        <f>$J556</f>
        <v/>
      </c>
      <c r="BR556" s="197">
        <f>IF(ISBLANK(BR557),AVERAGE($J$53:$J556)-STDEV($J$53:$J556)*2,BR557)</f>
        <v/>
      </c>
      <c r="BS556" s="197">
        <f>IF(ISBLANK(BS557),AVERAGE($J$53:$J556)-STDEV($J$53:$J556),BS557)</f>
        <v/>
      </c>
      <c r="BT556" s="197">
        <f>IF(ISBLANK(BT557),AVERAGE($J$53:$J556),BT557)</f>
        <v/>
      </c>
      <c r="BU556" s="197">
        <f>IF(ISBLANK(BU557),AVERAGE($J$53:$J556)+STDEV($J$53:$J556),BU557)</f>
        <v/>
      </c>
      <c r="BV556" s="197">
        <f>IF(ISBLANK(BV557),AVERAGE($J$53:$J556)+STDEV($J$53:$J556)*2,BV557)</f>
        <v/>
      </c>
      <c r="BX556" s="198">
        <f>$G556</f>
        <v/>
      </c>
      <c r="BY556" s="197">
        <f>$K556</f>
        <v/>
      </c>
      <c r="BZ556" s="197">
        <f>IF(ISBLANK(BZ557),AVERAGE($K$53:$K556)-STDEV($K$53:$K556)*2,BZ557)</f>
        <v/>
      </c>
      <c r="CA556" s="197">
        <f>IF(ISBLANK(CA557),AVERAGE($K$53:$K556)-STDEV($K$53:$K556),CA557)</f>
        <v/>
      </c>
      <c r="CB556" s="197">
        <f>IF(ISBLANK(CB557),AVERAGE($K$53:$K556),CB557)</f>
        <v/>
      </c>
      <c r="CC556" s="197">
        <f>IF(ISBLANK(CC557),AVERAGE($K$53:$K556)+STDEV($K$53:$K556),CC557)</f>
        <v/>
      </c>
      <c r="CD556" s="197">
        <f>IF(ISBLANK(CD557),AVERAGE($K$53:$K556)+STDEV($K$53:$K556)*2,CD557)</f>
        <v/>
      </c>
      <c r="CF556" s="198">
        <f>$G556</f>
        <v/>
      </c>
      <c r="CG556" s="197">
        <f>$L556</f>
        <v/>
      </c>
      <c r="CH556" s="197">
        <f>IF(ISBLANK(CH557),AVERAGE($L$53:$L556)-STDEV($L$53:$L556)*2,CH557)</f>
        <v/>
      </c>
      <c r="CI556" s="197">
        <f>IF(ISBLANK(CI557),AVERAGE($L$53:$L556)-STDEV($L$53:$L556),CI557)</f>
        <v/>
      </c>
      <c r="CJ556" s="197">
        <f>IF(ISBLANK(CJ557),AVERAGE($L$53:$L556),CJ557)</f>
        <v/>
      </c>
      <c r="CK556" s="197">
        <f>IF(ISBLANK(CK557),AVERAGE($L$53:$L556)+STDEV($L$53:$L556),CK557)</f>
        <v/>
      </c>
      <c r="CL556" s="197">
        <f>IF(ISBLANK(CL557),AVERAGE($L$53:$L556)+STDEV($L$53:$L556)*2,CL557)</f>
        <v/>
      </c>
      <c r="CO556" s="372" t="n">
        <v>10.07999202571706</v>
      </c>
      <c r="CP556" s="372" t="n">
        <v>3.92</v>
      </c>
      <c r="CQ556" s="360" t="n"/>
      <c r="CR556" s="372" t="n">
        <v>8.09</v>
      </c>
      <c r="CS556" s="971" t="n">
        <v>0.80258</v>
      </c>
    </row>
    <row r="557">
      <c r="B557" s="204">
        <f>+C557-1</f>
        <v/>
      </c>
      <c r="C557" s="204">
        <f>IF('bands_A-H_Avg'!$D$9+1&gt;MONTH(G557),YEAR(G557),YEAR(G557)+1)</f>
        <v/>
      </c>
      <c r="D557" s="204">
        <f>+C557+1</f>
        <v/>
      </c>
      <c r="E557" s="203">
        <f>IF(C557&gt;C556,1,E556+1)</f>
        <v/>
      </c>
      <c r="F557" s="203">
        <f>COUNTIF(C:C,C557)</f>
        <v/>
      </c>
      <c r="G557" s="198">
        <f>+G556+7</f>
        <v/>
      </c>
      <c r="H557" s="361">
        <f>IF(ISBLANK(CO557),CP557,SUMPRODUCT(CO$32:CP$32,CO557:CP557))</f>
        <v/>
      </c>
      <c r="I557" s="968">
        <f>H557/M557</f>
        <v/>
      </c>
      <c r="J557" s="968">
        <f>H557/N557</f>
        <v/>
      </c>
      <c r="K557" s="968">
        <f>(H557+Q557)/O557</f>
        <v/>
      </c>
      <c r="L557" s="968">
        <f>(H557+Q557)/P557</f>
        <v/>
      </c>
      <c r="M557" s="199">
        <f>HLOOKUP(C:C,$4:$10,3,FALSE)+((HLOOKUP(D:D,$4:$10,3,FALSE)-HLOOKUP(C:C,$4:$10,3,FALSE))*E557/F557)</f>
        <v/>
      </c>
      <c r="N557" s="199">
        <f>HLOOKUP(C:C,$4:$10,2,FALSE)+((HLOOKUP(D:D,$4:$10,2,FALSE)-HLOOKUP(C:C,$4:$10,2,FALSE))*E557/F557)</f>
        <v/>
      </c>
      <c r="O557" s="199">
        <f>HLOOKUP(C:C,$4:$10,5,FALSE)+((HLOOKUP(D:D,$4:$10,5,FALSE)-HLOOKUP(C:C,$4:$10,5,FALSE))*E557/F557)</f>
        <v/>
      </c>
      <c r="P557" s="199">
        <f>HLOOKUP(C:C,$4:$10,4,FALSE)+((HLOOKUP(D:D,$4:$10,4,FALSE)-HLOOKUP(C:C,$4:$10,4,FALSE))*E557/F557)</f>
        <v/>
      </c>
      <c r="Q557" s="199">
        <f>HLOOKUP(B:B,$4:$10,6,FALSE)+((HLOOKUP(C:C,$4:$10,6,FALSE)-HLOOKUP(B:B,$4:$10,6,FALSE))*E557/F557)</f>
        <v/>
      </c>
      <c r="T557" s="198">
        <f>$G557</f>
        <v/>
      </c>
      <c r="U557" s="199">
        <f>H557/(HLOOKUP(B:B,$4:$10,3,FALSE)+((HLOOKUP(C:C,$4:$10,3,FALSE)-HLOOKUP(B:B,$4:$10,3,FALSE))*E557/F557))</f>
        <v/>
      </c>
      <c r="V557" s="969">
        <f>HLOOKUP(B:B,$4:$10,7,FALSE)+((HLOOKUP(C:C,$4:$10,7,FALSE)-HLOOKUP(B:B,$4:$10,7,FALSE))*E557/F557)</f>
        <v/>
      </c>
      <c r="AB557" s="198">
        <f>$G557</f>
        <v/>
      </c>
      <c r="AC557" s="199">
        <f>$H557</f>
        <v/>
      </c>
      <c r="AD557" s="199">
        <f>$M557*AD$34</f>
        <v/>
      </c>
      <c r="AE557" s="199">
        <f>$M557*AE$34</f>
        <v/>
      </c>
      <c r="AF557" s="199">
        <f>$M557*AF$34</f>
        <v/>
      </c>
      <c r="AG557" s="199">
        <f>$M557*AG$34</f>
        <v/>
      </c>
      <c r="AH557" s="199">
        <f>$M557*AH$34</f>
        <v/>
      </c>
      <c r="AJ557" s="198">
        <f>$G557</f>
        <v/>
      </c>
      <c r="AK557" s="199">
        <f>$H557</f>
        <v/>
      </c>
      <c r="AL557" s="199">
        <f>$N557*AL$34</f>
        <v/>
      </c>
      <c r="AM557" s="199">
        <f>$N557*AM$34</f>
        <v/>
      </c>
      <c r="AN557" s="199">
        <f>$N557*AN$34</f>
        <v/>
      </c>
      <c r="AO557" s="199">
        <f>$N557*AO$34</f>
        <v/>
      </c>
      <c r="AP557" s="199">
        <f>$N557*AP$34</f>
        <v/>
      </c>
      <c r="AR557" s="198">
        <f>$G557</f>
        <v/>
      </c>
      <c r="AS557" s="199">
        <f>$H557</f>
        <v/>
      </c>
      <c r="AT557" s="199">
        <f>$O557*AT$34-$Q557</f>
        <v/>
      </c>
      <c r="AU557" s="199">
        <f>$O557*AU$34-$Q557</f>
        <v/>
      </c>
      <c r="AV557" s="199">
        <f>$O557*AV$34-$Q557</f>
        <v/>
      </c>
      <c r="AW557" s="199">
        <f>$O557*AW$34-$Q557</f>
        <v/>
      </c>
      <c r="AX557" s="199">
        <f>$O557*AX$34-$Q557</f>
        <v/>
      </c>
      <c r="AZ557" s="198">
        <f>$G557</f>
        <v/>
      </c>
      <c r="BA557" s="199">
        <f>$H557</f>
        <v/>
      </c>
      <c r="BB557" s="199">
        <f>$P557*BB$34-$Q557</f>
        <v/>
      </c>
      <c r="BC557" s="199">
        <f>$P557*BC$34-$Q557</f>
        <v/>
      </c>
      <c r="BD557" s="199">
        <f>$P557*BD$34-$Q557</f>
        <v/>
      </c>
      <c r="BE557" s="199">
        <f>$P557*BE$34-$Q557</f>
        <v/>
      </c>
      <c r="BF557" s="199">
        <f>$P557*BF$34-$Q557</f>
        <v/>
      </c>
      <c r="BH557" s="198">
        <f>$G557</f>
        <v/>
      </c>
      <c r="BI557" s="197">
        <f>$I557</f>
        <v/>
      </c>
      <c r="BJ557" s="197">
        <f>IF(ISBLANK(BJ558),AVERAGE($I$53:$I557)-STDEV($I$53:$I557)*2,BJ558)</f>
        <v/>
      </c>
      <c r="BK557" s="197">
        <f>IF(ISBLANK(BK558),AVERAGE($I$53:$I557)-STDEV($I$53:$I557),BK558)</f>
        <v/>
      </c>
      <c r="BL557" s="197">
        <f>IF(ISBLANK(BL558),AVERAGE($I$53:$I557),BL558)</f>
        <v/>
      </c>
      <c r="BM557" s="197">
        <f>IF(ISBLANK(BM558),AVERAGE($I$53:$I557)+STDEV($I$53:$I557),BM558)</f>
        <v/>
      </c>
      <c r="BN557" s="197">
        <f>IF(ISBLANK(BN558),AVERAGE($I$53:$I557)+STDEV($I$53:$I557)*2,BN558)</f>
        <v/>
      </c>
      <c r="BP557" s="198">
        <f>$G557</f>
        <v/>
      </c>
      <c r="BQ557" s="197">
        <f>$J557</f>
        <v/>
      </c>
      <c r="BR557" s="197">
        <f>IF(ISBLANK(BR558),AVERAGE($J$53:$J557)-STDEV($J$53:$J557)*2,BR558)</f>
        <v/>
      </c>
      <c r="BS557" s="197">
        <f>IF(ISBLANK(BS558),AVERAGE($J$53:$J557)-STDEV($J$53:$J557),BS558)</f>
        <v/>
      </c>
      <c r="BT557" s="197">
        <f>IF(ISBLANK(BT558),AVERAGE($J$53:$J557),BT558)</f>
        <v/>
      </c>
      <c r="BU557" s="197">
        <f>IF(ISBLANK(BU558),AVERAGE($J$53:$J557)+STDEV($J$53:$J557),BU558)</f>
        <v/>
      </c>
      <c r="BV557" s="197">
        <f>IF(ISBLANK(BV558),AVERAGE($J$53:$J557)+STDEV($J$53:$J557)*2,BV558)</f>
        <v/>
      </c>
      <c r="BX557" s="198">
        <f>$G557</f>
        <v/>
      </c>
      <c r="BY557" s="197">
        <f>$K557</f>
        <v/>
      </c>
      <c r="BZ557" s="197">
        <f>IF(ISBLANK(BZ558),AVERAGE($K$53:$K557)-STDEV($K$53:$K557)*2,BZ558)</f>
        <v/>
      </c>
      <c r="CA557" s="197">
        <f>IF(ISBLANK(CA558),AVERAGE($K$53:$K557)-STDEV($K$53:$K557),CA558)</f>
        <v/>
      </c>
      <c r="CB557" s="197">
        <f>IF(ISBLANK(CB558),AVERAGE($K$53:$K557),CB558)</f>
        <v/>
      </c>
      <c r="CC557" s="197">
        <f>IF(ISBLANK(CC558),AVERAGE($K$53:$K557)+STDEV($K$53:$K557),CC558)</f>
        <v/>
      </c>
      <c r="CD557" s="197">
        <f>IF(ISBLANK(CD558),AVERAGE($K$53:$K557)+STDEV($K$53:$K557)*2,CD558)</f>
        <v/>
      </c>
      <c r="CF557" s="198">
        <f>$G557</f>
        <v/>
      </c>
      <c r="CG557" s="197">
        <f>$L557</f>
        <v/>
      </c>
      <c r="CH557" s="197">
        <f>IF(ISBLANK(CH558),AVERAGE($L$53:$L557)-STDEV($L$53:$L557)*2,CH558)</f>
        <v/>
      </c>
      <c r="CI557" s="197">
        <f>IF(ISBLANK(CI558),AVERAGE($L$53:$L557)-STDEV($L$53:$L557),CI558)</f>
        <v/>
      </c>
      <c r="CJ557" s="197">
        <f>IF(ISBLANK(CJ558),AVERAGE($L$53:$L557),CJ558)</f>
        <v/>
      </c>
      <c r="CK557" s="197">
        <f>IF(ISBLANK(CK558),AVERAGE($L$53:$L557)+STDEV($L$53:$L557),CK558)</f>
        <v/>
      </c>
      <c r="CL557" s="197">
        <f>IF(ISBLANK(CL558),AVERAGE($L$53:$L557)+STDEV($L$53:$L557)*2,CL558)</f>
        <v/>
      </c>
      <c r="CO557" s="372" t="n">
        <v>9.458179643106371</v>
      </c>
      <c r="CP557" s="372" t="n">
        <v>3.77</v>
      </c>
      <c r="CQ557" s="360" t="n"/>
      <c r="CR557" s="372" t="n">
        <v>7.59</v>
      </c>
      <c r="CS557" s="971" t="n">
        <v>0.80248</v>
      </c>
    </row>
    <row r="558">
      <c r="B558" s="204">
        <f>+C558-1</f>
        <v/>
      </c>
      <c r="C558" s="204">
        <f>IF('bands_A-H_Avg'!$D$9+1&gt;MONTH(G558),YEAR(G558),YEAR(G558)+1)</f>
        <v/>
      </c>
      <c r="D558" s="204">
        <f>+C558+1</f>
        <v/>
      </c>
      <c r="E558" s="203">
        <f>IF(C558&gt;C557,1,E557+1)</f>
        <v/>
      </c>
      <c r="F558" s="203">
        <f>COUNTIF(C:C,C558)</f>
        <v/>
      </c>
      <c r="G558" s="198">
        <f>+G557+7</f>
        <v/>
      </c>
      <c r="H558" s="361">
        <f>IF(ISBLANK(CO558),CP558,SUMPRODUCT(CO$32:CP$32,CO558:CP558))</f>
        <v/>
      </c>
      <c r="I558" s="968">
        <f>H558/M558</f>
        <v/>
      </c>
      <c r="J558" s="968">
        <f>H558/N558</f>
        <v/>
      </c>
      <c r="K558" s="968">
        <f>(H558+Q558)/O558</f>
        <v/>
      </c>
      <c r="L558" s="968">
        <f>(H558+Q558)/P558</f>
        <v/>
      </c>
      <c r="M558" s="199">
        <f>HLOOKUP(C:C,$4:$10,3,FALSE)+((HLOOKUP(D:D,$4:$10,3,FALSE)-HLOOKUP(C:C,$4:$10,3,FALSE))*E558/F558)</f>
        <v/>
      </c>
      <c r="N558" s="199">
        <f>HLOOKUP(C:C,$4:$10,2,FALSE)+((HLOOKUP(D:D,$4:$10,2,FALSE)-HLOOKUP(C:C,$4:$10,2,FALSE))*E558/F558)</f>
        <v/>
      </c>
      <c r="O558" s="199">
        <f>HLOOKUP(C:C,$4:$10,5,FALSE)+((HLOOKUP(D:D,$4:$10,5,FALSE)-HLOOKUP(C:C,$4:$10,5,FALSE))*E558/F558)</f>
        <v/>
      </c>
      <c r="P558" s="199">
        <f>HLOOKUP(C:C,$4:$10,4,FALSE)+((HLOOKUP(D:D,$4:$10,4,FALSE)-HLOOKUP(C:C,$4:$10,4,FALSE))*E558/F558)</f>
        <v/>
      </c>
      <c r="Q558" s="199">
        <f>HLOOKUP(B:B,$4:$10,6,FALSE)+((HLOOKUP(C:C,$4:$10,6,FALSE)-HLOOKUP(B:B,$4:$10,6,FALSE))*E558/F558)</f>
        <v/>
      </c>
      <c r="T558" s="198">
        <f>$G558</f>
        <v/>
      </c>
      <c r="U558" s="199">
        <f>H558/(HLOOKUP(B:B,$4:$10,3,FALSE)+((HLOOKUP(C:C,$4:$10,3,FALSE)-HLOOKUP(B:B,$4:$10,3,FALSE))*E558/F558))</f>
        <v/>
      </c>
      <c r="V558" s="969">
        <f>HLOOKUP(B:B,$4:$10,7,FALSE)+((HLOOKUP(C:C,$4:$10,7,FALSE)-HLOOKUP(B:B,$4:$10,7,FALSE))*E558/F558)</f>
        <v/>
      </c>
      <c r="AB558" s="198">
        <f>$G558</f>
        <v/>
      </c>
      <c r="AC558" s="199">
        <f>$H558</f>
        <v/>
      </c>
      <c r="AD558" s="199">
        <f>$M558*AD$34</f>
        <v/>
      </c>
      <c r="AE558" s="199">
        <f>$M558*AE$34</f>
        <v/>
      </c>
      <c r="AF558" s="199">
        <f>$M558*AF$34</f>
        <v/>
      </c>
      <c r="AG558" s="199">
        <f>$M558*AG$34</f>
        <v/>
      </c>
      <c r="AH558" s="199">
        <f>$M558*AH$34</f>
        <v/>
      </c>
      <c r="AJ558" s="198">
        <f>$G558</f>
        <v/>
      </c>
      <c r="AK558" s="199">
        <f>$H558</f>
        <v/>
      </c>
      <c r="AL558" s="199">
        <f>$N558*AL$34</f>
        <v/>
      </c>
      <c r="AM558" s="199">
        <f>$N558*AM$34</f>
        <v/>
      </c>
      <c r="AN558" s="199">
        <f>$N558*AN$34</f>
        <v/>
      </c>
      <c r="AO558" s="199">
        <f>$N558*AO$34</f>
        <v/>
      </c>
      <c r="AP558" s="199">
        <f>$N558*AP$34</f>
        <v/>
      </c>
      <c r="AR558" s="198">
        <f>$G558</f>
        <v/>
      </c>
      <c r="AS558" s="199">
        <f>$H558</f>
        <v/>
      </c>
      <c r="AT558" s="199">
        <f>$O558*AT$34-$Q558</f>
        <v/>
      </c>
      <c r="AU558" s="199">
        <f>$O558*AU$34-$Q558</f>
        <v/>
      </c>
      <c r="AV558" s="199">
        <f>$O558*AV$34-$Q558</f>
        <v/>
      </c>
      <c r="AW558" s="199">
        <f>$O558*AW$34-$Q558</f>
        <v/>
      </c>
      <c r="AX558" s="199">
        <f>$O558*AX$34-$Q558</f>
        <v/>
      </c>
      <c r="AZ558" s="198">
        <f>$G558</f>
        <v/>
      </c>
      <c r="BA558" s="199">
        <f>$H558</f>
        <v/>
      </c>
      <c r="BB558" s="199">
        <f>$P558*BB$34-$Q558</f>
        <v/>
      </c>
      <c r="BC558" s="199">
        <f>$P558*BC$34-$Q558</f>
        <v/>
      </c>
      <c r="BD558" s="199">
        <f>$P558*BD$34-$Q558</f>
        <v/>
      </c>
      <c r="BE558" s="199">
        <f>$P558*BE$34-$Q558</f>
        <v/>
      </c>
      <c r="BF558" s="199">
        <f>$P558*BF$34-$Q558</f>
        <v/>
      </c>
      <c r="BH558" s="198">
        <f>$G558</f>
        <v/>
      </c>
      <c r="BI558" s="197">
        <f>$I558</f>
        <v/>
      </c>
      <c r="BJ558" s="197">
        <f>IF(ISBLANK(BJ559),AVERAGE($I$53:$I558)-STDEV($I$53:$I558)*2,BJ559)</f>
        <v/>
      </c>
      <c r="BK558" s="197">
        <f>IF(ISBLANK(BK559),AVERAGE($I$53:$I558)-STDEV($I$53:$I558),BK559)</f>
        <v/>
      </c>
      <c r="BL558" s="197">
        <f>IF(ISBLANK(BL559),AVERAGE($I$53:$I558),BL559)</f>
        <v/>
      </c>
      <c r="BM558" s="197">
        <f>IF(ISBLANK(BM559),AVERAGE($I$53:$I558)+STDEV($I$53:$I558),BM559)</f>
        <v/>
      </c>
      <c r="BN558" s="197">
        <f>IF(ISBLANK(BN559),AVERAGE($I$53:$I558)+STDEV($I$53:$I558)*2,BN559)</f>
        <v/>
      </c>
      <c r="BP558" s="198">
        <f>$G558</f>
        <v/>
      </c>
      <c r="BQ558" s="197">
        <f>$J558</f>
        <v/>
      </c>
      <c r="BR558" s="197">
        <f>IF(ISBLANK(BR559),AVERAGE($J$53:$J558)-STDEV($J$53:$J558)*2,BR559)</f>
        <v/>
      </c>
      <c r="BS558" s="197">
        <f>IF(ISBLANK(BS559),AVERAGE($J$53:$J558)-STDEV($J$53:$J558),BS559)</f>
        <v/>
      </c>
      <c r="BT558" s="197">
        <f>IF(ISBLANK(BT559),AVERAGE($J$53:$J558),BT559)</f>
        <v/>
      </c>
      <c r="BU558" s="197">
        <f>IF(ISBLANK(BU559),AVERAGE($J$53:$J558)+STDEV($J$53:$J558),BU559)</f>
        <v/>
      </c>
      <c r="BV558" s="197">
        <f>IF(ISBLANK(BV559),AVERAGE($J$53:$J558)+STDEV($J$53:$J558)*2,BV559)</f>
        <v/>
      </c>
      <c r="BX558" s="198">
        <f>$G558</f>
        <v/>
      </c>
      <c r="BY558" s="197">
        <f>$K558</f>
        <v/>
      </c>
      <c r="BZ558" s="197">
        <f>IF(ISBLANK(BZ559),AVERAGE($K$53:$K558)-STDEV($K$53:$K558)*2,BZ559)</f>
        <v/>
      </c>
      <c r="CA558" s="197">
        <f>IF(ISBLANK(CA559),AVERAGE($K$53:$K558)-STDEV($K$53:$K558),CA559)</f>
        <v/>
      </c>
      <c r="CB558" s="197">
        <f>IF(ISBLANK(CB559),AVERAGE($K$53:$K558),CB559)</f>
        <v/>
      </c>
      <c r="CC558" s="197">
        <f>IF(ISBLANK(CC559),AVERAGE($K$53:$K558)+STDEV($K$53:$K558),CC559)</f>
        <v/>
      </c>
      <c r="CD558" s="197">
        <f>IF(ISBLANK(CD559),AVERAGE($K$53:$K558)+STDEV($K$53:$K558)*2,CD559)</f>
        <v/>
      </c>
      <c r="CF558" s="198">
        <f>$G558</f>
        <v/>
      </c>
      <c r="CG558" s="197">
        <f>$L558</f>
        <v/>
      </c>
      <c r="CH558" s="197">
        <f>IF(ISBLANK(CH559),AVERAGE($L$53:$L558)-STDEV($L$53:$L558)*2,CH559)</f>
        <v/>
      </c>
      <c r="CI558" s="197">
        <f>IF(ISBLANK(CI559),AVERAGE($L$53:$L558)-STDEV($L$53:$L558),CI559)</f>
        <v/>
      </c>
      <c r="CJ558" s="197">
        <f>IF(ISBLANK(CJ559),AVERAGE($L$53:$L558),CJ559)</f>
        <v/>
      </c>
      <c r="CK558" s="197">
        <f>IF(ISBLANK(CK559),AVERAGE($L$53:$L558)+STDEV($L$53:$L558),CK559)</f>
        <v/>
      </c>
      <c r="CL558" s="197">
        <f>IF(ISBLANK(CL559),AVERAGE($L$53:$L558)+STDEV($L$53:$L558)*2,CL559)</f>
        <v/>
      </c>
      <c r="CO558" s="372" t="n">
        <v>10.31056676873086</v>
      </c>
      <c r="CP558" s="372" t="n">
        <v>4.15</v>
      </c>
      <c r="CQ558" s="360" t="n"/>
      <c r="CR558" s="372" t="n">
        <v>8.25</v>
      </c>
      <c r="CS558" s="971" t="n">
        <v>0.80015</v>
      </c>
    </row>
    <row r="559">
      <c r="B559" s="204">
        <f>+C559-1</f>
        <v/>
      </c>
      <c r="C559" s="204">
        <f>IF('bands_A-H_Avg'!$D$9+1&gt;MONTH(G559),YEAR(G559),YEAR(G559)+1)</f>
        <v/>
      </c>
      <c r="D559" s="204">
        <f>+C559+1</f>
        <v/>
      </c>
      <c r="E559" s="203">
        <f>IF(C559&gt;C558,1,E558+1)</f>
        <v/>
      </c>
      <c r="F559" s="203">
        <f>COUNTIF(C:C,C559)</f>
        <v/>
      </c>
      <c r="G559" s="198">
        <f>+G558+7</f>
        <v/>
      </c>
      <c r="H559" s="361">
        <f>IF(ISBLANK(CO559),CP559,SUMPRODUCT(CO$32:CP$32,CO559:CP559))</f>
        <v/>
      </c>
      <c r="I559" s="968">
        <f>H559/M559</f>
        <v/>
      </c>
      <c r="J559" s="968">
        <f>H559/N559</f>
        <v/>
      </c>
      <c r="K559" s="968">
        <f>(H559+Q559)/O559</f>
        <v/>
      </c>
      <c r="L559" s="968">
        <f>(H559+Q559)/P559</f>
        <v/>
      </c>
      <c r="M559" s="199">
        <f>HLOOKUP(C:C,$4:$10,3,FALSE)+((HLOOKUP(D:D,$4:$10,3,FALSE)-HLOOKUP(C:C,$4:$10,3,FALSE))*E559/F559)</f>
        <v/>
      </c>
      <c r="N559" s="199">
        <f>HLOOKUP(C:C,$4:$10,2,FALSE)+((HLOOKUP(D:D,$4:$10,2,FALSE)-HLOOKUP(C:C,$4:$10,2,FALSE))*E559/F559)</f>
        <v/>
      </c>
      <c r="O559" s="199">
        <f>HLOOKUP(C:C,$4:$10,5,FALSE)+((HLOOKUP(D:D,$4:$10,5,FALSE)-HLOOKUP(C:C,$4:$10,5,FALSE))*E559/F559)</f>
        <v/>
      </c>
      <c r="P559" s="199">
        <f>HLOOKUP(C:C,$4:$10,4,FALSE)+((HLOOKUP(D:D,$4:$10,4,FALSE)-HLOOKUP(C:C,$4:$10,4,FALSE))*E559/F559)</f>
        <v/>
      </c>
      <c r="Q559" s="199">
        <f>HLOOKUP(B:B,$4:$10,6,FALSE)+((HLOOKUP(C:C,$4:$10,6,FALSE)-HLOOKUP(B:B,$4:$10,6,FALSE))*E559/F559)</f>
        <v/>
      </c>
      <c r="T559" s="198">
        <f>$G559</f>
        <v/>
      </c>
      <c r="U559" s="199">
        <f>H559/(HLOOKUP(B:B,$4:$10,3,FALSE)+((HLOOKUP(C:C,$4:$10,3,FALSE)-HLOOKUP(B:B,$4:$10,3,FALSE))*E559/F559))</f>
        <v/>
      </c>
      <c r="V559" s="969">
        <f>HLOOKUP(B:B,$4:$10,7,FALSE)+((HLOOKUP(C:C,$4:$10,7,FALSE)-HLOOKUP(B:B,$4:$10,7,FALSE))*E559/F559)</f>
        <v/>
      </c>
      <c r="AB559" s="198">
        <f>$G559</f>
        <v/>
      </c>
      <c r="AC559" s="199">
        <f>$H559</f>
        <v/>
      </c>
      <c r="AD559" s="199">
        <f>$M559*AD$34</f>
        <v/>
      </c>
      <c r="AE559" s="199">
        <f>$M559*AE$34</f>
        <v/>
      </c>
      <c r="AF559" s="199">
        <f>$M559*AF$34</f>
        <v/>
      </c>
      <c r="AG559" s="199">
        <f>$M559*AG$34</f>
        <v/>
      </c>
      <c r="AH559" s="199">
        <f>$M559*AH$34</f>
        <v/>
      </c>
      <c r="AJ559" s="198">
        <f>$G559</f>
        <v/>
      </c>
      <c r="AK559" s="199">
        <f>$H559</f>
        <v/>
      </c>
      <c r="AL559" s="199">
        <f>$N559*AL$34</f>
        <v/>
      </c>
      <c r="AM559" s="199">
        <f>$N559*AM$34</f>
        <v/>
      </c>
      <c r="AN559" s="199">
        <f>$N559*AN$34</f>
        <v/>
      </c>
      <c r="AO559" s="199">
        <f>$N559*AO$34</f>
        <v/>
      </c>
      <c r="AP559" s="199">
        <f>$N559*AP$34</f>
        <v/>
      </c>
      <c r="AR559" s="198">
        <f>$G559</f>
        <v/>
      </c>
      <c r="AS559" s="199">
        <f>$H559</f>
        <v/>
      </c>
      <c r="AT559" s="199">
        <f>$O559*AT$34-$Q559</f>
        <v/>
      </c>
      <c r="AU559" s="199">
        <f>$O559*AU$34-$Q559</f>
        <v/>
      </c>
      <c r="AV559" s="199">
        <f>$O559*AV$34-$Q559</f>
        <v/>
      </c>
      <c r="AW559" s="199">
        <f>$O559*AW$34-$Q559</f>
        <v/>
      </c>
      <c r="AX559" s="199">
        <f>$O559*AX$34-$Q559</f>
        <v/>
      </c>
      <c r="AZ559" s="198">
        <f>$G559</f>
        <v/>
      </c>
      <c r="BA559" s="199">
        <f>$H559</f>
        <v/>
      </c>
      <c r="BB559" s="199">
        <f>$P559*BB$34-$Q559</f>
        <v/>
      </c>
      <c r="BC559" s="199">
        <f>$P559*BC$34-$Q559</f>
        <v/>
      </c>
      <c r="BD559" s="199">
        <f>$P559*BD$34-$Q559</f>
        <v/>
      </c>
      <c r="BE559" s="199">
        <f>$P559*BE$34-$Q559</f>
        <v/>
      </c>
      <c r="BF559" s="199">
        <f>$P559*BF$34-$Q559</f>
        <v/>
      </c>
      <c r="BH559" s="198">
        <f>$G559</f>
        <v/>
      </c>
      <c r="BI559" s="197">
        <f>$I559</f>
        <v/>
      </c>
      <c r="BJ559" s="197">
        <f>IF(ISBLANK(BJ560),AVERAGE($I$53:$I559)-STDEV($I$53:$I559)*2,BJ560)</f>
        <v/>
      </c>
      <c r="BK559" s="197">
        <f>IF(ISBLANK(BK560),AVERAGE($I$53:$I559)-STDEV($I$53:$I559),BK560)</f>
        <v/>
      </c>
      <c r="BL559" s="197">
        <f>IF(ISBLANK(BL560),AVERAGE($I$53:$I559),BL560)</f>
        <v/>
      </c>
      <c r="BM559" s="197">
        <f>IF(ISBLANK(BM560),AVERAGE($I$53:$I559)+STDEV($I$53:$I559),BM560)</f>
        <v/>
      </c>
      <c r="BN559" s="197">
        <f>IF(ISBLANK(BN560),AVERAGE($I$53:$I559)+STDEV($I$53:$I559)*2,BN560)</f>
        <v/>
      </c>
      <c r="BP559" s="198">
        <f>$G559</f>
        <v/>
      </c>
      <c r="BQ559" s="197">
        <f>$J559</f>
        <v/>
      </c>
      <c r="BR559" s="197">
        <f>IF(ISBLANK(BR560),AVERAGE($J$53:$J559)-STDEV($J$53:$J559)*2,BR560)</f>
        <v/>
      </c>
      <c r="BS559" s="197">
        <f>IF(ISBLANK(BS560),AVERAGE($J$53:$J559)-STDEV($J$53:$J559),BS560)</f>
        <v/>
      </c>
      <c r="BT559" s="197">
        <f>IF(ISBLANK(BT560),AVERAGE($J$53:$J559),BT560)</f>
        <v/>
      </c>
      <c r="BU559" s="197">
        <f>IF(ISBLANK(BU560),AVERAGE($J$53:$J559)+STDEV($J$53:$J559),BU560)</f>
        <v/>
      </c>
      <c r="BV559" s="197">
        <f>IF(ISBLANK(BV560),AVERAGE($J$53:$J559)+STDEV($J$53:$J559)*2,BV560)</f>
        <v/>
      </c>
      <c r="BX559" s="198">
        <f>$G559</f>
        <v/>
      </c>
      <c r="BY559" s="197">
        <f>$K559</f>
        <v/>
      </c>
      <c r="BZ559" s="197">
        <f>IF(ISBLANK(BZ560),AVERAGE($K$53:$K559)-STDEV($K$53:$K559)*2,BZ560)</f>
        <v/>
      </c>
      <c r="CA559" s="197">
        <f>IF(ISBLANK(CA560),AVERAGE($K$53:$K559)-STDEV($K$53:$K559),CA560)</f>
        <v/>
      </c>
      <c r="CB559" s="197">
        <f>IF(ISBLANK(CB560),AVERAGE($K$53:$K559),CB560)</f>
        <v/>
      </c>
      <c r="CC559" s="197">
        <f>IF(ISBLANK(CC560),AVERAGE($K$53:$K559)+STDEV($K$53:$K559),CC560)</f>
        <v/>
      </c>
      <c r="CD559" s="197">
        <f>IF(ISBLANK(CD560),AVERAGE($K$53:$K559)+STDEV($K$53:$K559)*2,CD560)</f>
        <v/>
      </c>
      <c r="CF559" s="198">
        <f>$G559</f>
        <v/>
      </c>
      <c r="CG559" s="197">
        <f>$L559</f>
        <v/>
      </c>
      <c r="CH559" s="197">
        <f>IF(ISBLANK(CH560),AVERAGE($L$53:$L559)-STDEV($L$53:$L559)*2,CH560)</f>
        <v/>
      </c>
      <c r="CI559" s="197">
        <f>IF(ISBLANK(CI560),AVERAGE($L$53:$L559)-STDEV($L$53:$L559),CI560)</f>
        <v/>
      </c>
      <c r="CJ559" s="197">
        <f>IF(ISBLANK(CJ560),AVERAGE($L$53:$L559),CJ560)</f>
        <v/>
      </c>
      <c r="CK559" s="197">
        <f>IF(ISBLANK(CK560),AVERAGE($L$53:$L559)+STDEV($L$53:$L559),CK560)</f>
        <v/>
      </c>
      <c r="CL559" s="197">
        <f>IF(ISBLANK(CL560),AVERAGE($L$53:$L559)+STDEV($L$53:$L559)*2,CL560)</f>
        <v/>
      </c>
      <c r="CO559" s="372" t="n">
        <v>11.7466420332551</v>
      </c>
      <c r="CP559" s="372" t="n">
        <v>4.35</v>
      </c>
      <c r="CQ559" s="360" t="n"/>
      <c r="CR559" s="372" t="n">
        <v>9.41</v>
      </c>
      <c r="CS559" s="971" t="n">
        <v>0.80108</v>
      </c>
    </row>
    <row r="560">
      <c r="B560" s="204">
        <f>+C560-1</f>
        <v/>
      </c>
      <c r="C560" s="204">
        <f>IF('bands_A-H_Avg'!$D$9+1&gt;MONTH(G560),YEAR(G560),YEAR(G560)+1)</f>
        <v/>
      </c>
      <c r="D560" s="204">
        <f>+C560+1</f>
        <v/>
      </c>
      <c r="E560" s="203">
        <f>IF(C560&gt;C559,1,E559+1)</f>
        <v/>
      </c>
      <c r="F560" s="203">
        <f>COUNTIF(C:C,C560)</f>
        <v/>
      </c>
      <c r="G560" s="198">
        <f>+G559+7</f>
        <v/>
      </c>
      <c r="H560" s="361">
        <f>IF(ISBLANK(CO560),CP560,SUMPRODUCT(CO$32:CP$32,CO560:CP560))</f>
        <v/>
      </c>
      <c r="I560" s="968">
        <f>H560/M560</f>
        <v/>
      </c>
      <c r="J560" s="968">
        <f>H560/N560</f>
        <v/>
      </c>
      <c r="K560" s="968">
        <f>(H560+Q560)/O560</f>
        <v/>
      </c>
      <c r="L560" s="968">
        <f>(H560+Q560)/P560</f>
        <v/>
      </c>
      <c r="M560" s="199">
        <f>HLOOKUP(C:C,$4:$10,3,FALSE)+((HLOOKUP(D:D,$4:$10,3,FALSE)-HLOOKUP(C:C,$4:$10,3,FALSE))*E560/F560)</f>
        <v/>
      </c>
      <c r="N560" s="199">
        <f>HLOOKUP(C:C,$4:$10,2,FALSE)+((HLOOKUP(D:D,$4:$10,2,FALSE)-HLOOKUP(C:C,$4:$10,2,FALSE))*E560/F560)</f>
        <v/>
      </c>
      <c r="O560" s="199">
        <f>HLOOKUP(C:C,$4:$10,5,FALSE)+((HLOOKUP(D:D,$4:$10,5,FALSE)-HLOOKUP(C:C,$4:$10,5,FALSE))*E560/F560)</f>
        <v/>
      </c>
      <c r="P560" s="199">
        <f>HLOOKUP(C:C,$4:$10,4,FALSE)+((HLOOKUP(D:D,$4:$10,4,FALSE)-HLOOKUP(C:C,$4:$10,4,FALSE))*E560/F560)</f>
        <v/>
      </c>
      <c r="Q560" s="199">
        <f>HLOOKUP(B:B,$4:$10,6,FALSE)+((HLOOKUP(C:C,$4:$10,6,FALSE)-HLOOKUP(B:B,$4:$10,6,FALSE))*E560/F560)</f>
        <v/>
      </c>
      <c r="T560" s="198">
        <f>$G560</f>
        <v/>
      </c>
      <c r="U560" s="199">
        <f>H560/(HLOOKUP(B:B,$4:$10,3,FALSE)+((HLOOKUP(C:C,$4:$10,3,FALSE)-HLOOKUP(B:B,$4:$10,3,FALSE))*E560/F560))</f>
        <v/>
      </c>
      <c r="V560" s="969">
        <f>HLOOKUP(B:B,$4:$10,7,FALSE)+((HLOOKUP(C:C,$4:$10,7,FALSE)-HLOOKUP(B:B,$4:$10,7,FALSE))*E560/F560)</f>
        <v/>
      </c>
      <c r="AB560" s="198">
        <f>$G560</f>
        <v/>
      </c>
      <c r="AC560" s="199">
        <f>$H560</f>
        <v/>
      </c>
      <c r="AD560" s="199">
        <f>$M560*AD$34</f>
        <v/>
      </c>
      <c r="AE560" s="199">
        <f>$M560*AE$34</f>
        <v/>
      </c>
      <c r="AF560" s="199">
        <f>$M560*AF$34</f>
        <v/>
      </c>
      <c r="AG560" s="199">
        <f>$M560*AG$34</f>
        <v/>
      </c>
      <c r="AH560" s="199">
        <f>$M560*AH$34</f>
        <v/>
      </c>
      <c r="AJ560" s="198">
        <f>$G560</f>
        <v/>
      </c>
      <c r="AK560" s="199">
        <f>$H560</f>
        <v/>
      </c>
      <c r="AL560" s="199">
        <f>$N560*AL$34</f>
        <v/>
      </c>
      <c r="AM560" s="199">
        <f>$N560*AM$34</f>
        <v/>
      </c>
      <c r="AN560" s="199">
        <f>$N560*AN$34</f>
        <v/>
      </c>
      <c r="AO560" s="199">
        <f>$N560*AO$34</f>
        <v/>
      </c>
      <c r="AP560" s="199">
        <f>$N560*AP$34</f>
        <v/>
      </c>
      <c r="AR560" s="198">
        <f>$G560</f>
        <v/>
      </c>
      <c r="AS560" s="199">
        <f>$H560</f>
        <v/>
      </c>
      <c r="AT560" s="199">
        <f>$O560*AT$34-$Q560</f>
        <v/>
      </c>
      <c r="AU560" s="199">
        <f>$O560*AU$34-$Q560</f>
        <v/>
      </c>
      <c r="AV560" s="199">
        <f>$O560*AV$34-$Q560</f>
        <v/>
      </c>
      <c r="AW560" s="199">
        <f>$O560*AW$34-$Q560</f>
        <v/>
      </c>
      <c r="AX560" s="199">
        <f>$O560*AX$34-$Q560</f>
        <v/>
      </c>
      <c r="AZ560" s="198">
        <f>$G560</f>
        <v/>
      </c>
      <c r="BA560" s="199">
        <f>$H560</f>
        <v/>
      </c>
      <c r="BB560" s="199">
        <f>$P560*BB$34-$Q560</f>
        <v/>
      </c>
      <c r="BC560" s="199">
        <f>$P560*BC$34-$Q560</f>
        <v/>
      </c>
      <c r="BD560" s="199">
        <f>$P560*BD$34-$Q560</f>
        <v/>
      </c>
      <c r="BE560" s="199">
        <f>$P560*BE$34-$Q560</f>
        <v/>
      </c>
      <c r="BF560" s="199">
        <f>$P560*BF$34-$Q560</f>
        <v/>
      </c>
      <c r="BH560" s="198">
        <f>$G560</f>
        <v/>
      </c>
      <c r="BI560" s="197">
        <f>$I560</f>
        <v/>
      </c>
      <c r="BJ560" s="197">
        <f>IF(ISBLANK(BJ561),AVERAGE($I$53:$I560)-STDEV($I$53:$I560)*2,BJ561)</f>
        <v/>
      </c>
      <c r="BK560" s="197">
        <f>IF(ISBLANK(BK561),AVERAGE($I$53:$I560)-STDEV($I$53:$I560),BK561)</f>
        <v/>
      </c>
      <c r="BL560" s="197">
        <f>IF(ISBLANK(BL561),AVERAGE($I$53:$I560),BL561)</f>
        <v/>
      </c>
      <c r="BM560" s="197">
        <f>IF(ISBLANK(BM561),AVERAGE($I$53:$I560)+STDEV($I$53:$I560),BM561)</f>
        <v/>
      </c>
      <c r="BN560" s="197">
        <f>IF(ISBLANK(BN561),AVERAGE($I$53:$I560)+STDEV($I$53:$I560)*2,BN561)</f>
        <v/>
      </c>
      <c r="BP560" s="198">
        <f>$G560</f>
        <v/>
      </c>
      <c r="BQ560" s="197">
        <f>$J560</f>
        <v/>
      </c>
      <c r="BR560" s="197">
        <f>IF(ISBLANK(BR561),AVERAGE($J$53:$J560)-STDEV($J$53:$J560)*2,BR561)</f>
        <v/>
      </c>
      <c r="BS560" s="197">
        <f>IF(ISBLANK(BS561),AVERAGE($J$53:$J560)-STDEV($J$53:$J560),BS561)</f>
        <v/>
      </c>
      <c r="BT560" s="197">
        <f>IF(ISBLANK(BT561),AVERAGE($J$53:$J560),BT561)</f>
        <v/>
      </c>
      <c r="BU560" s="197">
        <f>IF(ISBLANK(BU561),AVERAGE($J$53:$J560)+STDEV($J$53:$J560),BU561)</f>
        <v/>
      </c>
      <c r="BV560" s="197">
        <f>IF(ISBLANK(BV561),AVERAGE($J$53:$J560)+STDEV($J$53:$J560)*2,BV561)</f>
        <v/>
      </c>
      <c r="BX560" s="198">
        <f>$G560</f>
        <v/>
      </c>
      <c r="BY560" s="197">
        <f>$K560</f>
        <v/>
      </c>
      <c r="BZ560" s="197">
        <f>IF(ISBLANK(BZ561),AVERAGE($K$53:$K560)-STDEV($K$53:$K560)*2,BZ561)</f>
        <v/>
      </c>
      <c r="CA560" s="197">
        <f>IF(ISBLANK(CA561),AVERAGE($K$53:$K560)-STDEV($K$53:$K560),CA561)</f>
        <v/>
      </c>
      <c r="CB560" s="197">
        <f>IF(ISBLANK(CB561),AVERAGE($K$53:$K560),CB561)</f>
        <v/>
      </c>
      <c r="CC560" s="197">
        <f>IF(ISBLANK(CC561),AVERAGE($K$53:$K560)+STDEV($K$53:$K560),CC561)</f>
        <v/>
      </c>
      <c r="CD560" s="197">
        <f>IF(ISBLANK(CD561),AVERAGE($K$53:$K560)+STDEV($K$53:$K560)*2,CD561)</f>
        <v/>
      </c>
      <c r="CF560" s="198">
        <f>$G560</f>
        <v/>
      </c>
      <c r="CG560" s="197">
        <f>$L560</f>
        <v/>
      </c>
      <c r="CH560" s="197">
        <f>IF(ISBLANK(CH561),AVERAGE($L$53:$L560)-STDEV($L$53:$L560)*2,CH561)</f>
        <v/>
      </c>
      <c r="CI560" s="197">
        <f>IF(ISBLANK(CI561),AVERAGE($L$53:$L560)-STDEV($L$53:$L560),CI561)</f>
        <v/>
      </c>
      <c r="CJ560" s="197">
        <f>IF(ISBLANK(CJ561),AVERAGE($L$53:$L560),CJ561)</f>
        <v/>
      </c>
      <c r="CK560" s="197">
        <f>IF(ISBLANK(CK561),AVERAGE($L$53:$L560)+STDEV($L$53:$L560),CK561)</f>
        <v/>
      </c>
      <c r="CL560" s="197">
        <f>IF(ISBLANK(CL561),AVERAGE($L$53:$L560)+STDEV($L$53:$L560)*2,CL561)</f>
        <v/>
      </c>
      <c r="CO560" s="372" t="n">
        <v>11.92825560190852</v>
      </c>
      <c r="CP560" s="372" t="n">
        <v>4.52</v>
      </c>
      <c r="CQ560" s="360" t="n"/>
      <c r="CR560" s="372" t="n">
        <v>9.550000000000001</v>
      </c>
      <c r="CS560" s="971" t="n">
        <v>0.80062</v>
      </c>
    </row>
    <row r="561">
      <c r="B561" s="204">
        <f>+C561-1</f>
        <v/>
      </c>
      <c r="C561" s="204">
        <f>IF('bands_A-H_Avg'!$D$9+1&gt;MONTH(G561),YEAR(G561),YEAR(G561)+1)</f>
        <v/>
      </c>
      <c r="D561" s="204">
        <f>+C561+1</f>
        <v/>
      </c>
      <c r="E561" s="203">
        <f>IF(C561&gt;C560,1,E560+1)</f>
        <v/>
      </c>
      <c r="F561" s="203">
        <f>COUNTIF(C:C,C561)</f>
        <v/>
      </c>
      <c r="G561" s="198">
        <f>+G560+7</f>
        <v/>
      </c>
      <c r="H561" s="361">
        <f>IF(ISBLANK(CO561),CP561,SUMPRODUCT(CO$32:CP$32,CO561:CP561))</f>
        <v/>
      </c>
      <c r="I561" s="968">
        <f>H561/M561</f>
        <v/>
      </c>
      <c r="J561" s="968">
        <f>H561/N561</f>
        <v/>
      </c>
      <c r="K561" s="968">
        <f>(H561+Q561)/O561</f>
        <v/>
      </c>
      <c r="L561" s="968">
        <f>(H561+Q561)/P561</f>
        <v/>
      </c>
      <c r="M561" s="199">
        <f>HLOOKUP(C:C,$4:$10,3,FALSE)+((HLOOKUP(D:D,$4:$10,3,FALSE)-HLOOKUP(C:C,$4:$10,3,FALSE))*E561/F561)</f>
        <v/>
      </c>
      <c r="N561" s="199">
        <f>HLOOKUP(C:C,$4:$10,2,FALSE)+((HLOOKUP(D:D,$4:$10,2,FALSE)-HLOOKUP(C:C,$4:$10,2,FALSE))*E561/F561)</f>
        <v/>
      </c>
      <c r="O561" s="199">
        <f>HLOOKUP(C:C,$4:$10,5,FALSE)+((HLOOKUP(D:D,$4:$10,5,FALSE)-HLOOKUP(C:C,$4:$10,5,FALSE))*E561/F561)</f>
        <v/>
      </c>
      <c r="P561" s="199">
        <f>HLOOKUP(C:C,$4:$10,4,FALSE)+((HLOOKUP(D:D,$4:$10,4,FALSE)-HLOOKUP(C:C,$4:$10,4,FALSE))*E561/F561)</f>
        <v/>
      </c>
      <c r="Q561" s="199">
        <f>HLOOKUP(B:B,$4:$10,6,FALSE)+((HLOOKUP(C:C,$4:$10,6,FALSE)-HLOOKUP(B:B,$4:$10,6,FALSE))*E561/F561)</f>
        <v/>
      </c>
      <c r="T561" s="198">
        <f>$G561</f>
        <v/>
      </c>
      <c r="U561" s="199">
        <f>H561/(HLOOKUP(B:B,$4:$10,3,FALSE)+((HLOOKUP(C:C,$4:$10,3,FALSE)-HLOOKUP(B:B,$4:$10,3,FALSE))*E561/F561))</f>
        <v/>
      </c>
      <c r="V561" s="969">
        <f>HLOOKUP(B:B,$4:$10,7,FALSE)+((HLOOKUP(C:C,$4:$10,7,FALSE)-HLOOKUP(B:B,$4:$10,7,FALSE))*E561/F561)</f>
        <v/>
      </c>
      <c r="AB561" s="198">
        <f>$G561</f>
        <v/>
      </c>
      <c r="AC561" s="199">
        <f>$H561</f>
        <v/>
      </c>
      <c r="AD561" s="199">
        <f>$M561*AD$34</f>
        <v/>
      </c>
      <c r="AE561" s="199">
        <f>$M561*AE$34</f>
        <v/>
      </c>
      <c r="AF561" s="199">
        <f>$M561*AF$34</f>
        <v/>
      </c>
      <c r="AG561" s="199">
        <f>$M561*AG$34</f>
        <v/>
      </c>
      <c r="AH561" s="199">
        <f>$M561*AH$34</f>
        <v/>
      </c>
      <c r="AJ561" s="198">
        <f>$G561</f>
        <v/>
      </c>
      <c r="AK561" s="199">
        <f>$H561</f>
        <v/>
      </c>
      <c r="AL561" s="199">
        <f>$N561*AL$34</f>
        <v/>
      </c>
      <c r="AM561" s="199">
        <f>$N561*AM$34</f>
        <v/>
      </c>
      <c r="AN561" s="199">
        <f>$N561*AN$34</f>
        <v/>
      </c>
      <c r="AO561" s="199">
        <f>$N561*AO$34</f>
        <v/>
      </c>
      <c r="AP561" s="199">
        <f>$N561*AP$34</f>
        <v/>
      </c>
      <c r="AR561" s="198">
        <f>$G561</f>
        <v/>
      </c>
      <c r="AS561" s="199">
        <f>$H561</f>
        <v/>
      </c>
      <c r="AT561" s="199">
        <f>$O561*AT$34-$Q561</f>
        <v/>
      </c>
      <c r="AU561" s="199">
        <f>$O561*AU$34-$Q561</f>
        <v/>
      </c>
      <c r="AV561" s="199">
        <f>$O561*AV$34-$Q561</f>
        <v/>
      </c>
      <c r="AW561" s="199">
        <f>$O561*AW$34-$Q561</f>
        <v/>
      </c>
      <c r="AX561" s="199">
        <f>$O561*AX$34-$Q561</f>
        <v/>
      </c>
      <c r="AZ561" s="198">
        <f>$G561</f>
        <v/>
      </c>
      <c r="BA561" s="199">
        <f>$H561</f>
        <v/>
      </c>
      <c r="BB561" s="199">
        <f>$P561*BB$34-$Q561</f>
        <v/>
      </c>
      <c r="BC561" s="199">
        <f>$P561*BC$34-$Q561</f>
        <v/>
      </c>
      <c r="BD561" s="199">
        <f>$P561*BD$34-$Q561</f>
        <v/>
      </c>
      <c r="BE561" s="199">
        <f>$P561*BE$34-$Q561</f>
        <v/>
      </c>
      <c r="BF561" s="199">
        <f>$P561*BF$34-$Q561</f>
        <v/>
      </c>
      <c r="BH561" s="198">
        <f>$G561</f>
        <v/>
      </c>
      <c r="BI561" s="197">
        <f>$I561</f>
        <v/>
      </c>
      <c r="BJ561" s="197">
        <f>IF(ISBLANK(BJ562),AVERAGE($I$53:$I561)-STDEV($I$53:$I561)*2,BJ562)</f>
        <v/>
      </c>
      <c r="BK561" s="197">
        <f>IF(ISBLANK(BK562),AVERAGE($I$53:$I561)-STDEV($I$53:$I561),BK562)</f>
        <v/>
      </c>
      <c r="BL561" s="197">
        <f>IF(ISBLANK(BL562),AVERAGE($I$53:$I561),BL562)</f>
        <v/>
      </c>
      <c r="BM561" s="197">
        <f>IF(ISBLANK(BM562),AVERAGE($I$53:$I561)+STDEV($I$53:$I561),BM562)</f>
        <v/>
      </c>
      <c r="BN561" s="197">
        <f>IF(ISBLANK(BN562),AVERAGE($I$53:$I561)+STDEV($I$53:$I561)*2,BN562)</f>
        <v/>
      </c>
      <c r="BP561" s="198">
        <f>$G561</f>
        <v/>
      </c>
      <c r="BQ561" s="197">
        <f>$J561</f>
        <v/>
      </c>
      <c r="BR561" s="197">
        <f>IF(ISBLANK(BR562),AVERAGE($J$53:$J561)-STDEV($J$53:$J561)*2,BR562)</f>
        <v/>
      </c>
      <c r="BS561" s="197">
        <f>IF(ISBLANK(BS562),AVERAGE($J$53:$J561)-STDEV($J$53:$J561),BS562)</f>
        <v/>
      </c>
      <c r="BT561" s="197">
        <f>IF(ISBLANK(BT562),AVERAGE($J$53:$J561),BT562)</f>
        <v/>
      </c>
      <c r="BU561" s="197">
        <f>IF(ISBLANK(BU562),AVERAGE($J$53:$J561)+STDEV($J$53:$J561),BU562)</f>
        <v/>
      </c>
      <c r="BV561" s="197">
        <f>IF(ISBLANK(BV562),AVERAGE($J$53:$J561)+STDEV($J$53:$J561)*2,BV562)</f>
        <v/>
      </c>
      <c r="BX561" s="198">
        <f>$G561</f>
        <v/>
      </c>
      <c r="BY561" s="197">
        <f>$K561</f>
        <v/>
      </c>
      <c r="BZ561" s="197">
        <f>IF(ISBLANK(BZ562),AVERAGE($K$53:$K561)-STDEV($K$53:$K561)*2,BZ562)</f>
        <v/>
      </c>
      <c r="CA561" s="197">
        <f>IF(ISBLANK(CA562),AVERAGE($K$53:$K561)-STDEV($K$53:$K561),CA562)</f>
        <v/>
      </c>
      <c r="CB561" s="197">
        <f>IF(ISBLANK(CB562),AVERAGE($K$53:$K561),CB562)</f>
        <v/>
      </c>
      <c r="CC561" s="197">
        <f>IF(ISBLANK(CC562),AVERAGE($K$53:$K561)+STDEV($K$53:$K561),CC562)</f>
        <v/>
      </c>
      <c r="CD561" s="197">
        <f>IF(ISBLANK(CD562),AVERAGE($K$53:$K561)+STDEV($K$53:$K561)*2,CD562)</f>
        <v/>
      </c>
      <c r="CF561" s="198">
        <f>$G561</f>
        <v/>
      </c>
      <c r="CG561" s="197">
        <f>$L561</f>
        <v/>
      </c>
      <c r="CH561" s="197">
        <f>IF(ISBLANK(CH562),AVERAGE($L$53:$L561)-STDEV($L$53:$L561)*2,CH562)</f>
        <v/>
      </c>
      <c r="CI561" s="197">
        <f>IF(ISBLANK(CI562),AVERAGE($L$53:$L561)-STDEV($L$53:$L561),CI562)</f>
        <v/>
      </c>
      <c r="CJ561" s="197">
        <f>IF(ISBLANK(CJ562),AVERAGE($L$53:$L561),CJ562)</f>
        <v/>
      </c>
      <c r="CK561" s="197">
        <f>IF(ISBLANK(CK562),AVERAGE($L$53:$L561)+STDEV($L$53:$L561),CK562)</f>
        <v/>
      </c>
      <c r="CL561" s="197">
        <f>IF(ISBLANK(CL562),AVERAGE($L$53:$L561)+STDEV($L$53:$L561)*2,CL562)</f>
        <v/>
      </c>
      <c r="CO561" s="372" t="n">
        <v>12.79131982032426</v>
      </c>
      <c r="CP561" s="372" t="n">
        <v>4.72</v>
      </c>
      <c r="CQ561" s="360" t="n"/>
      <c r="CR561" s="372" t="n">
        <v>10.28</v>
      </c>
      <c r="CS561" s="971" t="n">
        <v>0.80367</v>
      </c>
    </row>
    <row r="562">
      <c r="B562" s="204">
        <f>+C562-1</f>
        <v/>
      </c>
      <c r="C562" s="204">
        <f>IF('bands_A-H_Avg'!$D$9+1&gt;MONTH(G562),YEAR(G562),YEAR(G562)+1)</f>
        <v/>
      </c>
      <c r="D562" s="204">
        <f>+C562+1</f>
        <v/>
      </c>
      <c r="E562" s="203">
        <f>IF(C562&gt;C561,1,E561+1)</f>
        <v/>
      </c>
      <c r="F562" s="203">
        <f>COUNTIF(C:C,C562)</f>
        <v/>
      </c>
      <c r="G562" s="198">
        <f>+G561+7</f>
        <v/>
      </c>
      <c r="H562" s="361">
        <f>IF(ISBLANK(CO562),CP562,SUMPRODUCT(CO$32:CP$32,CO562:CP562))</f>
        <v/>
      </c>
      <c r="I562" s="968">
        <f>H562/M562</f>
        <v/>
      </c>
      <c r="J562" s="968">
        <f>H562/N562</f>
        <v/>
      </c>
      <c r="K562" s="968">
        <f>(H562+Q562)/O562</f>
        <v/>
      </c>
      <c r="L562" s="968">
        <f>(H562+Q562)/P562</f>
        <v/>
      </c>
      <c r="M562" s="199">
        <f>HLOOKUP(C:C,$4:$10,3,FALSE)+((HLOOKUP(D:D,$4:$10,3,FALSE)-HLOOKUP(C:C,$4:$10,3,FALSE))*E562/F562)</f>
        <v/>
      </c>
      <c r="N562" s="199">
        <f>HLOOKUP(C:C,$4:$10,2,FALSE)+((HLOOKUP(D:D,$4:$10,2,FALSE)-HLOOKUP(C:C,$4:$10,2,FALSE))*E562/F562)</f>
        <v/>
      </c>
      <c r="O562" s="199">
        <f>HLOOKUP(C:C,$4:$10,5,FALSE)+((HLOOKUP(D:D,$4:$10,5,FALSE)-HLOOKUP(C:C,$4:$10,5,FALSE))*E562/F562)</f>
        <v/>
      </c>
      <c r="P562" s="199">
        <f>HLOOKUP(C:C,$4:$10,4,FALSE)+((HLOOKUP(D:D,$4:$10,4,FALSE)-HLOOKUP(C:C,$4:$10,4,FALSE))*E562/F562)</f>
        <v/>
      </c>
      <c r="Q562" s="199">
        <f>HLOOKUP(B:B,$4:$10,6,FALSE)+((HLOOKUP(C:C,$4:$10,6,FALSE)-HLOOKUP(B:B,$4:$10,6,FALSE))*E562/F562)</f>
        <v/>
      </c>
      <c r="T562" s="198">
        <f>$G562</f>
        <v/>
      </c>
      <c r="U562" s="199">
        <f>H562/(HLOOKUP(B:B,$4:$10,3,FALSE)+((HLOOKUP(C:C,$4:$10,3,FALSE)-HLOOKUP(B:B,$4:$10,3,FALSE))*E562/F562))</f>
        <v/>
      </c>
      <c r="V562" s="969">
        <f>HLOOKUP(B:B,$4:$10,7,FALSE)+((HLOOKUP(C:C,$4:$10,7,FALSE)-HLOOKUP(B:B,$4:$10,7,FALSE))*E562/F562)</f>
        <v/>
      </c>
      <c r="AB562" s="198">
        <f>$G562</f>
        <v/>
      </c>
      <c r="AC562" s="199">
        <f>$H562</f>
        <v/>
      </c>
      <c r="AD562" s="199">
        <f>$M562*AD$34</f>
        <v/>
      </c>
      <c r="AE562" s="199">
        <f>$M562*AE$34</f>
        <v/>
      </c>
      <c r="AF562" s="199">
        <f>$M562*AF$34</f>
        <v/>
      </c>
      <c r="AG562" s="199">
        <f>$M562*AG$34</f>
        <v/>
      </c>
      <c r="AH562" s="199">
        <f>$M562*AH$34</f>
        <v/>
      </c>
      <c r="AJ562" s="198">
        <f>$G562</f>
        <v/>
      </c>
      <c r="AK562" s="199">
        <f>$H562</f>
        <v/>
      </c>
      <c r="AL562" s="199">
        <f>$N562*AL$34</f>
        <v/>
      </c>
      <c r="AM562" s="199">
        <f>$N562*AM$34</f>
        <v/>
      </c>
      <c r="AN562" s="199">
        <f>$N562*AN$34</f>
        <v/>
      </c>
      <c r="AO562" s="199">
        <f>$N562*AO$34</f>
        <v/>
      </c>
      <c r="AP562" s="199">
        <f>$N562*AP$34</f>
        <v/>
      </c>
      <c r="AR562" s="198">
        <f>$G562</f>
        <v/>
      </c>
      <c r="AS562" s="199">
        <f>$H562</f>
        <v/>
      </c>
      <c r="AT562" s="199">
        <f>$O562*AT$34-$Q562</f>
        <v/>
      </c>
      <c r="AU562" s="199">
        <f>$O562*AU$34-$Q562</f>
        <v/>
      </c>
      <c r="AV562" s="199">
        <f>$O562*AV$34-$Q562</f>
        <v/>
      </c>
      <c r="AW562" s="199">
        <f>$O562*AW$34-$Q562</f>
        <v/>
      </c>
      <c r="AX562" s="199">
        <f>$O562*AX$34-$Q562</f>
        <v/>
      </c>
      <c r="AZ562" s="198">
        <f>$G562</f>
        <v/>
      </c>
      <c r="BA562" s="199">
        <f>$H562</f>
        <v/>
      </c>
      <c r="BB562" s="199">
        <f>$P562*BB$34-$Q562</f>
        <v/>
      </c>
      <c r="BC562" s="199">
        <f>$P562*BC$34-$Q562</f>
        <v/>
      </c>
      <c r="BD562" s="199">
        <f>$P562*BD$34-$Q562</f>
        <v/>
      </c>
      <c r="BE562" s="199">
        <f>$P562*BE$34-$Q562</f>
        <v/>
      </c>
      <c r="BF562" s="199">
        <f>$P562*BF$34-$Q562</f>
        <v/>
      </c>
      <c r="BH562" s="198">
        <f>$G562</f>
        <v/>
      </c>
      <c r="BI562" s="197">
        <f>$I562</f>
        <v/>
      </c>
      <c r="BJ562" s="197">
        <f>IF(ISBLANK(BJ563),AVERAGE($I$53:$I562)-STDEV($I$53:$I562)*2,BJ563)</f>
        <v/>
      </c>
      <c r="BK562" s="197">
        <f>IF(ISBLANK(BK563),AVERAGE($I$53:$I562)-STDEV($I$53:$I562),BK563)</f>
        <v/>
      </c>
      <c r="BL562" s="197">
        <f>IF(ISBLANK(BL563),AVERAGE($I$53:$I562),BL563)</f>
        <v/>
      </c>
      <c r="BM562" s="197">
        <f>IF(ISBLANK(BM563),AVERAGE($I$53:$I562)+STDEV($I$53:$I562),BM563)</f>
        <v/>
      </c>
      <c r="BN562" s="197">
        <f>IF(ISBLANK(BN563),AVERAGE($I$53:$I562)+STDEV($I$53:$I562)*2,BN563)</f>
        <v/>
      </c>
      <c r="BP562" s="198">
        <f>$G562</f>
        <v/>
      </c>
      <c r="BQ562" s="197">
        <f>$J562</f>
        <v/>
      </c>
      <c r="BR562" s="197">
        <f>IF(ISBLANK(BR563),AVERAGE($J$53:$J562)-STDEV($J$53:$J562)*2,BR563)</f>
        <v/>
      </c>
      <c r="BS562" s="197">
        <f>IF(ISBLANK(BS563),AVERAGE($J$53:$J562)-STDEV($J$53:$J562),BS563)</f>
        <v/>
      </c>
      <c r="BT562" s="197">
        <f>IF(ISBLANK(BT563),AVERAGE($J$53:$J562),BT563)</f>
        <v/>
      </c>
      <c r="BU562" s="197">
        <f>IF(ISBLANK(BU563),AVERAGE($J$53:$J562)+STDEV($J$53:$J562),BU563)</f>
        <v/>
      </c>
      <c r="BV562" s="197">
        <f>IF(ISBLANK(BV563),AVERAGE($J$53:$J562)+STDEV($J$53:$J562)*2,BV563)</f>
        <v/>
      </c>
      <c r="BX562" s="198">
        <f>$G562</f>
        <v/>
      </c>
      <c r="BY562" s="197">
        <f>$K562</f>
        <v/>
      </c>
      <c r="BZ562" s="197">
        <f>IF(ISBLANK(BZ563),AVERAGE($K$53:$K562)-STDEV($K$53:$K562)*2,BZ563)</f>
        <v/>
      </c>
      <c r="CA562" s="197">
        <f>IF(ISBLANK(CA563),AVERAGE($K$53:$K562)-STDEV($K$53:$K562),CA563)</f>
        <v/>
      </c>
      <c r="CB562" s="197">
        <f>IF(ISBLANK(CB563),AVERAGE($K$53:$K562),CB563)</f>
        <v/>
      </c>
      <c r="CC562" s="197">
        <f>IF(ISBLANK(CC563),AVERAGE($K$53:$K562)+STDEV($K$53:$K562),CC563)</f>
        <v/>
      </c>
      <c r="CD562" s="197">
        <f>IF(ISBLANK(CD563),AVERAGE($K$53:$K562)+STDEV($K$53:$K562)*2,CD563)</f>
        <v/>
      </c>
      <c r="CF562" s="198">
        <f>$G562</f>
        <v/>
      </c>
      <c r="CG562" s="197">
        <f>$L562</f>
        <v/>
      </c>
      <c r="CH562" s="197">
        <f>IF(ISBLANK(CH563),AVERAGE($L$53:$L562)-STDEV($L$53:$L562)*2,CH563)</f>
        <v/>
      </c>
      <c r="CI562" s="197">
        <f>IF(ISBLANK(CI563),AVERAGE($L$53:$L562)-STDEV($L$53:$L562),CI563)</f>
        <v/>
      </c>
      <c r="CJ562" s="197">
        <f>IF(ISBLANK(CJ563),AVERAGE($L$53:$L562),CJ563)</f>
        <v/>
      </c>
      <c r="CK562" s="197">
        <f>IF(ISBLANK(CK563),AVERAGE($L$53:$L562)+STDEV($L$53:$L562),CK563)</f>
        <v/>
      </c>
      <c r="CL562" s="197">
        <f>IF(ISBLANK(CL563),AVERAGE($L$53:$L562)+STDEV($L$53:$L562)*2,CL563)</f>
        <v/>
      </c>
      <c r="CO562" s="372" t="n">
        <v>13.54667592087651</v>
      </c>
      <c r="CP562" s="372" t="n">
        <v>4.76</v>
      </c>
      <c r="CQ562" s="360" t="n"/>
      <c r="CR562" s="372" t="n">
        <v>10.93</v>
      </c>
      <c r="CS562" s="971" t="n">
        <v>0.80684</v>
      </c>
    </row>
    <row r="563">
      <c r="B563" s="204">
        <f>+C563-1</f>
        <v/>
      </c>
      <c r="C563" s="204">
        <f>IF('bands_A-H_Avg'!$D$9+1&gt;MONTH(G563),YEAR(G563),YEAR(G563)+1)</f>
        <v/>
      </c>
      <c r="D563" s="204">
        <f>+C563+1</f>
        <v/>
      </c>
      <c r="E563" s="203">
        <f>IF(C563&gt;C562,1,E562+1)</f>
        <v/>
      </c>
      <c r="F563" s="203">
        <f>COUNTIF(C:C,C563)</f>
        <v/>
      </c>
      <c r="G563" s="198">
        <f>+G562+7</f>
        <v/>
      </c>
      <c r="H563" s="361">
        <f>IF(ISBLANK(CO563),CP563,SUMPRODUCT(CO$32:CP$32,CO563:CP563))</f>
        <v/>
      </c>
      <c r="I563" s="968">
        <f>H563/M563</f>
        <v/>
      </c>
      <c r="J563" s="968">
        <f>H563/N563</f>
        <v/>
      </c>
      <c r="K563" s="968">
        <f>(H563+Q563)/O563</f>
        <v/>
      </c>
      <c r="L563" s="968">
        <f>(H563+Q563)/P563</f>
        <v/>
      </c>
      <c r="M563" s="199">
        <f>HLOOKUP(C:C,$4:$10,3,FALSE)+((HLOOKUP(D:D,$4:$10,3,FALSE)-HLOOKUP(C:C,$4:$10,3,FALSE))*E563/F563)</f>
        <v/>
      </c>
      <c r="N563" s="199">
        <f>HLOOKUP(C:C,$4:$10,2,FALSE)+((HLOOKUP(D:D,$4:$10,2,FALSE)-HLOOKUP(C:C,$4:$10,2,FALSE))*E563/F563)</f>
        <v/>
      </c>
      <c r="O563" s="199">
        <f>HLOOKUP(C:C,$4:$10,5,FALSE)+((HLOOKUP(D:D,$4:$10,5,FALSE)-HLOOKUP(C:C,$4:$10,5,FALSE))*E563/F563)</f>
        <v/>
      </c>
      <c r="P563" s="199">
        <f>HLOOKUP(C:C,$4:$10,4,FALSE)+((HLOOKUP(D:D,$4:$10,4,FALSE)-HLOOKUP(C:C,$4:$10,4,FALSE))*E563/F563)</f>
        <v/>
      </c>
      <c r="Q563" s="199">
        <f>HLOOKUP(B:B,$4:$10,6,FALSE)+((HLOOKUP(C:C,$4:$10,6,FALSE)-HLOOKUP(B:B,$4:$10,6,FALSE))*E563/F563)</f>
        <v/>
      </c>
      <c r="T563" s="198">
        <f>$G563</f>
        <v/>
      </c>
      <c r="U563" s="199">
        <f>H563/(HLOOKUP(B:B,$4:$10,3,FALSE)+((HLOOKUP(C:C,$4:$10,3,FALSE)-HLOOKUP(B:B,$4:$10,3,FALSE))*E563/F563))</f>
        <v/>
      </c>
      <c r="V563" s="969">
        <f>HLOOKUP(B:B,$4:$10,7,FALSE)+((HLOOKUP(C:C,$4:$10,7,FALSE)-HLOOKUP(B:B,$4:$10,7,FALSE))*E563/F563)</f>
        <v/>
      </c>
      <c r="AB563" s="198">
        <f>$G563</f>
        <v/>
      </c>
      <c r="AC563" s="199">
        <f>$H563</f>
        <v/>
      </c>
      <c r="AD563" s="199">
        <f>$M563*AD$34</f>
        <v/>
      </c>
      <c r="AE563" s="199">
        <f>$M563*AE$34</f>
        <v/>
      </c>
      <c r="AF563" s="199">
        <f>$M563*AF$34</f>
        <v/>
      </c>
      <c r="AG563" s="199">
        <f>$M563*AG$34</f>
        <v/>
      </c>
      <c r="AH563" s="199">
        <f>$M563*AH$34</f>
        <v/>
      </c>
      <c r="AJ563" s="198">
        <f>$G563</f>
        <v/>
      </c>
      <c r="AK563" s="199">
        <f>$H563</f>
        <v/>
      </c>
      <c r="AL563" s="199">
        <f>$N563*AL$34</f>
        <v/>
      </c>
      <c r="AM563" s="199">
        <f>$N563*AM$34</f>
        <v/>
      </c>
      <c r="AN563" s="199">
        <f>$N563*AN$34</f>
        <v/>
      </c>
      <c r="AO563" s="199">
        <f>$N563*AO$34</f>
        <v/>
      </c>
      <c r="AP563" s="199">
        <f>$N563*AP$34</f>
        <v/>
      </c>
      <c r="AR563" s="198">
        <f>$G563</f>
        <v/>
      </c>
      <c r="AS563" s="199">
        <f>$H563</f>
        <v/>
      </c>
      <c r="AT563" s="199">
        <f>$O563*AT$34-$Q563</f>
        <v/>
      </c>
      <c r="AU563" s="199">
        <f>$O563*AU$34-$Q563</f>
        <v/>
      </c>
      <c r="AV563" s="199">
        <f>$O563*AV$34-$Q563</f>
        <v/>
      </c>
      <c r="AW563" s="199">
        <f>$O563*AW$34-$Q563</f>
        <v/>
      </c>
      <c r="AX563" s="199">
        <f>$O563*AX$34-$Q563</f>
        <v/>
      </c>
      <c r="AZ563" s="198">
        <f>$G563</f>
        <v/>
      </c>
      <c r="BA563" s="199">
        <f>$H563</f>
        <v/>
      </c>
      <c r="BB563" s="199">
        <f>$P563*BB$34-$Q563</f>
        <v/>
      </c>
      <c r="BC563" s="199">
        <f>$P563*BC$34-$Q563</f>
        <v/>
      </c>
      <c r="BD563" s="199">
        <f>$P563*BD$34-$Q563</f>
        <v/>
      </c>
      <c r="BE563" s="199">
        <f>$P563*BE$34-$Q563</f>
        <v/>
      </c>
      <c r="BF563" s="199">
        <f>$P563*BF$34-$Q563</f>
        <v/>
      </c>
      <c r="BH563" s="198">
        <f>$G563</f>
        <v/>
      </c>
      <c r="BI563" s="197">
        <f>$I563</f>
        <v/>
      </c>
      <c r="BJ563" s="197">
        <f>IF(ISBLANK(BJ564),AVERAGE($I$53:$I563)-STDEV($I$53:$I563)*2,BJ564)</f>
        <v/>
      </c>
      <c r="BK563" s="197">
        <f>IF(ISBLANK(BK564),AVERAGE($I$53:$I563)-STDEV($I$53:$I563),BK564)</f>
        <v/>
      </c>
      <c r="BL563" s="197">
        <f>IF(ISBLANK(BL564),AVERAGE($I$53:$I563),BL564)</f>
        <v/>
      </c>
      <c r="BM563" s="197">
        <f>IF(ISBLANK(BM564),AVERAGE($I$53:$I563)+STDEV($I$53:$I563),BM564)</f>
        <v/>
      </c>
      <c r="BN563" s="197">
        <f>IF(ISBLANK(BN564),AVERAGE($I$53:$I563)+STDEV($I$53:$I563)*2,BN564)</f>
        <v/>
      </c>
      <c r="BP563" s="198">
        <f>$G563</f>
        <v/>
      </c>
      <c r="BQ563" s="197">
        <f>$J563</f>
        <v/>
      </c>
      <c r="BR563" s="197">
        <f>IF(ISBLANK(BR564),AVERAGE($J$53:$J563)-STDEV($J$53:$J563)*2,BR564)</f>
        <v/>
      </c>
      <c r="BS563" s="197">
        <f>IF(ISBLANK(BS564),AVERAGE($J$53:$J563)-STDEV($J$53:$J563),BS564)</f>
        <v/>
      </c>
      <c r="BT563" s="197">
        <f>IF(ISBLANK(BT564),AVERAGE($J$53:$J563),BT564)</f>
        <v/>
      </c>
      <c r="BU563" s="197">
        <f>IF(ISBLANK(BU564),AVERAGE($J$53:$J563)+STDEV($J$53:$J563),BU564)</f>
        <v/>
      </c>
      <c r="BV563" s="197">
        <f>IF(ISBLANK(BV564),AVERAGE($J$53:$J563)+STDEV($J$53:$J563)*2,BV564)</f>
        <v/>
      </c>
      <c r="BX563" s="198">
        <f>$G563</f>
        <v/>
      </c>
      <c r="BY563" s="197">
        <f>$K563</f>
        <v/>
      </c>
      <c r="BZ563" s="197">
        <f>IF(ISBLANK(BZ564),AVERAGE($K$53:$K563)-STDEV($K$53:$K563)*2,BZ564)</f>
        <v/>
      </c>
      <c r="CA563" s="197">
        <f>IF(ISBLANK(CA564),AVERAGE($K$53:$K563)-STDEV($K$53:$K563),CA564)</f>
        <v/>
      </c>
      <c r="CB563" s="197">
        <f>IF(ISBLANK(CB564),AVERAGE($K$53:$K563),CB564)</f>
        <v/>
      </c>
      <c r="CC563" s="197">
        <f>IF(ISBLANK(CC564),AVERAGE($K$53:$K563)+STDEV($K$53:$K563),CC564)</f>
        <v/>
      </c>
      <c r="CD563" s="197">
        <f>IF(ISBLANK(CD564),AVERAGE($K$53:$K563)+STDEV($K$53:$K563)*2,CD564)</f>
        <v/>
      </c>
      <c r="CF563" s="198">
        <f>$G563</f>
        <v/>
      </c>
      <c r="CG563" s="197">
        <f>$L563</f>
        <v/>
      </c>
      <c r="CH563" s="197">
        <f>IF(ISBLANK(CH564),AVERAGE($L$53:$L563)-STDEV($L$53:$L563)*2,CH564)</f>
        <v/>
      </c>
      <c r="CI563" s="197">
        <f>IF(ISBLANK(CI564),AVERAGE($L$53:$L563)-STDEV($L$53:$L563),CI564)</f>
        <v/>
      </c>
      <c r="CJ563" s="197">
        <f>IF(ISBLANK(CJ564),AVERAGE($L$53:$L563),CJ564)</f>
        <v/>
      </c>
      <c r="CK563" s="197">
        <f>IF(ISBLANK(CK564),AVERAGE($L$53:$L563)+STDEV($L$53:$L563),CK564)</f>
        <v/>
      </c>
      <c r="CL563" s="197">
        <f>IF(ISBLANK(CL564),AVERAGE($L$53:$L563)+STDEV($L$53:$L563)*2,CL564)</f>
        <v/>
      </c>
      <c r="CO563" s="372" t="n">
        <v>12.73901167121927</v>
      </c>
      <c r="CP563" s="372" t="n">
        <v>4.39</v>
      </c>
      <c r="CQ563" s="360" t="n"/>
      <c r="CR563" s="372" t="n">
        <v>10.26</v>
      </c>
      <c r="CS563" s="971" t="n">
        <v>0.8054</v>
      </c>
    </row>
    <row r="564">
      <c r="B564" s="204">
        <f>+C564-1</f>
        <v/>
      </c>
      <c r="C564" s="204">
        <f>IF('bands_A-H_Avg'!$D$9+1&gt;MONTH(G564),YEAR(G564),YEAR(G564)+1)</f>
        <v/>
      </c>
      <c r="D564" s="204">
        <f>+C564+1</f>
        <v/>
      </c>
      <c r="E564" s="203">
        <f>IF(C564&gt;C563,1,E563+1)</f>
        <v/>
      </c>
      <c r="F564" s="203">
        <f>COUNTIF(C:C,C564)</f>
        <v/>
      </c>
      <c r="G564" s="198">
        <f>+G563+7</f>
        <v/>
      </c>
      <c r="H564" s="361">
        <f>IF(ISBLANK(CO564),CP564,SUMPRODUCT(CO$32:CP$32,CO564:CP564))</f>
        <v/>
      </c>
      <c r="I564" s="968">
        <f>H564/M564</f>
        <v/>
      </c>
      <c r="J564" s="968">
        <f>H564/N564</f>
        <v/>
      </c>
      <c r="K564" s="968">
        <f>(H564+Q564)/O564</f>
        <v/>
      </c>
      <c r="L564" s="968">
        <f>(H564+Q564)/P564</f>
        <v/>
      </c>
      <c r="M564" s="199">
        <f>HLOOKUP(C:C,$4:$10,3,FALSE)+((HLOOKUP(D:D,$4:$10,3,FALSE)-HLOOKUP(C:C,$4:$10,3,FALSE))*E564/F564)</f>
        <v/>
      </c>
      <c r="N564" s="199">
        <f>HLOOKUP(C:C,$4:$10,2,FALSE)+((HLOOKUP(D:D,$4:$10,2,FALSE)-HLOOKUP(C:C,$4:$10,2,FALSE))*E564/F564)</f>
        <v/>
      </c>
      <c r="O564" s="199">
        <f>HLOOKUP(C:C,$4:$10,5,FALSE)+((HLOOKUP(D:D,$4:$10,5,FALSE)-HLOOKUP(C:C,$4:$10,5,FALSE))*E564/F564)</f>
        <v/>
      </c>
      <c r="P564" s="199">
        <f>HLOOKUP(C:C,$4:$10,4,FALSE)+((HLOOKUP(D:D,$4:$10,4,FALSE)-HLOOKUP(C:C,$4:$10,4,FALSE))*E564/F564)</f>
        <v/>
      </c>
      <c r="Q564" s="199">
        <f>HLOOKUP(B:B,$4:$10,6,FALSE)+((HLOOKUP(C:C,$4:$10,6,FALSE)-HLOOKUP(B:B,$4:$10,6,FALSE))*E564/F564)</f>
        <v/>
      </c>
      <c r="T564" s="198">
        <f>$G564</f>
        <v/>
      </c>
      <c r="U564" s="199">
        <f>H564/(HLOOKUP(B:B,$4:$10,3,FALSE)+((HLOOKUP(C:C,$4:$10,3,FALSE)-HLOOKUP(B:B,$4:$10,3,FALSE))*E564/F564))</f>
        <v/>
      </c>
      <c r="V564" s="969">
        <f>HLOOKUP(B:B,$4:$10,7,FALSE)+((HLOOKUP(C:C,$4:$10,7,FALSE)-HLOOKUP(B:B,$4:$10,7,FALSE))*E564/F564)</f>
        <v/>
      </c>
      <c r="AB564" s="198">
        <f>$G564</f>
        <v/>
      </c>
      <c r="AC564" s="199">
        <f>$H564</f>
        <v/>
      </c>
      <c r="AD564" s="199">
        <f>$M564*AD$34</f>
        <v/>
      </c>
      <c r="AE564" s="199">
        <f>$M564*AE$34</f>
        <v/>
      </c>
      <c r="AF564" s="199">
        <f>$M564*AF$34</f>
        <v/>
      </c>
      <c r="AG564" s="199">
        <f>$M564*AG$34</f>
        <v/>
      </c>
      <c r="AH564" s="199">
        <f>$M564*AH$34</f>
        <v/>
      </c>
      <c r="AJ564" s="198">
        <f>$G564</f>
        <v/>
      </c>
      <c r="AK564" s="199">
        <f>$H564</f>
        <v/>
      </c>
      <c r="AL564" s="199">
        <f>$N564*AL$34</f>
        <v/>
      </c>
      <c r="AM564" s="199">
        <f>$N564*AM$34</f>
        <v/>
      </c>
      <c r="AN564" s="199">
        <f>$N564*AN$34</f>
        <v/>
      </c>
      <c r="AO564" s="199">
        <f>$N564*AO$34</f>
        <v/>
      </c>
      <c r="AP564" s="199">
        <f>$N564*AP$34</f>
        <v/>
      </c>
      <c r="AR564" s="198">
        <f>$G564</f>
        <v/>
      </c>
      <c r="AS564" s="199">
        <f>$H564</f>
        <v/>
      </c>
      <c r="AT564" s="199">
        <f>$O564*AT$34-$Q564</f>
        <v/>
      </c>
      <c r="AU564" s="199">
        <f>$O564*AU$34-$Q564</f>
        <v/>
      </c>
      <c r="AV564" s="199">
        <f>$O564*AV$34-$Q564</f>
        <v/>
      </c>
      <c r="AW564" s="199">
        <f>$O564*AW$34-$Q564</f>
        <v/>
      </c>
      <c r="AX564" s="199">
        <f>$O564*AX$34-$Q564</f>
        <v/>
      </c>
      <c r="AZ564" s="198">
        <f>$G564</f>
        <v/>
      </c>
      <c r="BA564" s="199">
        <f>$H564</f>
        <v/>
      </c>
      <c r="BB564" s="199">
        <f>$P564*BB$34-$Q564</f>
        <v/>
      </c>
      <c r="BC564" s="199">
        <f>$P564*BC$34-$Q564</f>
        <v/>
      </c>
      <c r="BD564" s="199">
        <f>$P564*BD$34-$Q564</f>
        <v/>
      </c>
      <c r="BE564" s="199">
        <f>$P564*BE$34-$Q564</f>
        <v/>
      </c>
      <c r="BF564" s="199">
        <f>$P564*BF$34-$Q564</f>
        <v/>
      </c>
      <c r="BH564" s="198">
        <f>$G564</f>
        <v/>
      </c>
      <c r="BI564" s="197">
        <f>$I564</f>
        <v/>
      </c>
      <c r="BJ564" s="197">
        <f>IF(ISBLANK(BJ565),AVERAGE($I$53:$I564)-STDEV($I$53:$I564)*2,BJ565)</f>
        <v/>
      </c>
      <c r="BK564" s="197">
        <f>IF(ISBLANK(BK565),AVERAGE($I$53:$I564)-STDEV($I$53:$I564),BK565)</f>
        <v/>
      </c>
      <c r="BL564" s="197">
        <f>IF(ISBLANK(BL565),AVERAGE($I$53:$I564),BL565)</f>
        <v/>
      </c>
      <c r="BM564" s="197">
        <f>IF(ISBLANK(BM565),AVERAGE($I$53:$I564)+STDEV($I$53:$I564),BM565)</f>
        <v/>
      </c>
      <c r="BN564" s="197">
        <f>IF(ISBLANK(BN565),AVERAGE($I$53:$I564)+STDEV($I$53:$I564)*2,BN565)</f>
        <v/>
      </c>
      <c r="BP564" s="198">
        <f>$G564</f>
        <v/>
      </c>
      <c r="BQ564" s="197">
        <f>$J564</f>
        <v/>
      </c>
      <c r="BR564" s="197">
        <f>IF(ISBLANK(BR565),AVERAGE($J$53:$J564)-STDEV($J$53:$J564)*2,BR565)</f>
        <v/>
      </c>
      <c r="BS564" s="197">
        <f>IF(ISBLANK(BS565),AVERAGE($J$53:$J564)-STDEV($J$53:$J564),BS565)</f>
        <v/>
      </c>
      <c r="BT564" s="197">
        <f>IF(ISBLANK(BT565),AVERAGE($J$53:$J564),BT565)</f>
        <v/>
      </c>
      <c r="BU564" s="197">
        <f>IF(ISBLANK(BU565),AVERAGE($J$53:$J564)+STDEV($J$53:$J564),BU565)</f>
        <v/>
      </c>
      <c r="BV564" s="197">
        <f>IF(ISBLANK(BV565),AVERAGE($J$53:$J564)+STDEV($J$53:$J564)*2,BV565)</f>
        <v/>
      </c>
      <c r="BX564" s="198">
        <f>$G564</f>
        <v/>
      </c>
      <c r="BY564" s="197">
        <f>$K564</f>
        <v/>
      </c>
      <c r="BZ564" s="197">
        <f>IF(ISBLANK(BZ565),AVERAGE($K$53:$K564)-STDEV($K$53:$K564)*2,BZ565)</f>
        <v/>
      </c>
      <c r="CA564" s="197">
        <f>IF(ISBLANK(CA565),AVERAGE($K$53:$K564)-STDEV($K$53:$K564),CA565)</f>
        <v/>
      </c>
      <c r="CB564" s="197">
        <f>IF(ISBLANK(CB565),AVERAGE($K$53:$K564),CB565)</f>
        <v/>
      </c>
      <c r="CC564" s="197">
        <f>IF(ISBLANK(CC565),AVERAGE($K$53:$K564)+STDEV($K$53:$K564),CC565)</f>
        <v/>
      </c>
      <c r="CD564" s="197">
        <f>IF(ISBLANK(CD565),AVERAGE($K$53:$K564)+STDEV($K$53:$K564)*2,CD565)</f>
        <v/>
      </c>
      <c r="CF564" s="198">
        <f>$G564</f>
        <v/>
      </c>
      <c r="CG564" s="197">
        <f>$L564</f>
        <v/>
      </c>
      <c r="CH564" s="197">
        <f>IF(ISBLANK(CH565),AVERAGE($L$53:$L564)-STDEV($L$53:$L564)*2,CH565)</f>
        <v/>
      </c>
      <c r="CI564" s="197">
        <f>IF(ISBLANK(CI565),AVERAGE($L$53:$L564)-STDEV($L$53:$L564),CI565)</f>
        <v/>
      </c>
      <c r="CJ564" s="197">
        <f>IF(ISBLANK(CJ565),AVERAGE($L$53:$L564),CJ565)</f>
        <v/>
      </c>
      <c r="CK564" s="197">
        <f>IF(ISBLANK(CK565),AVERAGE($L$53:$L564)+STDEV($L$53:$L564),CK565)</f>
        <v/>
      </c>
      <c r="CL564" s="197">
        <f>IF(ISBLANK(CL565),AVERAGE($L$53:$L564)+STDEV($L$53:$L564)*2,CL565)</f>
        <v/>
      </c>
      <c r="CO564" s="370">
        <f>+CR564/CS564</f>
        <v/>
      </c>
      <c r="CP564" s="370" t="n">
        <v>4.49</v>
      </c>
      <c r="CR564" s="370" t="n">
        <v>9.789999999999999</v>
      </c>
      <c r="CS564" s="972" t="n">
        <v>0.80516</v>
      </c>
    </row>
    <row r="565">
      <c r="B565" s="204">
        <f>+C565-1</f>
        <v/>
      </c>
      <c r="C565" s="204">
        <f>IF('bands_A-H_Avg'!$D$9+1&gt;MONTH(G565),YEAR(G565),YEAR(G565)+1)</f>
        <v/>
      </c>
      <c r="D565" s="204">
        <f>+C565+1</f>
        <v/>
      </c>
      <c r="E565" s="203">
        <f>IF(C565&gt;C564,1,E564+1)</f>
        <v/>
      </c>
      <c r="F565" s="203">
        <f>COUNTIF(C:C,C565)</f>
        <v/>
      </c>
      <c r="G565" s="198">
        <f>+G564+7</f>
        <v/>
      </c>
      <c r="H565" s="202" t="n"/>
      <c r="I565" s="968" t="n"/>
      <c r="J565" s="968" t="n"/>
      <c r="K565" s="968" t="n"/>
      <c r="L565" s="968" t="n"/>
      <c r="M565" s="199">
        <f>HLOOKUP(C:C,$4:$10,3,FALSE)+((HLOOKUP(D:D,$4:$10,3,FALSE)-HLOOKUP(C:C,$4:$10,3,FALSE))*E565/F565)</f>
        <v/>
      </c>
      <c r="N565" s="199">
        <f>HLOOKUP(C:C,$4:$10,2,FALSE)+((HLOOKUP(D:D,$4:$10,2,FALSE)-HLOOKUP(C:C,$4:$10,2,FALSE))*E565/F565)</f>
        <v/>
      </c>
      <c r="O565" s="199">
        <f>HLOOKUP(C:C,$4:$10,5,FALSE)+((HLOOKUP(D:D,$4:$10,5,FALSE)-HLOOKUP(C:C,$4:$10,5,FALSE))*E565/F565)</f>
        <v/>
      </c>
      <c r="P565" s="199">
        <f>HLOOKUP(C:C,$4:$10,4,FALSE)+((HLOOKUP(D:D,$4:$10,4,FALSE)-HLOOKUP(C:C,$4:$10,4,FALSE))*E565/F565)</f>
        <v/>
      </c>
      <c r="Q565" s="199">
        <f>HLOOKUP(B:B,$4:$10,6,FALSE)+((HLOOKUP(C:C,$4:$10,6,FALSE)-HLOOKUP(B:B,$4:$10,6,FALSE))*E565/F565)</f>
        <v/>
      </c>
      <c r="T565" s="198">
        <f>$G565</f>
        <v/>
      </c>
      <c r="U565" s="199" t="n"/>
      <c r="V565" s="969">
        <f>HLOOKUP(B:B,$4:$10,7,FALSE)+((HLOOKUP(C:C,$4:$10,7,FALSE)-HLOOKUP(B:B,$4:$10,7,FALSE))*E565/F565)</f>
        <v/>
      </c>
      <c r="AB565" s="198">
        <f>$G565</f>
        <v/>
      </c>
      <c r="AC565" s="199" t="n"/>
      <c r="AD565" s="199">
        <f>$M565*AD$34</f>
        <v/>
      </c>
      <c r="AE565" s="199">
        <f>$M565*AE$34</f>
        <v/>
      </c>
      <c r="AF565" s="199">
        <f>$M565*AF$34</f>
        <v/>
      </c>
      <c r="AG565" s="199">
        <f>$M565*AG$34</f>
        <v/>
      </c>
      <c r="AH565" s="199">
        <f>$M565*AH$34</f>
        <v/>
      </c>
      <c r="AJ565" s="198">
        <f>$G565</f>
        <v/>
      </c>
      <c r="AK565" s="199" t="n"/>
      <c r="AL565" s="199">
        <f>$N565*AL$34</f>
        <v/>
      </c>
      <c r="AM565" s="199">
        <f>$N565*AM$34</f>
        <v/>
      </c>
      <c r="AN565" s="199">
        <f>$N565*AN$34</f>
        <v/>
      </c>
      <c r="AO565" s="199">
        <f>$N565*AO$34</f>
        <v/>
      </c>
      <c r="AP565" s="199">
        <f>$N565*AP$34</f>
        <v/>
      </c>
      <c r="AR565" s="198">
        <f>$G565</f>
        <v/>
      </c>
      <c r="AS565" s="199" t="n"/>
      <c r="AT565" s="199">
        <f>$O565*AT$34-$Q565</f>
        <v/>
      </c>
      <c r="AU565" s="199">
        <f>$O565*AU$34-$Q565</f>
        <v/>
      </c>
      <c r="AV565" s="199">
        <f>$O565*AV$34-$Q565</f>
        <v/>
      </c>
      <c r="AW565" s="199">
        <f>$O565*AW$34-$Q565</f>
        <v/>
      </c>
      <c r="AX565" s="199">
        <f>$O565*AX$34-$Q565</f>
        <v/>
      </c>
      <c r="AZ565" s="198">
        <f>$G565</f>
        <v/>
      </c>
      <c r="BA565" s="199" t="n"/>
      <c r="BB565" s="199">
        <f>$P565*BB$34-$Q565</f>
        <v/>
      </c>
      <c r="BC565" s="199">
        <f>$P565*BC$34-$Q565</f>
        <v/>
      </c>
      <c r="BD565" s="199">
        <f>$P565*BD$34-$Q565</f>
        <v/>
      </c>
      <c r="BE565" s="199">
        <f>$P565*BE$34-$Q565</f>
        <v/>
      </c>
      <c r="BF565" s="199">
        <f>$P565*BF$34-$Q565</f>
        <v/>
      </c>
      <c r="BH565" s="198" t="n"/>
      <c r="BI565" s="197" t="n"/>
      <c r="BJ565" s="197" t="n"/>
      <c r="BK565" s="197" t="n"/>
      <c r="BL565" s="197" t="n"/>
      <c r="BM565" s="197" t="n"/>
      <c r="BN565" s="197" t="n"/>
      <c r="BP565" s="198" t="n"/>
      <c r="BQ565" s="197" t="n"/>
      <c r="BR565" s="197" t="n"/>
      <c r="BS565" s="197" t="n"/>
      <c r="BT565" s="197" t="n"/>
      <c r="BU565" s="197" t="n"/>
      <c r="BV565" s="197" t="n"/>
      <c r="BX565" s="198" t="n"/>
      <c r="BY565" s="197" t="n"/>
      <c r="BZ565" s="197" t="n"/>
      <c r="CA565" s="197" t="n"/>
      <c r="CB565" s="197" t="n"/>
      <c r="CC565" s="197" t="n"/>
      <c r="CD565" s="197" t="n"/>
      <c r="CF565" s="198" t="n"/>
      <c r="CG565" s="197" t="n"/>
      <c r="CH565" s="197" t="n"/>
      <c r="CI565" s="197" t="n"/>
      <c r="CJ565" s="197" t="n"/>
      <c r="CK565" s="197" t="n"/>
      <c r="CL565" s="197" t="n"/>
    </row>
    <row r="566">
      <c r="B566" s="204">
        <f>+C566-1</f>
        <v/>
      </c>
      <c r="C566" s="204">
        <f>IF('bands_A-H_Avg'!$D$9+1&gt;MONTH(G566),YEAR(G566),YEAR(G566)+1)</f>
        <v/>
      </c>
      <c r="D566" s="204">
        <f>+C566+1</f>
        <v/>
      </c>
      <c r="E566" s="203">
        <f>IF(C566&gt;C565,1,E565+1)</f>
        <v/>
      </c>
      <c r="F566" s="203">
        <f>COUNTIF(C:C,C566)</f>
        <v/>
      </c>
      <c r="G566" s="198">
        <f>+G565+7</f>
        <v/>
      </c>
      <c r="H566" s="202" t="n"/>
      <c r="I566" s="968" t="n"/>
      <c r="J566" s="968" t="n"/>
      <c r="K566" s="968" t="n"/>
      <c r="L566" s="968" t="n"/>
      <c r="M566" s="199">
        <f>HLOOKUP(C:C,$4:$10,3,FALSE)+((HLOOKUP(D:D,$4:$10,3,FALSE)-HLOOKUP(C:C,$4:$10,3,FALSE))*E566/F566)</f>
        <v/>
      </c>
      <c r="N566" s="199">
        <f>HLOOKUP(C:C,$4:$10,2,FALSE)+((HLOOKUP(D:D,$4:$10,2,FALSE)-HLOOKUP(C:C,$4:$10,2,FALSE))*E566/F566)</f>
        <v/>
      </c>
      <c r="O566" s="199">
        <f>HLOOKUP(C:C,$4:$10,5,FALSE)+((HLOOKUP(D:D,$4:$10,5,FALSE)-HLOOKUP(C:C,$4:$10,5,FALSE))*E566/F566)</f>
        <v/>
      </c>
      <c r="P566" s="199">
        <f>HLOOKUP(C:C,$4:$10,4,FALSE)+((HLOOKUP(D:D,$4:$10,4,FALSE)-HLOOKUP(C:C,$4:$10,4,FALSE))*E566/F566)</f>
        <v/>
      </c>
      <c r="Q566" s="199">
        <f>HLOOKUP(B:B,$4:$10,6,FALSE)+((HLOOKUP(C:C,$4:$10,6,FALSE)-HLOOKUP(B:B,$4:$10,6,FALSE))*E566/F566)</f>
        <v/>
      </c>
      <c r="T566" s="198">
        <f>$G566</f>
        <v/>
      </c>
      <c r="U566" s="199" t="n"/>
      <c r="V566" s="969">
        <f>HLOOKUP(B:B,$4:$10,7,FALSE)+((HLOOKUP(C:C,$4:$10,7,FALSE)-HLOOKUP(B:B,$4:$10,7,FALSE))*E566/F566)</f>
        <v/>
      </c>
      <c r="AB566" s="198">
        <f>$G566</f>
        <v/>
      </c>
      <c r="AC566" s="199" t="n"/>
      <c r="AD566" s="199">
        <f>$M566*AD$34</f>
        <v/>
      </c>
      <c r="AE566" s="199">
        <f>$M566*AE$34</f>
        <v/>
      </c>
      <c r="AF566" s="199">
        <f>$M566*AF$34</f>
        <v/>
      </c>
      <c r="AG566" s="199">
        <f>$M566*AG$34</f>
        <v/>
      </c>
      <c r="AH566" s="199">
        <f>$M566*AH$34</f>
        <v/>
      </c>
      <c r="AJ566" s="198">
        <f>$G566</f>
        <v/>
      </c>
      <c r="AK566" s="199" t="n"/>
      <c r="AL566" s="199">
        <f>$N566*AL$34</f>
        <v/>
      </c>
      <c r="AM566" s="199">
        <f>$N566*AM$34</f>
        <v/>
      </c>
      <c r="AN566" s="199">
        <f>$N566*AN$34</f>
        <v/>
      </c>
      <c r="AO566" s="199">
        <f>$N566*AO$34</f>
        <v/>
      </c>
      <c r="AP566" s="199">
        <f>$N566*AP$34</f>
        <v/>
      </c>
      <c r="AR566" s="198">
        <f>$G566</f>
        <v/>
      </c>
      <c r="AS566" s="199" t="n"/>
      <c r="AT566" s="199">
        <f>$O566*AT$34-$Q566</f>
        <v/>
      </c>
      <c r="AU566" s="199">
        <f>$O566*AU$34-$Q566</f>
        <v/>
      </c>
      <c r="AV566" s="199">
        <f>$O566*AV$34-$Q566</f>
        <v/>
      </c>
      <c r="AW566" s="199">
        <f>$O566*AW$34-$Q566</f>
        <v/>
      </c>
      <c r="AX566" s="199">
        <f>$O566*AX$34-$Q566</f>
        <v/>
      </c>
      <c r="AZ566" s="198">
        <f>$G566</f>
        <v/>
      </c>
      <c r="BA566" s="199" t="n"/>
      <c r="BB566" s="199">
        <f>$P566*BB$34-$Q566</f>
        <v/>
      </c>
      <c r="BC566" s="199">
        <f>$P566*BC$34-$Q566</f>
        <v/>
      </c>
      <c r="BD566" s="199">
        <f>$P566*BD$34-$Q566</f>
        <v/>
      </c>
      <c r="BE566" s="199">
        <f>$P566*BE$34-$Q566</f>
        <v/>
      </c>
      <c r="BF566" s="199">
        <f>$P566*BF$34-$Q566</f>
        <v/>
      </c>
      <c r="BH566" s="198" t="n"/>
      <c r="BI566" s="197" t="n"/>
      <c r="BJ566" s="197" t="n"/>
      <c r="BK566" s="197" t="n"/>
      <c r="BL566" s="197" t="n"/>
      <c r="BM566" s="197" t="n"/>
      <c r="BN566" s="197" t="n"/>
      <c r="BP566" s="198" t="n"/>
      <c r="BQ566" s="197" t="n"/>
      <c r="BR566" s="197" t="n"/>
      <c r="BS566" s="197" t="n"/>
      <c r="BT566" s="197" t="n"/>
      <c r="BU566" s="197" t="n"/>
      <c r="BV566" s="197" t="n"/>
      <c r="BX566" s="198" t="n"/>
      <c r="BY566" s="197" t="n"/>
      <c r="BZ566" s="197" t="n"/>
      <c r="CA566" s="197" t="n"/>
      <c r="CB566" s="197" t="n"/>
      <c r="CC566" s="197" t="n"/>
      <c r="CD566" s="197" t="n"/>
      <c r="CF566" s="198" t="n"/>
      <c r="CG566" s="197" t="n"/>
      <c r="CH566" s="197" t="n"/>
      <c r="CI566" s="197" t="n"/>
      <c r="CJ566" s="197" t="n"/>
      <c r="CK566" s="197" t="n"/>
      <c r="CL566" s="197" t="n"/>
    </row>
    <row r="567">
      <c r="B567" s="204">
        <f>+C567-1</f>
        <v/>
      </c>
      <c r="C567" s="204">
        <f>IF('bands_A-H_Avg'!$D$9+1&gt;MONTH(G567),YEAR(G567),YEAR(G567)+1)</f>
        <v/>
      </c>
      <c r="D567" s="204">
        <f>+C567+1</f>
        <v/>
      </c>
      <c r="E567" s="203">
        <f>IF(C567&gt;C566,1,E566+1)</f>
        <v/>
      </c>
      <c r="F567" s="203">
        <f>COUNTIF(C:C,C567)</f>
        <v/>
      </c>
      <c r="G567" s="198">
        <f>+G566+7</f>
        <v/>
      </c>
      <c r="H567" s="202" t="n"/>
      <c r="I567" s="968" t="n"/>
      <c r="J567" s="968" t="n"/>
      <c r="K567" s="968" t="n"/>
      <c r="L567" s="968" t="n"/>
      <c r="M567" s="199">
        <f>HLOOKUP(C:C,$4:$10,3,FALSE)+((HLOOKUP(D:D,$4:$10,3,FALSE)-HLOOKUP(C:C,$4:$10,3,FALSE))*E567/F567)</f>
        <v/>
      </c>
      <c r="N567" s="199">
        <f>HLOOKUP(C:C,$4:$10,2,FALSE)+((HLOOKUP(D:D,$4:$10,2,FALSE)-HLOOKUP(C:C,$4:$10,2,FALSE))*E567/F567)</f>
        <v/>
      </c>
      <c r="O567" s="199">
        <f>HLOOKUP(C:C,$4:$10,5,FALSE)+((HLOOKUP(D:D,$4:$10,5,FALSE)-HLOOKUP(C:C,$4:$10,5,FALSE))*E567/F567)</f>
        <v/>
      </c>
      <c r="P567" s="199">
        <f>HLOOKUP(C:C,$4:$10,4,FALSE)+((HLOOKUP(D:D,$4:$10,4,FALSE)-HLOOKUP(C:C,$4:$10,4,FALSE))*E567/F567)</f>
        <v/>
      </c>
      <c r="Q567" s="199">
        <f>HLOOKUP(B:B,$4:$10,6,FALSE)+((HLOOKUP(C:C,$4:$10,6,FALSE)-HLOOKUP(B:B,$4:$10,6,FALSE))*E567/F567)</f>
        <v/>
      </c>
      <c r="T567" s="198">
        <f>$G567</f>
        <v/>
      </c>
      <c r="U567" s="199" t="n"/>
      <c r="V567" s="969">
        <f>HLOOKUP(B:B,$4:$10,7,FALSE)+((HLOOKUP(C:C,$4:$10,7,FALSE)-HLOOKUP(B:B,$4:$10,7,FALSE))*E567/F567)</f>
        <v/>
      </c>
      <c r="AB567" s="198">
        <f>$G567</f>
        <v/>
      </c>
      <c r="AC567" s="199" t="n"/>
      <c r="AD567" s="199">
        <f>$M567*AD$34</f>
        <v/>
      </c>
      <c r="AE567" s="199">
        <f>$M567*AE$34</f>
        <v/>
      </c>
      <c r="AF567" s="199">
        <f>$M567*AF$34</f>
        <v/>
      </c>
      <c r="AG567" s="199">
        <f>$M567*AG$34</f>
        <v/>
      </c>
      <c r="AH567" s="199">
        <f>$M567*AH$34</f>
        <v/>
      </c>
      <c r="AJ567" s="198">
        <f>$G567</f>
        <v/>
      </c>
      <c r="AK567" s="199" t="n"/>
      <c r="AL567" s="199">
        <f>$N567*AL$34</f>
        <v/>
      </c>
      <c r="AM567" s="199">
        <f>$N567*AM$34</f>
        <v/>
      </c>
      <c r="AN567" s="199">
        <f>$N567*AN$34</f>
        <v/>
      </c>
      <c r="AO567" s="199">
        <f>$N567*AO$34</f>
        <v/>
      </c>
      <c r="AP567" s="199">
        <f>$N567*AP$34</f>
        <v/>
      </c>
      <c r="AR567" s="198">
        <f>$G567</f>
        <v/>
      </c>
      <c r="AS567" s="199" t="n"/>
      <c r="AT567" s="199">
        <f>$O567*AT$34-$Q567</f>
        <v/>
      </c>
      <c r="AU567" s="199">
        <f>$O567*AU$34-$Q567</f>
        <v/>
      </c>
      <c r="AV567" s="199">
        <f>$O567*AV$34-$Q567</f>
        <v/>
      </c>
      <c r="AW567" s="199">
        <f>$O567*AW$34-$Q567</f>
        <v/>
      </c>
      <c r="AX567" s="199">
        <f>$O567*AX$34-$Q567</f>
        <v/>
      </c>
      <c r="AZ567" s="198">
        <f>$G567</f>
        <v/>
      </c>
      <c r="BA567" s="199" t="n"/>
      <c r="BB567" s="199">
        <f>$P567*BB$34-$Q567</f>
        <v/>
      </c>
      <c r="BC567" s="199">
        <f>$P567*BC$34-$Q567</f>
        <v/>
      </c>
      <c r="BD567" s="199">
        <f>$P567*BD$34-$Q567</f>
        <v/>
      </c>
      <c r="BE567" s="199">
        <f>$P567*BE$34-$Q567</f>
        <v/>
      </c>
      <c r="BF567" s="199">
        <f>$P567*BF$34-$Q567</f>
        <v/>
      </c>
      <c r="BH567" s="198" t="n"/>
      <c r="BI567" s="197" t="n"/>
      <c r="BJ567" s="197" t="n"/>
      <c r="BK567" s="197" t="n"/>
      <c r="BL567" s="197" t="n"/>
      <c r="BM567" s="197" t="n"/>
      <c r="BN567" s="197" t="n"/>
      <c r="BP567" s="198" t="n"/>
      <c r="BQ567" s="197" t="n"/>
      <c r="BR567" s="197" t="n"/>
      <c r="BS567" s="197" t="n"/>
      <c r="BT567" s="197" t="n"/>
      <c r="BU567" s="197" t="n"/>
      <c r="BV567" s="197" t="n"/>
      <c r="BX567" s="198" t="n"/>
      <c r="BY567" s="197" t="n"/>
      <c r="BZ567" s="197" t="n"/>
      <c r="CA567" s="197" t="n"/>
      <c r="CB567" s="197" t="n"/>
      <c r="CC567" s="197" t="n"/>
      <c r="CD567" s="197" t="n"/>
      <c r="CF567" s="198" t="n"/>
      <c r="CG567" s="197" t="n"/>
      <c r="CH567" s="197" t="n"/>
      <c r="CI567" s="197" t="n"/>
      <c r="CJ567" s="197" t="n"/>
      <c r="CK567" s="197" t="n"/>
      <c r="CL567" s="197" t="n"/>
    </row>
    <row r="568">
      <c r="B568" s="204">
        <f>+C568-1</f>
        <v/>
      </c>
      <c r="C568" s="204">
        <f>IF('bands_A-H_Avg'!$D$9+1&gt;MONTH(G568),YEAR(G568),YEAR(G568)+1)</f>
        <v/>
      </c>
      <c r="D568" s="204">
        <f>+C568+1</f>
        <v/>
      </c>
      <c r="E568" s="203">
        <f>IF(C568&gt;C567,1,E567+1)</f>
        <v/>
      </c>
      <c r="F568" s="203">
        <f>COUNTIF(C:C,C568)</f>
        <v/>
      </c>
      <c r="G568" s="198">
        <f>+G567+7</f>
        <v/>
      </c>
      <c r="H568" s="202" t="n"/>
      <c r="I568" s="968" t="n"/>
      <c r="J568" s="968" t="n"/>
      <c r="K568" s="968" t="n"/>
      <c r="L568" s="968" t="n"/>
      <c r="M568" s="199">
        <f>HLOOKUP(C:C,$4:$10,3,FALSE)+((HLOOKUP(D:D,$4:$10,3,FALSE)-HLOOKUP(C:C,$4:$10,3,FALSE))*E568/F568)</f>
        <v/>
      </c>
      <c r="N568" s="199">
        <f>HLOOKUP(C:C,$4:$10,2,FALSE)+((HLOOKUP(D:D,$4:$10,2,FALSE)-HLOOKUP(C:C,$4:$10,2,FALSE))*E568/F568)</f>
        <v/>
      </c>
      <c r="O568" s="199">
        <f>HLOOKUP(C:C,$4:$10,5,FALSE)+((HLOOKUP(D:D,$4:$10,5,FALSE)-HLOOKUP(C:C,$4:$10,5,FALSE))*E568/F568)</f>
        <v/>
      </c>
      <c r="P568" s="199">
        <f>HLOOKUP(C:C,$4:$10,4,FALSE)+((HLOOKUP(D:D,$4:$10,4,FALSE)-HLOOKUP(C:C,$4:$10,4,FALSE))*E568/F568)</f>
        <v/>
      </c>
      <c r="Q568" s="199">
        <f>HLOOKUP(B:B,$4:$10,6,FALSE)+((HLOOKUP(C:C,$4:$10,6,FALSE)-HLOOKUP(B:B,$4:$10,6,FALSE))*E568/F568)</f>
        <v/>
      </c>
      <c r="T568" s="198">
        <f>$G568</f>
        <v/>
      </c>
      <c r="U568" s="199" t="n"/>
      <c r="V568" s="969">
        <f>HLOOKUP(B:B,$4:$10,7,FALSE)+((HLOOKUP(C:C,$4:$10,7,FALSE)-HLOOKUP(B:B,$4:$10,7,FALSE))*E568/F568)</f>
        <v/>
      </c>
      <c r="AB568" s="198">
        <f>$G568</f>
        <v/>
      </c>
      <c r="AC568" s="199" t="n"/>
      <c r="AD568" s="199">
        <f>$M568*AD$34</f>
        <v/>
      </c>
      <c r="AE568" s="199">
        <f>$M568*AE$34</f>
        <v/>
      </c>
      <c r="AF568" s="199">
        <f>$M568*AF$34</f>
        <v/>
      </c>
      <c r="AG568" s="199">
        <f>$M568*AG$34</f>
        <v/>
      </c>
      <c r="AH568" s="199">
        <f>$M568*AH$34</f>
        <v/>
      </c>
      <c r="AJ568" s="198">
        <f>$G568</f>
        <v/>
      </c>
      <c r="AK568" s="199" t="n"/>
      <c r="AL568" s="199">
        <f>$N568*AL$34</f>
        <v/>
      </c>
      <c r="AM568" s="199">
        <f>$N568*AM$34</f>
        <v/>
      </c>
      <c r="AN568" s="199">
        <f>$N568*AN$34</f>
        <v/>
      </c>
      <c r="AO568" s="199">
        <f>$N568*AO$34</f>
        <v/>
      </c>
      <c r="AP568" s="199">
        <f>$N568*AP$34</f>
        <v/>
      </c>
      <c r="AR568" s="198">
        <f>$G568</f>
        <v/>
      </c>
      <c r="AS568" s="199" t="n"/>
      <c r="AT568" s="199">
        <f>$O568*AT$34-$Q568</f>
        <v/>
      </c>
      <c r="AU568" s="199">
        <f>$O568*AU$34-$Q568</f>
        <v/>
      </c>
      <c r="AV568" s="199">
        <f>$O568*AV$34-$Q568</f>
        <v/>
      </c>
      <c r="AW568" s="199">
        <f>$O568*AW$34-$Q568</f>
        <v/>
      </c>
      <c r="AX568" s="199">
        <f>$O568*AX$34-$Q568</f>
        <v/>
      </c>
      <c r="AZ568" s="198">
        <f>$G568</f>
        <v/>
      </c>
      <c r="BA568" s="199" t="n"/>
      <c r="BB568" s="199">
        <f>$P568*BB$34-$Q568</f>
        <v/>
      </c>
      <c r="BC568" s="199">
        <f>$P568*BC$34-$Q568</f>
        <v/>
      </c>
      <c r="BD568" s="199">
        <f>$P568*BD$34-$Q568</f>
        <v/>
      </c>
      <c r="BE568" s="199">
        <f>$P568*BE$34-$Q568</f>
        <v/>
      </c>
      <c r="BF568" s="199">
        <f>$P568*BF$34-$Q568</f>
        <v/>
      </c>
      <c r="BH568" s="198" t="n"/>
      <c r="BI568" s="197" t="n"/>
      <c r="BJ568" s="197" t="n"/>
      <c r="BK568" s="197" t="n"/>
      <c r="BL568" s="197" t="n"/>
      <c r="BM568" s="197" t="n"/>
      <c r="BN568" s="197" t="n"/>
      <c r="BP568" s="198" t="n"/>
      <c r="BQ568" s="197" t="n"/>
      <c r="BR568" s="197" t="n"/>
      <c r="BS568" s="197" t="n"/>
      <c r="BT568" s="197" t="n"/>
      <c r="BU568" s="197" t="n"/>
      <c r="BV568" s="197" t="n"/>
      <c r="BX568" s="198" t="n"/>
      <c r="BY568" s="197" t="n"/>
      <c r="BZ568" s="197" t="n"/>
      <c r="CA568" s="197" t="n"/>
      <c r="CB568" s="197" t="n"/>
      <c r="CC568" s="197" t="n"/>
      <c r="CD568" s="197" t="n"/>
      <c r="CF568" s="198" t="n"/>
      <c r="CG568" s="197" t="n"/>
      <c r="CH568" s="197" t="n"/>
      <c r="CI568" s="197" t="n"/>
      <c r="CJ568" s="197" t="n"/>
      <c r="CK568" s="197" t="n"/>
      <c r="CL568" s="197" t="n"/>
    </row>
    <row r="569">
      <c r="B569" s="204">
        <f>+C569-1</f>
        <v/>
      </c>
      <c r="C569" s="204">
        <f>IF('bands_A-H_Avg'!$D$9+1&gt;MONTH(G569),YEAR(G569),YEAR(G569)+1)</f>
        <v/>
      </c>
      <c r="D569" s="204">
        <f>+C569+1</f>
        <v/>
      </c>
      <c r="E569" s="203">
        <f>IF(C569&gt;C568,1,E568+1)</f>
        <v/>
      </c>
      <c r="F569" s="203">
        <f>COUNTIF(C:C,C569)</f>
        <v/>
      </c>
      <c r="G569" s="198">
        <f>+G568+7</f>
        <v/>
      </c>
      <c r="H569" s="202" t="n"/>
      <c r="I569" s="968" t="n"/>
      <c r="J569" s="968" t="n"/>
      <c r="K569" s="968" t="n"/>
      <c r="L569" s="968" t="n"/>
      <c r="M569" s="199">
        <f>HLOOKUP(C:C,$4:$10,3,FALSE)+((HLOOKUP(D:D,$4:$10,3,FALSE)-HLOOKUP(C:C,$4:$10,3,FALSE))*E569/F569)</f>
        <v/>
      </c>
      <c r="N569" s="199">
        <f>HLOOKUP(C:C,$4:$10,2,FALSE)+((HLOOKUP(D:D,$4:$10,2,FALSE)-HLOOKUP(C:C,$4:$10,2,FALSE))*E569/F569)</f>
        <v/>
      </c>
      <c r="O569" s="199">
        <f>HLOOKUP(C:C,$4:$10,5,FALSE)+((HLOOKUP(D:D,$4:$10,5,FALSE)-HLOOKUP(C:C,$4:$10,5,FALSE))*E569/F569)</f>
        <v/>
      </c>
      <c r="P569" s="199">
        <f>HLOOKUP(C:C,$4:$10,4,FALSE)+((HLOOKUP(D:D,$4:$10,4,FALSE)-HLOOKUP(C:C,$4:$10,4,FALSE))*E569/F569)</f>
        <v/>
      </c>
      <c r="Q569" s="199">
        <f>HLOOKUP(B:B,$4:$10,6,FALSE)+((HLOOKUP(C:C,$4:$10,6,FALSE)-HLOOKUP(B:B,$4:$10,6,FALSE))*E569/F569)</f>
        <v/>
      </c>
      <c r="T569" s="198">
        <f>$G569</f>
        <v/>
      </c>
      <c r="U569" s="199" t="n"/>
      <c r="V569" s="969">
        <f>HLOOKUP(B:B,$4:$10,7,FALSE)+((HLOOKUP(C:C,$4:$10,7,FALSE)-HLOOKUP(B:B,$4:$10,7,FALSE))*E569/F569)</f>
        <v/>
      </c>
      <c r="AB569" s="198">
        <f>$G569</f>
        <v/>
      </c>
      <c r="AC569" s="199" t="n"/>
      <c r="AD569" s="199">
        <f>$M569*AD$34</f>
        <v/>
      </c>
      <c r="AE569" s="199">
        <f>$M569*AE$34</f>
        <v/>
      </c>
      <c r="AF569" s="199">
        <f>$M569*AF$34</f>
        <v/>
      </c>
      <c r="AG569" s="199">
        <f>$M569*AG$34</f>
        <v/>
      </c>
      <c r="AH569" s="199">
        <f>$M569*AH$34</f>
        <v/>
      </c>
      <c r="AJ569" s="198">
        <f>$G569</f>
        <v/>
      </c>
      <c r="AK569" s="199" t="n"/>
      <c r="AL569" s="199">
        <f>$N569*AL$34</f>
        <v/>
      </c>
      <c r="AM569" s="199">
        <f>$N569*AM$34</f>
        <v/>
      </c>
      <c r="AN569" s="199">
        <f>$N569*AN$34</f>
        <v/>
      </c>
      <c r="AO569" s="199">
        <f>$N569*AO$34</f>
        <v/>
      </c>
      <c r="AP569" s="199">
        <f>$N569*AP$34</f>
        <v/>
      </c>
      <c r="AR569" s="198">
        <f>$G569</f>
        <v/>
      </c>
      <c r="AS569" s="199" t="n"/>
      <c r="AT569" s="199">
        <f>$O569*AT$34-$Q569</f>
        <v/>
      </c>
      <c r="AU569" s="199">
        <f>$O569*AU$34-$Q569</f>
        <v/>
      </c>
      <c r="AV569" s="199">
        <f>$O569*AV$34-$Q569</f>
        <v/>
      </c>
      <c r="AW569" s="199">
        <f>$O569*AW$34-$Q569</f>
        <v/>
      </c>
      <c r="AX569" s="199">
        <f>$O569*AX$34-$Q569</f>
        <v/>
      </c>
      <c r="AZ569" s="198">
        <f>$G569</f>
        <v/>
      </c>
      <c r="BA569" s="199" t="n"/>
      <c r="BB569" s="199">
        <f>$P569*BB$34-$Q569</f>
        <v/>
      </c>
      <c r="BC569" s="199">
        <f>$P569*BC$34-$Q569</f>
        <v/>
      </c>
      <c r="BD569" s="199">
        <f>$P569*BD$34-$Q569</f>
        <v/>
      </c>
      <c r="BE569" s="199">
        <f>$P569*BE$34-$Q569</f>
        <v/>
      </c>
      <c r="BF569" s="199">
        <f>$P569*BF$34-$Q569</f>
        <v/>
      </c>
      <c r="BH569" s="198" t="n"/>
      <c r="BI569" s="197" t="n"/>
      <c r="BJ569" s="197" t="n"/>
      <c r="BK569" s="197" t="n"/>
      <c r="BL569" s="197" t="n"/>
      <c r="BM569" s="197" t="n"/>
      <c r="BN569" s="197" t="n"/>
      <c r="BP569" s="198" t="n"/>
      <c r="BQ569" s="197" t="n"/>
      <c r="BR569" s="197" t="n"/>
      <c r="BS569" s="197" t="n"/>
      <c r="BT569" s="197" t="n"/>
      <c r="BU569" s="197" t="n"/>
      <c r="BV569" s="197" t="n"/>
      <c r="BX569" s="198" t="n"/>
      <c r="BY569" s="197" t="n"/>
      <c r="BZ569" s="197" t="n"/>
      <c r="CA569" s="197" t="n"/>
      <c r="CB569" s="197" t="n"/>
      <c r="CC569" s="197" t="n"/>
      <c r="CD569" s="197" t="n"/>
      <c r="CF569" s="198" t="n"/>
      <c r="CG569" s="197" t="n"/>
      <c r="CH569" s="197" t="n"/>
      <c r="CI569" s="197" t="n"/>
      <c r="CJ569" s="197" t="n"/>
      <c r="CK569" s="197" t="n"/>
      <c r="CL569" s="197" t="n"/>
    </row>
    <row r="570">
      <c r="B570" s="204">
        <f>+C570-1</f>
        <v/>
      </c>
      <c r="C570" s="204">
        <f>IF('bands_A-H_Avg'!$D$9+1&gt;MONTH(G570),YEAR(G570),YEAR(G570)+1)</f>
        <v/>
      </c>
      <c r="D570" s="204">
        <f>+C570+1</f>
        <v/>
      </c>
      <c r="E570" s="203">
        <f>IF(C570&gt;C569,1,E569+1)</f>
        <v/>
      </c>
      <c r="F570" s="203">
        <f>COUNTIF(C:C,C570)</f>
        <v/>
      </c>
      <c r="G570" s="198">
        <f>+G569+7</f>
        <v/>
      </c>
      <c r="H570" s="202" t="n"/>
      <c r="I570" s="968" t="n"/>
      <c r="J570" s="968" t="n"/>
      <c r="K570" s="968" t="n"/>
      <c r="L570" s="968" t="n"/>
      <c r="M570" s="199">
        <f>HLOOKUP(C:C,$4:$10,3,FALSE)+((HLOOKUP(D:D,$4:$10,3,FALSE)-HLOOKUP(C:C,$4:$10,3,FALSE))*E570/F570)</f>
        <v/>
      </c>
      <c r="N570" s="199">
        <f>HLOOKUP(C:C,$4:$10,2,FALSE)+((HLOOKUP(D:D,$4:$10,2,FALSE)-HLOOKUP(C:C,$4:$10,2,FALSE))*E570/F570)</f>
        <v/>
      </c>
      <c r="O570" s="199">
        <f>HLOOKUP(C:C,$4:$10,5,FALSE)+((HLOOKUP(D:D,$4:$10,5,FALSE)-HLOOKUP(C:C,$4:$10,5,FALSE))*E570/F570)</f>
        <v/>
      </c>
      <c r="P570" s="199">
        <f>HLOOKUP(C:C,$4:$10,4,FALSE)+((HLOOKUP(D:D,$4:$10,4,FALSE)-HLOOKUP(C:C,$4:$10,4,FALSE))*E570/F570)</f>
        <v/>
      </c>
      <c r="Q570" s="199">
        <f>HLOOKUP(B:B,$4:$10,6,FALSE)+((HLOOKUP(C:C,$4:$10,6,FALSE)-HLOOKUP(B:B,$4:$10,6,FALSE))*E570/F570)</f>
        <v/>
      </c>
      <c r="T570" s="198">
        <f>$G570</f>
        <v/>
      </c>
      <c r="U570" s="199" t="n"/>
      <c r="V570" s="969">
        <f>HLOOKUP(B:B,$4:$10,7,FALSE)+((HLOOKUP(C:C,$4:$10,7,FALSE)-HLOOKUP(B:B,$4:$10,7,FALSE))*E570/F570)</f>
        <v/>
      </c>
      <c r="AB570" s="198">
        <f>$G570</f>
        <v/>
      </c>
      <c r="AC570" s="199" t="n"/>
      <c r="AD570" s="199">
        <f>$M570*AD$34</f>
        <v/>
      </c>
      <c r="AE570" s="199">
        <f>$M570*AE$34</f>
        <v/>
      </c>
      <c r="AF570" s="199">
        <f>$M570*AF$34</f>
        <v/>
      </c>
      <c r="AG570" s="199">
        <f>$M570*AG$34</f>
        <v/>
      </c>
      <c r="AH570" s="199">
        <f>$M570*AH$34</f>
        <v/>
      </c>
      <c r="AJ570" s="198">
        <f>$G570</f>
        <v/>
      </c>
      <c r="AK570" s="199" t="n"/>
      <c r="AL570" s="199">
        <f>$N570*AL$34</f>
        <v/>
      </c>
      <c r="AM570" s="199">
        <f>$N570*AM$34</f>
        <v/>
      </c>
      <c r="AN570" s="199">
        <f>$N570*AN$34</f>
        <v/>
      </c>
      <c r="AO570" s="199">
        <f>$N570*AO$34</f>
        <v/>
      </c>
      <c r="AP570" s="199">
        <f>$N570*AP$34</f>
        <v/>
      </c>
      <c r="AR570" s="198">
        <f>$G570</f>
        <v/>
      </c>
      <c r="AS570" s="199" t="n"/>
      <c r="AT570" s="199">
        <f>$O570*AT$34-$Q570</f>
        <v/>
      </c>
      <c r="AU570" s="199">
        <f>$O570*AU$34-$Q570</f>
        <v/>
      </c>
      <c r="AV570" s="199">
        <f>$O570*AV$34-$Q570</f>
        <v/>
      </c>
      <c r="AW570" s="199">
        <f>$O570*AW$34-$Q570</f>
        <v/>
      </c>
      <c r="AX570" s="199">
        <f>$O570*AX$34-$Q570</f>
        <v/>
      </c>
      <c r="AZ570" s="198">
        <f>$G570</f>
        <v/>
      </c>
      <c r="BA570" s="199" t="n"/>
      <c r="BB570" s="199">
        <f>$P570*BB$34-$Q570</f>
        <v/>
      </c>
      <c r="BC570" s="199">
        <f>$P570*BC$34-$Q570</f>
        <v/>
      </c>
      <c r="BD570" s="199">
        <f>$P570*BD$34-$Q570</f>
        <v/>
      </c>
      <c r="BE570" s="199">
        <f>$P570*BE$34-$Q570</f>
        <v/>
      </c>
      <c r="BF570" s="199">
        <f>$P570*BF$34-$Q570</f>
        <v/>
      </c>
      <c r="BH570" s="198" t="n"/>
      <c r="BI570" s="197" t="n"/>
      <c r="BJ570" s="197" t="n"/>
      <c r="BK570" s="197" t="n"/>
      <c r="BL570" s="197" t="n"/>
      <c r="BM570" s="197" t="n"/>
      <c r="BN570" s="197" t="n"/>
      <c r="BP570" s="198" t="n"/>
      <c r="BQ570" s="197" t="n"/>
      <c r="BR570" s="197" t="n"/>
      <c r="BS570" s="197" t="n"/>
      <c r="BT570" s="197" t="n"/>
      <c r="BU570" s="197" t="n"/>
      <c r="BV570" s="197" t="n"/>
      <c r="BX570" s="198" t="n"/>
      <c r="BY570" s="197" t="n"/>
      <c r="BZ570" s="197" t="n"/>
      <c r="CA570" s="197" t="n"/>
      <c r="CB570" s="197" t="n"/>
      <c r="CC570" s="197" t="n"/>
      <c r="CD570" s="197" t="n"/>
      <c r="CF570" s="198" t="n"/>
      <c r="CG570" s="197" t="n"/>
      <c r="CH570" s="197" t="n"/>
      <c r="CI570" s="197" t="n"/>
      <c r="CJ570" s="197" t="n"/>
      <c r="CK570" s="197" t="n"/>
      <c r="CL570" s="197" t="n"/>
    </row>
    <row r="571">
      <c r="B571" s="204">
        <f>+C571-1</f>
        <v/>
      </c>
      <c r="C571" s="204">
        <f>IF('bands_A-H_Avg'!$D$9+1&gt;MONTH(G571),YEAR(G571),YEAR(G571)+1)</f>
        <v/>
      </c>
      <c r="D571" s="204">
        <f>+C571+1</f>
        <v/>
      </c>
      <c r="E571" s="203">
        <f>IF(C571&gt;C570,1,E570+1)</f>
        <v/>
      </c>
      <c r="F571" s="203">
        <f>COUNTIF(C:C,C571)</f>
        <v/>
      </c>
      <c r="G571" s="198">
        <f>+G570+7</f>
        <v/>
      </c>
      <c r="H571" s="202" t="n"/>
      <c r="I571" s="968" t="n"/>
      <c r="J571" s="968" t="n"/>
      <c r="K571" s="968" t="n"/>
      <c r="L571" s="968" t="n"/>
      <c r="M571" s="199">
        <f>HLOOKUP(C:C,$4:$10,3,FALSE)+((HLOOKUP(D:D,$4:$10,3,FALSE)-HLOOKUP(C:C,$4:$10,3,FALSE))*E571/F571)</f>
        <v/>
      </c>
      <c r="N571" s="199">
        <f>HLOOKUP(C:C,$4:$10,2,FALSE)+((HLOOKUP(D:D,$4:$10,2,FALSE)-HLOOKUP(C:C,$4:$10,2,FALSE))*E571/F571)</f>
        <v/>
      </c>
      <c r="O571" s="199">
        <f>HLOOKUP(C:C,$4:$10,5,FALSE)+((HLOOKUP(D:D,$4:$10,5,FALSE)-HLOOKUP(C:C,$4:$10,5,FALSE))*E571/F571)</f>
        <v/>
      </c>
      <c r="P571" s="199">
        <f>HLOOKUP(C:C,$4:$10,4,FALSE)+((HLOOKUP(D:D,$4:$10,4,FALSE)-HLOOKUP(C:C,$4:$10,4,FALSE))*E571/F571)</f>
        <v/>
      </c>
      <c r="Q571" s="199">
        <f>HLOOKUP(B:B,$4:$10,6,FALSE)+((HLOOKUP(C:C,$4:$10,6,FALSE)-HLOOKUP(B:B,$4:$10,6,FALSE))*E571/F571)</f>
        <v/>
      </c>
      <c r="T571" s="198">
        <f>$G571</f>
        <v/>
      </c>
      <c r="U571" s="199" t="n"/>
      <c r="V571" s="969">
        <f>HLOOKUP(B:B,$4:$10,7,FALSE)+((HLOOKUP(C:C,$4:$10,7,FALSE)-HLOOKUP(B:B,$4:$10,7,FALSE))*E571/F571)</f>
        <v/>
      </c>
      <c r="AB571" s="198">
        <f>$G571</f>
        <v/>
      </c>
      <c r="AC571" s="199" t="n"/>
      <c r="AD571" s="199">
        <f>$M571*AD$34</f>
        <v/>
      </c>
      <c r="AE571" s="199">
        <f>$M571*AE$34</f>
        <v/>
      </c>
      <c r="AF571" s="199">
        <f>$M571*AF$34</f>
        <v/>
      </c>
      <c r="AG571" s="199">
        <f>$M571*AG$34</f>
        <v/>
      </c>
      <c r="AH571" s="199">
        <f>$M571*AH$34</f>
        <v/>
      </c>
      <c r="AJ571" s="198">
        <f>$G571</f>
        <v/>
      </c>
      <c r="AK571" s="199" t="n"/>
      <c r="AL571" s="199">
        <f>$N571*AL$34</f>
        <v/>
      </c>
      <c r="AM571" s="199">
        <f>$N571*AM$34</f>
        <v/>
      </c>
      <c r="AN571" s="199">
        <f>$N571*AN$34</f>
        <v/>
      </c>
      <c r="AO571" s="199">
        <f>$N571*AO$34</f>
        <v/>
      </c>
      <c r="AP571" s="199">
        <f>$N571*AP$34</f>
        <v/>
      </c>
      <c r="AR571" s="198">
        <f>$G571</f>
        <v/>
      </c>
      <c r="AS571" s="199" t="n"/>
      <c r="AT571" s="199">
        <f>$O571*AT$34-$Q571</f>
        <v/>
      </c>
      <c r="AU571" s="199">
        <f>$O571*AU$34-$Q571</f>
        <v/>
      </c>
      <c r="AV571" s="199">
        <f>$O571*AV$34-$Q571</f>
        <v/>
      </c>
      <c r="AW571" s="199">
        <f>$O571*AW$34-$Q571</f>
        <v/>
      </c>
      <c r="AX571" s="199">
        <f>$O571*AX$34-$Q571</f>
        <v/>
      </c>
      <c r="AZ571" s="198">
        <f>$G571</f>
        <v/>
      </c>
      <c r="BA571" s="199" t="n"/>
      <c r="BB571" s="199">
        <f>$P571*BB$34-$Q571</f>
        <v/>
      </c>
      <c r="BC571" s="199">
        <f>$P571*BC$34-$Q571</f>
        <v/>
      </c>
      <c r="BD571" s="199">
        <f>$P571*BD$34-$Q571</f>
        <v/>
      </c>
      <c r="BE571" s="199">
        <f>$P571*BE$34-$Q571</f>
        <v/>
      </c>
      <c r="BF571" s="199">
        <f>$P571*BF$34-$Q571</f>
        <v/>
      </c>
      <c r="BH571" s="198" t="n"/>
      <c r="BI571" s="197" t="n"/>
      <c r="BJ571" s="197" t="n"/>
      <c r="BK571" s="197" t="n"/>
      <c r="BL571" s="197" t="n"/>
      <c r="BM571" s="197" t="n"/>
      <c r="BN571" s="197" t="n"/>
      <c r="BP571" s="198" t="n"/>
      <c r="BQ571" s="197" t="n"/>
      <c r="BR571" s="197" t="n"/>
      <c r="BS571" s="197" t="n"/>
      <c r="BT571" s="197" t="n"/>
      <c r="BU571" s="197" t="n"/>
      <c r="BV571" s="197" t="n"/>
      <c r="BX571" s="198" t="n"/>
      <c r="BY571" s="197" t="n"/>
      <c r="BZ571" s="197" t="n"/>
      <c r="CA571" s="197" t="n"/>
      <c r="CB571" s="197" t="n"/>
      <c r="CC571" s="197" t="n"/>
      <c r="CD571" s="197" t="n"/>
      <c r="CF571" s="198" t="n"/>
      <c r="CG571" s="197" t="n"/>
      <c r="CH571" s="197" t="n"/>
      <c r="CI571" s="197" t="n"/>
      <c r="CJ571" s="197" t="n"/>
      <c r="CK571" s="197" t="n"/>
      <c r="CL571" s="197" t="n"/>
    </row>
    <row r="572">
      <c r="B572" s="204">
        <f>+C572-1</f>
        <v/>
      </c>
      <c r="C572" s="204">
        <f>IF('bands_A-H_Avg'!$D$9+1&gt;MONTH(G572),YEAR(G572),YEAR(G572)+1)</f>
        <v/>
      </c>
      <c r="D572" s="204">
        <f>+C572+1</f>
        <v/>
      </c>
      <c r="E572" s="203">
        <f>IF(C572&gt;C571,1,E571+1)</f>
        <v/>
      </c>
      <c r="F572" s="203">
        <f>COUNTIF(C:C,C572)</f>
        <v/>
      </c>
      <c r="G572" s="198">
        <f>+G571+7</f>
        <v/>
      </c>
      <c r="H572" s="202" t="n"/>
      <c r="I572" s="968" t="n"/>
      <c r="J572" s="968" t="n"/>
      <c r="K572" s="968" t="n"/>
      <c r="L572" s="968" t="n"/>
      <c r="M572" s="199">
        <f>HLOOKUP(C:C,$4:$10,3,FALSE)+((HLOOKUP(D:D,$4:$10,3,FALSE)-HLOOKUP(C:C,$4:$10,3,FALSE))*E572/F572)</f>
        <v/>
      </c>
      <c r="N572" s="199">
        <f>HLOOKUP(C:C,$4:$10,2,FALSE)+((HLOOKUP(D:D,$4:$10,2,FALSE)-HLOOKUP(C:C,$4:$10,2,FALSE))*E572/F572)</f>
        <v/>
      </c>
      <c r="O572" s="199">
        <f>HLOOKUP(C:C,$4:$10,5,FALSE)+((HLOOKUP(D:D,$4:$10,5,FALSE)-HLOOKUP(C:C,$4:$10,5,FALSE))*E572/F572)</f>
        <v/>
      </c>
      <c r="P572" s="199">
        <f>HLOOKUP(C:C,$4:$10,4,FALSE)+((HLOOKUP(D:D,$4:$10,4,FALSE)-HLOOKUP(C:C,$4:$10,4,FALSE))*E572/F572)</f>
        <v/>
      </c>
      <c r="Q572" s="199">
        <f>HLOOKUP(B:B,$4:$10,6,FALSE)+((HLOOKUP(C:C,$4:$10,6,FALSE)-HLOOKUP(B:B,$4:$10,6,FALSE))*E572/F572)</f>
        <v/>
      </c>
      <c r="T572" s="198">
        <f>$G572</f>
        <v/>
      </c>
      <c r="U572" s="199" t="n"/>
      <c r="V572" s="969">
        <f>HLOOKUP(B:B,$4:$10,7,FALSE)+((HLOOKUP(C:C,$4:$10,7,FALSE)-HLOOKUP(B:B,$4:$10,7,FALSE))*E572/F572)</f>
        <v/>
      </c>
      <c r="AB572" s="198">
        <f>$G572</f>
        <v/>
      </c>
      <c r="AC572" s="199" t="n"/>
      <c r="AD572" s="199">
        <f>$M572*AD$34</f>
        <v/>
      </c>
      <c r="AE572" s="199">
        <f>$M572*AE$34</f>
        <v/>
      </c>
      <c r="AF572" s="199">
        <f>$M572*AF$34</f>
        <v/>
      </c>
      <c r="AG572" s="199">
        <f>$M572*AG$34</f>
        <v/>
      </c>
      <c r="AH572" s="199">
        <f>$M572*AH$34</f>
        <v/>
      </c>
      <c r="AJ572" s="198">
        <f>$G572</f>
        <v/>
      </c>
      <c r="AK572" s="199" t="n"/>
      <c r="AL572" s="199">
        <f>$N572*AL$34</f>
        <v/>
      </c>
      <c r="AM572" s="199">
        <f>$N572*AM$34</f>
        <v/>
      </c>
      <c r="AN572" s="199">
        <f>$N572*AN$34</f>
        <v/>
      </c>
      <c r="AO572" s="199">
        <f>$N572*AO$34</f>
        <v/>
      </c>
      <c r="AP572" s="199">
        <f>$N572*AP$34</f>
        <v/>
      </c>
      <c r="AR572" s="198">
        <f>$G572</f>
        <v/>
      </c>
      <c r="AS572" s="199" t="n"/>
      <c r="AT572" s="199">
        <f>$O572*AT$34-$Q572</f>
        <v/>
      </c>
      <c r="AU572" s="199">
        <f>$O572*AU$34-$Q572</f>
        <v/>
      </c>
      <c r="AV572" s="199">
        <f>$O572*AV$34-$Q572</f>
        <v/>
      </c>
      <c r="AW572" s="199">
        <f>$O572*AW$34-$Q572</f>
        <v/>
      </c>
      <c r="AX572" s="199">
        <f>$O572*AX$34-$Q572</f>
        <v/>
      </c>
      <c r="AZ572" s="198">
        <f>$G572</f>
        <v/>
      </c>
      <c r="BA572" s="199" t="n"/>
      <c r="BB572" s="199">
        <f>$P572*BB$34-$Q572</f>
        <v/>
      </c>
      <c r="BC572" s="199">
        <f>$P572*BC$34-$Q572</f>
        <v/>
      </c>
      <c r="BD572" s="199">
        <f>$P572*BD$34-$Q572</f>
        <v/>
      </c>
      <c r="BE572" s="199">
        <f>$P572*BE$34-$Q572</f>
        <v/>
      </c>
      <c r="BF572" s="199">
        <f>$P572*BF$34-$Q572</f>
        <v/>
      </c>
      <c r="BH572" s="198" t="n"/>
      <c r="BI572" s="197" t="n"/>
      <c r="BJ572" s="197" t="n"/>
      <c r="BK572" s="197" t="n"/>
      <c r="BL572" s="197" t="n"/>
      <c r="BM572" s="197" t="n"/>
      <c r="BN572" s="197" t="n"/>
      <c r="BP572" s="198" t="n"/>
      <c r="BQ572" s="197" t="n"/>
      <c r="BR572" s="197" t="n"/>
      <c r="BS572" s="197" t="n"/>
      <c r="BT572" s="197" t="n"/>
      <c r="BU572" s="197" t="n"/>
      <c r="BV572" s="197" t="n"/>
      <c r="BX572" s="198" t="n"/>
      <c r="BY572" s="197" t="n"/>
      <c r="BZ572" s="197" t="n"/>
      <c r="CA572" s="197" t="n"/>
      <c r="CB572" s="197" t="n"/>
      <c r="CC572" s="197" t="n"/>
      <c r="CD572" s="197" t="n"/>
      <c r="CF572" s="198" t="n"/>
      <c r="CG572" s="197" t="n"/>
      <c r="CH572" s="197" t="n"/>
      <c r="CI572" s="197" t="n"/>
      <c r="CJ572" s="197" t="n"/>
      <c r="CK572" s="197" t="n"/>
      <c r="CL572" s="197" t="n"/>
    </row>
    <row r="573">
      <c r="B573" s="204">
        <f>+C573-1</f>
        <v/>
      </c>
      <c r="C573" s="204">
        <f>IF('bands_A-H_Avg'!$D$9+1&gt;MONTH(G573),YEAR(G573),YEAR(G573)+1)</f>
        <v/>
      </c>
      <c r="D573" s="204">
        <f>+C573+1</f>
        <v/>
      </c>
      <c r="E573" s="203">
        <f>IF(C573&gt;C572,1,E572+1)</f>
        <v/>
      </c>
      <c r="F573" s="203">
        <f>COUNTIF(C:C,C573)</f>
        <v/>
      </c>
      <c r="G573" s="198">
        <f>+G572+7</f>
        <v/>
      </c>
      <c r="H573" s="202" t="n"/>
      <c r="I573" s="968" t="n"/>
      <c r="J573" s="968" t="n"/>
      <c r="K573" s="968" t="n"/>
      <c r="L573" s="968" t="n"/>
      <c r="M573" s="199">
        <f>HLOOKUP(C:C,$4:$10,3,FALSE)+((HLOOKUP(D:D,$4:$10,3,FALSE)-HLOOKUP(C:C,$4:$10,3,FALSE))*E573/F573)</f>
        <v/>
      </c>
      <c r="N573" s="199">
        <f>HLOOKUP(C:C,$4:$10,2,FALSE)+((HLOOKUP(D:D,$4:$10,2,FALSE)-HLOOKUP(C:C,$4:$10,2,FALSE))*E573/F573)</f>
        <v/>
      </c>
      <c r="O573" s="199">
        <f>HLOOKUP(C:C,$4:$10,5,FALSE)+((HLOOKUP(D:D,$4:$10,5,FALSE)-HLOOKUP(C:C,$4:$10,5,FALSE))*E573/F573)</f>
        <v/>
      </c>
      <c r="P573" s="199">
        <f>HLOOKUP(C:C,$4:$10,4,FALSE)+((HLOOKUP(D:D,$4:$10,4,FALSE)-HLOOKUP(C:C,$4:$10,4,FALSE))*E573/F573)</f>
        <v/>
      </c>
      <c r="Q573" s="199">
        <f>HLOOKUP(B:B,$4:$10,6,FALSE)+((HLOOKUP(C:C,$4:$10,6,FALSE)-HLOOKUP(B:B,$4:$10,6,FALSE))*E573/F573)</f>
        <v/>
      </c>
      <c r="T573" s="198">
        <f>$G573</f>
        <v/>
      </c>
      <c r="U573" s="199" t="n"/>
      <c r="V573" s="969">
        <f>HLOOKUP(B:B,$4:$10,7,FALSE)+((HLOOKUP(C:C,$4:$10,7,FALSE)-HLOOKUP(B:B,$4:$10,7,FALSE))*E573/F573)</f>
        <v/>
      </c>
      <c r="AB573" s="198">
        <f>$G573</f>
        <v/>
      </c>
      <c r="AC573" s="199" t="n"/>
      <c r="AD573" s="199">
        <f>$M573*AD$34</f>
        <v/>
      </c>
      <c r="AE573" s="199">
        <f>$M573*AE$34</f>
        <v/>
      </c>
      <c r="AF573" s="199">
        <f>$M573*AF$34</f>
        <v/>
      </c>
      <c r="AG573" s="199">
        <f>$M573*AG$34</f>
        <v/>
      </c>
      <c r="AH573" s="199">
        <f>$M573*AH$34</f>
        <v/>
      </c>
      <c r="AJ573" s="198">
        <f>$G573</f>
        <v/>
      </c>
      <c r="AK573" s="199" t="n"/>
      <c r="AL573" s="199">
        <f>$N573*AL$34</f>
        <v/>
      </c>
      <c r="AM573" s="199">
        <f>$N573*AM$34</f>
        <v/>
      </c>
      <c r="AN573" s="199">
        <f>$N573*AN$34</f>
        <v/>
      </c>
      <c r="AO573" s="199">
        <f>$N573*AO$34</f>
        <v/>
      </c>
      <c r="AP573" s="199">
        <f>$N573*AP$34</f>
        <v/>
      </c>
      <c r="AR573" s="198">
        <f>$G573</f>
        <v/>
      </c>
      <c r="AS573" s="199" t="n"/>
      <c r="AT573" s="199">
        <f>$O573*AT$34-$Q573</f>
        <v/>
      </c>
      <c r="AU573" s="199">
        <f>$O573*AU$34-$Q573</f>
        <v/>
      </c>
      <c r="AV573" s="199">
        <f>$O573*AV$34-$Q573</f>
        <v/>
      </c>
      <c r="AW573" s="199">
        <f>$O573*AW$34-$Q573</f>
        <v/>
      </c>
      <c r="AX573" s="199">
        <f>$O573*AX$34-$Q573</f>
        <v/>
      </c>
      <c r="AZ573" s="198">
        <f>$G573</f>
        <v/>
      </c>
      <c r="BA573" s="199" t="n"/>
      <c r="BB573" s="199">
        <f>$P573*BB$34-$Q573</f>
        <v/>
      </c>
      <c r="BC573" s="199">
        <f>$P573*BC$34-$Q573</f>
        <v/>
      </c>
      <c r="BD573" s="199">
        <f>$P573*BD$34-$Q573</f>
        <v/>
      </c>
      <c r="BE573" s="199">
        <f>$P573*BE$34-$Q573</f>
        <v/>
      </c>
      <c r="BF573" s="199">
        <f>$P573*BF$34-$Q573</f>
        <v/>
      </c>
      <c r="BH573" s="198" t="n"/>
      <c r="BI573" s="197" t="n"/>
      <c r="BJ573" s="197" t="n"/>
      <c r="BK573" s="197" t="n"/>
      <c r="BL573" s="197" t="n"/>
      <c r="BM573" s="197" t="n"/>
      <c r="BN573" s="197" t="n"/>
      <c r="BP573" s="198" t="n"/>
      <c r="BQ573" s="197" t="n"/>
      <c r="BR573" s="197" t="n"/>
      <c r="BS573" s="197" t="n"/>
      <c r="BT573" s="197" t="n"/>
      <c r="BU573" s="197" t="n"/>
      <c r="BV573" s="197" t="n"/>
      <c r="BX573" s="198" t="n"/>
      <c r="BY573" s="197" t="n"/>
      <c r="BZ573" s="197" t="n"/>
      <c r="CA573" s="197" t="n"/>
      <c r="CB573" s="197" t="n"/>
      <c r="CC573" s="197" t="n"/>
      <c r="CD573" s="197" t="n"/>
      <c r="CF573" s="198" t="n"/>
      <c r="CG573" s="197" t="n"/>
      <c r="CH573" s="197" t="n"/>
      <c r="CI573" s="197" t="n"/>
      <c r="CJ573" s="197" t="n"/>
      <c r="CK573" s="197" t="n"/>
      <c r="CL573" s="197" t="n"/>
    </row>
    <row r="574">
      <c r="B574" s="204">
        <f>+C574-1</f>
        <v/>
      </c>
      <c r="C574" s="204">
        <f>IF('bands_A-H_Avg'!$D$9+1&gt;MONTH(G574),YEAR(G574),YEAR(G574)+1)</f>
        <v/>
      </c>
      <c r="D574" s="204">
        <f>+C574+1</f>
        <v/>
      </c>
      <c r="E574" s="203">
        <f>IF(C574&gt;C573,1,E573+1)</f>
        <v/>
      </c>
      <c r="F574" s="203">
        <f>COUNTIF(C:C,C574)</f>
        <v/>
      </c>
      <c r="G574" s="198">
        <f>+G573+7</f>
        <v/>
      </c>
      <c r="H574" s="202" t="n"/>
      <c r="I574" s="968" t="n"/>
      <c r="J574" s="968" t="n"/>
      <c r="K574" s="968" t="n"/>
      <c r="L574" s="968" t="n"/>
      <c r="M574" s="199">
        <f>HLOOKUP(C:C,$4:$10,3,FALSE)+((HLOOKUP(D:D,$4:$10,3,FALSE)-HLOOKUP(C:C,$4:$10,3,FALSE))*E574/F574)</f>
        <v/>
      </c>
      <c r="N574" s="199">
        <f>HLOOKUP(C:C,$4:$10,2,FALSE)+((HLOOKUP(D:D,$4:$10,2,FALSE)-HLOOKUP(C:C,$4:$10,2,FALSE))*E574/F574)</f>
        <v/>
      </c>
      <c r="O574" s="199">
        <f>HLOOKUP(C:C,$4:$10,5,FALSE)+((HLOOKUP(D:D,$4:$10,5,FALSE)-HLOOKUP(C:C,$4:$10,5,FALSE))*E574/F574)</f>
        <v/>
      </c>
      <c r="P574" s="199">
        <f>HLOOKUP(C:C,$4:$10,4,FALSE)+((HLOOKUP(D:D,$4:$10,4,FALSE)-HLOOKUP(C:C,$4:$10,4,FALSE))*E574/F574)</f>
        <v/>
      </c>
      <c r="Q574" s="199">
        <f>HLOOKUP(B:B,$4:$10,6,FALSE)+((HLOOKUP(C:C,$4:$10,6,FALSE)-HLOOKUP(B:B,$4:$10,6,FALSE))*E574/F574)</f>
        <v/>
      </c>
      <c r="T574" s="198">
        <f>$G574</f>
        <v/>
      </c>
      <c r="U574" s="199" t="n"/>
      <c r="V574" s="969">
        <f>HLOOKUP(B:B,$4:$10,7,FALSE)+((HLOOKUP(C:C,$4:$10,7,FALSE)-HLOOKUP(B:B,$4:$10,7,FALSE))*E574/F574)</f>
        <v/>
      </c>
      <c r="AB574" s="198">
        <f>$G574</f>
        <v/>
      </c>
      <c r="AC574" s="199" t="n"/>
      <c r="AD574" s="199">
        <f>$M574*AD$34</f>
        <v/>
      </c>
      <c r="AE574" s="199">
        <f>$M574*AE$34</f>
        <v/>
      </c>
      <c r="AF574" s="199">
        <f>$M574*AF$34</f>
        <v/>
      </c>
      <c r="AG574" s="199">
        <f>$M574*AG$34</f>
        <v/>
      </c>
      <c r="AH574" s="199">
        <f>$M574*AH$34</f>
        <v/>
      </c>
      <c r="AJ574" s="198">
        <f>$G574</f>
        <v/>
      </c>
      <c r="AK574" s="199" t="n"/>
      <c r="AL574" s="199">
        <f>$N574*AL$34</f>
        <v/>
      </c>
      <c r="AM574" s="199">
        <f>$N574*AM$34</f>
        <v/>
      </c>
      <c r="AN574" s="199">
        <f>$N574*AN$34</f>
        <v/>
      </c>
      <c r="AO574" s="199">
        <f>$N574*AO$34</f>
        <v/>
      </c>
      <c r="AP574" s="199">
        <f>$N574*AP$34</f>
        <v/>
      </c>
      <c r="AR574" s="198">
        <f>$G574</f>
        <v/>
      </c>
      <c r="AS574" s="199" t="n"/>
      <c r="AT574" s="199">
        <f>$O574*AT$34-$Q574</f>
        <v/>
      </c>
      <c r="AU574" s="199">
        <f>$O574*AU$34-$Q574</f>
        <v/>
      </c>
      <c r="AV574" s="199">
        <f>$O574*AV$34-$Q574</f>
        <v/>
      </c>
      <c r="AW574" s="199">
        <f>$O574*AW$34-$Q574</f>
        <v/>
      </c>
      <c r="AX574" s="199">
        <f>$O574*AX$34-$Q574</f>
        <v/>
      </c>
      <c r="AZ574" s="198">
        <f>$G574</f>
        <v/>
      </c>
      <c r="BA574" s="199" t="n"/>
      <c r="BB574" s="199">
        <f>$P574*BB$34-$Q574</f>
        <v/>
      </c>
      <c r="BC574" s="199">
        <f>$P574*BC$34-$Q574</f>
        <v/>
      </c>
      <c r="BD574" s="199">
        <f>$P574*BD$34-$Q574</f>
        <v/>
      </c>
      <c r="BE574" s="199">
        <f>$P574*BE$34-$Q574</f>
        <v/>
      </c>
      <c r="BF574" s="199">
        <f>$P574*BF$34-$Q574</f>
        <v/>
      </c>
      <c r="BH574" s="198" t="n"/>
      <c r="BI574" s="197" t="n"/>
      <c r="BJ574" s="197" t="n"/>
      <c r="BK574" s="197" t="n"/>
      <c r="BL574" s="197" t="n"/>
      <c r="BM574" s="197" t="n"/>
      <c r="BN574" s="197" t="n"/>
      <c r="BP574" s="198" t="n"/>
      <c r="BQ574" s="197" t="n"/>
      <c r="BR574" s="197" t="n"/>
      <c r="BS574" s="197" t="n"/>
      <c r="BT574" s="197" t="n"/>
      <c r="BU574" s="197" t="n"/>
      <c r="BV574" s="197" t="n"/>
      <c r="BX574" s="198" t="n"/>
      <c r="BY574" s="197" t="n"/>
      <c r="BZ574" s="197" t="n"/>
      <c r="CA574" s="197" t="n"/>
      <c r="CB574" s="197" t="n"/>
      <c r="CC574" s="197" t="n"/>
      <c r="CD574" s="197" t="n"/>
      <c r="CF574" s="198" t="n"/>
      <c r="CG574" s="197" t="n"/>
      <c r="CH574" s="197" t="n"/>
      <c r="CI574" s="197" t="n"/>
      <c r="CJ574" s="197" t="n"/>
      <c r="CK574" s="197" t="n"/>
      <c r="CL574" s="197" t="n"/>
    </row>
    <row r="575">
      <c r="B575" s="204">
        <f>+C575-1</f>
        <v/>
      </c>
      <c r="C575" s="204">
        <f>IF('bands_A-H_Avg'!$D$9+1&gt;MONTH(G575),YEAR(G575),YEAR(G575)+1)</f>
        <v/>
      </c>
      <c r="D575" s="204">
        <f>+C575+1</f>
        <v/>
      </c>
      <c r="E575" s="203">
        <f>IF(C575&gt;C574,1,E574+1)</f>
        <v/>
      </c>
      <c r="F575" s="203">
        <f>COUNTIF(C:C,C575)</f>
        <v/>
      </c>
      <c r="G575" s="198">
        <f>+G574+7</f>
        <v/>
      </c>
      <c r="H575" s="202" t="n"/>
      <c r="I575" s="968" t="n"/>
      <c r="J575" s="968" t="n"/>
      <c r="K575" s="968" t="n"/>
      <c r="L575" s="968" t="n"/>
      <c r="M575" s="199">
        <f>HLOOKUP(C:C,$4:$10,3,FALSE)+((HLOOKUP(D:D,$4:$10,3,FALSE)-HLOOKUP(C:C,$4:$10,3,FALSE))*E575/F575)</f>
        <v/>
      </c>
      <c r="N575" s="199">
        <f>HLOOKUP(C:C,$4:$10,2,FALSE)+((HLOOKUP(D:D,$4:$10,2,FALSE)-HLOOKUP(C:C,$4:$10,2,FALSE))*E575/F575)</f>
        <v/>
      </c>
      <c r="O575" s="199">
        <f>HLOOKUP(C:C,$4:$10,5,FALSE)+((HLOOKUP(D:D,$4:$10,5,FALSE)-HLOOKUP(C:C,$4:$10,5,FALSE))*E575/F575)</f>
        <v/>
      </c>
      <c r="P575" s="199">
        <f>HLOOKUP(C:C,$4:$10,4,FALSE)+((HLOOKUP(D:D,$4:$10,4,FALSE)-HLOOKUP(C:C,$4:$10,4,FALSE))*E575/F575)</f>
        <v/>
      </c>
      <c r="Q575" s="199">
        <f>HLOOKUP(B:B,$4:$10,6,FALSE)+((HLOOKUP(C:C,$4:$10,6,FALSE)-HLOOKUP(B:B,$4:$10,6,FALSE))*E575/F575)</f>
        <v/>
      </c>
      <c r="T575" s="198">
        <f>$G575</f>
        <v/>
      </c>
      <c r="U575" s="199" t="n"/>
      <c r="V575" s="969">
        <f>HLOOKUP(B:B,$4:$10,7,FALSE)+((HLOOKUP(C:C,$4:$10,7,FALSE)-HLOOKUP(B:B,$4:$10,7,FALSE))*E575/F575)</f>
        <v/>
      </c>
      <c r="AB575" s="198">
        <f>$G575</f>
        <v/>
      </c>
      <c r="AC575" s="199" t="n"/>
      <c r="AD575" s="199">
        <f>$M575*AD$34</f>
        <v/>
      </c>
      <c r="AE575" s="199">
        <f>$M575*AE$34</f>
        <v/>
      </c>
      <c r="AF575" s="199">
        <f>$M575*AF$34</f>
        <v/>
      </c>
      <c r="AG575" s="199">
        <f>$M575*AG$34</f>
        <v/>
      </c>
      <c r="AH575" s="199">
        <f>$M575*AH$34</f>
        <v/>
      </c>
      <c r="AJ575" s="198">
        <f>$G575</f>
        <v/>
      </c>
      <c r="AK575" s="199" t="n"/>
      <c r="AL575" s="199">
        <f>$N575*AL$34</f>
        <v/>
      </c>
      <c r="AM575" s="199">
        <f>$N575*AM$34</f>
        <v/>
      </c>
      <c r="AN575" s="199">
        <f>$N575*AN$34</f>
        <v/>
      </c>
      <c r="AO575" s="199">
        <f>$N575*AO$34</f>
        <v/>
      </c>
      <c r="AP575" s="199">
        <f>$N575*AP$34</f>
        <v/>
      </c>
      <c r="AR575" s="198">
        <f>$G575</f>
        <v/>
      </c>
      <c r="AS575" s="199" t="n"/>
      <c r="AT575" s="199">
        <f>$O575*AT$34-$Q575</f>
        <v/>
      </c>
      <c r="AU575" s="199">
        <f>$O575*AU$34-$Q575</f>
        <v/>
      </c>
      <c r="AV575" s="199">
        <f>$O575*AV$34-$Q575</f>
        <v/>
      </c>
      <c r="AW575" s="199">
        <f>$O575*AW$34-$Q575</f>
        <v/>
      </c>
      <c r="AX575" s="199">
        <f>$O575*AX$34-$Q575</f>
        <v/>
      </c>
      <c r="AZ575" s="198">
        <f>$G575</f>
        <v/>
      </c>
      <c r="BA575" s="199" t="n"/>
      <c r="BB575" s="199">
        <f>$P575*BB$34-$Q575</f>
        <v/>
      </c>
      <c r="BC575" s="199">
        <f>$P575*BC$34-$Q575</f>
        <v/>
      </c>
      <c r="BD575" s="199">
        <f>$P575*BD$34-$Q575</f>
        <v/>
      </c>
      <c r="BE575" s="199">
        <f>$P575*BE$34-$Q575</f>
        <v/>
      </c>
      <c r="BF575" s="199">
        <f>$P575*BF$34-$Q575</f>
        <v/>
      </c>
      <c r="BH575" s="198" t="n"/>
      <c r="BI575" s="197" t="n"/>
      <c r="BJ575" s="197" t="n"/>
      <c r="BK575" s="197" t="n"/>
      <c r="BL575" s="197" t="n"/>
      <c r="BM575" s="197" t="n"/>
      <c r="BN575" s="197" t="n"/>
      <c r="BP575" s="198" t="n"/>
      <c r="BQ575" s="197" t="n"/>
      <c r="BR575" s="197" t="n"/>
      <c r="BS575" s="197" t="n"/>
      <c r="BT575" s="197" t="n"/>
      <c r="BU575" s="197" t="n"/>
      <c r="BV575" s="197" t="n"/>
      <c r="BX575" s="198" t="n"/>
      <c r="BY575" s="197" t="n"/>
      <c r="BZ575" s="197" t="n"/>
      <c r="CA575" s="197" t="n"/>
      <c r="CB575" s="197" t="n"/>
      <c r="CC575" s="197" t="n"/>
      <c r="CD575" s="197" t="n"/>
      <c r="CF575" s="198" t="n"/>
      <c r="CG575" s="197" t="n"/>
      <c r="CH575" s="197" t="n"/>
      <c r="CI575" s="197" t="n"/>
      <c r="CJ575" s="197" t="n"/>
      <c r="CK575" s="197" t="n"/>
      <c r="CL575" s="197" t="n"/>
    </row>
    <row r="576">
      <c r="B576" s="204">
        <f>+C576-1</f>
        <v/>
      </c>
      <c r="C576" s="204">
        <f>IF('bands_A-H_Avg'!$D$9+1&gt;MONTH(G576),YEAR(G576),YEAR(G576)+1)</f>
        <v/>
      </c>
      <c r="D576" s="204">
        <f>+C576+1</f>
        <v/>
      </c>
      <c r="E576" s="203">
        <f>IF(C576&gt;C575,1,E575+1)</f>
        <v/>
      </c>
      <c r="F576" s="203">
        <f>COUNTIF(C:C,C576)</f>
        <v/>
      </c>
      <c r="G576" s="198">
        <f>+G575+7</f>
        <v/>
      </c>
      <c r="H576" s="202" t="n"/>
      <c r="I576" s="968" t="n"/>
      <c r="J576" s="968" t="n"/>
      <c r="K576" s="968" t="n"/>
      <c r="L576" s="968" t="n"/>
      <c r="M576" s="199">
        <f>HLOOKUP(C:C,$4:$10,3,FALSE)+((HLOOKUP(D:D,$4:$10,3,FALSE)-HLOOKUP(C:C,$4:$10,3,FALSE))*E576/F576)</f>
        <v/>
      </c>
      <c r="N576" s="199">
        <f>HLOOKUP(C:C,$4:$10,2,FALSE)+((HLOOKUP(D:D,$4:$10,2,FALSE)-HLOOKUP(C:C,$4:$10,2,FALSE))*E576/F576)</f>
        <v/>
      </c>
      <c r="O576" s="199">
        <f>HLOOKUP(C:C,$4:$10,5,FALSE)+((HLOOKUP(D:D,$4:$10,5,FALSE)-HLOOKUP(C:C,$4:$10,5,FALSE))*E576/F576)</f>
        <v/>
      </c>
      <c r="P576" s="199">
        <f>HLOOKUP(C:C,$4:$10,4,FALSE)+((HLOOKUP(D:D,$4:$10,4,FALSE)-HLOOKUP(C:C,$4:$10,4,FALSE))*E576/F576)</f>
        <v/>
      </c>
      <c r="Q576" s="199">
        <f>HLOOKUP(B:B,$4:$10,6,FALSE)+((HLOOKUP(C:C,$4:$10,6,FALSE)-HLOOKUP(B:B,$4:$10,6,FALSE))*E576/F576)</f>
        <v/>
      </c>
      <c r="T576" s="198">
        <f>$G576</f>
        <v/>
      </c>
      <c r="U576" s="199" t="n"/>
      <c r="V576" s="969">
        <f>HLOOKUP(B:B,$4:$10,7,FALSE)+((HLOOKUP(C:C,$4:$10,7,FALSE)-HLOOKUP(B:B,$4:$10,7,FALSE))*E576/F576)</f>
        <v/>
      </c>
      <c r="AB576" s="198">
        <f>$G576</f>
        <v/>
      </c>
      <c r="AC576" s="199" t="n"/>
      <c r="AD576" s="199">
        <f>$M576*AD$34</f>
        <v/>
      </c>
      <c r="AE576" s="199">
        <f>$M576*AE$34</f>
        <v/>
      </c>
      <c r="AF576" s="199">
        <f>$M576*AF$34</f>
        <v/>
      </c>
      <c r="AG576" s="199">
        <f>$M576*AG$34</f>
        <v/>
      </c>
      <c r="AH576" s="199">
        <f>$M576*AH$34</f>
        <v/>
      </c>
      <c r="AJ576" s="198">
        <f>$G576</f>
        <v/>
      </c>
      <c r="AK576" s="199" t="n"/>
      <c r="AL576" s="199">
        <f>$N576*AL$34</f>
        <v/>
      </c>
      <c r="AM576" s="199">
        <f>$N576*AM$34</f>
        <v/>
      </c>
      <c r="AN576" s="199">
        <f>$N576*AN$34</f>
        <v/>
      </c>
      <c r="AO576" s="199">
        <f>$N576*AO$34</f>
        <v/>
      </c>
      <c r="AP576" s="199">
        <f>$N576*AP$34</f>
        <v/>
      </c>
      <c r="AR576" s="198">
        <f>$G576</f>
        <v/>
      </c>
      <c r="AS576" s="199" t="n"/>
      <c r="AT576" s="199">
        <f>$O576*AT$34-$Q576</f>
        <v/>
      </c>
      <c r="AU576" s="199">
        <f>$O576*AU$34-$Q576</f>
        <v/>
      </c>
      <c r="AV576" s="199">
        <f>$O576*AV$34-$Q576</f>
        <v/>
      </c>
      <c r="AW576" s="199">
        <f>$O576*AW$34-$Q576</f>
        <v/>
      </c>
      <c r="AX576" s="199">
        <f>$O576*AX$34-$Q576</f>
        <v/>
      </c>
      <c r="AZ576" s="198">
        <f>$G576</f>
        <v/>
      </c>
      <c r="BA576" s="199" t="n"/>
      <c r="BB576" s="199">
        <f>$P576*BB$34-$Q576</f>
        <v/>
      </c>
      <c r="BC576" s="199">
        <f>$P576*BC$34-$Q576</f>
        <v/>
      </c>
      <c r="BD576" s="199">
        <f>$P576*BD$34-$Q576</f>
        <v/>
      </c>
      <c r="BE576" s="199">
        <f>$P576*BE$34-$Q576</f>
        <v/>
      </c>
      <c r="BF576" s="199">
        <f>$P576*BF$34-$Q576</f>
        <v/>
      </c>
      <c r="BH576" s="198" t="n"/>
      <c r="BI576" s="197" t="n"/>
      <c r="BJ576" s="197" t="n"/>
      <c r="BK576" s="197" t="n"/>
      <c r="BL576" s="197" t="n"/>
      <c r="BM576" s="197" t="n"/>
      <c r="BN576" s="197" t="n"/>
      <c r="BP576" s="198" t="n"/>
      <c r="BQ576" s="197" t="n"/>
      <c r="BR576" s="197" t="n"/>
      <c r="BS576" s="197" t="n"/>
      <c r="BT576" s="197" t="n"/>
      <c r="BU576" s="197" t="n"/>
      <c r="BV576" s="197" t="n"/>
      <c r="BX576" s="198" t="n"/>
      <c r="BY576" s="197" t="n"/>
      <c r="BZ576" s="197" t="n"/>
      <c r="CA576" s="197" t="n"/>
      <c r="CB576" s="197" t="n"/>
      <c r="CC576" s="197" t="n"/>
      <c r="CD576" s="197" t="n"/>
      <c r="CF576" s="198" t="n"/>
      <c r="CG576" s="197" t="n"/>
      <c r="CH576" s="197" t="n"/>
      <c r="CI576" s="197" t="n"/>
      <c r="CJ576" s="197" t="n"/>
      <c r="CK576" s="197" t="n"/>
      <c r="CL576" s="197" t="n"/>
    </row>
    <row r="577">
      <c r="B577" s="204">
        <f>+C577-1</f>
        <v/>
      </c>
      <c r="C577" s="204">
        <f>IF('bands_A-H_Avg'!$D$9+1&gt;MONTH(G577),YEAR(G577),YEAR(G577)+1)</f>
        <v/>
      </c>
      <c r="D577" s="204">
        <f>+C577+1</f>
        <v/>
      </c>
      <c r="E577" s="203">
        <f>IF(C577&gt;C576,1,E576+1)</f>
        <v/>
      </c>
      <c r="F577" s="203">
        <f>COUNTIF(C:C,C577)</f>
        <v/>
      </c>
      <c r="G577" s="198">
        <f>+G576+7</f>
        <v/>
      </c>
      <c r="H577" s="202" t="n"/>
      <c r="I577" s="968" t="n"/>
      <c r="J577" s="968" t="n"/>
      <c r="K577" s="968" t="n"/>
      <c r="L577" s="968" t="n"/>
      <c r="M577" s="199">
        <f>HLOOKUP(C:C,$4:$10,3,FALSE)+((HLOOKUP(D:D,$4:$10,3,FALSE)-HLOOKUP(C:C,$4:$10,3,FALSE))*E577/F577)</f>
        <v/>
      </c>
      <c r="N577" s="199">
        <f>HLOOKUP(C:C,$4:$10,2,FALSE)+((HLOOKUP(D:D,$4:$10,2,FALSE)-HLOOKUP(C:C,$4:$10,2,FALSE))*E577/F577)</f>
        <v/>
      </c>
      <c r="O577" s="199">
        <f>HLOOKUP(C:C,$4:$10,5,FALSE)+((HLOOKUP(D:D,$4:$10,5,FALSE)-HLOOKUP(C:C,$4:$10,5,FALSE))*E577/F577)</f>
        <v/>
      </c>
      <c r="P577" s="199">
        <f>HLOOKUP(C:C,$4:$10,4,FALSE)+((HLOOKUP(D:D,$4:$10,4,FALSE)-HLOOKUP(C:C,$4:$10,4,FALSE))*E577/F577)</f>
        <v/>
      </c>
      <c r="Q577" s="199">
        <f>HLOOKUP(B:B,$4:$10,6,FALSE)+((HLOOKUP(C:C,$4:$10,6,FALSE)-HLOOKUP(B:B,$4:$10,6,FALSE))*E577/F577)</f>
        <v/>
      </c>
      <c r="T577" s="198">
        <f>$G577</f>
        <v/>
      </c>
      <c r="U577" s="199" t="n"/>
      <c r="V577" s="969">
        <f>HLOOKUP(B:B,$4:$10,7,FALSE)+((HLOOKUP(C:C,$4:$10,7,FALSE)-HLOOKUP(B:B,$4:$10,7,FALSE))*E577/F577)</f>
        <v/>
      </c>
      <c r="AB577" s="198">
        <f>$G577</f>
        <v/>
      </c>
      <c r="AC577" s="199" t="n"/>
      <c r="AD577" s="199">
        <f>$M577*AD$34</f>
        <v/>
      </c>
      <c r="AE577" s="199">
        <f>$M577*AE$34</f>
        <v/>
      </c>
      <c r="AF577" s="199">
        <f>$M577*AF$34</f>
        <v/>
      </c>
      <c r="AG577" s="199">
        <f>$M577*AG$34</f>
        <v/>
      </c>
      <c r="AH577" s="199">
        <f>$M577*AH$34</f>
        <v/>
      </c>
      <c r="AJ577" s="198">
        <f>$G577</f>
        <v/>
      </c>
      <c r="AK577" s="199" t="n"/>
      <c r="AL577" s="199">
        <f>$N577*AL$34</f>
        <v/>
      </c>
      <c r="AM577" s="199">
        <f>$N577*AM$34</f>
        <v/>
      </c>
      <c r="AN577" s="199">
        <f>$N577*AN$34</f>
        <v/>
      </c>
      <c r="AO577" s="199">
        <f>$N577*AO$34</f>
        <v/>
      </c>
      <c r="AP577" s="199">
        <f>$N577*AP$34</f>
        <v/>
      </c>
      <c r="AR577" s="198">
        <f>$G577</f>
        <v/>
      </c>
      <c r="AS577" s="199" t="n"/>
      <c r="AT577" s="199">
        <f>$O577*AT$34-$Q577</f>
        <v/>
      </c>
      <c r="AU577" s="199">
        <f>$O577*AU$34-$Q577</f>
        <v/>
      </c>
      <c r="AV577" s="199">
        <f>$O577*AV$34-$Q577</f>
        <v/>
      </c>
      <c r="AW577" s="199">
        <f>$O577*AW$34-$Q577</f>
        <v/>
      </c>
      <c r="AX577" s="199">
        <f>$O577*AX$34-$Q577</f>
        <v/>
      </c>
      <c r="AZ577" s="198">
        <f>$G577</f>
        <v/>
      </c>
      <c r="BA577" s="199" t="n"/>
      <c r="BB577" s="199">
        <f>$P577*BB$34-$Q577</f>
        <v/>
      </c>
      <c r="BC577" s="199">
        <f>$P577*BC$34-$Q577</f>
        <v/>
      </c>
      <c r="BD577" s="199">
        <f>$P577*BD$34-$Q577</f>
        <v/>
      </c>
      <c r="BE577" s="199">
        <f>$P577*BE$34-$Q577</f>
        <v/>
      </c>
      <c r="BF577" s="199">
        <f>$P577*BF$34-$Q577</f>
        <v/>
      </c>
      <c r="BH577" s="198" t="n"/>
      <c r="BI577" s="197" t="n"/>
      <c r="BJ577" s="197" t="n"/>
      <c r="BK577" s="197" t="n"/>
      <c r="BL577" s="197" t="n"/>
      <c r="BM577" s="197" t="n"/>
      <c r="BN577" s="197" t="n"/>
      <c r="BP577" s="198" t="n"/>
      <c r="BQ577" s="197" t="n"/>
      <c r="BR577" s="197" t="n"/>
      <c r="BS577" s="197" t="n"/>
      <c r="BT577" s="197" t="n"/>
      <c r="BU577" s="197" t="n"/>
      <c r="BV577" s="197" t="n"/>
      <c r="BX577" s="198" t="n"/>
      <c r="BY577" s="197" t="n"/>
      <c r="BZ577" s="197" t="n"/>
      <c r="CA577" s="197" t="n"/>
      <c r="CB577" s="197" t="n"/>
      <c r="CC577" s="197" t="n"/>
      <c r="CD577" s="197" t="n"/>
      <c r="CF577" s="198" t="n"/>
      <c r="CG577" s="197" t="n"/>
      <c r="CH577" s="197" t="n"/>
      <c r="CI577" s="197" t="n"/>
      <c r="CJ577" s="197" t="n"/>
      <c r="CK577" s="197" t="n"/>
      <c r="CL577" s="197" t="n"/>
    </row>
    <row r="578">
      <c r="B578" s="204">
        <f>+C578-1</f>
        <v/>
      </c>
      <c r="C578" s="204">
        <f>IF('bands_A-H_Avg'!$D$9+1&gt;MONTH(G578),YEAR(G578),YEAR(G578)+1)</f>
        <v/>
      </c>
      <c r="D578" s="204">
        <f>+C578+1</f>
        <v/>
      </c>
      <c r="E578" s="203">
        <f>IF(C578&gt;C577,1,E577+1)</f>
        <v/>
      </c>
      <c r="F578" s="203">
        <f>COUNTIF(C:C,C578)</f>
        <v/>
      </c>
      <c r="G578" s="198">
        <f>+G577+7</f>
        <v/>
      </c>
      <c r="H578" s="202" t="n"/>
      <c r="I578" s="968" t="n"/>
      <c r="J578" s="968" t="n"/>
      <c r="K578" s="968" t="n"/>
      <c r="L578" s="968" t="n"/>
      <c r="M578" s="199">
        <f>HLOOKUP(C:C,$4:$10,3,FALSE)+((HLOOKUP(D:D,$4:$10,3,FALSE)-HLOOKUP(C:C,$4:$10,3,FALSE))*E578/F578)</f>
        <v/>
      </c>
      <c r="N578" s="199">
        <f>HLOOKUP(C:C,$4:$10,2,FALSE)+((HLOOKUP(D:D,$4:$10,2,FALSE)-HLOOKUP(C:C,$4:$10,2,FALSE))*E578/F578)</f>
        <v/>
      </c>
      <c r="O578" s="199">
        <f>HLOOKUP(C:C,$4:$10,5,FALSE)+((HLOOKUP(D:D,$4:$10,5,FALSE)-HLOOKUP(C:C,$4:$10,5,FALSE))*E578/F578)</f>
        <v/>
      </c>
      <c r="P578" s="199">
        <f>HLOOKUP(C:C,$4:$10,4,FALSE)+((HLOOKUP(D:D,$4:$10,4,FALSE)-HLOOKUP(C:C,$4:$10,4,FALSE))*E578/F578)</f>
        <v/>
      </c>
      <c r="Q578" s="199">
        <f>HLOOKUP(B:B,$4:$10,6,FALSE)+((HLOOKUP(C:C,$4:$10,6,FALSE)-HLOOKUP(B:B,$4:$10,6,FALSE))*E578/F578)</f>
        <v/>
      </c>
      <c r="T578" s="198">
        <f>$G578</f>
        <v/>
      </c>
      <c r="U578" s="199" t="n"/>
      <c r="V578" s="969">
        <f>HLOOKUP(B:B,$4:$10,7,FALSE)+((HLOOKUP(C:C,$4:$10,7,FALSE)-HLOOKUP(B:B,$4:$10,7,FALSE))*E578/F578)</f>
        <v/>
      </c>
      <c r="AB578" s="198">
        <f>$G578</f>
        <v/>
      </c>
      <c r="AC578" s="199" t="n"/>
      <c r="AD578" s="199">
        <f>$M578*AD$34</f>
        <v/>
      </c>
      <c r="AE578" s="199">
        <f>$M578*AE$34</f>
        <v/>
      </c>
      <c r="AF578" s="199">
        <f>$M578*AF$34</f>
        <v/>
      </c>
      <c r="AG578" s="199">
        <f>$M578*AG$34</f>
        <v/>
      </c>
      <c r="AH578" s="199">
        <f>$M578*AH$34</f>
        <v/>
      </c>
      <c r="AJ578" s="198">
        <f>$G578</f>
        <v/>
      </c>
      <c r="AK578" s="199" t="n"/>
      <c r="AL578" s="199">
        <f>$N578*AL$34</f>
        <v/>
      </c>
      <c r="AM578" s="199">
        <f>$N578*AM$34</f>
        <v/>
      </c>
      <c r="AN578" s="199">
        <f>$N578*AN$34</f>
        <v/>
      </c>
      <c r="AO578" s="199">
        <f>$N578*AO$34</f>
        <v/>
      </c>
      <c r="AP578" s="199">
        <f>$N578*AP$34</f>
        <v/>
      </c>
      <c r="AR578" s="198">
        <f>$G578</f>
        <v/>
      </c>
      <c r="AS578" s="199" t="n"/>
      <c r="AT578" s="199">
        <f>$O578*AT$34-$Q578</f>
        <v/>
      </c>
      <c r="AU578" s="199">
        <f>$O578*AU$34-$Q578</f>
        <v/>
      </c>
      <c r="AV578" s="199">
        <f>$O578*AV$34-$Q578</f>
        <v/>
      </c>
      <c r="AW578" s="199">
        <f>$O578*AW$34-$Q578</f>
        <v/>
      </c>
      <c r="AX578" s="199">
        <f>$O578*AX$34-$Q578</f>
        <v/>
      </c>
      <c r="AZ578" s="198">
        <f>$G578</f>
        <v/>
      </c>
      <c r="BA578" s="199" t="n"/>
      <c r="BB578" s="199">
        <f>$P578*BB$34-$Q578</f>
        <v/>
      </c>
      <c r="BC578" s="199">
        <f>$P578*BC$34-$Q578</f>
        <v/>
      </c>
      <c r="BD578" s="199">
        <f>$P578*BD$34-$Q578</f>
        <v/>
      </c>
      <c r="BE578" s="199">
        <f>$P578*BE$34-$Q578</f>
        <v/>
      </c>
      <c r="BF578" s="199">
        <f>$P578*BF$34-$Q578</f>
        <v/>
      </c>
      <c r="BH578" s="198" t="n"/>
      <c r="BI578" s="197" t="n"/>
      <c r="BJ578" s="197" t="n"/>
      <c r="BK578" s="197" t="n"/>
      <c r="BL578" s="197" t="n"/>
      <c r="BM578" s="197" t="n"/>
      <c r="BN578" s="197" t="n"/>
      <c r="BP578" s="198" t="n"/>
      <c r="BQ578" s="197" t="n"/>
      <c r="BR578" s="197" t="n"/>
      <c r="BS578" s="197" t="n"/>
      <c r="BT578" s="197" t="n"/>
      <c r="BU578" s="197" t="n"/>
      <c r="BV578" s="197" t="n"/>
      <c r="BX578" s="198" t="n"/>
      <c r="BY578" s="197" t="n"/>
      <c r="BZ578" s="197" t="n"/>
      <c r="CA578" s="197" t="n"/>
      <c r="CB578" s="197" t="n"/>
      <c r="CC578" s="197" t="n"/>
      <c r="CD578" s="197" t="n"/>
      <c r="CF578" s="198" t="n"/>
      <c r="CG578" s="197" t="n"/>
      <c r="CH578" s="197" t="n"/>
      <c r="CI578" s="197" t="n"/>
      <c r="CJ578" s="197" t="n"/>
      <c r="CK578" s="197" t="n"/>
      <c r="CL578" s="197" t="n"/>
    </row>
    <row r="579">
      <c r="B579" s="204">
        <f>+C579-1</f>
        <v/>
      </c>
      <c r="C579" s="204">
        <f>IF('bands_A-H_Avg'!$D$9+1&gt;MONTH(G579),YEAR(G579),YEAR(G579)+1)</f>
        <v/>
      </c>
      <c r="D579" s="204">
        <f>+C579+1</f>
        <v/>
      </c>
      <c r="E579" s="203">
        <f>IF(C579&gt;C578,1,E578+1)</f>
        <v/>
      </c>
      <c r="F579" s="203">
        <f>COUNTIF(C:C,C579)</f>
        <v/>
      </c>
      <c r="G579" s="198">
        <f>+G578+7</f>
        <v/>
      </c>
      <c r="H579" s="202" t="n"/>
      <c r="I579" s="968" t="n"/>
      <c r="J579" s="968" t="n"/>
      <c r="K579" s="968" t="n"/>
      <c r="L579" s="968" t="n"/>
      <c r="M579" s="199">
        <f>HLOOKUP(C:C,$4:$10,3,FALSE)+((HLOOKUP(D:D,$4:$10,3,FALSE)-HLOOKUP(C:C,$4:$10,3,FALSE))*E579/F579)</f>
        <v/>
      </c>
      <c r="N579" s="199">
        <f>HLOOKUP(C:C,$4:$10,2,FALSE)+((HLOOKUP(D:D,$4:$10,2,FALSE)-HLOOKUP(C:C,$4:$10,2,FALSE))*E579/F579)</f>
        <v/>
      </c>
      <c r="O579" s="199">
        <f>HLOOKUP(C:C,$4:$10,5,FALSE)+((HLOOKUP(D:D,$4:$10,5,FALSE)-HLOOKUP(C:C,$4:$10,5,FALSE))*E579/F579)</f>
        <v/>
      </c>
      <c r="P579" s="199">
        <f>HLOOKUP(C:C,$4:$10,4,FALSE)+((HLOOKUP(D:D,$4:$10,4,FALSE)-HLOOKUP(C:C,$4:$10,4,FALSE))*E579/F579)</f>
        <v/>
      </c>
      <c r="Q579" s="199">
        <f>HLOOKUP(B:B,$4:$10,6,FALSE)+((HLOOKUP(C:C,$4:$10,6,FALSE)-HLOOKUP(B:B,$4:$10,6,FALSE))*E579/F579)</f>
        <v/>
      </c>
      <c r="T579" s="198">
        <f>$G579</f>
        <v/>
      </c>
      <c r="U579" s="199" t="n"/>
      <c r="V579" s="969">
        <f>HLOOKUP(B:B,$4:$10,7,FALSE)+((HLOOKUP(C:C,$4:$10,7,FALSE)-HLOOKUP(B:B,$4:$10,7,FALSE))*E579/F579)</f>
        <v/>
      </c>
      <c r="AB579" s="198">
        <f>$G579</f>
        <v/>
      </c>
      <c r="AC579" s="199" t="n"/>
      <c r="AD579" s="199">
        <f>$M579*AD$34</f>
        <v/>
      </c>
      <c r="AE579" s="199">
        <f>$M579*AE$34</f>
        <v/>
      </c>
      <c r="AF579" s="199">
        <f>$M579*AF$34</f>
        <v/>
      </c>
      <c r="AG579" s="199">
        <f>$M579*AG$34</f>
        <v/>
      </c>
      <c r="AH579" s="199">
        <f>$M579*AH$34</f>
        <v/>
      </c>
      <c r="AJ579" s="198">
        <f>$G579</f>
        <v/>
      </c>
      <c r="AK579" s="199" t="n"/>
      <c r="AL579" s="199">
        <f>$N579*AL$34</f>
        <v/>
      </c>
      <c r="AM579" s="199">
        <f>$N579*AM$34</f>
        <v/>
      </c>
      <c r="AN579" s="199">
        <f>$N579*AN$34</f>
        <v/>
      </c>
      <c r="AO579" s="199">
        <f>$N579*AO$34</f>
        <v/>
      </c>
      <c r="AP579" s="199">
        <f>$N579*AP$34</f>
        <v/>
      </c>
      <c r="AR579" s="198">
        <f>$G579</f>
        <v/>
      </c>
      <c r="AS579" s="199" t="n"/>
      <c r="AT579" s="199">
        <f>$O579*AT$34-$Q579</f>
        <v/>
      </c>
      <c r="AU579" s="199">
        <f>$O579*AU$34-$Q579</f>
        <v/>
      </c>
      <c r="AV579" s="199">
        <f>$O579*AV$34-$Q579</f>
        <v/>
      </c>
      <c r="AW579" s="199">
        <f>$O579*AW$34-$Q579</f>
        <v/>
      </c>
      <c r="AX579" s="199">
        <f>$O579*AX$34-$Q579</f>
        <v/>
      </c>
      <c r="AZ579" s="198">
        <f>$G579</f>
        <v/>
      </c>
      <c r="BA579" s="199" t="n"/>
      <c r="BB579" s="199">
        <f>$P579*BB$34-$Q579</f>
        <v/>
      </c>
      <c r="BC579" s="199">
        <f>$P579*BC$34-$Q579</f>
        <v/>
      </c>
      <c r="BD579" s="199">
        <f>$P579*BD$34-$Q579</f>
        <v/>
      </c>
      <c r="BE579" s="199">
        <f>$P579*BE$34-$Q579</f>
        <v/>
      </c>
      <c r="BF579" s="199">
        <f>$P579*BF$34-$Q579</f>
        <v/>
      </c>
      <c r="BH579" s="198" t="n"/>
      <c r="BI579" s="197" t="n"/>
      <c r="BJ579" s="197" t="n"/>
      <c r="BK579" s="197" t="n"/>
      <c r="BL579" s="197" t="n"/>
      <c r="BM579" s="197" t="n"/>
      <c r="BN579" s="197" t="n"/>
      <c r="BP579" s="198" t="n"/>
      <c r="BQ579" s="197" t="n"/>
      <c r="BR579" s="197" t="n"/>
      <c r="BS579" s="197" t="n"/>
      <c r="BT579" s="197" t="n"/>
      <c r="BU579" s="197" t="n"/>
      <c r="BV579" s="197" t="n"/>
      <c r="BX579" s="198" t="n"/>
      <c r="BY579" s="197" t="n"/>
      <c r="BZ579" s="197" t="n"/>
      <c r="CA579" s="197" t="n"/>
      <c r="CB579" s="197" t="n"/>
      <c r="CC579" s="197" t="n"/>
      <c r="CD579" s="197" t="n"/>
      <c r="CF579" s="198" t="n"/>
      <c r="CG579" s="197" t="n"/>
      <c r="CH579" s="197" t="n"/>
      <c r="CI579" s="197" t="n"/>
      <c r="CJ579" s="197" t="n"/>
      <c r="CK579" s="197" t="n"/>
      <c r="CL579" s="197" t="n"/>
    </row>
    <row r="580">
      <c r="B580" s="204">
        <f>+C580-1</f>
        <v/>
      </c>
      <c r="C580" s="204">
        <f>IF('bands_A-H_Avg'!$D$9+1&gt;MONTH(G580),YEAR(G580),YEAR(G580)+1)</f>
        <v/>
      </c>
      <c r="D580" s="204">
        <f>+C580+1</f>
        <v/>
      </c>
      <c r="E580" s="203">
        <f>IF(C580&gt;C579,1,E579+1)</f>
        <v/>
      </c>
      <c r="F580" s="203">
        <f>COUNTIF(C:C,C580)</f>
        <v/>
      </c>
      <c r="G580" s="198">
        <f>+G579+7</f>
        <v/>
      </c>
      <c r="H580" s="202" t="n"/>
      <c r="I580" s="968" t="n"/>
      <c r="J580" s="968" t="n"/>
      <c r="K580" s="968" t="n"/>
      <c r="L580" s="968" t="n"/>
      <c r="M580" s="199">
        <f>HLOOKUP(C:C,$4:$10,3,FALSE)+((HLOOKUP(D:D,$4:$10,3,FALSE)-HLOOKUP(C:C,$4:$10,3,FALSE))*E580/F580)</f>
        <v/>
      </c>
      <c r="N580" s="199">
        <f>HLOOKUP(C:C,$4:$10,2,FALSE)+((HLOOKUP(D:D,$4:$10,2,FALSE)-HLOOKUP(C:C,$4:$10,2,FALSE))*E580/F580)</f>
        <v/>
      </c>
      <c r="O580" s="199">
        <f>HLOOKUP(C:C,$4:$10,5,FALSE)+((HLOOKUP(D:D,$4:$10,5,FALSE)-HLOOKUP(C:C,$4:$10,5,FALSE))*E580/F580)</f>
        <v/>
      </c>
      <c r="P580" s="199">
        <f>HLOOKUP(C:C,$4:$10,4,FALSE)+((HLOOKUP(D:D,$4:$10,4,FALSE)-HLOOKUP(C:C,$4:$10,4,FALSE))*E580/F580)</f>
        <v/>
      </c>
      <c r="Q580" s="199">
        <f>HLOOKUP(B:B,$4:$10,6,FALSE)+((HLOOKUP(C:C,$4:$10,6,FALSE)-HLOOKUP(B:B,$4:$10,6,FALSE))*E580/F580)</f>
        <v/>
      </c>
      <c r="T580" s="198">
        <f>$G580</f>
        <v/>
      </c>
      <c r="U580" s="199" t="n"/>
      <c r="V580" s="969">
        <f>HLOOKUP(B:B,$4:$10,7,FALSE)+((HLOOKUP(C:C,$4:$10,7,FALSE)-HLOOKUP(B:B,$4:$10,7,FALSE))*E580/F580)</f>
        <v/>
      </c>
      <c r="AB580" s="198">
        <f>$G580</f>
        <v/>
      </c>
      <c r="AC580" s="199" t="n"/>
      <c r="AD580" s="199">
        <f>$M580*AD$34</f>
        <v/>
      </c>
      <c r="AE580" s="199">
        <f>$M580*AE$34</f>
        <v/>
      </c>
      <c r="AF580" s="199">
        <f>$M580*AF$34</f>
        <v/>
      </c>
      <c r="AG580" s="199">
        <f>$M580*AG$34</f>
        <v/>
      </c>
      <c r="AH580" s="199">
        <f>$M580*AH$34</f>
        <v/>
      </c>
      <c r="AJ580" s="198">
        <f>$G580</f>
        <v/>
      </c>
      <c r="AK580" s="199" t="n"/>
      <c r="AL580" s="199">
        <f>$N580*AL$34</f>
        <v/>
      </c>
      <c r="AM580" s="199">
        <f>$N580*AM$34</f>
        <v/>
      </c>
      <c r="AN580" s="199">
        <f>$N580*AN$34</f>
        <v/>
      </c>
      <c r="AO580" s="199">
        <f>$N580*AO$34</f>
        <v/>
      </c>
      <c r="AP580" s="199">
        <f>$N580*AP$34</f>
        <v/>
      </c>
      <c r="AR580" s="198">
        <f>$G580</f>
        <v/>
      </c>
      <c r="AS580" s="199" t="n"/>
      <c r="AT580" s="199">
        <f>$O580*AT$34-$Q580</f>
        <v/>
      </c>
      <c r="AU580" s="199">
        <f>$O580*AU$34-$Q580</f>
        <v/>
      </c>
      <c r="AV580" s="199">
        <f>$O580*AV$34-$Q580</f>
        <v/>
      </c>
      <c r="AW580" s="199">
        <f>$O580*AW$34-$Q580</f>
        <v/>
      </c>
      <c r="AX580" s="199">
        <f>$O580*AX$34-$Q580</f>
        <v/>
      </c>
      <c r="AZ580" s="198">
        <f>$G580</f>
        <v/>
      </c>
      <c r="BA580" s="199" t="n"/>
      <c r="BB580" s="199">
        <f>$P580*BB$34-$Q580</f>
        <v/>
      </c>
      <c r="BC580" s="199">
        <f>$P580*BC$34-$Q580</f>
        <v/>
      </c>
      <c r="BD580" s="199">
        <f>$P580*BD$34-$Q580</f>
        <v/>
      </c>
      <c r="BE580" s="199">
        <f>$P580*BE$34-$Q580</f>
        <v/>
      </c>
      <c r="BF580" s="199">
        <f>$P580*BF$34-$Q580</f>
        <v/>
      </c>
      <c r="BH580" s="198" t="n"/>
      <c r="BI580" s="197" t="n"/>
      <c r="BJ580" s="197" t="n"/>
      <c r="BK580" s="197" t="n"/>
      <c r="BL580" s="197" t="n"/>
      <c r="BM580" s="197" t="n"/>
      <c r="BN580" s="197" t="n"/>
      <c r="BP580" s="198" t="n"/>
      <c r="BQ580" s="197" t="n"/>
      <c r="BR580" s="197" t="n"/>
      <c r="BS580" s="197" t="n"/>
      <c r="BT580" s="197" t="n"/>
      <c r="BU580" s="197" t="n"/>
      <c r="BV580" s="197" t="n"/>
      <c r="BX580" s="198" t="n"/>
      <c r="BY580" s="197" t="n"/>
      <c r="BZ580" s="197" t="n"/>
      <c r="CA580" s="197" t="n"/>
      <c r="CB580" s="197" t="n"/>
      <c r="CC580" s="197" t="n"/>
      <c r="CD580" s="197" t="n"/>
      <c r="CF580" s="198" t="n"/>
      <c r="CG580" s="197" t="n"/>
      <c r="CH580" s="197" t="n"/>
      <c r="CI580" s="197" t="n"/>
      <c r="CJ580" s="197" t="n"/>
      <c r="CK580" s="197" t="n"/>
      <c r="CL580" s="197" t="n"/>
    </row>
    <row r="581">
      <c r="B581" s="204">
        <f>+C581-1</f>
        <v/>
      </c>
      <c r="C581" s="204">
        <f>IF('bands_A-H_Avg'!$D$9+1&gt;MONTH(G581),YEAR(G581),YEAR(G581)+1)</f>
        <v/>
      </c>
      <c r="D581" s="204">
        <f>+C581+1</f>
        <v/>
      </c>
      <c r="E581" s="203">
        <f>IF(C581&gt;C580,1,E580+1)</f>
        <v/>
      </c>
      <c r="F581" s="203">
        <f>COUNTIF(C:C,C581)</f>
        <v/>
      </c>
      <c r="G581" s="198">
        <f>+G580+7</f>
        <v/>
      </c>
      <c r="H581" s="202" t="n"/>
      <c r="I581" s="968" t="n"/>
      <c r="J581" s="968" t="n"/>
      <c r="K581" s="968" t="n"/>
      <c r="L581" s="968" t="n"/>
      <c r="M581" s="199">
        <f>HLOOKUP(C:C,$4:$10,3,FALSE)+((HLOOKUP(D:D,$4:$10,3,FALSE)-HLOOKUP(C:C,$4:$10,3,FALSE))*E581/F581)</f>
        <v/>
      </c>
      <c r="N581" s="199">
        <f>HLOOKUP(C:C,$4:$10,2,FALSE)+((HLOOKUP(D:D,$4:$10,2,FALSE)-HLOOKUP(C:C,$4:$10,2,FALSE))*E581/F581)</f>
        <v/>
      </c>
      <c r="O581" s="199">
        <f>HLOOKUP(C:C,$4:$10,5,FALSE)+((HLOOKUP(D:D,$4:$10,5,FALSE)-HLOOKUP(C:C,$4:$10,5,FALSE))*E581/F581)</f>
        <v/>
      </c>
      <c r="P581" s="199">
        <f>HLOOKUP(C:C,$4:$10,4,FALSE)+((HLOOKUP(D:D,$4:$10,4,FALSE)-HLOOKUP(C:C,$4:$10,4,FALSE))*E581/F581)</f>
        <v/>
      </c>
      <c r="Q581" s="199">
        <f>HLOOKUP(B:B,$4:$10,6,FALSE)+((HLOOKUP(C:C,$4:$10,6,FALSE)-HLOOKUP(B:B,$4:$10,6,FALSE))*E581/F581)</f>
        <v/>
      </c>
      <c r="T581" s="198">
        <f>$G581</f>
        <v/>
      </c>
      <c r="U581" s="199" t="n"/>
      <c r="V581" s="969">
        <f>HLOOKUP(B:B,$4:$10,7,FALSE)+((HLOOKUP(C:C,$4:$10,7,FALSE)-HLOOKUP(B:B,$4:$10,7,FALSE))*E581/F581)</f>
        <v/>
      </c>
      <c r="AB581" s="198">
        <f>$G581</f>
        <v/>
      </c>
      <c r="AC581" s="199" t="n"/>
      <c r="AD581" s="199">
        <f>$M581*AD$34</f>
        <v/>
      </c>
      <c r="AE581" s="199">
        <f>$M581*AE$34</f>
        <v/>
      </c>
      <c r="AF581" s="199">
        <f>$M581*AF$34</f>
        <v/>
      </c>
      <c r="AG581" s="199">
        <f>$M581*AG$34</f>
        <v/>
      </c>
      <c r="AH581" s="199">
        <f>$M581*AH$34</f>
        <v/>
      </c>
      <c r="AJ581" s="198">
        <f>$G581</f>
        <v/>
      </c>
      <c r="AK581" s="199" t="n"/>
      <c r="AL581" s="199">
        <f>$N581*AL$34</f>
        <v/>
      </c>
      <c r="AM581" s="199">
        <f>$N581*AM$34</f>
        <v/>
      </c>
      <c r="AN581" s="199">
        <f>$N581*AN$34</f>
        <v/>
      </c>
      <c r="AO581" s="199">
        <f>$N581*AO$34</f>
        <v/>
      </c>
      <c r="AP581" s="199">
        <f>$N581*AP$34</f>
        <v/>
      </c>
      <c r="AR581" s="198">
        <f>$G581</f>
        <v/>
      </c>
      <c r="AS581" s="199" t="n"/>
      <c r="AT581" s="199">
        <f>$O581*AT$34-$Q581</f>
        <v/>
      </c>
      <c r="AU581" s="199">
        <f>$O581*AU$34-$Q581</f>
        <v/>
      </c>
      <c r="AV581" s="199">
        <f>$O581*AV$34-$Q581</f>
        <v/>
      </c>
      <c r="AW581" s="199">
        <f>$O581*AW$34-$Q581</f>
        <v/>
      </c>
      <c r="AX581" s="199">
        <f>$O581*AX$34-$Q581</f>
        <v/>
      </c>
      <c r="AZ581" s="198">
        <f>$G581</f>
        <v/>
      </c>
      <c r="BA581" s="199" t="n"/>
      <c r="BB581" s="199">
        <f>$P581*BB$34-$Q581</f>
        <v/>
      </c>
      <c r="BC581" s="199">
        <f>$P581*BC$34-$Q581</f>
        <v/>
      </c>
      <c r="BD581" s="199">
        <f>$P581*BD$34-$Q581</f>
        <v/>
      </c>
      <c r="BE581" s="199">
        <f>$P581*BE$34-$Q581</f>
        <v/>
      </c>
      <c r="BF581" s="199">
        <f>$P581*BF$34-$Q581</f>
        <v/>
      </c>
      <c r="BH581" s="198" t="n"/>
      <c r="BI581" s="197" t="n"/>
      <c r="BJ581" s="197" t="n"/>
      <c r="BK581" s="197" t="n"/>
      <c r="BL581" s="197" t="n"/>
      <c r="BM581" s="197" t="n"/>
      <c r="BN581" s="197" t="n"/>
      <c r="BP581" s="198" t="n"/>
      <c r="BQ581" s="197" t="n"/>
      <c r="BR581" s="197" t="n"/>
      <c r="BS581" s="197" t="n"/>
      <c r="BT581" s="197" t="n"/>
      <c r="BU581" s="197" t="n"/>
      <c r="BV581" s="197" t="n"/>
      <c r="BX581" s="198" t="n"/>
      <c r="BY581" s="197" t="n"/>
      <c r="BZ581" s="197" t="n"/>
      <c r="CA581" s="197" t="n"/>
      <c r="CB581" s="197" t="n"/>
      <c r="CC581" s="197" t="n"/>
      <c r="CD581" s="197" t="n"/>
      <c r="CF581" s="198" t="n"/>
      <c r="CG581" s="197" t="n"/>
      <c r="CH581" s="197" t="n"/>
      <c r="CI581" s="197" t="n"/>
      <c r="CJ581" s="197" t="n"/>
      <c r="CK581" s="197" t="n"/>
      <c r="CL581" s="197" t="n"/>
    </row>
    <row r="582">
      <c r="B582" s="204">
        <f>+C582-1</f>
        <v/>
      </c>
      <c r="C582" s="204">
        <f>IF('bands_A-H_Avg'!$D$9+1&gt;MONTH(G582),YEAR(G582),YEAR(G582)+1)</f>
        <v/>
      </c>
      <c r="D582" s="204">
        <f>+C582+1</f>
        <v/>
      </c>
      <c r="E582" s="203">
        <f>IF(C582&gt;C581,1,E581+1)</f>
        <v/>
      </c>
      <c r="F582" s="203">
        <f>COUNTIF(C:C,C582)</f>
        <v/>
      </c>
      <c r="G582" s="198">
        <f>+G581+7</f>
        <v/>
      </c>
      <c r="H582" s="202" t="n"/>
      <c r="I582" s="968" t="n"/>
      <c r="J582" s="968" t="n"/>
      <c r="K582" s="968" t="n"/>
      <c r="L582" s="968" t="n"/>
      <c r="M582" s="199">
        <f>HLOOKUP(C:C,$4:$10,3,FALSE)+((HLOOKUP(D:D,$4:$10,3,FALSE)-HLOOKUP(C:C,$4:$10,3,FALSE))*E582/F582)</f>
        <v/>
      </c>
      <c r="N582" s="199">
        <f>HLOOKUP(C:C,$4:$10,2,FALSE)+((HLOOKUP(D:D,$4:$10,2,FALSE)-HLOOKUP(C:C,$4:$10,2,FALSE))*E582/F582)</f>
        <v/>
      </c>
      <c r="O582" s="199">
        <f>HLOOKUP(C:C,$4:$10,5,FALSE)+((HLOOKUP(D:D,$4:$10,5,FALSE)-HLOOKUP(C:C,$4:$10,5,FALSE))*E582/F582)</f>
        <v/>
      </c>
      <c r="P582" s="199">
        <f>HLOOKUP(C:C,$4:$10,4,FALSE)+((HLOOKUP(D:D,$4:$10,4,FALSE)-HLOOKUP(C:C,$4:$10,4,FALSE))*E582/F582)</f>
        <v/>
      </c>
      <c r="Q582" s="199">
        <f>HLOOKUP(B:B,$4:$10,6,FALSE)+((HLOOKUP(C:C,$4:$10,6,FALSE)-HLOOKUP(B:B,$4:$10,6,FALSE))*E582/F582)</f>
        <v/>
      </c>
      <c r="T582" s="198">
        <f>$G582</f>
        <v/>
      </c>
      <c r="U582" s="199" t="n"/>
      <c r="V582" s="969">
        <f>HLOOKUP(B:B,$4:$10,7,FALSE)+((HLOOKUP(C:C,$4:$10,7,FALSE)-HLOOKUP(B:B,$4:$10,7,FALSE))*E582/F582)</f>
        <v/>
      </c>
      <c r="AB582" s="198">
        <f>$G582</f>
        <v/>
      </c>
      <c r="AC582" s="199" t="n"/>
      <c r="AD582" s="199">
        <f>$M582*AD$34</f>
        <v/>
      </c>
      <c r="AE582" s="199">
        <f>$M582*AE$34</f>
        <v/>
      </c>
      <c r="AF582" s="199">
        <f>$M582*AF$34</f>
        <v/>
      </c>
      <c r="AG582" s="199">
        <f>$M582*AG$34</f>
        <v/>
      </c>
      <c r="AH582" s="199">
        <f>$M582*AH$34</f>
        <v/>
      </c>
      <c r="AJ582" s="198">
        <f>$G582</f>
        <v/>
      </c>
      <c r="AK582" s="199" t="n"/>
      <c r="AL582" s="199">
        <f>$N582*AL$34</f>
        <v/>
      </c>
      <c r="AM582" s="199">
        <f>$N582*AM$34</f>
        <v/>
      </c>
      <c r="AN582" s="199">
        <f>$N582*AN$34</f>
        <v/>
      </c>
      <c r="AO582" s="199">
        <f>$N582*AO$34</f>
        <v/>
      </c>
      <c r="AP582" s="199">
        <f>$N582*AP$34</f>
        <v/>
      </c>
      <c r="AR582" s="198">
        <f>$G582</f>
        <v/>
      </c>
      <c r="AS582" s="199" t="n"/>
      <c r="AT582" s="199">
        <f>$O582*AT$34-$Q582</f>
        <v/>
      </c>
      <c r="AU582" s="199">
        <f>$O582*AU$34-$Q582</f>
        <v/>
      </c>
      <c r="AV582" s="199">
        <f>$O582*AV$34-$Q582</f>
        <v/>
      </c>
      <c r="AW582" s="199">
        <f>$O582*AW$34-$Q582</f>
        <v/>
      </c>
      <c r="AX582" s="199">
        <f>$O582*AX$34-$Q582</f>
        <v/>
      </c>
      <c r="AZ582" s="198">
        <f>$G582</f>
        <v/>
      </c>
      <c r="BA582" s="199" t="n"/>
      <c r="BB582" s="199">
        <f>$P582*BB$34-$Q582</f>
        <v/>
      </c>
      <c r="BC582" s="199">
        <f>$P582*BC$34-$Q582</f>
        <v/>
      </c>
      <c r="BD582" s="199">
        <f>$P582*BD$34-$Q582</f>
        <v/>
      </c>
      <c r="BE582" s="199">
        <f>$P582*BE$34-$Q582</f>
        <v/>
      </c>
      <c r="BF582" s="199">
        <f>$P582*BF$34-$Q582</f>
        <v/>
      </c>
      <c r="BH582" s="198" t="n"/>
      <c r="BI582" s="197" t="n"/>
      <c r="BJ582" s="197" t="n"/>
      <c r="BK582" s="197" t="n"/>
      <c r="BL582" s="197" t="n"/>
      <c r="BM582" s="197" t="n"/>
      <c r="BN582" s="197" t="n"/>
      <c r="BP582" s="198" t="n"/>
      <c r="BQ582" s="197" t="n"/>
      <c r="BR582" s="197" t="n"/>
      <c r="BS582" s="197" t="n"/>
      <c r="BT582" s="197" t="n"/>
      <c r="BU582" s="197" t="n"/>
      <c r="BV582" s="197" t="n"/>
      <c r="BX582" s="198" t="n"/>
      <c r="BY582" s="197" t="n"/>
      <c r="BZ582" s="197" t="n"/>
      <c r="CA582" s="197" t="n"/>
      <c r="CB582" s="197" t="n"/>
      <c r="CC582" s="197" t="n"/>
      <c r="CD582" s="197" t="n"/>
      <c r="CF582" s="198" t="n"/>
      <c r="CG582" s="197" t="n"/>
      <c r="CH582" s="197" t="n"/>
      <c r="CI582" s="197" t="n"/>
      <c r="CJ582" s="197" t="n"/>
      <c r="CK582" s="197" t="n"/>
      <c r="CL582" s="197" t="n"/>
    </row>
    <row r="583">
      <c r="B583" s="204">
        <f>+C583-1</f>
        <v/>
      </c>
      <c r="C583" s="204">
        <f>IF('bands_A-H_Avg'!$D$9+1&gt;MONTH(G583),YEAR(G583),YEAR(G583)+1)</f>
        <v/>
      </c>
      <c r="D583" s="204">
        <f>+C583+1</f>
        <v/>
      </c>
      <c r="E583" s="203">
        <f>IF(C583&gt;C582,1,E582+1)</f>
        <v/>
      </c>
      <c r="F583" s="203">
        <f>COUNTIF(C:C,C583)</f>
        <v/>
      </c>
      <c r="G583" s="198">
        <f>+G582+7</f>
        <v/>
      </c>
      <c r="H583" s="202" t="n"/>
      <c r="I583" s="968" t="n"/>
      <c r="J583" s="968" t="n"/>
      <c r="K583" s="968" t="n"/>
      <c r="L583" s="968" t="n"/>
      <c r="M583" s="199">
        <f>HLOOKUP(C:C,$4:$10,3,FALSE)+((HLOOKUP(D:D,$4:$10,3,FALSE)-HLOOKUP(C:C,$4:$10,3,FALSE))*E583/F583)</f>
        <v/>
      </c>
      <c r="N583" s="199">
        <f>HLOOKUP(C:C,$4:$10,2,FALSE)+((HLOOKUP(D:D,$4:$10,2,FALSE)-HLOOKUP(C:C,$4:$10,2,FALSE))*E583/F583)</f>
        <v/>
      </c>
      <c r="O583" s="199">
        <f>HLOOKUP(C:C,$4:$10,5,FALSE)+((HLOOKUP(D:D,$4:$10,5,FALSE)-HLOOKUP(C:C,$4:$10,5,FALSE))*E583/F583)</f>
        <v/>
      </c>
      <c r="P583" s="199">
        <f>HLOOKUP(C:C,$4:$10,4,FALSE)+((HLOOKUP(D:D,$4:$10,4,FALSE)-HLOOKUP(C:C,$4:$10,4,FALSE))*E583/F583)</f>
        <v/>
      </c>
      <c r="Q583" s="199">
        <f>HLOOKUP(B:B,$4:$10,6,FALSE)+((HLOOKUP(C:C,$4:$10,6,FALSE)-HLOOKUP(B:B,$4:$10,6,FALSE))*E583/F583)</f>
        <v/>
      </c>
      <c r="T583" s="198">
        <f>$G583</f>
        <v/>
      </c>
      <c r="U583" s="199" t="n"/>
      <c r="V583" s="969">
        <f>HLOOKUP(B:B,$4:$10,7,FALSE)+((HLOOKUP(C:C,$4:$10,7,FALSE)-HLOOKUP(B:B,$4:$10,7,FALSE))*E583/F583)</f>
        <v/>
      </c>
      <c r="AB583" s="198">
        <f>$G583</f>
        <v/>
      </c>
      <c r="AC583" s="199" t="n"/>
      <c r="AD583" s="199">
        <f>$M583*AD$34</f>
        <v/>
      </c>
      <c r="AE583" s="199">
        <f>$M583*AE$34</f>
        <v/>
      </c>
      <c r="AF583" s="199">
        <f>$M583*AF$34</f>
        <v/>
      </c>
      <c r="AG583" s="199">
        <f>$M583*AG$34</f>
        <v/>
      </c>
      <c r="AH583" s="199">
        <f>$M583*AH$34</f>
        <v/>
      </c>
      <c r="AJ583" s="198">
        <f>$G583</f>
        <v/>
      </c>
      <c r="AK583" s="199" t="n"/>
      <c r="AL583" s="199">
        <f>$N583*AL$34</f>
        <v/>
      </c>
      <c r="AM583" s="199">
        <f>$N583*AM$34</f>
        <v/>
      </c>
      <c r="AN583" s="199">
        <f>$N583*AN$34</f>
        <v/>
      </c>
      <c r="AO583" s="199">
        <f>$N583*AO$34</f>
        <v/>
      </c>
      <c r="AP583" s="199">
        <f>$N583*AP$34</f>
        <v/>
      </c>
      <c r="AR583" s="198">
        <f>$G583</f>
        <v/>
      </c>
      <c r="AS583" s="199" t="n"/>
      <c r="AT583" s="199">
        <f>$O583*AT$34-$Q583</f>
        <v/>
      </c>
      <c r="AU583" s="199">
        <f>$O583*AU$34-$Q583</f>
        <v/>
      </c>
      <c r="AV583" s="199">
        <f>$O583*AV$34-$Q583</f>
        <v/>
      </c>
      <c r="AW583" s="199">
        <f>$O583*AW$34-$Q583</f>
        <v/>
      </c>
      <c r="AX583" s="199">
        <f>$O583*AX$34-$Q583</f>
        <v/>
      </c>
      <c r="AZ583" s="198">
        <f>$G583</f>
        <v/>
      </c>
      <c r="BA583" s="199" t="n"/>
      <c r="BB583" s="199">
        <f>$P583*BB$34-$Q583</f>
        <v/>
      </c>
      <c r="BC583" s="199">
        <f>$P583*BC$34-$Q583</f>
        <v/>
      </c>
      <c r="BD583" s="199">
        <f>$P583*BD$34-$Q583</f>
        <v/>
      </c>
      <c r="BE583" s="199">
        <f>$P583*BE$34-$Q583</f>
        <v/>
      </c>
      <c r="BF583" s="199">
        <f>$P583*BF$34-$Q583</f>
        <v/>
      </c>
      <c r="BH583" s="198" t="n"/>
      <c r="BI583" s="197" t="n"/>
      <c r="BJ583" s="197" t="n"/>
      <c r="BK583" s="197" t="n"/>
      <c r="BL583" s="197" t="n"/>
      <c r="BM583" s="197" t="n"/>
      <c r="BN583" s="197" t="n"/>
      <c r="BP583" s="198" t="n"/>
      <c r="BQ583" s="197" t="n"/>
      <c r="BR583" s="197" t="n"/>
      <c r="BS583" s="197" t="n"/>
      <c r="BT583" s="197" t="n"/>
      <c r="BU583" s="197" t="n"/>
      <c r="BV583" s="197" t="n"/>
      <c r="BX583" s="198" t="n"/>
      <c r="BY583" s="197" t="n"/>
      <c r="BZ583" s="197" t="n"/>
      <c r="CA583" s="197" t="n"/>
      <c r="CB583" s="197" t="n"/>
      <c r="CC583" s="197" t="n"/>
      <c r="CD583" s="197" t="n"/>
      <c r="CF583" s="198" t="n"/>
      <c r="CG583" s="197" t="n"/>
      <c r="CH583" s="197" t="n"/>
      <c r="CI583" s="197" t="n"/>
      <c r="CJ583" s="197" t="n"/>
      <c r="CK583" s="197" t="n"/>
      <c r="CL583" s="197" t="n"/>
    </row>
    <row r="584">
      <c r="B584" s="204">
        <f>+C584-1</f>
        <v/>
      </c>
      <c r="C584" s="204">
        <f>IF('bands_A-H_Avg'!$D$9+1&gt;MONTH(G584),YEAR(G584),YEAR(G584)+1)</f>
        <v/>
      </c>
      <c r="D584" s="204">
        <f>+C584+1</f>
        <v/>
      </c>
      <c r="E584" s="203">
        <f>IF(C584&gt;C583,1,E583+1)</f>
        <v/>
      </c>
      <c r="F584" s="203">
        <f>COUNTIF(C:C,C584)</f>
        <v/>
      </c>
      <c r="G584" s="198">
        <f>+G583+7</f>
        <v/>
      </c>
      <c r="H584" s="202" t="n"/>
      <c r="I584" s="968" t="n"/>
      <c r="J584" s="968" t="n"/>
      <c r="K584" s="968" t="n"/>
      <c r="L584" s="968" t="n"/>
      <c r="M584" s="199">
        <f>HLOOKUP(C:C,$4:$10,3,FALSE)+((HLOOKUP(D:D,$4:$10,3,FALSE)-HLOOKUP(C:C,$4:$10,3,FALSE))*E584/F584)</f>
        <v/>
      </c>
      <c r="N584" s="199">
        <f>HLOOKUP(C:C,$4:$10,2,FALSE)+((HLOOKUP(D:D,$4:$10,2,FALSE)-HLOOKUP(C:C,$4:$10,2,FALSE))*E584/F584)</f>
        <v/>
      </c>
      <c r="O584" s="199">
        <f>HLOOKUP(C:C,$4:$10,5,FALSE)+((HLOOKUP(D:D,$4:$10,5,FALSE)-HLOOKUP(C:C,$4:$10,5,FALSE))*E584/F584)</f>
        <v/>
      </c>
      <c r="P584" s="199">
        <f>HLOOKUP(C:C,$4:$10,4,FALSE)+((HLOOKUP(D:D,$4:$10,4,FALSE)-HLOOKUP(C:C,$4:$10,4,FALSE))*E584/F584)</f>
        <v/>
      </c>
      <c r="Q584" s="199">
        <f>HLOOKUP(B:B,$4:$10,6,FALSE)+((HLOOKUP(C:C,$4:$10,6,FALSE)-HLOOKUP(B:B,$4:$10,6,FALSE))*E584/F584)</f>
        <v/>
      </c>
      <c r="T584" s="198">
        <f>$G584</f>
        <v/>
      </c>
      <c r="U584" s="199" t="n"/>
      <c r="V584" s="969">
        <f>HLOOKUP(B:B,$4:$10,7,FALSE)+((HLOOKUP(C:C,$4:$10,7,FALSE)-HLOOKUP(B:B,$4:$10,7,FALSE))*E584/F584)</f>
        <v/>
      </c>
      <c r="AB584" s="198">
        <f>$G584</f>
        <v/>
      </c>
      <c r="AC584" s="199" t="n"/>
      <c r="AD584" s="199">
        <f>$M584*AD$34</f>
        <v/>
      </c>
      <c r="AE584" s="199">
        <f>$M584*AE$34</f>
        <v/>
      </c>
      <c r="AF584" s="199">
        <f>$M584*AF$34</f>
        <v/>
      </c>
      <c r="AG584" s="199">
        <f>$M584*AG$34</f>
        <v/>
      </c>
      <c r="AH584" s="199">
        <f>$M584*AH$34</f>
        <v/>
      </c>
      <c r="AJ584" s="198">
        <f>$G584</f>
        <v/>
      </c>
      <c r="AK584" s="199" t="n"/>
      <c r="AL584" s="199">
        <f>$N584*AL$34</f>
        <v/>
      </c>
      <c r="AM584" s="199">
        <f>$N584*AM$34</f>
        <v/>
      </c>
      <c r="AN584" s="199">
        <f>$N584*AN$34</f>
        <v/>
      </c>
      <c r="AO584" s="199">
        <f>$N584*AO$34</f>
        <v/>
      </c>
      <c r="AP584" s="199">
        <f>$N584*AP$34</f>
        <v/>
      </c>
      <c r="AR584" s="198">
        <f>$G584</f>
        <v/>
      </c>
      <c r="AS584" s="199" t="n"/>
      <c r="AT584" s="199">
        <f>$O584*AT$34-$Q584</f>
        <v/>
      </c>
      <c r="AU584" s="199">
        <f>$O584*AU$34-$Q584</f>
        <v/>
      </c>
      <c r="AV584" s="199">
        <f>$O584*AV$34-$Q584</f>
        <v/>
      </c>
      <c r="AW584" s="199">
        <f>$O584*AW$34-$Q584</f>
        <v/>
      </c>
      <c r="AX584" s="199">
        <f>$O584*AX$34-$Q584</f>
        <v/>
      </c>
      <c r="AZ584" s="198">
        <f>$G584</f>
        <v/>
      </c>
      <c r="BA584" s="199" t="n"/>
      <c r="BB584" s="199">
        <f>$P584*BB$34-$Q584</f>
        <v/>
      </c>
      <c r="BC584" s="199">
        <f>$P584*BC$34-$Q584</f>
        <v/>
      </c>
      <c r="BD584" s="199">
        <f>$P584*BD$34-$Q584</f>
        <v/>
      </c>
      <c r="BE584" s="199">
        <f>$P584*BE$34-$Q584</f>
        <v/>
      </c>
      <c r="BF584" s="199">
        <f>$P584*BF$34-$Q584</f>
        <v/>
      </c>
      <c r="BH584" s="198" t="n"/>
      <c r="BI584" s="197" t="n"/>
      <c r="BJ584" s="197" t="n"/>
      <c r="BK584" s="197" t="n"/>
      <c r="BL584" s="197" t="n"/>
      <c r="BM584" s="197" t="n"/>
      <c r="BN584" s="197" t="n"/>
      <c r="BP584" s="198" t="n"/>
      <c r="BQ584" s="197" t="n"/>
      <c r="BR584" s="197" t="n"/>
      <c r="BS584" s="197" t="n"/>
      <c r="BT584" s="197" t="n"/>
      <c r="BU584" s="197" t="n"/>
      <c r="BV584" s="197" t="n"/>
      <c r="BX584" s="198" t="n"/>
      <c r="BY584" s="197" t="n"/>
      <c r="BZ584" s="197" t="n"/>
      <c r="CA584" s="197" t="n"/>
      <c r="CB584" s="197" t="n"/>
      <c r="CC584" s="197" t="n"/>
      <c r="CD584" s="197" t="n"/>
      <c r="CF584" s="198" t="n"/>
      <c r="CG584" s="197" t="n"/>
      <c r="CH584" s="197" t="n"/>
      <c r="CI584" s="197" t="n"/>
      <c r="CJ584" s="197" t="n"/>
      <c r="CK584" s="197" t="n"/>
      <c r="CL584" s="197" t="n"/>
    </row>
    <row r="585">
      <c r="B585" s="204">
        <f>+C585-1</f>
        <v/>
      </c>
      <c r="C585" s="204">
        <f>IF('bands_A-H_Avg'!$D$9+1&gt;MONTH(G585),YEAR(G585),YEAR(G585)+1)</f>
        <v/>
      </c>
      <c r="D585" s="204">
        <f>+C585+1</f>
        <v/>
      </c>
      <c r="E585" s="203">
        <f>IF(C585&gt;C584,1,E584+1)</f>
        <v/>
      </c>
      <c r="F585" s="203">
        <f>COUNTIF(C:C,C585)</f>
        <v/>
      </c>
      <c r="G585" s="198">
        <f>+G584+7</f>
        <v/>
      </c>
      <c r="H585" s="202" t="n"/>
      <c r="I585" s="968" t="n"/>
      <c r="J585" s="968" t="n"/>
      <c r="K585" s="968" t="n"/>
      <c r="L585" s="968" t="n"/>
      <c r="M585" s="199">
        <f>HLOOKUP(C:C,$4:$10,3,FALSE)+((HLOOKUP(D:D,$4:$10,3,FALSE)-HLOOKUP(C:C,$4:$10,3,FALSE))*E585/F585)</f>
        <v/>
      </c>
      <c r="N585" s="199">
        <f>HLOOKUP(C:C,$4:$10,2,FALSE)+((HLOOKUP(D:D,$4:$10,2,FALSE)-HLOOKUP(C:C,$4:$10,2,FALSE))*E585/F585)</f>
        <v/>
      </c>
      <c r="O585" s="199">
        <f>HLOOKUP(C:C,$4:$10,5,FALSE)+((HLOOKUP(D:D,$4:$10,5,FALSE)-HLOOKUP(C:C,$4:$10,5,FALSE))*E585/F585)</f>
        <v/>
      </c>
      <c r="P585" s="199">
        <f>HLOOKUP(C:C,$4:$10,4,FALSE)+((HLOOKUP(D:D,$4:$10,4,FALSE)-HLOOKUP(C:C,$4:$10,4,FALSE))*E585/F585)</f>
        <v/>
      </c>
      <c r="Q585" s="199">
        <f>HLOOKUP(B:B,$4:$10,6,FALSE)+((HLOOKUP(C:C,$4:$10,6,FALSE)-HLOOKUP(B:B,$4:$10,6,FALSE))*E585/F585)</f>
        <v/>
      </c>
      <c r="T585" s="198">
        <f>$G585</f>
        <v/>
      </c>
      <c r="U585" s="199" t="n"/>
      <c r="V585" s="969">
        <f>HLOOKUP(B:B,$4:$10,7,FALSE)+((HLOOKUP(C:C,$4:$10,7,FALSE)-HLOOKUP(B:B,$4:$10,7,FALSE))*E585/F585)</f>
        <v/>
      </c>
      <c r="AB585" s="198">
        <f>$G585</f>
        <v/>
      </c>
      <c r="AC585" s="199" t="n"/>
      <c r="AD585" s="199">
        <f>$M585*AD$34</f>
        <v/>
      </c>
      <c r="AE585" s="199">
        <f>$M585*AE$34</f>
        <v/>
      </c>
      <c r="AF585" s="199">
        <f>$M585*AF$34</f>
        <v/>
      </c>
      <c r="AG585" s="199">
        <f>$M585*AG$34</f>
        <v/>
      </c>
      <c r="AH585" s="199">
        <f>$M585*AH$34</f>
        <v/>
      </c>
      <c r="AJ585" s="198">
        <f>$G585</f>
        <v/>
      </c>
      <c r="AK585" s="199" t="n"/>
      <c r="AL585" s="199">
        <f>$N585*AL$34</f>
        <v/>
      </c>
      <c r="AM585" s="199">
        <f>$N585*AM$34</f>
        <v/>
      </c>
      <c r="AN585" s="199">
        <f>$N585*AN$34</f>
        <v/>
      </c>
      <c r="AO585" s="199">
        <f>$N585*AO$34</f>
        <v/>
      </c>
      <c r="AP585" s="199">
        <f>$N585*AP$34</f>
        <v/>
      </c>
      <c r="AR585" s="198">
        <f>$G585</f>
        <v/>
      </c>
      <c r="AS585" s="199" t="n"/>
      <c r="AT585" s="199">
        <f>$O585*AT$34-$Q585</f>
        <v/>
      </c>
      <c r="AU585" s="199">
        <f>$O585*AU$34-$Q585</f>
        <v/>
      </c>
      <c r="AV585" s="199">
        <f>$O585*AV$34-$Q585</f>
        <v/>
      </c>
      <c r="AW585" s="199">
        <f>$O585*AW$34-$Q585</f>
        <v/>
      </c>
      <c r="AX585" s="199">
        <f>$O585*AX$34-$Q585</f>
        <v/>
      </c>
      <c r="AZ585" s="198">
        <f>$G585</f>
        <v/>
      </c>
      <c r="BA585" s="199" t="n"/>
      <c r="BB585" s="199">
        <f>$P585*BB$34-$Q585</f>
        <v/>
      </c>
      <c r="BC585" s="199">
        <f>$P585*BC$34-$Q585</f>
        <v/>
      </c>
      <c r="BD585" s="199">
        <f>$P585*BD$34-$Q585</f>
        <v/>
      </c>
      <c r="BE585" s="199">
        <f>$P585*BE$34-$Q585</f>
        <v/>
      </c>
      <c r="BF585" s="199">
        <f>$P585*BF$34-$Q585</f>
        <v/>
      </c>
      <c r="BH585" s="198" t="n"/>
      <c r="BI585" s="197" t="n"/>
      <c r="BJ585" s="197" t="n"/>
      <c r="BK585" s="197" t="n"/>
      <c r="BL585" s="197" t="n"/>
      <c r="BM585" s="197" t="n"/>
      <c r="BN585" s="197" t="n"/>
      <c r="BP585" s="198" t="n"/>
      <c r="BQ585" s="197" t="n"/>
      <c r="BR585" s="197" t="n"/>
      <c r="BS585" s="197" t="n"/>
      <c r="BT585" s="197" t="n"/>
      <c r="BU585" s="197" t="n"/>
      <c r="BV585" s="197" t="n"/>
      <c r="BX585" s="198" t="n"/>
      <c r="BY585" s="197" t="n"/>
      <c r="BZ585" s="197" t="n"/>
      <c r="CA585" s="197" t="n"/>
      <c r="CB585" s="197" t="n"/>
      <c r="CC585" s="197" t="n"/>
      <c r="CD585" s="197" t="n"/>
      <c r="CF585" s="198" t="n"/>
      <c r="CG585" s="197" t="n"/>
      <c r="CH585" s="197" t="n"/>
      <c r="CI585" s="197" t="n"/>
      <c r="CJ585" s="197" t="n"/>
      <c r="CK585" s="197" t="n"/>
      <c r="CL585" s="197" t="n"/>
    </row>
    <row r="586">
      <c r="B586" s="204">
        <f>+C586-1</f>
        <v/>
      </c>
      <c r="C586" s="204">
        <f>IF('bands_A-H_Avg'!$D$9+1&gt;MONTH(G586),YEAR(G586),YEAR(G586)+1)</f>
        <v/>
      </c>
      <c r="D586" s="204">
        <f>+C586+1</f>
        <v/>
      </c>
      <c r="E586" s="203">
        <f>IF(C586&gt;C585,1,E585+1)</f>
        <v/>
      </c>
      <c r="F586" s="203">
        <f>COUNTIF(C:C,C586)</f>
        <v/>
      </c>
      <c r="G586" s="198">
        <f>+G585+7</f>
        <v/>
      </c>
      <c r="H586" s="202" t="n"/>
      <c r="I586" s="968" t="n"/>
      <c r="J586" s="968" t="n"/>
      <c r="K586" s="968" t="n"/>
      <c r="L586" s="968" t="n"/>
      <c r="M586" s="199">
        <f>HLOOKUP(C:C,$4:$10,3,FALSE)+((HLOOKUP(D:D,$4:$10,3,FALSE)-HLOOKUP(C:C,$4:$10,3,FALSE))*E586/F586)</f>
        <v/>
      </c>
      <c r="N586" s="199">
        <f>HLOOKUP(C:C,$4:$10,2,FALSE)+((HLOOKUP(D:D,$4:$10,2,FALSE)-HLOOKUP(C:C,$4:$10,2,FALSE))*E586/F586)</f>
        <v/>
      </c>
      <c r="O586" s="199">
        <f>HLOOKUP(C:C,$4:$10,5,FALSE)+((HLOOKUP(D:D,$4:$10,5,FALSE)-HLOOKUP(C:C,$4:$10,5,FALSE))*E586/F586)</f>
        <v/>
      </c>
      <c r="P586" s="199">
        <f>HLOOKUP(C:C,$4:$10,4,FALSE)+((HLOOKUP(D:D,$4:$10,4,FALSE)-HLOOKUP(C:C,$4:$10,4,FALSE))*E586/F586)</f>
        <v/>
      </c>
      <c r="Q586" s="199">
        <f>HLOOKUP(B:B,$4:$10,6,FALSE)+((HLOOKUP(C:C,$4:$10,6,FALSE)-HLOOKUP(B:B,$4:$10,6,FALSE))*E586/F586)</f>
        <v/>
      </c>
      <c r="T586" s="198">
        <f>$G586</f>
        <v/>
      </c>
      <c r="U586" s="199" t="n"/>
      <c r="V586" s="969">
        <f>HLOOKUP(B:B,$4:$10,7,FALSE)+((HLOOKUP(C:C,$4:$10,7,FALSE)-HLOOKUP(B:B,$4:$10,7,FALSE))*E586/F586)</f>
        <v/>
      </c>
      <c r="AB586" s="198">
        <f>$G586</f>
        <v/>
      </c>
      <c r="AC586" s="199" t="n"/>
      <c r="AD586" s="199">
        <f>$M586*AD$34</f>
        <v/>
      </c>
      <c r="AE586" s="199">
        <f>$M586*AE$34</f>
        <v/>
      </c>
      <c r="AF586" s="199">
        <f>$M586*AF$34</f>
        <v/>
      </c>
      <c r="AG586" s="199">
        <f>$M586*AG$34</f>
        <v/>
      </c>
      <c r="AH586" s="199">
        <f>$M586*AH$34</f>
        <v/>
      </c>
      <c r="AJ586" s="198">
        <f>$G586</f>
        <v/>
      </c>
      <c r="AK586" s="199" t="n"/>
      <c r="AL586" s="199">
        <f>$N586*AL$34</f>
        <v/>
      </c>
      <c r="AM586" s="199">
        <f>$N586*AM$34</f>
        <v/>
      </c>
      <c r="AN586" s="199">
        <f>$N586*AN$34</f>
        <v/>
      </c>
      <c r="AO586" s="199">
        <f>$N586*AO$34</f>
        <v/>
      </c>
      <c r="AP586" s="199">
        <f>$N586*AP$34</f>
        <v/>
      </c>
      <c r="AR586" s="198">
        <f>$G586</f>
        <v/>
      </c>
      <c r="AS586" s="199" t="n"/>
      <c r="AT586" s="199">
        <f>$O586*AT$34-$Q586</f>
        <v/>
      </c>
      <c r="AU586" s="199">
        <f>$O586*AU$34-$Q586</f>
        <v/>
      </c>
      <c r="AV586" s="199">
        <f>$O586*AV$34-$Q586</f>
        <v/>
      </c>
      <c r="AW586" s="199">
        <f>$O586*AW$34-$Q586</f>
        <v/>
      </c>
      <c r="AX586" s="199">
        <f>$O586*AX$34-$Q586</f>
        <v/>
      </c>
      <c r="AZ586" s="198">
        <f>$G586</f>
        <v/>
      </c>
      <c r="BA586" s="199" t="n"/>
      <c r="BB586" s="199">
        <f>$P586*BB$34-$Q586</f>
        <v/>
      </c>
      <c r="BC586" s="199">
        <f>$P586*BC$34-$Q586</f>
        <v/>
      </c>
      <c r="BD586" s="199">
        <f>$P586*BD$34-$Q586</f>
        <v/>
      </c>
      <c r="BE586" s="199">
        <f>$P586*BE$34-$Q586</f>
        <v/>
      </c>
      <c r="BF586" s="199">
        <f>$P586*BF$34-$Q586</f>
        <v/>
      </c>
      <c r="BH586" s="198" t="n"/>
      <c r="BI586" s="197" t="n"/>
      <c r="BJ586" s="197" t="n"/>
      <c r="BK586" s="197" t="n"/>
      <c r="BL586" s="197" t="n"/>
      <c r="BM586" s="197" t="n"/>
      <c r="BN586" s="197" t="n"/>
      <c r="BP586" s="198" t="n"/>
      <c r="BQ586" s="197" t="n"/>
      <c r="BR586" s="197" t="n"/>
      <c r="BS586" s="197" t="n"/>
      <c r="BT586" s="197" t="n"/>
      <c r="BU586" s="197" t="n"/>
      <c r="BV586" s="197" t="n"/>
      <c r="BX586" s="198" t="n"/>
      <c r="BY586" s="197" t="n"/>
      <c r="BZ586" s="197" t="n"/>
      <c r="CA586" s="197" t="n"/>
      <c r="CB586" s="197" t="n"/>
      <c r="CC586" s="197" t="n"/>
      <c r="CD586" s="197" t="n"/>
      <c r="CF586" s="198" t="n"/>
      <c r="CG586" s="197" t="n"/>
      <c r="CH586" s="197" t="n"/>
      <c r="CI586" s="197" t="n"/>
      <c r="CJ586" s="197" t="n"/>
      <c r="CK586" s="197" t="n"/>
      <c r="CL586" s="197" t="n"/>
    </row>
    <row r="587">
      <c r="B587" s="204">
        <f>+C587-1</f>
        <v/>
      </c>
      <c r="C587" s="204">
        <f>IF('bands_A-H_Avg'!$D$9+1&gt;MONTH(G587),YEAR(G587),YEAR(G587)+1)</f>
        <v/>
      </c>
      <c r="D587" s="204">
        <f>+C587+1</f>
        <v/>
      </c>
      <c r="E587" s="203">
        <f>IF(C587&gt;C586,1,E586+1)</f>
        <v/>
      </c>
      <c r="F587" s="203">
        <f>COUNTIF(C:C,C587)</f>
        <v/>
      </c>
      <c r="G587" s="198">
        <f>+G586+7</f>
        <v/>
      </c>
      <c r="H587" s="202" t="n"/>
      <c r="I587" s="968" t="n"/>
      <c r="J587" s="968" t="n"/>
      <c r="K587" s="968" t="n"/>
      <c r="L587" s="968" t="n"/>
      <c r="M587" s="199">
        <f>HLOOKUP(C:C,$4:$10,3,FALSE)+((HLOOKUP(D:D,$4:$10,3,FALSE)-HLOOKUP(C:C,$4:$10,3,FALSE))*E587/F587)</f>
        <v/>
      </c>
      <c r="N587" s="199">
        <f>HLOOKUP(C:C,$4:$10,2,FALSE)+((HLOOKUP(D:D,$4:$10,2,FALSE)-HLOOKUP(C:C,$4:$10,2,FALSE))*E587/F587)</f>
        <v/>
      </c>
      <c r="O587" s="199">
        <f>HLOOKUP(C:C,$4:$10,5,FALSE)+((HLOOKUP(D:D,$4:$10,5,FALSE)-HLOOKUP(C:C,$4:$10,5,FALSE))*E587/F587)</f>
        <v/>
      </c>
      <c r="P587" s="199">
        <f>HLOOKUP(C:C,$4:$10,4,FALSE)+((HLOOKUP(D:D,$4:$10,4,FALSE)-HLOOKUP(C:C,$4:$10,4,FALSE))*E587/F587)</f>
        <v/>
      </c>
      <c r="Q587" s="199">
        <f>HLOOKUP(B:B,$4:$10,6,FALSE)+((HLOOKUP(C:C,$4:$10,6,FALSE)-HLOOKUP(B:B,$4:$10,6,FALSE))*E587/F587)</f>
        <v/>
      </c>
      <c r="T587" s="198">
        <f>$G587</f>
        <v/>
      </c>
      <c r="U587" s="199" t="n"/>
      <c r="V587" s="969">
        <f>HLOOKUP(B:B,$4:$10,7,FALSE)+((HLOOKUP(C:C,$4:$10,7,FALSE)-HLOOKUP(B:B,$4:$10,7,FALSE))*E587/F587)</f>
        <v/>
      </c>
      <c r="AB587" s="198">
        <f>$G587</f>
        <v/>
      </c>
      <c r="AC587" s="199" t="n"/>
      <c r="AD587" s="199">
        <f>$M587*AD$34</f>
        <v/>
      </c>
      <c r="AE587" s="199">
        <f>$M587*AE$34</f>
        <v/>
      </c>
      <c r="AF587" s="199">
        <f>$M587*AF$34</f>
        <v/>
      </c>
      <c r="AG587" s="199">
        <f>$M587*AG$34</f>
        <v/>
      </c>
      <c r="AH587" s="199">
        <f>$M587*AH$34</f>
        <v/>
      </c>
      <c r="AJ587" s="198">
        <f>$G587</f>
        <v/>
      </c>
      <c r="AK587" s="199" t="n"/>
      <c r="AL587" s="199">
        <f>$N587*AL$34</f>
        <v/>
      </c>
      <c r="AM587" s="199">
        <f>$N587*AM$34</f>
        <v/>
      </c>
      <c r="AN587" s="199">
        <f>$N587*AN$34</f>
        <v/>
      </c>
      <c r="AO587" s="199">
        <f>$N587*AO$34</f>
        <v/>
      </c>
      <c r="AP587" s="199">
        <f>$N587*AP$34</f>
        <v/>
      </c>
      <c r="AR587" s="198">
        <f>$G587</f>
        <v/>
      </c>
      <c r="AS587" s="199" t="n"/>
      <c r="AT587" s="199">
        <f>$O587*AT$34-$Q587</f>
        <v/>
      </c>
      <c r="AU587" s="199">
        <f>$O587*AU$34-$Q587</f>
        <v/>
      </c>
      <c r="AV587" s="199">
        <f>$O587*AV$34-$Q587</f>
        <v/>
      </c>
      <c r="AW587" s="199">
        <f>$O587*AW$34-$Q587</f>
        <v/>
      </c>
      <c r="AX587" s="199">
        <f>$O587*AX$34-$Q587</f>
        <v/>
      </c>
      <c r="AZ587" s="198">
        <f>$G587</f>
        <v/>
      </c>
      <c r="BA587" s="199" t="n"/>
      <c r="BB587" s="199">
        <f>$P587*BB$34-$Q587</f>
        <v/>
      </c>
      <c r="BC587" s="199">
        <f>$P587*BC$34-$Q587</f>
        <v/>
      </c>
      <c r="BD587" s="199">
        <f>$P587*BD$34-$Q587</f>
        <v/>
      </c>
      <c r="BE587" s="199">
        <f>$P587*BE$34-$Q587</f>
        <v/>
      </c>
      <c r="BF587" s="199">
        <f>$P587*BF$34-$Q587</f>
        <v/>
      </c>
      <c r="BH587" s="198" t="n"/>
      <c r="BI587" s="197" t="n"/>
      <c r="BJ587" s="197" t="n"/>
      <c r="BK587" s="197" t="n"/>
      <c r="BL587" s="197" t="n"/>
      <c r="BM587" s="197" t="n"/>
      <c r="BN587" s="197" t="n"/>
      <c r="BP587" s="198" t="n"/>
      <c r="BQ587" s="197" t="n"/>
      <c r="BR587" s="197" t="n"/>
      <c r="BS587" s="197" t="n"/>
      <c r="BT587" s="197" t="n"/>
      <c r="BU587" s="197" t="n"/>
      <c r="BV587" s="197" t="n"/>
      <c r="BX587" s="198" t="n"/>
      <c r="BY587" s="197" t="n"/>
      <c r="BZ587" s="197" t="n"/>
      <c r="CA587" s="197" t="n"/>
      <c r="CB587" s="197" t="n"/>
      <c r="CC587" s="197" t="n"/>
      <c r="CD587" s="197" t="n"/>
      <c r="CF587" s="198" t="n"/>
      <c r="CG587" s="197" t="n"/>
      <c r="CH587" s="197" t="n"/>
      <c r="CI587" s="197" t="n"/>
      <c r="CJ587" s="197" t="n"/>
      <c r="CK587" s="197" t="n"/>
      <c r="CL587" s="197" t="n"/>
    </row>
    <row r="588">
      <c r="B588" s="204">
        <f>+C588-1</f>
        <v/>
      </c>
      <c r="C588" s="204">
        <f>IF('bands_A-H_Avg'!$D$9+1&gt;MONTH(G588),YEAR(G588),YEAR(G588)+1)</f>
        <v/>
      </c>
      <c r="D588" s="204">
        <f>+C588+1</f>
        <v/>
      </c>
      <c r="E588" s="203">
        <f>IF(C588&gt;C587,1,E587+1)</f>
        <v/>
      </c>
      <c r="F588" s="203">
        <f>COUNTIF(C:C,C588)</f>
        <v/>
      </c>
      <c r="G588" s="198">
        <f>+G587+7</f>
        <v/>
      </c>
      <c r="H588" s="202" t="n"/>
      <c r="I588" s="968" t="n"/>
      <c r="J588" s="968" t="n"/>
      <c r="K588" s="968" t="n"/>
      <c r="L588" s="968" t="n"/>
      <c r="M588" s="199">
        <f>HLOOKUP(C:C,$4:$10,3,FALSE)+((HLOOKUP(D:D,$4:$10,3,FALSE)-HLOOKUP(C:C,$4:$10,3,FALSE))*E588/F588)</f>
        <v/>
      </c>
      <c r="N588" s="199">
        <f>HLOOKUP(C:C,$4:$10,2,FALSE)+((HLOOKUP(D:D,$4:$10,2,FALSE)-HLOOKUP(C:C,$4:$10,2,FALSE))*E588/F588)</f>
        <v/>
      </c>
      <c r="O588" s="199">
        <f>HLOOKUP(C:C,$4:$10,5,FALSE)+((HLOOKUP(D:D,$4:$10,5,FALSE)-HLOOKUP(C:C,$4:$10,5,FALSE))*E588/F588)</f>
        <v/>
      </c>
      <c r="P588" s="199">
        <f>HLOOKUP(C:C,$4:$10,4,FALSE)+((HLOOKUP(D:D,$4:$10,4,FALSE)-HLOOKUP(C:C,$4:$10,4,FALSE))*E588/F588)</f>
        <v/>
      </c>
      <c r="Q588" s="199">
        <f>HLOOKUP(B:B,$4:$10,6,FALSE)+((HLOOKUP(C:C,$4:$10,6,FALSE)-HLOOKUP(B:B,$4:$10,6,FALSE))*E588/F588)</f>
        <v/>
      </c>
      <c r="T588" s="198">
        <f>$G588</f>
        <v/>
      </c>
      <c r="U588" s="199" t="n"/>
      <c r="V588" s="969">
        <f>HLOOKUP(B:B,$4:$10,7,FALSE)+((HLOOKUP(C:C,$4:$10,7,FALSE)-HLOOKUP(B:B,$4:$10,7,FALSE))*E588/F588)</f>
        <v/>
      </c>
      <c r="AB588" s="198">
        <f>$G588</f>
        <v/>
      </c>
      <c r="AC588" s="199" t="n"/>
      <c r="AD588" s="199">
        <f>$M588*AD$34</f>
        <v/>
      </c>
      <c r="AE588" s="199">
        <f>$M588*AE$34</f>
        <v/>
      </c>
      <c r="AF588" s="199">
        <f>$M588*AF$34</f>
        <v/>
      </c>
      <c r="AG588" s="199">
        <f>$M588*AG$34</f>
        <v/>
      </c>
      <c r="AH588" s="199">
        <f>$M588*AH$34</f>
        <v/>
      </c>
      <c r="AJ588" s="198">
        <f>$G588</f>
        <v/>
      </c>
      <c r="AK588" s="199" t="n"/>
      <c r="AL588" s="199">
        <f>$N588*AL$34</f>
        <v/>
      </c>
      <c r="AM588" s="199">
        <f>$N588*AM$34</f>
        <v/>
      </c>
      <c r="AN588" s="199">
        <f>$N588*AN$34</f>
        <v/>
      </c>
      <c r="AO588" s="199">
        <f>$N588*AO$34</f>
        <v/>
      </c>
      <c r="AP588" s="199">
        <f>$N588*AP$34</f>
        <v/>
      </c>
      <c r="AR588" s="198">
        <f>$G588</f>
        <v/>
      </c>
      <c r="AS588" s="199" t="n"/>
      <c r="AT588" s="199">
        <f>$O588*AT$34-$Q588</f>
        <v/>
      </c>
      <c r="AU588" s="199">
        <f>$O588*AU$34-$Q588</f>
        <v/>
      </c>
      <c r="AV588" s="199">
        <f>$O588*AV$34-$Q588</f>
        <v/>
      </c>
      <c r="AW588" s="199">
        <f>$O588*AW$34-$Q588</f>
        <v/>
      </c>
      <c r="AX588" s="199">
        <f>$O588*AX$34-$Q588</f>
        <v/>
      </c>
      <c r="AZ588" s="198">
        <f>$G588</f>
        <v/>
      </c>
      <c r="BA588" s="199" t="n"/>
      <c r="BB588" s="199">
        <f>$P588*BB$34-$Q588</f>
        <v/>
      </c>
      <c r="BC588" s="199">
        <f>$P588*BC$34-$Q588</f>
        <v/>
      </c>
      <c r="BD588" s="199">
        <f>$P588*BD$34-$Q588</f>
        <v/>
      </c>
      <c r="BE588" s="199">
        <f>$P588*BE$34-$Q588</f>
        <v/>
      </c>
      <c r="BF588" s="199">
        <f>$P588*BF$34-$Q588</f>
        <v/>
      </c>
      <c r="BH588" s="198" t="n"/>
      <c r="BI588" s="197" t="n"/>
      <c r="BJ588" s="197" t="n"/>
      <c r="BK588" s="197" t="n"/>
      <c r="BL588" s="197" t="n"/>
      <c r="BM588" s="197" t="n"/>
      <c r="BN588" s="197" t="n"/>
      <c r="BP588" s="198" t="n"/>
      <c r="BQ588" s="197" t="n"/>
      <c r="BR588" s="197" t="n"/>
      <c r="BS588" s="197" t="n"/>
      <c r="BT588" s="197" t="n"/>
      <c r="BU588" s="197" t="n"/>
      <c r="BV588" s="197" t="n"/>
      <c r="BX588" s="198" t="n"/>
      <c r="BY588" s="197" t="n"/>
      <c r="BZ588" s="197" t="n"/>
      <c r="CA588" s="197" t="n"/>
      <c r="CB588" s="197" t="n"/>
      <c r="CC588" s="197" t="n"/>
      <c r="CD588" s="197" t="n"/>
      <c r="CF588" s="198" t="n"/>
      <c r="CG588" s="197" t="n"/>
      <c r="CH588" s="197" t="n"/>
      <c r="CI588" s="197" t="n"/>
      <c r="CJ588" s="197" t="n"/>
      <c r="CK588" s="197" t="n"/>
      <c r="CL588" s="197" t="n"/>
    </row>
    <row r="589">
      <c r="B589" s="204">
        <f>+C589-1</f>
        <v/>
      </c>
      <c r="C589" s="204">
        <f>IF('bands_A-H_Avg'!$D$9+1&gt;MONTH(G589),YEAR(G589),YEAR(G589)+1)</f>
        <v/>
      </c>
      <c r="D589" s="204">
        <f>+C589+1</f>
        <v/>
      </c>
      <c r="E589" s="203">
        <f>IF(C589&gt;C588,1,E588+1)</f>
        <v/>
      </c>
      <c r="F589" s="203">
        <f>COUNTIF(C:C,C589)</f>
        <v/>
      </c>
      <c r="G589" s="198">
        <f>+G588+7</f>
        <v/>
      </c>
      <c r="H589" s="202" t="n"/>
      <c r="I589" s="968" t="n"/>
      <c r="J589" s="968" t="n"/>
      <c r="K589" s="968" t="n"/>
      <c r="L589" s="968" t="n"/>
      <c r="M589" s="199">
        <f>HLOOKUP(C:C,$4:$10,3,FALSE)+((HLOOKUP(D:D,$4:$10,3,FALSE)-HLOOKUP(C:C,$4:$10,3,FALSE))*E589/F589)</f>
        <v/>
      </c>
      <c r="N589" s="199">
        <f>HLOOKUP(C:C,$4:$10,2,FALSE)+((HLOOKUP(D:D,$4:$10,2,FALSE)-HLOOKUP(C:C,$4:$10,2,FALSE))*E589/F589)</f>
        <v/>
      </c>
      <c r="O589" s="199">
        <f>HLOOKUP(C:C,$4:$10,5,FALSE)+((HLOOKUP(D:D,$4:$10,5,FALSE)-HLOOKUP(C:C,$4:$10,5,FALSE))*E589/F589)</f>
        <v/>
      </c>
      <c r="P589" s="199">
        <f>HLOOKUP(C:C,$4:$10,4,FALSE)+((HLOOKUP(D:D,$4:$10,4,FALSE)-HLOOKUP(C:C,$4:$10,4,FALSE))*E589/F589)</f>
        <v/>
      </c>
      <c r="Q589" s="199">
        <f>HLOOKUP(B:B,$4:$10,6,FALSE)+((HLOOKUP(C:C,$4:$10,6,FALSE)-HLOOKUP(B:B,$4:$10,6,FALSE))*E589/F589)</f>
        <v/>
      </c>
      <c r="T589" s="198">
        <f>$G589</f>
        <v/>
      </c>
      <c r="U589" s="199" t="n"/>
      <c r="V589" s="969">
        <f>HLOOKUP(B:B,$4:$10,7,FALSE)+((HLOOKUP(C:C,$4:$10,7,FALSE)-HLOOKUP(B:B,$4:$10,7,FALSE))*E589/F589)</f>
        <v/>
      </c>
      <c r="AB589" s="198">
        <f>$G589</f>
        <v/>
      </c>
      <c r="AC589" s="199" t="n"/>
      <c r="AD589" s="199">
        <f>$M589*AD$34</f>
        <v/>
      </c>
      <c r="AE589" s="199">
        <f>$M589*AE$34</f>
        <v/>
      </c>
      <c r="AF589" s="199">
        <f>$M589*AF$34</f>
        <v/>
      </c>
      <c r="AG589" s="199">
        <f>$M589*AG$34</f>
        <v/>
      </c>
      <c r="AH589" s="199">
        <f>$M589*AH$34</f>
        <v/>
      </c>
      <c r="AJ589" s="198">
        <f>$G589</f>
        <v/>
      </c>
      <c r="AK589" s="199" t="n"/>
      <c r="AL589" s="199">
        <f>$N589*AL$34</f>
        <v/>
      </c>
      <c r="AM589" s="199">
        <f>$N589*AM$34</f>
        <v/>
      </c>
      <c r="AN589" s="199">
        <f>$N589*AN$34</f>
        <v/>
      </c>
      <c r="AO589" s="199">
        <f>$N589*AO$34</f>
        <v/>
      </c>
      <c r="AP589" s="199">
        <f>$N589*AP$34</f>
        <v/>
      </c>
      <c r="AR589" s="198">
        <f>$G589</f>
        <v/>
      </c>
      <c r="AS589" s="199" t="n"/>
      <c r="AT589" s="199">
        <f>$O589*AT$34-$Q589</f>
        <v/>
      </c>
      <c r="AU589" s="199">
        <f>$O589*AU$34-$Q589</f>
        <v/>
      </c>
      <c r="AV589" s="199">
        <f>$O589*AV$34-$Q589</f>
        <v/>
      </c>
      <c r="AW589" s="199">
        <f>$O589*AW$34-$Q589</f>
        <v/>
      </c>
      <c r="AX589" s="199">
        <f>$O589*AX$34-$Q589</f>
        <v/>
      </c>
      <c r="AZ589" s="198">
        <f>$G589</f>
        <v/>
      </c>
      <c r="BA589" s="199" t="n"/>
      <c r="BB589" s="199">
        <f>$P589*BB$34-$Q589</f>
        <v/>
      </c>
      <c r="BC589" s="199">
        <f>$P589*BC$34-$Q589</f>
        <v/>
      </c>
      <c r="BD589" s="199">
        <f>$P589*BD$34-$Q589</f>
        <v/>
      </c>
      <c r="BE589" s="199">
        <f>$P589*BE$34-$Q589</f>
        <v/>
      </c>
      <c r="BF589" s="199">
        <f>$P589*BF$34-$Q589</f>
        <v/>
      </c>
      <c r="BH589" s="198" t="n"/>
      <c r="BI589" s="197" t="n"/>
      <c r="BJ589" s="197" t="n"/>
      <c r="BK589" s="197" t="n"/>
      <c r="BL589" s="197" t="n"/>
      <c r="BM589" s="197" t="n"/>
      <c r="BN589" s="197" t="n"/>
      <c r="BP589" s="198" t="n"/>
      <c r="BQ589" s="197" t="n"/>
      <c r="BR589" s="197" t="n"/>
      <c r="BS589" s="197" t="n"/>
      <c r="BT589" s="197" t="n"/>
      <c r="BU589" s="197" t="n"/>
      <c r="BV589" s="197" t="n"/>
      <c r="BX589" s="198" t="n"/>
      <c r="BY589" s="197" t="n"/>
      <c r="BZ589" s="197" t="n"/>
      <c r="CA589" s="197" t="n"/>
      <c r="CB589" s="197" t="n"/>
      <c r="CC589" s="197" t="n"/>
      <c r="CD589" s="197" t="n"/>
      <c r="CF589" s="198" t="n"/>
      <c r="CG589" s="197" t="n"/>
      <c r="CH589" s="197" t="n"/>
      <c r="CI589" s="197" t="n"/>
      <c r="CJ589" s="197" t="n"/>
      <c r="CK589" s="197" t="n"/>
      <c r="CL589" s="197" t="n"/>
    </row>
    <row r="590">
      <c r="B590" s="204">
        <f>+C590-1</f>
        <v/>
      </c>
      <c r="C590" s="204">
        <f>IF('bands_A-H_Avg'!$D$9+1&gt;MONTH(G590),YEAR(G590),YEAR(G590)+1)</f>
        <v/>
      </c>
      <c r="D590" s="204">
        <f>+C590+1</f>
        <v/>
      </c>
      <c r="E590" s="203">
        <f>IF(C590&gt;C589,1,E589+1)</f>
        <v/>
      </c>
      <c r="F590" s="203">
        <f>COUNTIF(C:C,C590)</f>
        <v/>
      </c>
      <c r="G590" s="198">
        <f>+G589+7</f>
        <v/>
      </c>
      <c r="H590" s="202" t="n"/>
      <c r="I590" s="968" t="n"/>
      <c r="J590" s="968" t="n"/>
      <c r="K590" s="968" t="n"/>
      <c r="L590" s="968" t="n"/>
      <c r="M590" s="199">
        <f>HLOOKUP(C:C,$4:$10,3,FALSE)+((HLOOKUP(D:D,$4:$10,3,FALSE)-HLOOKUP(C:C,$4:$10,3,FALSE))*E590/F590)</f>
        <v/>
      </c>
      <c r="N590" s="199">
        <f>HLOOKUP(C:C,$4:$10,2,FALSE)+((HLOOKUP(D:D,$4:$10,2,FALSE)-HLOOKUP(C:C,$4:$10,2,FALSE))*E590/F590)</f>
        <v/>
      </c>
      <c r="O590" s="199">
        <f>HLOOKUP(C:C,$4:$10,5,FALSE)+((HLOOKUP(D:D,$4:$10,5,FALSE)-HLOOKUP(C:C,$4:$10,5,FALSE))*E590/F590)</f>
        <v/>
      </c>
      <c r="P590" s="199">
        <f>HLOOKUP(C:C,$4:$10,4,FALSE)+((HLOOKUP(D:D,$4:$10,4,FALSE)-HLOOKUP(C:C,$4:$10,4,FALSE))*E590/F590)</f>
        <v/>
      </c>
      <c r="Q590" s="199">
        <f>HLOOKUP(B:B,$4:$10,6,FALSE)+((HLOOKUP(C:C,$4:$10,6,FALSE)-HLOOKUP(B:B,$4:$10,6,FALSE))*E590/F590)</f>
        <v/>
      </c>
      <c r="T590" s="198">
        <f>$G590</f>
        <v/>
      </c>
      <c r="U590" s="199" t="n"/>
      <c r="V590" s="969">
        <f>HLOOKUP(B:B,$4:$10,7,FALSE)+((HLOOKUP(C:C,$4:$10,7,FALSE)-HLOOKUP(B:B,$4:$10,7,FALSE))*E590/F590)</f>
        <v/>
      </c>
      <c r="AB590" s="198">
        <f>$G590</f>
        <v/>
      </c>
      <c r="AC590" s="199" t="n"/>
      <c r="AD590" s="199">
        <f>$M590*AD$34</f>
        <v/>
      </c>
      <c r="AE590" s="199">
        <f>$M590*AE$34</f>
        <v/>
      </c>
      <c r="AF590" s="199">
        <f>$M590*AF$34</f>
        <v/>
      </c>
      <c r="AG590" s="199">
        <f>$M590*AG$34</f>
        <v/>
      </c>
      <c r="AH590" s="199">
        <f>$M590*AH$34</f>
        <v/>
      </c>
      <c r="AJ590" s="198">
        <f>$G590</f>
        <v/>
      </c>
      <c r="AK590" s="199" t="n"/>
      <c r="AL590" s="199">
        <f>$N590*AL$34</f>
        <v/>
      </c>
      <c r="AM590" s="199">
        <f>$N590*AM$34</f>
        <v/>
      </c>
      <c r="AN590" s="199">
        <f>$N590*AN$34</f>
        <v/>
      </c>
      <c r="AO590" s="199">
        <f>$N590*AO$34</f>
        <v/>
      </c>
      <c r="AP590" s="199">
        <f>$N590*AP$34</f>
        <v/>
      </c>
      <c r="AR590" s="198">
        <f>$G590</f>
        <v/>
      </c>
      <c r="AS590" s="199" t="n"/>
      <c r="AT590" s="199">
        <f>$O590*AT$34-$Q590</f>
        <v/>
      </c>
      <c r="AU590" s="199">
        <f>$O590*AU$34-$Q590</f>
        <v/>
      </c>
      <c r="AV590" s="199">
        <f>$O590*AV$34-$Q590</f>
        <v/>
      </c>
      <c r="AW590" s="199">
        <f>$O590*AW$34-$Q590</f>
        <v/>
      </c>
      <c r="AX590" s="199">
        <f>$O590*AX$34-$Q590</f>
        <v/>
      </c>
      <c r="AZ590" s="198">
        <f>$G590</f>
        <v/>
      </c>
      <c r="BA590" s="199" t="n"/>
      <c r="BB590" s="199">
        <f>$P590*BB$34-$Q590</f>
        <v/>
      </c>
      <c r="BC590" s="199">
        <f>$P590*BC$34-$Q590</f>
        <v/>
      </c>
      <c r="BD590" s="199">
        <f>$P590*BD$34-$Q590</f>
        <v/>
      </c>
      <c r="BE590" s="199">
        <f>$P590*BE$34-$Q590</f>
        <v/>
      </c>
      <c r="BF590" s="199">
        <f>$P590*BF$34-$Q590</f>
        <v/>
      </c>
      <c r="BH590" s="198" t="n"/>
      <c r="BI590" s="197" t="n"/>
      <c r="BJ590" s="197" t="n"/>
      <c r="BK590" s="197" t="n"/>
      <c r="BL590" s="197" t="n"/>
      <c r="BM590" s="197" t="n"/>
      <c r="BN590" s="197" t="n"/>
      <c r="BP590" s="198" t="n"/>
      <c r="BQ590" s="197" t="n"/>
      <c r="BR590" s="197" t="n"/>
      <c r="BS590" s="197" t="n"/>
      <c r="BT590" s="197" t="n"/>
      <c r="BU590" s="197" t="n"/>
      <c r="BV590" s="197" t="n"/>
      <c r="BX590" s="198" t="n"/>
      <c r="BY590" s="197" t="n"/>
      <c r="BZ590" s="197" t="n"/>
      <c r="CA590" s="197" t="n"/>
      <c r="CB590" s="197" t="n"/>
      <c r="CC590" s="197" t="n"/>
      <c r="CD590" s="197" t="n"/>
      <c r="CF590" s="198" t="n"/>
      <c r="CG590" s="197" t="n"/>
      <c r="CH590" s="197" t="n"/>
      <c r="CI590" s="197" t="n"/>
      <c r="CJ590" s="197" t="n"/>
      <c r="CK590" s="197" t="n"/>
      <c r="CL590" s="197" t="n"/>
    </row>
    <row r="591">
      <c r="B591" s="204">
        <f>+C591-1</f>
        <v/>
      </c>
      <c r="C591" s="204">
        <f>IF('bands_A-H_Avg'!$D$9+1&gt;MONTH(G591),YEAR(G591),YEAR(G591)+1)</f>
        <v/>
      </c>
      <c r="D591" s="204">
        <f>+C591+1</f>
        <v/>
      </c>
      <c r="E591" s="203">
        <f>IF(C591&gt;C590,1,E590+1)</f>
        <v/>
      </c>
      <c r="F591" s="203">
        <f>COUNTIF(C:C,C591)</f>
        <v/>
      </c>
      <c r="G591" s="198">
        <f>+G590+7</f>
        <v/>
      </c>
      <c r="H591" s="202" t="n"/>
      <c r="I591" s="968" t="n"/>
      <c r="J591" s="968" t="n"/>
      <c r="K591" s="968" t="n"/>
      <c r="L591" s="968" t="n"/>
      <c r="M591" s="199">
        <f>HLOOKUP(C:C,$4:$10,3,FALSE)+((HLOOKUP(D:D,$4:$10,3,FALSE)-HLOOKUP(C:C,$4:$10,3,FALSE))*E591/F591)</f>
        <v/>
      </c>
      <c r="N591" s="199">
        <f>HLOOKUP(C:C,$4:$10,2,FALSE)+((HLOOKUP(D:D,$4:$10,2,FALSE)-HLOOKUP(C:C,$4:$10,2,FALSE))*E591/F591)</f>
        <v/>
      </c>
      <c r="O591" s="199">
        <f>HLOOKUP(C:C,$4:$10,5,FALSE)+((HLOOKUP(D:D,$4:$10,5,FALSE)-HLOOKUP(C:C,$4:$10,5,FALSE))*E591/F591)</f>
        <v/>
      </c>
      <c r="P591" s="199">
        <f>HLOOKUP(C:C,$4:$10,4,FALSE)+((HLOOKUP(D:D,$4:$10,4,FALSE)-HLOOKUP(C:C,$4:$10,4,FALSE))*E591/F591)</f>
        <v/>
      </c>
      <c r="Q591" s="199">
        <f>HLOOKUP(B:B,$4:$10,6,FALSE)+((HLOOKUP(C:C,$4:$10,6,FALSE)-HLOOKUP(B:B,$4:$10,6,FALSE))*E591/F591)</f>
        <v/>
      </c>
      <c r="T591" s="198">
        <f>$G591</f>
        <v/>
      </c>
      <c r="U591" s="199" t="n"/>
      <c r="V591" s="969">
        <f>HLOOKUP(B:B,$4:$10,7,FALSE)+((HLOOKUP(C:C,$4:$10,7,FALSE)-HLOOKUP(B:B,$4:$10,7,FALSE))*E591/F591)</f>
        <v/>
      </c>
      <c r="AB591" s="198">
        <f>$G591</f>
        <v/>
      </c>
      <c r="AC591" s="199" t="n"/>
      <c r="AD591" s="199">
        <f>$M591*AD$34</f>
        <v/>
      </c>
      <c r="AE591" s="199">
        <f>$M591*AE$34</f>
        <v/>
      </c>
      <c r="AF591" s="199">
        <f>$M591*AF$34</f>
        <v/>
      </c>
      <c r="AG591" s="199">
        <f>$M591*AG$34</f>
        <v/>
      </c>
      <c r="AH591" s="199">
        <f>$M591*AH$34</f>
        <v/>
      </c>
      <c r="AJ591" s="198">
        <f>$G591</f>
        <v/>
      </c>
      <c r="AK591" s="199" t="n"/>
      <c r="AL591" s="199">
        <f>$N591*AL$34</f>
        <v/>
      </c>
      <c r="AM591" s="199">
        <f>$N591*AM$34</f>
        <v/>
      </c>
      <c r="AN591" s="199">
        <f>$N591*AN$34</f>
        <v/>
      </c>
      <c r="AO591" s="199">
        <f>$N591*AO$34</f>
        <v/>
      </c>
      <c r="AP591" s="199">
        <f>$N591*AP$34</f>
        <v/>
      </c>
      <c r="AR591" s="198">
        <f>$G591</f>
        <v/>
      </c>
      <c r="AS591" s="199" t="n"/>
      <c r="AT591" s="199">
        <f>$O591*AT$34-$Q591</f>
        <v/>
      </c>
      <c r="AU591" s="199">
        <f>$O591*AU$34-$Q591</f>
        <v/>
      </c>
      <c r="AV591" s="199">
        <f>$O591*AV$34-$Q591</f>
        <v/>
      </c>
      <c r="AW591" s="199">
        <f>$O591*AW$34-$Q591</f>
        <v/>
      </c>
      <c r="AX591" s="199">
        <f>$O591*AX$34-$Q591</f>
        <v/>
      </c>
      <c r="AZ591" s="198">
        <f>$G591</f>
        <v/>
      </c>
      <c r="BA591" s="199" t="n"/>
      <c r="BB591" s="199">
        <f>$P591*BB$34-$Q591</f>
        <v/>
      </c>
      <c r="BC591" s="199">
        <f>$P591*BC$34-$Q591</f>
        <v/>
      </c>
      <c r="BD591" s="199">
        <f>$P591*BD$34-$Q591</f>
        <v/>
      </c>
      <c r="BE591" s="199">
        <f>$P591*BE$34-$Q591</f>
        <v/>
      </c>
      <c r="BF591" s="199">
        <f>$P591*BF$34-$Q591</f>
        <v/>
      </c>
      <c r="BH591" s="198" t="n"/>
      <c r="BI591" s="197" t="n"/>
      <c r="BJ591" s="197" t="n"/>
      <c r="BK591" s="197" t="n"/>
      <c r="BL591" s="197" t="n"/>
      <c r="BM591" s="197" t="n"/>
      <c r="BN591" s="197" t="n"/>
      <c r="BP591" s="198" t="n"/>
      <c r="BQ591" s="197" t="n"/>
      <c r="BR591" s="197" t="n"/>
      <c r="BS591" s="197" t="n"/>
      <c r="BT591" s="197" t="n"/>
      <c r="BU591" s="197" t="n"/>
      <c r="BV591" s="197" t="n"/>
      <c r="BX591" s="198" t="n"/>
      <c r="BY591" s="197" t="n"/>
      <c r="BZ591" s="197" t="n"/>
      <c r="CA591" s="197" t="n"/>
      <c r="CB591" s="197" t="n"/>
      <c r="CC591" s="197" t="n"/>
      <c r="CD591" s="197" t="n"/>
      <c r="CF591" s="198" t="n"/>
      <c r="CG591" s="197" t="n"/>
      <c r="CH591" s="197" t="n"/>
      <c r="CI591" s="197" t="n"/>
      <c r="CJ591" s="197" t="n"/>
      <c r="CK591" s="197" t="n"/>
      <c r="CL591" s="197" t="n"/>
    </row>
    <row r="592">
      <c r="B592" s="204">
        <f>+C592-1</f>
        <v/>
      </c>
      <c r="C592" s="204">
        <f>IF('bands_A-H_Avg'!$D$9+1&gt;MONTH(G592),YEAR(G592),YEAR(G592)+1)</f>
        <v/>
      </c>
      <c r="D592" s="204">
        <f>+C592+1</f>
        <v/>
      </c>
      <c r="E592" s="203">
        <f>IF(C592&gt;C591,1,E591+1)</f>
        <v/>
      </c>
      <c r="F592" s="203">
        <f>COUNTIF(C:C,C592)</f>
        <v/>
      </c>
      <c r="G592" s="198">
        <f>+G591+7</f>
        <v/>
      </c>
      <c r="H592" s="202" t="n"/>
      <c r="I592" s="968" t="n"/>
      <c r="J592" s="968" t="n"/>
      <c r="K592" s="968" t="n"/>
      <c r="L592" s="968" t="n"/>
      <c r="M592" s="199">
        <f>HLOOKUP(C:C,$4:$10,3,FALSE)+((HLOOKUP(D:D,$4:$10,3,FALSE)-HLOOKUP(C:C,$4:$10,3,FALSE))*E592/F592)</f>
        <v/>
      </c>
      <c r="N592" s="199">
        <f>HLOOKUP(C:C,$4:$10,2,FALSE)+((HLOOKUP(D:D,$4:$10,2,FALSE)-HLOOKUP(C:C,$4:$10,2,FALSE))*E592/F592)</f>
        <v/>
      </c>
      <c r="O592" s="199">
        <f>HLOOKUP(C:C,$4:$10,5,FALSE)+((HLOOKUP(D:D,$4:$10,5,FALSE)-HLOOKUP(C:C,$4:$10,5,FALSE))*E592/F592)</f>
        <v/>
      </c>
      <c r="P592" s="199">
        <f>HLOOKUP(C:C,$4:$10,4,FALSE)+((HLOOKUP(D:D,$4:$10,4,FALSE)-HLOOKUP(C:C,$4:$10,4,FALSE))*E592/F592)</f>
        <v/>
      </c>
      <c r="Q592" s="199">
        <f>HLOOKUP(B:B,$4:$10,6,FALSE)+((HLOOKUP(C:C,$4:$10,6,FALSE)-HLOOKUP(B:B,$4:$10,6,FALSE))*E592/F592)</f>
        <v/>
      </c>
      <c r="T592" s="198">
        <f>$G592</f>
        <v/>
      </c>
      <c r="U592" s="199" t="n"/>
      <c r="V592" s="969">
        <f>HLOOKUP(B:B,$4:$10,7,FALSE)+((HLOOKUP(C:C,$4:$10,7,FALSE)-HLOOKUP(B:B,$4:$10,7,FALSE))*E592/F592)</f>
        <v/>
      </c>
      <c r="AB592" s="198">
        <f>$G592</f>
        <v/>
      </c>
      <c r="AC592" s="199" t="n"/>
      <c r="AD592" s="199">
        <f>$M592*AD$34</f>
        <v/>
      </c>
      <c r="AE592" s="199">
        <f>$M592*AE$34</f>
        <v/>
      </c>
      <c r="AF592" s="199">
        <f>$M592*AF$34</f>
        <v/>
      </c>
      <c r="AG592" s="199">
        <f>$M592*AG$34</f>
        <v/>
      </c>
      <c r="AH592" s="199">
        <f>$M592*AH$34</f>
        <v/>
      </c>
      <c r="AJ592" s="198">
        <f>$G592</f>
        <v/>
      </c>
      <c r="AK592" s="199" t="n"/>
      <c r="AL592" s="199">
        <f>$N592*AL$34</f>
        <v/>
      </c>
      <c r="AM592" s="199">
        <f>$N592*AM$34</f>
        <v/>
      </c>
      <c r="AN592" s="199">
        <f>$N592*AN$34</f>
        <v/>
      </c>
      <c r="AO592" s="199">
        <f>$N592*AO$34</f>
        <v/>
      </c>
      <c r="AP592" s="199">
        <f>$N592*AP$34</f>
        <v/>
      </c>
      <c r="AR592" s="198">
        <f>$G592</f>
        <v/>
      </c>
      <c r="AS592" s="199" t="n"/>
      <c r="AT592" s="199">
        <f>$O592*AT$34-$Q592</f>
        <v/>
      </c>
      <c r="AU592" s="199">
        <f>$O592*AU$34-$Q592</f>
        <v/>
      </c>
      <c r="AV592" s="199">
        <f>$O592*AV$34-$Q592</f>
        <v/>
      </c>
      <c r="AW592" s="199">
        <f>$O592*AW$34-$Q592</f>
        <v/>
      </c>
      <c r="AX592" s="199">
        <f>$O592*AX$34-$Q592</f>
        <v/>
      </c>
      <c r="AZ592" s="198">
        <f>$G592</f>
        <v/>
      </c>
      <c r="BA592" s="199" t="n"/>
      <c r="BB592" s="199">
        <f>$P592*BB$34-$Q592</f>
        <v/>
      </c>
      <c r="BC592" s="199">
        <f>$P592*BC$34-$Q592</f>
        <v/>
      </c>
      <c r="BD592" s="199">
        <f>$P592*BD$34-$Q592</f>
        <v/>
      </c>
      <c r="BE592" s="199">
        <f>$P592*BE$34-$Q592</f>
        <v/>
      </c>
      <c r="BF592" s="199">
        <f>$P592*BF$34-$Q592</f>
        <v/>
      </c>
      <c r="BH592" s="198" t="n"/>
      <c r="BI592" s="197" t="n"/>
      <c r="BJ592" s="197" t="n"/>
      <c r="BK592" s="197" t="n"/>
      <c r="BL592" s="197" t="n"/>
      <c r="BM592" s="197" t="n"/>
      <c r="BN592" s="197" t="n"/>
      <c r="BP592" s="198" t="n"/>
      <c r="BQ592" s="197" t="n"/>
      <c r="BR592" s="197" t="n"/>
      <c r="BS592" s="197" t="n"/>
      <c r="BT592" s="197" t="n"/>
      <c r="BU592" s="197" t="n"/>
      <c r="BV592" s="197" t="n"/>
      <c r="BX592" s="198" t="n"/>
      <c r="BY592" s="197" t="n"/>
      <c r="BZ592" s="197" t="n"/>
      <c r="CA592" s="197" t="n"/>
      <c r="CB592" s="197" t="n"/>
      <c r="CC592" s="197" t="n"/>
      <c r="CD592" s="197" t="n"/>
      <c r="CF592" s="198" t="n"/>
      <c r="CG592" s="197" t="n"/>
      <c r="CH592" s="197" t="n"/>
      <c r="CI592" s="197" t="n"/>
      <c r="CJ592" s="197" t="n"/>
      <c r="CK592" s="197" t="n"/>
      <c r="CL592" s="197" t="n"/>
    </row>
    <row r="593">
      <c r="B593" s="204">
        <f>+C593-1</f>
        <v/>
      </c>
      <c r="C593" s="204">
        <f>IF('bands_A-H_Avg'!$D$9+1&gt;MONTH(G593),YEAR(G593),YEAR(G593)+1)</f>
        <v/>
      </c>
      <c r="D593" s="204">
        <f>+C593+1</f>
        <v/>
      </c>
      <c r="E593" s="203">
        <f>IF(C593&gt;C592,1,E592+1)</f>
        <v/>
      </c>
      <c r="F593" s="203">
        <f>COUNTIF(C:C,C593)</f>
        <v/>
      </c>
      <c r="G593" s="198">
        <f>+G592+7</f>
        <v/>
      </c>
      <c r="H593" s="202" t="n"/>
      <c r="I593" s="968" t="n"/>
      <c r="J593" s="968" t="n"/>
      <c r="K593" s="968" t="n"/>
      <c r="L593" s="968" t="n"/>
      <c r="M593" s="199">
        <f>HLOOKUP(C:C,$4:$10,3,FALSE)+((HLOOKUP(D:D,$4:$10,3,FALSE)-HLOOKUP(C:C,$4:$10,3,FALSE))*E593/F593)</f>
        <v/>
      </c>
      <c r="N593" s="199">
        <f>HLOOKUP(C:C,$4:$10,2,FALSE)+((HLOOKUP(D:D,$4:$10,2,FALSE)-HLOOKUP(C:C,$4:$10,2,FALSE))*E593/F593)</f>
        <v/>
      </c>
      <c r="O593" s="199">
        <f>HLOOKUP(C:C,$4:$10,5,FALSE)+((HLOOKUP(D:D,$4:$10,5,FALSE)-HLOOKUP(C:C,$4:$10,5,FALSE))*E593/F593)</f>
        <v/>
      </c>
      <c r="P593" s="199">
        <f>HLOOKUP(C:C,$4:$10,4,FALSE)+((HLOOKUP(D:D,$4:$10,4,FALSE)-HLOOKUP(C:C,$4:$10,4,FALSE))*E593/F593)</f>
        <v/>
      </c>
      <c r="Q593" s="199">
        <f>HLOOKUP(B:B,$4:$10,6,FALSE)+((HLOOKUP(C:C,$4:$10,6,FALSE)-HLOOKUP(B:B,$4:$10,6,FALSE))*E593/F593)</f>
        <v/>
      </c>
      <c r="T593" s="198">
        <f>$G593</f>
        <v/>
      </c>
      <c r="U593" s="199" t="n"/>
      <c r="V593" s="969">
        <f>HLOOKUP(B:B,$4:$10,7,FALSE)+((HLOOKUP(C:C,$4:$10,7,FALSE)-HLOOKUP(B:B,$4:$10,7,FALSE))*E593/F593)</f>
        <v/>
      </c>
      <c r="AB593" s="198">
        <f>$G593</f>
        <v/>
      </c>
      <c r="AC593" s="199" t="n"/>
      <c r="AD593" s="199">
        <f>$M593*AD$34</f>
        <v/>
      </c>
      <c r="AE593" s="199">
        <f>$M593*AE$34</f>
        <v/>
      </c>
      <c r="AF593" s="199">
        <f>$M593*AF$34</f>
        <v/>
      </c>
      <c r="AG593" s="199">
        <f>$M593*AG$34</f>
        <v/>
      </c>
      <c r="AH593" s="199">
        <f>$M593*AH$34</f>
        <v/>
      </c>
      <c r="AJ593" s="198">
        <f>$G593</f>
        <v/>
      </c>
      <c r="AK593" s="199" t="n"/>
      <c r="AL593" s="199">
        <f>$N593*AL$34</f>
        <v/>
      </c>
      <c r="AM593" s="199">
        <f>$N593*AM$34</f>
        <v/>
      </c>
      <c r="AN593" s="199">
        <f>$N593*AN$34</f>
        <v/>
      </c>
      <c r="AO593" s="199">
        <f>$N593*AO$34</f>
        <v/>
      </c>
      <c r="AP593" s="199">
        <f>$N593*AP$34</f>
        <v/>
      </c>
      <c r="AR593" s="198">
        <f>$G593</f>
        <v/>
      </c>
      <c r="AS593" s="199" t="n"/>
      <c r="AT593" s="199">
        <f>$O593*AT$34-$Q593</f>
        <v/>
      </c>
      <c r="AU593" s="199">
        <f>$O593*AU$34-$Q593</f>
        <v/>
      </c>
      <c r="AV593" s="199">
        <f>$O593*AV$34-$Q593</f>
        <v/>
      </c>
      <c r="AW593" s="199">
        <f>$O593*AW$34-$Q593</f>
        <v/>
      </c>
      <c r="AX593" s="199">
        <f>$O593*AX$34-$Q593</f>
        <v/>
      </c>
      <c r="AZ593" s="198">
        <f>$G593</f>
        <v/>
      </c>
      <c r="BA593" s="199" t="n"/>
      <c r="BB593" s="199">
        <f>$P593*BB$34-$Q593</f>
        <v/>
      </c>
      <c r="BC593" s="199">
        <f>$P593*BC$34-$Q593</f>
        <v/>
      </c>
      <c r="BD593" s="199">
        <f>$P593*BD$34-$Q593</f>
        <v/>
      </c>
      <c r="BE593" s="199">
        <f>$P593*BE$34-$Q593</f>
        <v/>
      </c>
      <c r="BF593" s="199">
        <f>$P593*BF$34-$Q593</f>
        <v/>
      </c>
      <c r="BH593" s="198" t="n"/>
      <c r="BI593" s="197" t="n"/>
      <c r="BJ593" s="197" t="n"/>
      <c r="BK593" s="197" t="n"/>
      <c r="BL593" s="197" t="n"/>
      <c r="BM593" s="197" t="n"/>
      <c r="BN593" s="197" t="n"/>
      <c r="BP593" s="198" t="n"/>
      <c r="BQ593" s="197" t="n"/>
      <c r="BR593" s="197" t="n"/>
      <c r="BS593" s="197" t="n"/>
      <c r="BT593" s="197" t="n"/>
      <c r="BU593" s="197" t="n"/>
      <c r="BV593" s="197" t="n"/>
      <c r="BX593" s="198" t="n"/>
      <c r="BY593" s="197" t="n"/>
      <c r="BZ593" s="197" t="n"/>
      <c r="CA593" s="197" t="n"/>
      <c r="CB593" s="197" t="n"/>
      <c r="CC593" s="197" t="n"/>
      <c r="CD593" s="197" t="n"/>
      <c r="CF593" s="198" t="n"/>
      <c r="CG593" s="197" t="n"/>
      <c r="CH593" s="197" t="n"/>
      <c r="CI593" s="197" t="n"/>
      <c r="CJ593" s="197" t="n"/>
      <c r="CK593" s="197" t="n"/>
      <c r="CL593" s="197" t="n"/>
    </row>
    <row r="594">
      <c r="B594" s="204">
        <f>+C594-1</f>
        <v/>
      </c>
      <c r="C594" s="204">
        <f>IF('bands_A-H_Avg'!$D$9+1&gt;MONTH(G594),YEAR(G594),YEAR(G594)+1)</f>
        <v/>
      </c>
      <c r="D594" s="204">
        <f>+C594+1</f>
        <v/>
      </c>
      <c r="E594" s="203">
        <f>IF(C594&gt;C593,1,E593+1)</f>
        <v/>
      </c>
      <c r="F594" s="203">
        <f>COUNTIF(C:C,C594)</f>
        <v/>
      </c>
      <c r="G594" s="198">
        <f>+G593+7</f>
        <v/>
      </c>
      <c r="H594" s="202" t="n"/>
      <c r="I594" s="968" t="n"/>
      <c r="J594" s="968" t="n"/>
      <c r="K594" s="968" t="n"/>
      <c r="L594" s="968" t="n"/>
      <c r="M594" s="199">
        <f>HLOOKUP(C:C,$4:$10,3,FALSE)+((HLOOKUP(D:D,$4:$10,3,FALSE)-HLOOKUP(C:C,$4:$10,3,FALSE))*E594/F594)</f>
        <v/>
      </c>
      <c r="N594" s="199">
        <f>HLOOKUP(C:C,$4:$10,2,FALSE)+((HLOOKUP(D:D,$4:$10,2,FALSE)-HLOOKUP(C:C,$4:$10,2,FALSE))*E594/F594)</f>
        <v/>
      </c>
      <c r="O594" s="199">
        <f>HLOOKUP(C:C,$4:$10,5,FALSE)+((HLOOKUP(D:D,$4:$10,5,FALSE)-HLOOKUP(C:C,$4:$10,5,FALSE))*E594/F594)</f>
        <v/>
      </c>
      <c r="P594" s="199">
        <f>HLOOKUP(C:C,$4:$10,4,FALSE)+((HLOOKUP(D:D,$4:$10,4,FALSE)-HLOOKUP(C:C,$4:$10,4,FALSE))*E594/F594)</f>
        <v/>
      </c>
      <c r="Q594" s="199">
        <f>HLOOKUP(B:B,$4:$10,6,FALSE)+((HLOOKUP(C:C,$4:$10,6,FALSE)-HLOOKUP(B:B,$4:$10,6,FALSE))*E594/F594)</f>
        <v/>
      </c>
      <c r="T594" s="198">
        <f>$G594</f>
        <v/>
      </c>
      <c r="U594" s="199" t="n"/>
      <c r="V594" s="969">
        <f>HLOOKUP(B:B,$4:$10,7,FALSE)+((HLOOKUP(C:C,$4:$10,7,FALSE)-HLOOKUP(B:B,$4:$10,7,FALSE))*E594/F594)</f>
        <v/>
      </c>
      <c r="AB594" s="198">
        <f>$G594</f>
        <v/>
      </c>
      <c r="AC594" s="199" t="n"/>
      <c r="AD594" s="199">
        <f>$M594*AD$34</f>
        <v/>
      </c>
      <c r="AE594" s="199">
        <f>$M594*AE$34</f>
        <v/>
      </c>
      <c r="AF594" s="199">
        <f>$M594*AF$34</f>
        <v/>
      </c>
      <c r="AG594" s="199">
        <f>$M594*AG$34</f>
        <v/>
      </c>
      <c r="AH594" s="199">
        <f>$M594*AH$34</f>
        <v/>
      </c>
      <c r="AJ594" s="198">
        <f>$G594</f>
        <v/>
      </c>
      <c r="AK594" s="199" t="n"/>
      <c r="AL594" s="199">
        <f>$N594*AL$34</f>
        <v/>
      </c>
      <c r="AM594" s="199">
        <f>$N594*AM$34</f>
        <v/>
      </c>
      <c r="AN594" s="199">
        <f>$N594*AN$34</f>
        <v/>
      </c>
      <c r="AO594" s="199">
        <f>$N594*AO$34</f>
        <v/>
      </c>
      <c r="AP594" s="199">
        <f>$N594*AP$34</f>
        <v/>
      </c>
      <c r="AR594" s="198">
        <f>$G594</f>
        <v/>
      </c>
      <c r="AS594" s="199" t="n"/>
      <c r="AT594" s="199">
        <f>$O594*AT$34-$Q594</f>
        <v/>
      </c>
      <c r="AU594" s="199">
        <f>$O594*AU$34-$Q594</f>
        <v/>
      </c>
      <c r="AV594" s="199">
        <f>$O594*AV$34-$Q594</f>
        <v/>
      </c>
      <c r="AW594" s="199">
        <f>$O594*AW$34-$Q594</f>
        <v/>
      </c>
      <c r="AX594" s="199">
        <f>$O594*AX$34-$Q594</f>
        <v/>
      </c>
      <c r="AZ594" s="198">
        <f>$G594</f>
        <v/>
      </c>
      <c r="BA594" s="199" t="n"/>
      <c r="BB594" s="199">
        <f>$P594*BB$34-$Q594</f>
        <v/>
      </c>
      <c r="BC594" s="199">
        <f>$P594*BC$34-$Q594</f>
        <v/>
      </c>
      <c r="BD594" s="199">
        <f>$P594*BD$34-$Q594</f>
        <v/>
      </c>
      <c r="BE594" s="199">
        <f>$P594*BE$34-$Q594</f>
        <v/>
      </c>
      <c r="BF594" s="199">
        <f>$P594*BF$34-$Q594</f>
        <v/>
      </c>
      <c r="BH594" s="198" t="n"/>
      <c r="BI594" s="197" t="n"/>
      <c r="BJ594" s="197" t="n"/>
      <c r="BK594" s="197" t="n"/>
      <c r="BL594" s="197" t="n"/>
      <c r="BM594" s="197" t="n"/>
      <c r="BN594" s="197" t="n"/>
      <c r="BP594" s="198" t="n"/>
      <c r="BQ594" s="197" t="n"/>
      <c r="BR594" s="197" t="n"/>
      <c r="BS594" s="197" t="n"/>
      <c r="BT594" s="197" t="n"/>
      <c r="BU594" s="197" t="n"/>
      <c r="BV594" s="197" t="n"/>
      <c r="BX594" s="198" t="n"/>
      <c r="BY594" s="197" t="n"/>
      <c r="BZ594" s="197" t="n"/>
      <c r="CA594" s="197" t="n"/>
      <c r="CB594" s="197" t="n"/>
      <c r="CC594" s="197" t="n"/>
      <c r="CD594" s="197" t="n"/>
      <c r="CF594" s="198" t="n"/>
      <c r="CG594" s="197" t="n"/>
      <c r="CH594" s="197" t="n"/>
      <c r="CI594" s="197" t="n"/>
      <c r="CJ594" s="197" t="n"/>
      <c r="CK594" s="197" t="n"/>
      <c r="CL594" s="197" t="n"/>
    </row>
    <row r="595">
      <c r="B595" s="204">
        <f>+C595-1</f>
        <v/>
      </c>
      <c r="C595" s="204">
        <f>IF('bands_A-H_Avg'!$D$9+1&gt;MONTH(G595),YEAR(G595),YEAR(G595)+1)</f>
        <v/>
      </c>
      <c r="D595" s="204">
        <f>+C595+1</f>
        <v/>
      </c>
      <c r="E595" s="203">
        <f>IF(C595&gt;C594,1,E594+1)</f>
        <v/>
      </c>
      <c r="F595" s="203">
        <f>COUNTIF(C:C,C595)</f>
        <v/>
      </c>
      <c r="G595" s="198">
        <f>+G594+7</f>
        <v/>
      </c>
      <c r="H595" s="202" t="n"/>
      <c r="I595" s="968" t="n"/>
      <c r="J595" s="968" t="n"/>
      <c r="K595" s="968" t="n"/>
      <c r="L595" s="968" t="n"/>
      <c r="M595" s="199">
        <f>HLOOKUP(C:C,$4:$10,3,FALSE)+((HLOOKUP(D:D,$4:$10,3,FALSE)-HLOOKUP(C:C,$4:$10,3,FALSE))*E595/F595)</f>
        <v/>
      </c>
      <c r="N595" s="199">
        <f>HLOOKUP(C:C,$4:$10,2,FALSE)+((HLOOKUP(D:D,$4:$10,2,FALSE)-HLOOKUP(C:C,$4:$10,2,FALSE))*E595/F595)</f>
        <v/>
      </c>
      <c r="O595" s="199">
        <f>HLOOKUP(C:C,$4:$10,5,FALSE)+((HLOOKUP(D:D,$4:$10,5,FALSE)-HLOOKUP(C:C,$4:$10,5,FALSE))*E595/F595)</f>
        <v/>
      </c>
      <c r="P595" s="199">
        <f>HLOOKUP(C:C,$4:$10,4,FALSE)+((HLOOKUP(D:D,$4:$10,4,FALSE)-HLOOKUP(C:C,$4:$10,4,FALSE))*E595/F595)</f>
        <v/>
      </c>
      <c r="Q595" s="199">
        <f>HLOOKUP(B:B,$4:$10,6,FALSE)+((HLOOKUP(C:C,$4:$10,6,FALSE)-HLOOKUP(B:B,$4:$10,6,FALSE))*E595/F595)</f>
        <v/>
      </c>
      <c r="T595" s="198">
        <f>$G595</f>
        <v/>
      </c>
      <c r="U595" s="199" t="n"/>
      <c r="V595" s="969">
        <f>HLOOKUP(B:B,$4:$10,7,FALSE)+((HLOOKUP(C:C,$4:$10,7,FALSE)-HLOOKUP(B:B,$4:$10,7,FALSE))*E595/F595)</f>
        <v/>
      </c>
      <c r="AB595" s="198">
        <f>$G595</f>
        <v/>
      </c>
      <c r="AC595" s="199" t="n"/>
      <c r="AD595" s="199">
        <f>$M595*AD$34</f>
        <v/>
      </c>
      <c r="AE595" s="199">
        <f>$M595*AE$34</f>
        <v/>
      </c>
      <c r="AF595" s="199">
        <f>$M595*AF$34</f>
        <v/>
      </c>
      <c r="AG595" s="199">
        <f>$M595*AG$34</f>
        <v/>
      </c>
      <c r="AH595" s="199">
        <f>$M595*AH$34</f>
        <v/>
      </c>
      <c r="AJ595" s="198">
        <f>$G595</f>
        <v/>
      </c>
      <c r="AK595" s="199" t="n"/>
      <c r="AL595" s="199">
        <f>$N595*AL$34</f>
        <v/>
      </c>
      <c r="AM595" s="199">
        <f>$N595*AM$34</f>
        <v/>
      </c>
      <c r="AN595" s="199">
        <f>$N595*AN$34</f>
        <v/>
      </c>
      <c r="AO595" s="199">
        <f>$N595*AO$34</f>
        <v/>
      </c>
      <c r="AP595" s="199">
        <f>$N595*AP$34</f>
        <v/>
      </c>
      <c r="AR595" s="198">
        <f>$G595</f>
        <v/>
      </c>
      <c r="AS595" s="199" t="n"/>
      <c r="AT595" s="199">
        <f>$O595*AT$34-$Q595</f>
        <v/>
      </c>
      <c r="AU595" s="199">
        <f>$O595*AU$34-$Q595</f>
        <v/>
      </c>
      <c r="AV595" s="199">
        <f>$O595*AV$34-$Q595</f>
        <v/>
      </c>
      <c r="AW595" s="199">
        <f>$O595*AW$34-$Q595</f>
        <v/>
      </c>
      <c r="AX595" s="199">
        <f>$O595*AX$34-$Q595</f>
        <v/>
      </c>
      <c r="AZ595" s="198">
        <f>$G595</f>
        <v/>
      </c>
      <c r="BA595" s="199" t="n"/>
      <c r="BB595" s="199">
        <f>$P595*BB$34-$Q595</f>
        <v/>
      </c>
      <c r="BC595" s="199">
        <f>$P595*BC$34-$Q595</f>
        <v/>
      </c>
      <c r="BD595" s="199">
        <f>$P595*BD$34-$Q595</f>
        <v/>
      </c>
      <c r="BE595" s="199">
        <f>$P595*BE$34-$Q595</f>
        <v/>
      </c>
      <c r="BF595" s="199">
        <f>$P595*BF$34-$Q595</f>
        <v/>
      </c>
      <c r="BH595" s="198" t="n"/>
      <c r="BI595" s="197" t="n"/>
      <c r="BJ595" s="197" t="n"/>
      <c r="BK595" s="197" t="n"/>
      <c r="BL595" s="197" t="n"/>
      <c r="BM595" s="197" t="n"/>
      <c r="BN595" s="197" t="n"/>
      <c r="BP595" s="198" t="n"/>
      <c r="BQ595" s="197" t="n"/>
      <c r="BR595" s="197" t="n"/>
      <c r="BS595" s="197" t="n"/>
      <c r="BT595" s="197" t="n"/>
      <c r="BU595" s="197" t="n"/>
      <c r="BV595" s="197" t="n"/>
      <c r="BX595" s="198" t="n"/>
      <c r="BY595" s="197" t="n"/>
      <c r="BZ595" s="197" t="n"/>
      <c r="CA595" s="197" t="n"/>
      <c r="CB595" s="197" t="n"/>
      <c r="CC595" s="197" t="n"/>
      <c r="CD595" s="197" t="n"/>
      <c r="CF595" s="198" t="n"/>
      <c r="CG595" s="197" t="n"/>
      <c r="CH595" s="197" t="n"/>
      <c r="CI595" s="197" t="n"/>
      <c r="CJ595" s="197" t="n"/>
      <c r="CK595" s="197" t="n"/>
      <c r="CL595" s="197" t="n"/>
    </row>
    <row r="596">
      <c r="B596" s="204">
        <f>+C596-1</f>
        <v/>
      </c>
      <c r="C596" s="204">
        <f>IF('bands_A-H_Avg'!$D$9+1&gt;MONTH(G596),YEAR(G596),YEAR(G596)+1)</f>
        <v/>
      </c>
      <c r="D596" s="204">
        <f>+C596+1</f>
        <v/>
      </c>
      <c r="E596" s="203">
        <f>IF(C596&gt;C595,1,E595+1)</f>
        <v/>
      </c>
      <c r="F596" s="203">
        <f>COUNTIF(C:C,C596)</f>
        <v/>
      </c>
      <c r="G596" s="198">
        <f>+G595+7</f>
        <v/>
      </c>
      <c r="H596" s="202" t="n"/>
      <c r="I596" s="968" t="n"/>
      <c r="J596" s="968" t="n"/>
      <c r="K596" s="968" t="n"/>
      <c r="L596" s="968" t="n"/>
      <c r="M596" s="199">
        <f>HLOOKUP(C:C,$4:$10,3,FALSE)+((HLOOKUP(D:D,$4:$10,3,FALSE)-HLOOKUP(C:C,$4:$10,3,FALSE))*E596/F596)</f>
        <v/>
      </c>
      <c r="N596" s="199">
        <f>HLOOKUP(C:C,$4:$10,2,FALSE)+((HLOOKUP(D:D,$4:$10,2,FALSE)-HLOOKUP(C:C,$4:$10,2,FALSE))*E596/F596)</f>
        <v/>
      </c>
      <c r="O596" s="199">
        <f>HLOOKUP(C:C,$4:$10,5,FALSE)+((HLOOKUP(D:D,$4:$10,5,FALSE)-HLOOKUP(C:C,$4:$10,5,FALSE))*E596/F596)</f>
        <v/>
      </c>
      <c r="P596" s="199">
        <f>HLOOKUP(C:C,$4:$10,4,FALSE)+((HLOOKUP(D:D,$4:$10,4,FALSE)-HLOOKUP(C:C,$4:$10,4,FALSE))*E596/F596)</f>
        <v/>
      </c>
      <c r="Q596" s="199">
        <f>HLOOKUP(B:B,$4:$10,6,FALSE)+((HLOOKUP(C:C,$4:$10,6,FALSE)-HLOOKUP(B:B,$4:$10,6,FALSE))*E596/F596)</f>
        <v/>
      </c>
      <c r="T596" s="198">
        <f>$G596</f>
        <v/>
      </c>
      <c r="U596" s="199" t="n"/>
      <c r="V596" s="969">
        <f>HLOOKUP(B:B,$4:$10,7,FALSE)+((HLOOKUP(C:C,$4:$10,7,FALSE)-HLOOKUP(B:B,$4:$10,7,FALSE))*E596/F596)</f>
        <v/>
      </c>
      <c r="AB596" s="198">
        <f>$G596</f>
        <v/>
      </c>
      <c r="AC596" s="199" t="n"/>
      <c r="AD596" s="199">
        <f>$M596*AD$34</f>
        <v/>
      </c>
      <c r="AE596" s="199">
        <f>$M596*AE$34</f>
        <v/>
      </c>
      <c r="AF596" s="199">
        <f>$M596*AF$34</f>
        <v/>
      </c>
      <c r="AG596" s="199">
        <f>$M596*AG$34</f>
        <v/>
      </c>
      <c r="AH596" s="199">
        <f>$M596*AH$34</f>
        <v/>
      </c>
      <c r="AJ596" s="198">
        <f>$G596</f>
        <v/>
      </c>
      <c r="AK596" s="199" t="n"/>
      <c r="AL596" s="199">
        <f>$N596*AL$34</f>
        <v/>
      </c>
      <c r="AM596" s="199">
        <f>$N596*AM$34</f>
        <v/>
      </c>
      <c r="AN596" s="199">
        <f>$N596*AN$34</f>
        <v/>
      </c>
      <c r="AO596" s="199">
        <f>$N596*AO$34</f>
        <v/>
      </c>
      <c r="AP596" s="199">
        <f>$N596*AP$34</f>
        <v/>
      </c>
      <c r="AR596" s="198">
        <f>$G596</f>
        <v/>
      </c>
      <c r="AS596" s="199" t="n"/>
      <c r="AT596" s="199">
        <f>$O596*AT$34-$Q596</f>
        <v/>
      </c>
      <c r="AU596" s="199">
        <f>$O596*AU$34-$Q596</f>
        <v/>
      </c>
      <c r="AV596" s="199">
        <f>$O596*AV$34-$Q596</f>
        <v/>
      </c>
      <c r="AW596" s="199">
        <f>$O596*AW$34-$Q596</f>
        <v/>
      </c>
      <c r="AX596" s="199">
        <f>$O596*AX$34-$Q596</f>
        <v/>
      </c>
      <c r="AZ596" s="198">
        <f>$G596</f>
        <v/>
      </c>
      <c r="BA596" s="199" t="n"/>
      <c r="BB596" s="199">
        <f>$P596*BB$34-$Q596</f>
        <v/>
      </c>
      <c r="BC596" s="199">
        <f>$P596*BC$34-$Q596</f>
        <v/>
      </c>
      <c r="BD596" s="199">
        <f>$P596*BD$34-$Q596</f>
        <v/>
      </c>
      <c r="BE596" s="199">
        <f>$P596*BE$34-$Q596</f>
        <v/>
      </c>
      <c r="BF596" s="199">
        <f>$P596*BF$34-$Q596</f>
        <v/>
      </c>
      <c r="BH596" s="198" t="n"/>
      <c r="BI596" s="197" t="n"/>
      <c r="BJ596" s="197" t="n"/>
      <c r="BK596" s="197" t="n"/>
      <c r="BL596" s="197" t="n"/>
      <c r="BM596" s="197" t="n"/>
      <c r="BN596" s="197" t="n"/>
      <c r="BP596" s="198" t="n"/>
      <c r="BQ596" s="197" t="n"/>
      <c r="BR596" s="197" t="n"/>
      <c r="BS596" s="197" t="n"/>
      <c r="BT596" s="197" t="n"/>
      <c r="BU596" s="197" t="n"/>
      <c r="BV596" s="197" t="n"/>
      <c r="BX596" s="198" t="n"/>
      <c r="BY596" s="197" t="n"/>
      <c r="BZ596" s="197" t="n"/>
      <c r="CA596" s="197" t="n"/>
      <c r="CB596" s="197" t="n"/>
      <c r="CC596" s="197" t="n"/>
      <c r="CD596" s="197" t="n"/>
      <c r="CF596" s="198" t="n"/>
      <c r="CG596" s="197" t="n"/>
      <c r="CH596" s="197" t="n"/>
      <c r="CI596" s="197" t="n"/>
      <c r="CJ596" s="197" t="n"/>
      <c r="CK596" s="197" t="n"/>
      <c r="CL596" s="197" t="n"/>
    </row>
    <row r="597">
      <c r="B597" s="204">
        <f>+C597-1</f>
        <v/>
      </c>
      <c r="C597" s="204">
        <f>IF('bands_A-H_Avg'!$D$9+1&gt;MONTH(G597),YEAR(G597),YEAR(G597)+1)</f>
        <v/>
      </c>
      <c r="D597" s="204">
        <f>+C597+1</f>
        <v/>
      </c>
      <c r="E597" s="203">
        <f>IF(C597&gt;C596,1,E596+1)</f>
        <v/>
      </c>
      <c r="F597" s="203">
        <f>COUNTIF(C:C,C597)</f>
        <v/>
      </c>
      <c r="G597" s="198">
        <f>+G596+7</f>
        <v/>
      </c>
      <c r="H597" s="202" t="n"/>
      <c r="I597" s="968" t="n"/>
      <c r="J597" s="968" t="n"/>
      <c r="K597" s="968" t="n"/>
      <c r="L597" s="968" t="n"/>
      <c r="M597" s="199">
        <f>HLOOKUP(C:C,$4:$10,3,FALSE)+((HLOOKUP(D:D,$4:$10,3,FALSE)-HLOOKUP(C:C,$4:$10,3,FALSE))*E597/F597)</f>
        <v/>
      </c>
      <c r="N597" s="199">
        <f>HLOOKUP(C:C,$4:$10,2,FALSE)+((HLOOKUP(D:D,$4:$10,2,FALSE)-HLOOKUP(C:C,$4:$10,2,FALSE))*E597/F597)</f>
        <v/>
      </c>
      <c r="O597" s="199">
        <f>HLOOKUP(C:C,$4:$10,5,FALSE)+((HLOOKUP(D:D,$4:$10,5,FALSE)-HLOOKUP(C:C,$4:$10,5,FALSE))*E597/F597)</f>
        <v/>
      </c>
      <c r="P597" s="199">
        <f>HLOOKUP(C:C,$4:$10,4,FALSE)+((HLOOKUP(D:D,$4:$10,4,FALSE)-HLOOKUP(C:C,$4:$10,4,FALSE))*E597/F597)</f>
        <v/>
      </c>
      <c r="Q597" s="199">
        <f>HLOOKUP(B:B,$4:$10,6,FALSE)+((HLOOKUP(C:C,$4:$10,6,FALSE)-HLOOKUP(B:B,$4:$10,6,FALSE))*E597/F597)</f>
        <v/>
      </c>
      <c r="T597" s="198">
        <f>$G597</f>
        <v/>
      </c>
      <c r="U597" s="199" t="n"/>
      <c r="V597" s="969">
        <f>HLOOKUP(B:B,$4:$10,7,FALSE)+((HLOOKUP(C:C,$4:$10,7,FALSE)-HLOOKUP(B:B,$4:$10,7,FALSE))*E597/F597)</f>
        <v/>
      </c>
      <c r="AB597" s="198">
        <f>$G597</f>
        <v/>
      </c>
      <c r="AC597" s="199" t="n"/>
      <c r="AD597" s="199">
        <f>$M597*AD$34</f>
        <v/>
      </c>
      <c r="AE597" s="199">
        <f>$M597*AE$34</f>
        <v/>
      </c>
      <c r="AF597" s="199">
        <f>$M597*AF$34</f>
        <v/>
      </c>
      <c r="AG597" s="199">
        <f>$M597*AG$34</f>
        <v/>
      </c>
      <c r="AH597" s="199">
        <f>$M597*AH$34</f>
        <v/>
      </c>
      <c r="AJ597" s="198">
        <f>$G597</f>
        <v/>
      </c>
      <c r="AK597" s="199" t="n"/>
      <c r="AL597" s="199">
        <f>$N597*AL$34</f>
        <v/>
      </c>
      <c r="AM597" s="199">
        <f>$N597*AM$34</f>
        <v/>
      </c>
      <c r="AN597" s="199">
        <f>$N597*AN$34</f>
        <v/>
      </c>
      <c r="AO597" s="199">
        <f>$N597*AO$34</f>
        <v/>
      </c>
      <c r="AP597" s="199">
        <f>$N597*AP$34</f>
        <v/>
      </c>
      <c r="AR597" s="198">
        <f>$G597</f>
        <v/>
      </c>
      <c r="AS597" s="199" t="n"/>
      <c r="AT597" s="199">
        <f>$O597*AT$34-$Q597</f>
        <v/>
      </c>
      <c r="AU597" s="199">
        <f>$O597*AU$34-$Q597</f>
        <v/>
      </c>
      <c r="AV597" s="199">
        <f>$O597*AV$34-$Q597</f>
        <v/>
      </c>
      <c r="AW597" s="199">
        <f>$O597*AW$34-$Q597</f>
        <v/>
      </c>
      <c r="AX597" s="199">
        <f>$O597*AX$34-$Q597</f>
        <v/>
      </c>
      <c r="AZ597" s="198">
        <f>$G597</f>
        <v/>
      </c>
      <c r="BA597" s="199" t="n"/>
      <c r="BB597" s="199">
        <f>$P597*BB$34-$Q597</f>
        <v/>
      </c>
      <c r="BC597" s="199">
        <f>$P597*BC$34-$Q597</f>
        <v/>
      </c>
      <c r="BD597" s="199">
        <f>$P597*BD$34-$Q597</f>
        <v/>
      </c>
      <c r="BE597" s="199">
        <f>$P597*BE$34-$Q597</f>
        <v/>
      </c>
      <c r="BF597" s="199">
        <f>$P597*BF$34-$Q597</f>
        <v/>
      </c>
      <c r="BH597" s="198" t="n"/>
      <c r="BI597" s="197" t="n"/>
      <c r="BJ597" s="197" t="n"/>
      <c r="BK597" s="197" t="n"/>
      <c r="BL597" s="197" t="n"/>
      <c r="BM597" s="197" t="n"/>
      <c r="BN597" s="197" t="n"/>
      <c r="BP597" s="198" t="n"/>
      <c r="BQ597" s="197" t="n"/>
      <c r="BR597" s="197" t="n"/>
      <c r="BS597" s="197" t="n"/>
      <c r="BT597" s="197" t="n"/>
      <c r="BU597" s="197" t="n"/>
      <c r="BV597" s="197" t="n"/>
      <c r="BX597" s="198" t="n"/>
      <c r="BY597" s="197" t="n"/>
      <c r="BZ597" s="197" t="n"/>
      <c r="CA597" s="197" t="n"/>
      <c r="CB597" s="197" t="n"/>
      <c r="CC597" s="197" t="n"/>
      <c r="CD597" s="197" t="n"/>
      <c r="CF597" s="198" t="n"/>
      <c r="CG597" s="197" t="n"/>
      <c r="CH597" s="197" t="n"/>
      <c r="CI597" s="197" t="n"/>
      <c r="CJ597" s="197" t="n"/>
      <c r="CK597" s="197" t="n"/>
      <c r="CL597" s="197" t="n"/>
    </row>
    <row r="598">
      <c r="B598" s="204">
        <f>+C598-1</f>
        <v/>
      </c>
      <c r="C598" s="204">
        <f>IF('bands_A-H_Avg'!$D$9+1&gt;MONTH(G598),YEAR(G598),YEAR(G598)+1)</f>
        <v/>
      </c>
      <c r="D598" s="204">
        <f>+C598+1</f>
        <v/>
      </c>
      <c r="E598" s="203">
        <f>IF(C598&gt;C597,1,E597+1)</f>
        <v/>
      </c>
      <c r="F598" s="203">
        <f>COUNTIF(C:C,C598)</f>
        <v/>
      </c>
      <c r="G598" s="198">
        <f>+G597+7</f>
        <v/>
      </c>
      <c r="H598" s="202" t="n"/>
      <c r="I598" s="968" t="n"/>
      <c r="J598" s="968" t="n"/>
      <c r="K598" s="968" t="n"/>
      <c r="L598" s="968" t="n"/>
      <c r="M598" s="199">
        <f>HLOOKUP(C:C,$4:$10,3,FALSE)+((HLOOKUP(D:D,$4:$10,3,FALSE)-HLOOKUP(C:C,$4:$10,3,FALSE))*E598/F598)</f>
        <v/>
      </c>
      <c r="N598" s="199">
        <f>HLOOKUP(C:C,$4:$10,2,FALSE)+((HLOOKUP(D:D,$4:$10,2,FALSE)-HLOOKUP(C:C,$4:$10,2,FALSE))*E598/F598)</f>
        <v/>
      </c>
      <c r="O598" s="199">
        <f>HLOOKUP(C:C,$4:$10,5,FALSE)+((HLOOKUP(D:D,$4:$10,5,FALSE)-HLOOKUP(C:C,$4:$10,5,FALSE))*E598/F598)</f>
        <v/>
      </c>
      <c r="P598" s="199">
        <f>HLOOKUP(C:C,$4:$10,4,FALSE)+((HLOOKUP(D:D,$4:$10,4,FALSE)-HLOOKUP(C:C,$4:$10,4,FALSE))*E598/F598)</f>
        <v/>
      </c>
      <c r="Q598" s="199">
        <f>HLOOKUP(B:B,$4:$10,6,FALSE)+((HLOOKUP(C:C,$4:$10,6,FALSE)-HLOOKUP(B:B,$4:$10,6,FALSE))*E598/F598)</f>
        <v/>
      </c>
      <c r="T598" s="198">
        <f>$G598</f>
        <v/>
      </c>
      <c r="U598" s="199" t="n"/>
      <c r="V598" s="969">
        <f>HLOOKUP(B:B,$4:$10,7,FALSE)+((HLOOKUP(C:C,$4:$10,7,FALSE)-HLOOKUP(B:B,$4:$10,7,FALSE))*E598/F598)</f>
        <v/>
      </c>
      <c r="AB598" s="198">
        <f>$G598</f>
        <v/>
      </c>
      <c r="AC598" s="199" t="n"/>
      <c r="AD598" s="199">
        <f>$M598*AD$34</f>
        <v/>
      </c>
      <c r="AE598" s="199">
        <f>$M598*AE$34</f>
        <v/>
      </c>
      <c r="AF598" s="199">
        <f>$M598*AF$34</f>
        <v/>
      </c>
      <c r="AG598" s="199">
        <f>$M598*AG$34</f>
        <v/>
      </c>
      <c r="AH598" s="199">
        <f>$M598*AH$34</f>
        <v/>
      </c>
      <c r="AJ598" s="198">
        <f>$G598</f>
        <v/>
      </c>
      <c r="AK598" s="199" t="n"/>
      <c r="AL598" s="199">
        <f>$N598*AL$34</f>
        <v/>
      </c>
      <c r="AM598" s="199">
        <f>$N598*AM$34</f>
        <v/>
      </c>
      <c r="AN598" s="199">
        <f>$N598*AN$34</f>
        <v/>
      </c>
      <c r="AO598" s="199">
        <f>$N598*AO$34</f>
        <v/>
      </c>
      <c r="AP598" s="199">
        <f>$N598*AP$34</f>
        <v/>
      </c>
      <c r="AR598" s="198">
        <f>$G598</f>
        <v/>
      </c>
      <c r="AS598" s="199" t="n"/>
      <c r="AT598" s="199">
        <f>$O598*AT$34-$Q598</f>
        <v/>
      </c>
      <c r="AU598" s="199">
        <f>$O598*AU$34-$Q598</f>
        <v/>
      </c>
      <c r="AV598" s="199">
        <f>$O598*AV$34-$Q598</f>
        <v/>
      </c>
      <c r="AW598" s="199">
        <f>$O598*AW$34-$Q598</f>
        <v/>
      </c>
      <c r="AX598" s="199">
        <f>$O598*AX$34-$Q598</f>
        <v/>
      </c>
      <c r="AZ598" s="198">
        <f>$G598</f>
        <v/>
      </c>
      <c r="BA598" s="199" t="n"/>
      <c r="BB598" s="199">
        <f>$P598*BB$34-$Q598</f>
        <v/>
      </c>
      <c r="BC598" s="199">
        <f>$P598*BC$34-$Q598</f>
        <v/>
      </c>
      <c r="BD598" s="199">
        <f>$P598*BD$34-$Q598</f>
        <v/>
      </c>
      <c r="BE598" s="199">
        <f>$P598*BE$34-$Q598</f>
        <v/>
      </c>
      <c r="BF598" s="199">
        <f>$P598*BF$34-$Q598</f>
        <v/>
      </c>
      <c r="BH598" s="198" t="n"/>
      <c r="BI598" s="197" t="n"/>
      <c r="BJ598" s="197" t="n"/>
      <c r="BK598" s="197" t="n"/>
      <c r="BL598" s="197" t="n"/>
      <c r="BM598" s="197" t="n"/>
      <c r="BN598" s="197" t="n"/>
      <c r="BP598" s="198" t="n"/>
      <c r="BQ598" s="197" t="n"/>
      <c r="BR598" s="197" t="n"/>
      <c r="BS598" s="197" t="n"/>
      <c r="BT598" s="197" t="n"/>
      <c r="BU598" s="197" t="n"/>
      <c r="BV598" s="197" t="n"/>
      <c r="BX598" s="198" t="n"/>
      <c r="BY598" s="197" t="n"/>
      <c r="BZ598" s="197" t="n"/>
      <c r="CA598" s="197" t="n"/>
      <c r="CB598" s="197" t="n"/>
      <c r="CC598" s="197" t="n"/>
      <c r="CD598" s="197" t="n"/>
      <c r="CF598" s="198" t="n"/>
      <c r="CG598" s="197" t="n"/>
      <c r="CH598" s="197" t="n"/>
      <c r="CI598" s="197" t="n"/>
      <c r="CJ598" s="197" t="n"/>
      <c r="CK598" s="197" t="n"/>
      <c r="CL598" s="197" t="n"/>
    </row>
    <row r="599">
      <c r="B599" s="204">
        <f>+C599-1</f>
        <v/>
      </c>
      <c r="C599" s="204">
        <f>IF('bands_A-H_Avg'!$D$9+1&gt;MONTH(G599),YEAR(G599),YEAR(G599)+1)</f>
        <v/>
      </c>
      <c r="D599" s="204">
        <f>+C599+1</f>
        <v/>
      </c>
      <c r="E599" s="203">
        <f>IF(C599&gt;C598,1,E598+1)</f>
        <v/>
      </c>
      <c r="F599" s="203">
        <f>COUNTIF(C:C,C599)</f>
        <v/>
      </c>
      <c r="G599" s="198">
        <f>+G598+7</f>
        <v/>
      </c>
      <c r="H599" s="202" t="n"/>
      <c r="I599" s="968" t="n"/>
      <c r="J599" s="968" t="n"/>
      <c r="K599" s="968" t="n"/>
      <c r="L599" s="968" t="n"/>
      <c r="M599" s="199">
        <f>HLOOKUP(C:C,$4:$10,3,FALSE)+((HLOOKUP(D:D,$4:$10,3,FALSE)-HLOOKUP(C:C,$4:$10,3,FALSE))*E599/F599)</f>
        <v/>
      </c>
      <c r="N599" s="199">
        <f>HLOOKUP(C:C,$4:$10,2,FALSE)+((HLOOKUP(D:D,$4:$10,2,FALSE)-HLOOKUP(C:C,$4:$10,2,FALSE))*E599/F599)</f>
        <v/>
      </c>
      <c r="O599" s="199">
        <f>HLOOKUP(C:C,$4:$10,5,FALSE)+((HLOOKUP(D:D,$4:$10,5,FALSE)-HLOOKUP(C:C,$4:$10,5,FALSE))*E599/F599)</f>
        <v/>
      </c>
      <c r="P599" s="199">
        <f>HLOOKUP(C:C,$4:$10,4,FALSE)+((HLOOKUP(D:D,$4:$10,4,FALSE)-HLOOKUP(C:C,$4:$10,4,FALSE))*E599/F599)</f>
        <v/>
      </c>
      <c r="Q599" s="199">
        <f>HLOOKUP(B:B,$4:$10,6,FALSE)+((HLOOKUP(C:C,$4:$10,6,FALSE)-HLOOKUP(B:B,$4:$10,6,FALSE))*E599/F599)</f>
        <v/>
      </c>
      <c r="T599" s="198">
        <f>$G599</f>
        <v/>
      </c>
      <c r="U599" s="199" t="n"/>
      <c r="V599" s="969">
        <f>HLOOKUP(B:B,$4:$10,7,FALSE)+((HLOOKUP(C:C,$4:$10,7,FALSE)-HLOOKUP(B:B,$4:$10,7,FALSE))*E599/F599)</f>
        <v/>
      </c>
      <c r="AB599" s="198">
        <f>$G599</f>
        <v/>
      </c>
      <c r="AC599" s="199" t="n"/>
      <c r="AD599" s="199">
        <f>$M599*AD$34</f>
        <v/>
      </c>
      <c r="AE599" s="199">
        <f>$M599*AE$34</f>
        <v/>
      </c>
      <c r="AF599" s="199">
        <f>$M599*AF$34</f>
        <v/>
      </c>
      <c r="AG599" s="199">
        <f>$M599*AG$34</f>
        <v/>
      </c>
      <c r="AH599" s="199">
        <f>$M599*AH$34</f>
        <v/>
      </c>
      <c r="AJ599" s="198">
        <f>$G599</f>
        <v/>
      </c>
      <c r="AK599" s="199" t="n"/>
      <c r="AL599" s="199">
        <f>$N599*AL$34</f>
        <v/>
      </c>
      <c r="AM599" s="199">
        <f>$N599*AM$34</f>
        <v/>
      </c>
      <c r="AN599" s="199">
        <f>$N599*AN$34</f>
        <v/>
      </c>
      <c r="AO599" s="199">
        <f>$N599*AO$34</f>
        <v/>
      </c>
      <c r="AP599" s="199">
        <f>$N599*AP$34</f>
        <v/>
      </c>
      <c r="AR599" s="198">
        <f>$G599</f>
        <v/>
      </c>
      <c r="AS599" s="199" t="n"/>
      <c r="AT599" s="199">
        <f>$O599*AT$34-$Q599</f>
        <v/>
      </c>
      <c r="AU599" s="199">
        <f>$O599*AU$34-$Q599</f>
        <v/>
      </c>
      <c r="AV599" s="199">
        <f>$O599*AV$34-$Q599</f>
        <v/>
      </c>
      <c r="AW599" s="199">
        <f>$O599*AW$34-$Q599</f>
        <v/>
      </c>
      <c r="AX599" s="199">
        <f>$O599*AX$34-$Q599</f>
        <v/>
      </c>
      <c r="AZ599" s="198">
        <f>$G599</f>
        <v/>
      </c>
      <c r="BA599" s="199" t="n"/>
      <c r="BB599" s="199">
        <f>$P599*BB$34-$Q599</f>
        <v/>
      </c>
      <c r="BC599" s="199">
        <f>$P599*BC$34-$Q599</f>
        <v/>
      </c>
      <c r="BD599" s="199">
        <f>$P599*BD$34-$Q599</f>
        <v/>
      </c>
      <c r="BE599" s="199">
        <f>$P599*BE$34-$Q599</f>
        <v/>
      </c>
      <c r="BF599" s="199">
        <f>$P599*BF$34-$Q599</f>
        <v/>
      </c>
      <c r="BH599" s="198" t="n"/>
      <c r="BI599" s="197" t="n"/>
      <c r="BJ599" s="197" t="n"/>
      <c r="BK599" s="197" t="n"/>
      <c r="BL599" s="197" t="n"/>
      <c r="BM599" s="197" t="n"/>
      <c r="BN599" s="197" t="n"/>
      <c r="BP599" s="198" t="n"/>
      <c r="BQ599" s="197" t="n"/>
      <c r="BR599" s="197" t="n"/>
      <c r="BS599" s="197" t="n"/>
      <c r="BT599" s="197" t="n"/>
      <c r="BU599" s="197" t="n"/>
      <c r="BV599" s="197" t="n"/>
      <c r="BX599" s="198" t="n"/>
      <c r="BY599" s="197" t="n"/>
      <c r="BZ599" s="197" t="n"/>
      <c r="CA599" s="197" t="n"/>
      <c r="CB599" s="197" t="n"/>
      <c r="CC599" s="197" t="n"/>
      <c r="CD599" s="197" t="n"/>
      <c r="CF599" s="198" t="n"/>
      <c r="CG599" s="197" t="n"/>
      <c r="CH599" s="197" t="n"/>
      <c r="CI599" s="197" t="n"/>
      <c r="CJ599" s="197" t="n"/>
      <c r="CK599" s="197" t="n"/>
      <c r="CL599" s="197" t="n"/>
    </row>
    <row r="600">
      <c r="B600" s="204">
        <f>+C600-1</f>
        <v/>
      </c>
      <c r="C600" s="204">
        <f>IF('bands_A-H_Avg'!$D$9+1&gt;MONTH(G600),YEAR(G600),YEAR(G600)+1)</f>
        <v/>
      </c>
      <c r="D600" s="204">
        <f>+C600+1</f>
        <v/>
      </c>
      <c r="E600" s="203">
        <f>IF(C600&gt;C599,1,E599+1)</f>
        <v/>
      </c>
      <c r="F600" s="203">
        <f>COUNTIF(C:C,C600)</f>
        <v/>
      </c>
      <c r="G600" s="198">
        <f>+G599+7</f>
        <v/>
      </c>
      <c r="H600" s="202" t="n"/>
      <c r="I600" s="968" t="n"/>
      <c r="J600" s="968" t="n"/>
      <c r="K600" s="968" t="n"/>
      <c r="L600" s="968" t="n"/>
      <c r="M600" s="199">
        <f>HLOOKUP(C:C,$4:$10,3,FALSE)+((HLOOKUP(D:D,$4:$10,3,FALSE)-HLOOKUP(C:C,$4:$10,3,FALSE))*E600/F600)</f>
        <v/>
      </c>
      <c r="N600" s="199">
        <f>HLOOKUP(C:C,$4:$10,2,FALSE)+((HLOOKUP(D:D,$4:$10,2,FALSE)-HLOOKUP(C:C,$4:$10,2,FALSE))*E600/F600)</f>
        <v/>
      </c>
      <c r="O600" s="199">
        <f>HLOOKUP(C:C,$4:$10,5,FALSE)+((HLOOKUP(D:D,$4:$10,5,FALSE)-HLOOKUP(C:C,$4:$10,5,FALSE))*E600/F600)</f>
        <v/>
      </c>
      <c r="P600" s="199">
        <f>HLOOKUP(C:C,$4:$10,4,FALSE)+((HLOOKUP(D:D,$4:$10,4,FALSE)-HLOOKUP(C:C,$4:$10,4,FALSE))*E600/F600)</f>
        <v/>
      </c>
      <c r="Q600" s="199">
        <f>HLOOKUP(B:B,$4:$10,6,FALSE)+((HLOOKUP(C:C,$4:$10,6,FALSE)-HLOOKUP(B:B,$4:$10,6,FALSE))*E600/F600)</f>
        <v/>
      </c>
      <c r="T600" s="198">
        <f>$G600</f>
        <v/>
      </c>
      <c r="U600" s="199" t="n"/>
      <c r="V600" s="969">
        <f>HLOOKUP(B:B,$4:$10,7,FALSE)+((HLOOKUP(C:C,$4:$10,7,FALSE)-HLOOKUP(B:B,$4:$10,7,FALSE))*E600/F600)</f>
        <v/>
      </c>
      <c r="AB600" s="198">
        <f>$G600</f>
        <v/>
      </c>
      <c r="AC600" s="199" t="n"/>
      <c r="AD600" s="199">
        <f>$M600*AD$34</f>
        <v/>
      </c>
      <c r="AE600" s="199">
        <f>$M600*AE$34</f>
        <v/>
      </c>
      <c r="AF600" s="199">
        <f>$M600*AF$34</f>
        <v/>
      </c>
      <c r="AG600" s="199">
        <f>$M600*AG$34</f>
        <v/>
      </c>
      <c r="AH600" s="199">
        <f>$M600*AH$34</f>
        <v/>
      </c>
      <c r="AJ600" s="198">
        <f>$G600</f>
        <v/>
      </c>
      <c r="AK600" s="199" t="n"/>
      <c r="AL600" s="199">
        <f>$N600*AL$34</f>
        <v/>
      </c>
      <c r="AM600" s="199">
        <f>$N600*AM$34</f>
        <v/>
      </c>
      <c r="AN600" s="199">
        <f>$N600*AN$34</f>
        <v/>
      </c>
      <c r="AO600" s="199">
        <f>$N600*AO$34</f>
        <v/>
      </c>
      <c r="AP600" s="199">
        <f>$N600*AP$34</f>
        <v/>
      </c>
      <c r="AR600" s="198">
        <f>$G600</f>
        <v/>
      </c>
      <c r="AS600" s="199" t="n"/>
      <c r="AT600" s="199">
        <f>$O600*AT$34-$Q600</f>
        <v/>
      </c>
      <c r="AU600" s="199">
        <f>$O600*AU$34-$Q600</f>
        <v/>
      </c>
      <c r="AV600" s="199">
        <f>$O600*AV$34-$Q600</f>
        <v/>
      </c>
      <c r="AW600" s="199">
        <f>$O600*AW$34-$Q600</f>
        <v/>
      </c>
      <c r="AX600" s="199">
        <f>$O600*AX$34-$Q600</f>
        <v/>
      </c>
      <c r="AZ600" s="198">
        <f>$G600</f>
        <v/>
      </c>
      <c r="BA600" s="199" t="n"/>
      <c r="BB600" s="199">
        <f>$P600*BB$34-$Q600</f>
        <v/>
      </c>
      <c r="BC600" s="199">
        <f>$P600*BC$34-$Q600</f>
        <v/>
      </c>
      <c r="BD600" s="199">
        <f>$P600*BD$34-$Q600</f>
        <v/>
      </c>
      <c r="BE600" s="199">
        <f>$P600*BE$34-$Q600</f>
        <v/>
      </c>
      <c r="BF600" s="199">
        <f>$P600*BF$34-$Q600</f>
        <v/>
      </c>
      <c r="BH600" s="198" t="n"/>
      <c r="BI600" s="197" t="n"/>
      <c r="BJ600" s="197" t="n"/>
      <c r="BK600" s="197" t="n"/>
      <c r="BL600" s="197" t="n"/>
      <c r="BM600" s="197" t="n"/>
      <c r="BN600" s="197" t="n"/>
      <c r="BP600" s="198" t="n"/>
      <c r="BQ600" s="197" t="n"/>
      <c r="BR600" s="197" t="n"/>
      <c r="BS600" s="197" t="n"/>
      <c r="BT600" s="197" t="n"/>
      <c r="BU600" s="197" t="n"/>
      <c r="BV600" s="197" t="n"/>
      <c r="BX600" s="198" t="n"/>
      <c r="BY600" s="197" t="n"/>
      <c r="BZ600" s="197" t="n"/>
      <c r="CA600" s="197" t="n"/>
      <c r="CB600" s="197" t="n"/>
      <c r="CC600" s="197" t="n"/>
      <c r="CD600" s="197" t="n"/>
      <c r="CF600" s="198" t="n"/>
      <c r="CG600" s="197" t="n"/>
      <c r="CH600" s="197" t="n"/>
      <c r="CI600" s="197" t="n"/>
      <c r="CJ600" s="197" t="n"/>
      <c r="CK600" s="197" t="n"/>
      <c r="CL600" s="197" t="n"/>
    </row>
    <row r="601">
      <c r="B601" s="204">
        <f>+C601-1</f>
        <v/>
      </c>
      <c r="C601" s="204">
        <f>IF('bands_A-H_Avg'!$D$9+1&gt;MONTH(G601),YEAR(G601),YEAR(G601)+1)</f>
        <v/>
      </c>
      <c r="D601" s="204">
        <f>+C601+1</f>
        <v/>
      </c>
      <c r="E601" s="203">
        <f>IF(C601&gt;C600,1,E600+1)</f>
        <v/>
      </c>
      <c r="F601" s="203">
        <f>COUNTIF(C:C,C601)</f>
        <v/>
      </c>
      <c r="G601" s="198">
        <f>+G600+7</f>
        <v/>
      </c>
      <c r="H601" s="202" t="n"/>
      <c r="I601" s="968" t="n"/>
      <c r="J601" s="968" t="n"/>
      <c r="K601" s="968" t="n"/>
      <c r="L601" s="968" t="n"/>
      <c r="M601" s="199">
        <f>HLOOKUP(C:C,$4:$10,3,FALSE)+((HLOOKUP(D:D,$4:$10,3,FALSE)-HLOOKUP(C:C,$4:$10,3,FALSE))*E601/F601)</f>
        <v/>
      </c>
      <c r="N601" s="199">
        <f>HLOOKUP(C:C,$4:$10,2,FALSE)+((HLOOKUP(D:D,$4:$10,2,FALSE)-HLOOKUP(C:C,$4:$10,2,FALSE))*E601/F601)</f>
        <v/>
      </c>
      <c r="O601" s="199">
        <f>HLOOKUP(C:C,$4:$10,5,FALSE)+((HLOOKUP(D:D,$4:$10,5,FALSE)-HLOOKUP(C:C,$4:$10,5,FALSE))*E601/F601)</f>
        <v/>
      </c>
      <c r="P601" s="199">
        <f>HLOOKUP(C:C,$4:$10,4,FALSE)+((HLOOKUP(D:D,$4:$10,4,FALSE)-HLOOKUP(C:C,$4:$10,4,FALSE))*E601/F601)</f>
        <v/>
      </c>
      <c r="Q601" s="199">
        <f>HLOOKUP(B:B,$4:$10,6,FALSE)+((HLOOKUP(C:C,$4:$10,6,FALSE)-HLOOKUP(B:B,$4:$10,6,FALSE))*E601/F601)</f>
        <v/>
      </c>
      <c r="T601" s="198">
        <f>$G601</f>
        <v/>
      </c>
      <c r="U601" s="199" t="n"/>
      <c r="V601" s="969">
        <f>HLOOKUP(B:B,$4:$10,7,FALSE)+((HLOOKUP(C:C,$4:$10,7,FALSE)-HLOOKUP(B:B,$4:$10,7,FALSE))*E601/F601)</f>
        <v/>
      </c>
      <c r="AB601" s="198">
        <f>$G601</f>
        <v/>
      </c>
      <c r="AC601" s="199" t="n"/>
      <c r="AD601" s="199">
        <f>$M601*AD$34</f>
        <v/>
      </c>
      <c r="AE601" s="199">
        <f>$M601*AE$34</f>
        <v/>
      </c>
      <c r="AF601" s="199">
        <f>$M601*AF$34</f>
        <v/>
      </c>
      <c r="AG601" s="199">
        <f>$M601*AG$34</f>
        <v/>
      </c>
      <c r="AH601" s="199">
        <f>$M601*AH$34</f>
        <v/>
      </c>
      <c r="AJ601" s="198">
        <f>$G601</f>
        <v/>
      </c>
      <c r="AK601" s="199" t="n"/>
      <c r="AL601" s="199">
        <f>$N601*AL$34</f>
        <v/>
      </c>
      <c r="AM601" s="199">
        <f>$N601*AM$34</f>
        <v/>
      </c>
      <c r="AN601" s="199">
        <f>$N601*AN$34</f>
        <v/>
      </c>
      <c r="AO601" s="199">
        <f>$N601*AO$34</f>
        <v/>
      </c>
      <c r="AP601" s="199">
        <f>$N601*AP$34</f>
        <v/>
      </c>
      <c r="AR601" s="198">
        <f>$G601</f>
        <v/>
      </c>
      <c r="AS601" s="199" t="n"/>
      <c r="AT601" s="199">
        <f>$O601*AT$34-$Q601</f>
        <v/>
      </c>
      <c r="AU601" s="199">
        <f>$O601*AU$34-$Q601</f>
        <v/>
      </c>
      <c r="AV601" s="199">
        <f>$O601*AV$34-$Q601</f>
        <v/>
      </c>
      <c r="AW601" s="199">
        <f>$O601*AW$34-$Q601</f>
        <v/>
      </c>
      <c r="AX601" s="199">
        <f>$O601*AX$34-$Q601</f>
        <v/>
      </c>
      <c r="AZ601" s="198">
        <f>$G601</f>
        <v/>
      </c>
      <c r="BA601" s="199" t="n"/>
      <c r="BB601" s="199">
        <f>$P601*BB$34-$Q601</f>
        <v/>
      </c>
      <c r="BC601" s="199">
        <f>$P601*BC$34-$Q601</f>
        <v/>
      </c>
      <c r="BD601" s="199">
        <f>$P601*BD$34-$Q601</f>
        <v/>
      </c>
      <c r="BE601" s="199">
        <f>$P601*BE$34-$Q601</f>
        <v/>
      </c>
      <c r="BF601" s="199">
        <f>$P601*BF$34-$Q601</f>
        <v/>
      </c>
      <c r="BH601" s="198" t="n"/>
      <c r="BI601" s="197" t="n"/>
      <c r="BJ601" s="197" t="n"/>
      <c r="BK601" s="197" t="n"/>
      <c r="BL601" s="197" t="n"/>
      <c r="BM601" s="197" t="n"/>
      <c r="BN601" s="197" t="n"/>
      <c r="BP601" s="198" t="n"/>
      <c r="BQ601" s="197" t="n"/>
      <c r="BR601" s="197" t="n"/>
      <c r="BS601" s="197" t="n"/>
      <c r="BT601" s="197" t="n"/>
      <c r="BU601" s="197" t="n"/>
      <c r="BV601" s="197" t="n"/>
      <c r="BX601" s="198" t="n"/>
      <c r="BY601" s="197" t="n"/>
      <c r="BZ601" s="197" t="n"/>
      <c r="CA601" s="197" t="n"/>
      <c r="CB601" s="197" t="n"/>
      <c r="CC601" s="197" t="n"/>
      <c r="CD601" s="197" t="n"/>
      <c r="CF601" s="198" t="n"/>
      <c r="CG601" s="197" t="n"/>
      <c r="CH601" s="197" t="n"/>
      <c r="CI601" s="197" t="n"/>
      <c r="CJ601" s="197" t="n"/>
      <c r="CK601" s="197" t="n"/>
      <c r="CL601" s="197" t="n"/>
    </row>
    <row r="602">
      <c r="B602" s="204">
        <f>+C602-1</f>
        <v/>
      </c>
      <c r="C602" s="204">
        <f>IF('bands_A-H_Avg'!$D$9+1&gt;MONTH(G602),YEAR(G602),YEAR(G602)+1)</f>
        <v/>
      </c>
      <c r="D602" s="204">
        <f>+C602+1</f>
        <v/>
      </c>
      <c r="E602" s="203">
        <f>IF(C602&gt;C601,1,E601+1)</f>
        <v/>
      </c>
      <c r="F602" s="203">
        <f>COUNTIF(C:C,C602)</f>
        <v/>
      </c>
      <c r="G602" s="198">
        <f>+G601+7</f>
        <v/>
      </c>
      <c r="H602" s="202" t="n"/>
      <c r="I602" s="968" t="n"/>
      <c r="J602" s="968" t="n"/>
      <c r="K602" s="968" t="n"/>
      <c r="L602" s="968" t="n"/>
      <c r="M602" s="199">
        <f>HLOOKUP(C:C,$4:$10,3,FALSE)+((HLOOKUP(D:D,$4:$10,3,FALSE)-HLOOKUP(C:C,$4:$10,3,FALSE))*E602/F602)</f>
        <v/>
      </c>
      <c r="N602" s="199">
        <f>HLOOKUP(C:C,$4:$10,2,FALSE)+((HLOOKUP(D:D,$4:$10,2,FALSE)-HLOOKUP(C:C,$4:$10,2,FALSE))*E602/F602)</f>
        <v/>
      </c>
      <c r="O602" s="199">
        <f>HLOOKUP(C:C,$4:$10,5,FALSE)+((HLOOKUP(D:D,$4:$10,5,FALSE)-HLOOKUP(C:C,$4:$10,5,FALSE))*E602/F602)</f>
        <v/>
      </c>
      <c r="P602" s="199">
        <f>HLOOKUP(C:C,$4:$10,4,FALSE)+((HLOOKUP(D:D,$4:$10,4,FALSE)-HLOOKUP(C:C,$4:$10,4,FALSE))*E602/F602)</f>
        <v/>
      </c>
      <c r="Q602" s="199">
        <f>HLOOKUP(B:B,$4:$10,6,FALSE)+((HLOOKUP(C:C,$4:$10,6,FALSE)-HLOOKUP(B:B,$4:$10,6,FALSE))*E602/F602)</f>
        <v/>
      </c>
      <c r="T602" s="198">
        <f>$G602</f>
        <v/>
      </c>
      <c r="U602" s="199" t="n"/>
      <c r="V602" s="969">
        <f>HLOOKUP(B:B,$4:$10,7,FALSE)+((HLOOKUP(C:C,$4:$10,7,FALSE)-HLOOKUP(B:B,$4:$10,7,FALSE))*E602/F602)</f>
        <v/>
      </c>
      <c r="AB602" s="198">
        <f>$G602</f>
        <v/>
      </c>
      <c r="AC602" s="199" t="n"/>
      <c r="AD602" s="199">
        <f>$M602*AD$34</f>
        <v/>
      </c>
      <c r="AE602" s="199">
        <f>$M602*AE$34</f>
        <v/>
      </c>
      <c r="AF602" s="199">
        <f>$M602*AF$34</f>
        <v/>
      </c>
      <c r="AG602" s="199">
        <f>$M602*AG$34</f>
        <v/>
      </c>
      <c r="AH602" s="199">
        <f>$M602*AH$34</f>
        <v/>
      </c>
      <c r="AJ602" s="198">
        <f>$G602</f>
        <v/>
      </c>
      <c r="AK602" s="199" t="n"/>
      <c r="AL602" s="199">
        <f>$N602*AL$34</f>
        <v/>
      </c>
      <c r="AM602" s="199">
        <f>$N602*AM$34</f>
        <v/>
      </c>
      <c r="AN602" s="199">
        <f>$N602*AN$34</f>
        <v/>
      </c>
      <c r="AO602" s="199">
        <f>$N602*AO$34</f>
        <v/>
      </c>
      <c r="AP602" s="199">
        <f>$N602*AP$34</f>
        <v/>
      </c>
      <c r="AR602" s="198">
        <f>$G602</f>
        <v/>
      </c>
      <c r="AS602" s="199" t="n"/>
      <c r="AT602" s="199">
        <f>$O602*AT$34-$Q602</f>
        <v/>
      </c>
      <c r="AU602" s="199">
        <f>$O602*AU$34-$Q602</f>
        <v/>
      </c>
      <c r="AV602" s="199">
        <f>$O602*AV$34-$Q602</f>
        <v/>
      </c>
      <c r="AW602" s="199">
        <f>$O602*AW$34-$Q602</f>
        <v/>
      </c>
      <c r="AX602" s="199">
        <f>$O602*AX$34-$Q602</f>
        <v/>
      </c>
      <c r="AZ602" s="198">
        <f>$G602</f>
        <v/>
      </c>
      <c r="BA602" s="199" t="n"/>
      <c r="BB602" s="199">
        <f>$P602*BB$34-$Q602</f>
        <v/>
      </c>
      <c r="BC602" s="199">
        <f>$P602*BC$34-$Q602</f>
        <v/>
      </c>
      <c r="BD602" s="199">
        <f>$P602*BD$34-$Q602</f>
        <v/>
      </c>
      <c r="BE602" s="199">
        <f>$P602*BE$34-$Q602</f>
        <v/>
      </c>
      <c r="BF602" s="199">
        <f>$P602*BF$34-$Q602</f>
        <v/>
      </c>
      <c r="BH602" s="198" t="n"/>
      <c r="BI602" s="197" t="n"/>
      <c r="BJ602" s="197" t="n"/>
      <c r="BK602" s="197" t="n"/>
      <c r="BL602" s="197" t="n"/>
      <c r="BM602" s="197" t="n"/>
      <c r="BN602" s="197" t="n"/>
      <c r="BP602" s="198" t="n"/>
      <c r="BQ602" s="197" t="n"/>
      <c r="BR602" s="197" t="n"/>
      <c r="BS602" s="197" t="n"/>
      <c r="BT602" s="197" t="n"/>
      <c r="BU602" s="197" t="n"/>
      <c r="BV602" s="197" t="n"/>
      <c r="BX602" s="198" t="n"/>
      <c r="BY602" s="197" t="n"/>
      <c r="BZ602" s="197" t="n"/>
      <c r="CA602" s="197" t="n"/>
      <c r="CB602" s="197" t="n"/>
      <c r="CC602" s="197" t="n"/>
      <c r="CD602" s="197" t="n"/>
      <c r="CF602" s="198" t="n"/>
      <c r="CG602" s="197" t="n"/>
      <c r="CH602" s="197" t="n"/>
      <c r="CI602" s="197" t="n"/>
      <c r="CJ602" s="197" t="n"/>
      <c r="CK602" s="197" t="n"/>
      <c r="CL602" s="197" t="n"/>
    </row>
    <row r="603">
      <c r="B603" s="204">
        <f>+C603-1</f>
        <v/>
      </c>
      <c r="C603" s="204">
        <f>IF('bands_A-H_Avg'!$D$9+1&gt;MONTH(G603),YEAR(G603),YEAR(G603)+1)</f>
        <v/>
      </c>
      <c r="D603" s="204">
        <f>+C603+1</f>
        <v/>
      </c>
      <c r="E603" s="203">
        <f>IF(C603&gt;C602,1,E602+1)</f>
        <v/>
      </c>
      <c r="F603" s="203">
        <f>COUNTIF(C:C,C603)</f>
        <v/>
      </c>
      <c r="G603" s="198">
        <f>+G602+7</f>
        <v/>
      </c>
      <c r="H603" s="202" t="n"/>
      <c r="I603" s="968" t="n"/>
      <c r="J603" s="968" t="n"/>
      <c r="K603" s="968" t="n"/>
      <c r="L603" s="968" t="n"/>
      <c r="M603" s="199">
        <f>HLOOKUP(C:C,$4:$10,3,FALSE)+((HLOOKUP(D:D,$4:$10,3,FALSE)-HLOOKUP(C:C,$4:$10,3,FALSE))*E603/F603)</f>
        <v/>
      </c>
      <c r="N603" s="199">
        <f>HLOOKUP(C:C,$4:$10,2,FALSE)+((HLOOKUP(D:D,$4:$10,2,FALSE)-HLOOKUP(C:C,$4:$10,2,FALSE))*E603/F603)</f>
        <v/>
      </c>
      <c r="O603" s="199">
        <f>HLOOKUP(C:C,$4:$10,5,FALSE)+((HLOOKUP(D:D,$4:$10,5,FALSE)-HLOOKUP(C:C,$4:$10,5,FALSE))*E603/F603)</f>
        <v/>
      </c>
      <c r="P603" s="199">
        <f>HLOOKUP(C:C,$4:$10,4,FALSE)+((HLOOKUP(D:D,$4:$10,4,FALSE)-HLOOKUP(C:C,$4:$10,4,FALSE))*E603/F603)</f>
        <v/>
      </c>
      <c r="Q603" s="199">
        <f>HLOOKUP(B:B,$4:$10,6,FALSE)+((HLOOKUP(C:C,$4:$10,6,FALSE)-HLOOKUP(B:B,$4:$10,6,FALSE))*E603/F603)</f>
        <v/>
      </c>
      <c r="T603" s="198">
        <f>$G603</f>
        <v/>
      </c>
      <c r="U603" s="199" t="n"/>
      <c r="V603" s="969">
        <f>HLOOKUP(B:B,$4:$10,7,FALSE)+((HLOOKUP(C:C,$4:$10,7,FALSE)-HLOOKUP(B:B,$4:$10,7,FALSE))*E603/F603)</f>
        <v/>
      </c>
      <c r="AB603" s="198">
        <f>$G603</f>
        <v/>
      </c>
      <c r="AC603" s="199" t="n"/>
      <c r="AD603" s="199">
        <f>$M603*AD$34</f>
        <v/>
      </c>
      <c r="AE603" s="199">
        <f>$M603*AE$34</f>
        <v/>
      </c>
      <c r="AF603" s="199">
        <f>$M603*AF$34</f>
        <v/>
      </c>
      <c r="AG603" s="199">
        <f>$M603*AG$34</f>
        <v/>
      </c>
      <c r="AH603" s="199">
        <f>$M603*AH$34</f>
        <v/>
      </c>
      <c r="AJ603" s="198">
        <f>$G603</f>
        <v/>
      </c>
      <c r="AK603" s="199" t="n"/>
      <c r="AL603" s="199">
        <f>$N603*AL$34</f>
        <v/>
      </c>
      <c r="AM603" s="199">
        <f>$N603*AM$34</f>
        <v/>
      </c>
      <c r="AN603" s="199">
        <f>$N603*AN$34</f>
        <v/>
      </c>
      <c r="AO603" s="199">
        <f>$N603*AO$34</f>
        <v/>
      </c>
      <c r="AP603" s="199">
        <f>$N603*AP$34</f>
        <v/>
      </c>
      <c r="AR603" s="198">
        <f>$G603</f>
        <v/>
      </c>
      <c r="AS603" s="199" t="n"/>
      <c r="AT603" s="199">
        <f>$O603*AT$34-$Q603</f>
        <v/>
      </c>
      <c r="AU603" s="199">
        <f>$O603*AU$34-$Q603</f>
        <v/>
      </c>
      <c r="AV603" s="199">
        <f>$O603*AV$34-$Q603</f>
        <v/>
      </c>
      <c r="AW603" s="199">
        <f>$O603*AW$34-$Q603</f>
        <v/>
      </c>
      <c r="AX603" s="199">
        <f>$O603*AX$34-$Q603</f>
        <v/>
      </c>
      <c r="AZ603" s="198">
        <f>$G603</f>
        <v/>
      </c>
      <c r="BA603" s="199" t="n"/>
      <c r="BB603" s="199">
        <f>$P603*BB$34-$Q603</f>
        <v/>
      </c>
      <c r="BC603" s="199">
        <f>$P603*BC$34-$Q603</f>
        <v/>
      </c>
      <c r="BD603" s="199">
        <f>$P603*BD$34-$Q603</f>
        <v/>
      </c>
      <c r="BE603" s="199">
        <f>$P603*BE$34-$Q603</f>
        <v/>
      </c>
      <c r="BF603" s="199">
        <f>$P603*BF$34-$Q603</f>
        <v/>
      </c>
      <c r="BH603" s="198" t="n"/>
      <c r="BI603" s="197" t="n"/>
      <c r="BJ603" s="197" t="n"/>
      <c r="BK603" s="197" t="n"/>
      <c r="BL603" s="197" t="n"/>
      <c r="BM603" s="197" t="n"/>
      <c r="BN603" s="197" t="n"/>
      <c r="BP603" s="198" t="n"/>
      <c r="BQ603" s="197" t="n"/>
      <c r="BR603" s="197" t="n"/>
      <c r="BS603" s="197" t="n"/>
      <c r="BT603" s="197" t="n"/>
      <c r="BU603" s="197" t="n"/>
      <c r="BV603" s="197" t="n"/>
      <c r="BX603" s="198" t="n"/>
      <c r="BY603" s="197" t="n"/>
      <c r="BZ603" s="197" t="n"/>
      <c r="CA603" s="197" t="n"/>
      <c r="CB603" s="197" t="n"/>
      <c r="CC603" s="197" t="n"/>
      <c r="CD603" s="197" t="n"/>
      <c r="CF603" s="198" t="n"/>
      <c r="CG603" s="197" t="n"/>
      <c r="CH603" s="197" t="n"/>
      <c r="CI603" s="197" t="n"/>
      <c r="CJ603" s="197" t="n"/>
      <c r="CK603" s="197" t="n"/>
      <c r="CL603" s="197" t="n"/>
    </row>
    <row r="604">
      <c r="B604" s="204">
        <f>+C604-1</f>
        <v/>
      </c>
      <c r="C604" s="204">
        <f>IF('bands_A-H_Avg'!$D$9+1&gt;MONTH(G604),YEAR(G604),YEAR(G604)+1)</f>
        <v/>
      </c>
      <c r="D604" s="204">
        <f>+C604+1</f>
        <v/>
      </c>
      <c r="E604" s="203">
        <f>IF(C604&gt;C603,1,E603+1)</f>
        <v/>
      </c>
      <c r="F604" s="203">
        <f>COUNTIF(C:C,C604)</f>
        <v/>
      </c>
      <c r="G604" s="198">
        <f>+G603+7</f>
        <v/>
      </c>
      <c r="H604" s="202" t="n"/>
      <c r="I604" s="968" t="n"/>
      <c r="J604" s="968" t="n"/>
      <c r="K604" s="968" t="n"/>
      <c r="L604" s="968" t="n"/>
      <c r="M604" s="199">
        <f>HLOOKUP(C:C,$4:$10,3,FALSE)+((HLOOKUP(D:D,$4:$10,3,FALSE)-HLOOKUP(C:C,$4:$10,3,FALSE))*E604/F604)</f>
        <v/>
      </c>
      <c r="N604" s="199">
        <f>HLOOKUP(C:C,$4:$10,2,FALSE)+((HLOOKUP(D:D,$4:$10,2,FALSE)-HLOOKUP(C:C,$4:$10,2,FALSE))*E604/F604)</f>
        <v/>
      </c>
      <c r="O604" s="199">
        <f>HLOOKUP(C:C,$4:$10,5,FALSE)+((HLOOKUP(D:D,$4:$10,5,FALSE)-HLOOKUP(C:C,$4:$10,5,FALSE))*E604/F604)</f>
        <v/>
      </c>
      <c r="P604" s="199">
        <f>HLOOKUP(C:C,$4:$10,4,FALSE)+((HLOOKUP(D:D,$4:$10,4,FALSE)-HLOOKUP(C:C,$4:$10,4,FALSE))*E604/F604)</f>
        <v/>
      </c>
      <c r="Q604" s="199">
        <f>HLOOKUP(B:B,$4:$10,6,FALSE)+((HLOOKUP(C:C,$4:$10,6,FALSE)-HLOOKUP(B:B,$4:$10,6,FALSE))*E604/F604)</f>
        <v/>
      </c>
      <c r="T604" s="198">
        <f>$G604</f>
        <v/>
      </c>
      <c r="U604" s="199" t="n"/>
      <c r="V604" s="969">
        <f>HLOOKUP(B:B,$4:$10,7,FALSE)+((HLOOKUP(C:C,$4:$10,7,FALSE)-HLOOKUP(B:B,$4:$10,7,FALSE))*E604/F604)</f>
        <v/>
      </c>
      <c r="AB604" s="198">
        <f>$G604</f>
        <v/>
      </c>
      <c r="AC604" s="199" t="n"/>
      <c r="AD604" s="199">
        <f>$M604*AD$34</f>
        <v/>
      </c>
      <c r="AE604" s="199">
        <f>$M604*AE$34</f>
        <v/>
      </c>
      <c r="AF604" s="199">
        <f>$M604*AF$34</f>
        <v/>
      </c>
      <c r="AG604" s="199">
        <f>$M604*AG$34</f>
        <v/>
      </c>
      <c r="AH604" s="199">
        <f>$M604*AH$34</f>
        <v/>
      </c>
      <c r="AJ604" s="198">
        <f>$G604</f>
        <v/>
      </c>
      <c r="AK604" s="199" t="n"/>
      <c r="AL604" s="199">
        <f>$N604*AL$34</f>
        <v/>
      </c>
      <c r="AM604" s="199">
        <f>$N604*AM$34</f>
        <v/>
      </c>
      <c r="AN604" s="199">
        <f>$N604*AN$34</f>
        <v/>
      </c>
      <c r="AO604" s="199">
        <f>$N604*AO$34</f>
        <v/>
      </c>
      <c r="AP604" s="199">
        <f>$N604*AP$34</f>
        <v/>
      </c>
      <c r="AR604" s="198">
        <f>$G604</f>
        <v/>
      </c>
      <c r="AS604" s="199" t="n"/>
      <c r="AT604" s="199">
        <f>$O604*AT$34-$Q604</f>
        <v/>
      </c>
      <c r="AU604" s="199">
        <f>$O604*AU$34-$Q604</f>
        <v/>
      </c>
      <c r="AV604" s="199">
        <f>$O604*AV$34-$Q604</f>
        <v/>
      </c>
      <c r="AW604" s="199">
        <f>$O604*AW$34-$Q604</f>
        <v/>
      </c>
      <c r="AX604" s="199">
        <f>$O604*AX$34-$Q604</f>
        <v/>
      </c>
      <c r="AZ604" s="198">
        <f>$G604</f>
        <v/>
      </c>
      <c r="BA604" s="199" t="n"/>
      <c r="BB604" s="199">
        <f>$P604*BB$34-$Q604</f>
        <v/>
      </c>
      <c r="BC604" s="199">
        <f>$P604*BC$34-$Q604</f>
        <v/>
      </c>
      <c r="BD604" s="199">
        <f>$P604*BD$34-$Q604</f>
        <v/>
      </c>
      <c r="BE604" s="199">
        <f>$P604*BE$34-$Q604</f>
        <v/>
      </c>
      <c r="BF604" s="199">
        <f>$P604*BF$34-$Q604</f>
        <v/>
      </c>
      <c r="BH604" s="198" t="n"/>
      <c r="BI604" s="197" t="n"/>
      <c r="BJ604" s="197" t="n"/>
      <c r="BK604" s="197" t="n"/>
      <c r="BL604" s="197" t="n"/>
      <c r="BM604" s="197" t="n"/>
      <c r="BN604" s="197" t="n"/>
      <c r="BP604" s="198" t="n"/>
      <c r="BQ604" s="197" t="n"/>
      <c r="BR604" s="197" t="n"/>
      <c r="BS604" s="197" t="n"/>
      <c r="BT604" s="197" t="n"/>
      <c r="BU604" s="197" t="n"/>
      <c r="BV604" s="197" t="n"/>
      <c r="BX604" s="198" t="n"/>
      <c r="BY604" s="197" t="n"/>
      <c r="BZ604" s="197" t="n"/>
      <c r="CA604" s="197" t="n"/>
      <c r="CB604" s="197" t="n"/>
      <c r="CC604" s="197" t="n"/>
      <c r="CD604" s="197" t="n"/>
      <c r="CF604" s="198" t="n"/>
      <c r="CG604" s="197" t="n"/>
      <c r="CH604" s="197" t="n"/>
      <c r="CI604" s="197" t="n"/>
      <c r="CJ604" s="197" t="n"/>
      <c r="CK604" s="197" t="n"/>
      <c r="CL604" s="197" t="n"/>
    </row>
    <row r="605">
      <c r="B605" s="204">
        <f>+C605-1</f>
        <v/>
      </c>
      <c r="C605" s="204">
        <f>IF('bands_A-H_Avg'!$D$9+1&gt;MONTH(G605),YEAR(G605),YEAR(G605)+1)</f>
        <v/>
      </c>
      <c r="D605" s="204">
        <f>+C605+1</f>
        <v/>
      </c>
      <c r="E605" s="203">
        <f>IF(C605&gt;C604,1,E604+1)</f>
        <v/>
      </c>
      <c r="F605" s="203">
        <f>COUNTIF(C:C,C605)</f>
        <v/>
      </c>
      <c r="G605" s="198">
        <f>+G604+7</f>
        <v/>
      </c>
      <c r="H605" s="202" t="n"/>
      <c r="I605" s="968" t="n"/>
      <c r="J605" s="968" t="n"/>
      <c r="K605" s="968" t="n"/>
      <c r="L605" s="968" t="n"/>
      <c r="M605" s="199">
        <f>HLOOKUP(C:C,$4:$10,3,FALSE)+((HLOOKUP(D:D,$4:$10,3,FALSE)-HLOOKUP(C:C,$4:$10,3,FALSE))*E605/F605)</f>
        <v/>
      </c>
      <c r="N605" s="199">
        <f>HLOOKUP(C:C,$4:$10,2,FALSE)+((HLOOKUP(D:D,$4:$10,2,FALSE)-HLOOKUP(C:C,$4:$10,2,FALSE))*E605/F605)</f>
        <v/>
      </c>
      <c r="O605" s="199">
        <f>HLOOKUP(C:C,$4:$10,5,FALSE)+((HLOOKUP(D:D,$4:$10,5,FALSE)-HLOOKUP(C:C,$4:$10,5,FALSE))*E605/F605)</f>
        <v/>
      </c>
      <c r="P605" s="199">
        <f>HLOOKUP(C:C,$4:$10,4,FALSE)+((HLOOKUP(D:D,$4:$10,4,FALSE)-HLOOKUP(C:C,$4:$10,4,FALSE))*E605/F605)</f>
        <v/>
      </c>
      <c r="Q605" s="199">
        <f>HLOOKUP(B:B,$4:$10,6,FALSE)+((HLOOKUP(C:C,$4:$10,6,FALSE)-HLOOKUP(B:B,$4:$10,6,FALSE))*E605/F605)</f>
        <v/>
      </c>
      <c r="T605" s="198">
        <f>$G605</f>
        <v/>
      </c>
      <c r="U605" s="199" t="n"/>
      <c r="V605" s="969">
        <f>HLOOKUP(B:B,$4:$10,7,FALSE)+((HLOOKUP(C:C,$4:$10,7,FALSE)-HLOOKUP(B:B,$4:$10,7,FALSE))*E605/F605)</f>
        <v/>
      </c>
      <c r="AB605" s="198">
        <f>$G605</f>
        <v/>
      </c>
      <c r="AC605" s="199" t="n"/>
      <c r="AD605" s="199">
        <f>$M605*AD$34</f>
        <v/>
      </c>
      <c r="AE605" s="199">
        <f>$M605*AE$34</f>
        <v/>
      </c>
      <c r="AF605" s="199">
        <f>$M605*AF$34</f>
        <v/>
      </c>
      <c r="AG605" s="199">
        <f>$M605*AG$34</f>
        <v/>
      </c>
      <c r="AH605" s="199">
        <f>$M605*AH$34</f>
        <v/>
      </c>
      <c r="AJ605" s="198">
        <f>$G605</f>
        <v/>
      </c>
      <c r="AK605" s="199" t="n"/>
      <c r="AL605" s="199">
        <f>$N605*AL$34</f>
        <v/>
      </c>
      <c r="AM605" s="199">
        <f>$N605*AM$34</f>
        <v/>
      </c>
      <c r="AN605" s="199">
        <f>$N605*AN$34</f>
        <v/>
      </c>
      <c r="AO605" s="199">
        <f>$N605*AO$34</f>
        <v/>
      </c>
      <c r="AP605" s="199">
        <f>$N605*AP$34</f>
        <v/>
      </c>
      <c r="AR605" s="198">
        <f>$G605</f>
        <v/>
      </c>
      <c r="AS605" s="199" t="n"/>
      <c r="AT605" s="199">
        <f>$O605*AT$34-$Q605</f>
        <v/>
      </c>
      <c r="AU605" s="199">
        <f>$O605*AU$34-$Q605</f>
        <v/>
      </c>
      <c r="AV605" s="199">
        <f>$O605*AV$34-$Q605</f>
        <v/>
      </c>
      <c r="AW605" s="199">
        <f>$O605*AW$34-$Q605</f>
        <v/>
      </c>
      <c r="AX605" s="199">
        <f>$O605*AX$34-$Q605</f>
        <v/>
      </c>
      <c r="AZ605" s="198">
        <f>$G605</f>
        <v/>
      </c>
      <c r="BA605" s="199" t="n"/>
      <c r="BB605" s="199">
        <f>$P605*BB$34-$Q605</f>
        <v/>
      </c>
      <c r="BC605" s="199">
        <f>$P605*BC$34-$Q605</f>
        <v/>
      </c>
      <c r="BD605" s="199">
        <f>$P605*BD$34-$Q605</f>
        <v/>
      </c>
      <c r="BE605" s="199">
        <f>$P605*BE$34-$Q605</f>
        <v/>
      </c>
      <c r="BF605" s="199">
        <f>$P605*BF$34-$Q605</f>
        <v/>
      </c>
      <c r="BH605" s="198" t="n"/>
      <c r="BI605" s="197" t="n"/>
      <c r="BJ605" s="197" t="n"/>
      <c r="BK605" s="197" t="n"/>
      <c r="BL605" s="197" t="n"/>
      <c r="BM605" s="197" t="n"/>
      <c r="BN605" s="197" t="n"/>
      <c r="BP605" s="198" t="n"/>
      <c r="BQ605" s="197" t="n"/>
      <c r="BR605" s="197" t="n"/>
      <c r="BS605" s="197" t="n"/>
      <c r="BT605" s="197" t="n"/>
      <c r="BU605" s="197" t="n"/>
      <c r="BV605" s="197" t="n"/>
      <c r="BX605" s="198" t="n"/>
      <c r="BY605" s="197" t="n"/>
      <c r="BZ605" s="197" t="n"/>
      <c r="CA605" s="197" t="n"/>
      <c r="CB605" s="197" t="n"/>
      <c r="CC605" s="197" t="n"/>
      <c r="CD605" s="197" t="n"/>
      <c r="CF605" s="198" t="n"/>
      <c r="CG605" s="197" t="n"/>
      <c r="CH605" s="197" t="n"/>
      <c r="CI605" s="197" t="n"/>
      <c r="CJ605" s="197" t="n"/>
      <c r="CK605" s="197" t="n"/>
      <c r="CL605" s="197" t="n"/>
    </row>
    <row r="606">
      <c r="B606" s="204">
        <f>+C606-1</f>
        <v/>
      </c>
      <c r="C606" s="204">
        <f>IF('bands_A-H_Avg'!$D$9+1&gt;MONTH(G606),YEAR(G606),YEAR(G606)+1)</f>
        <v/>
      </c>
      <c r="D606" s="204">
        <f>+C606+1</f>
        <v/>
      </c>
      <c r="E606" s="203">
        <f>IF(C606&gt;C605,1,E605+1)</f>
        <v/>
      </c>
      <c r="F606" s="203">
        <f>COUNTIF(C:C,C606)</f>
        <v/>
      </c>
      <c r="G606" s="198">
        <f>+G605+7</f>
        <v/>
      </c>
      <c r="H606" s="202" t="n"/>
      <c r="I606" s="968" t="n"/>
      <c r="J606" s="968" t="n"/>
      <c r="K606" s="968" t="n"/>
      <c r="L606" s="968" t="n"/>
      <c r="M606" s="199">
        <f>HLOOKUP(C:C,$4:$10,3,FALSE)+((HLOOKUP(D:D,$4:$10,3,FALSE)-HLOOKUP(C:C,$4:$10,3,FALSE))*E606/F606)</f>
        <v/>
      </c>
      <c r="N606" s="199">
        <f>HLOOKUP(C:C,$4:$10,2,FALSE)+((HLOOKUP(D:D,$4:$10,2,FALSE)-HLOOKUP(C:C,$4:$10,2,FALSE))*E606/F606)</f>
        <v/>
      </c>
      <c r="O606" s="199">
        <f>HLOOKUP(C:C,$4:$10,5,FALSE)+((HLOOKUP(D:D,$4:$10,5,FALSE)-HLOOKUP(C:C,$4:$10,5,FALSE))*E606/F606)</f>
        <v/>
      </c>
      <c r="P606" s="199">
        <f>HLOOKUP(C:C,$4:$10,4,FALSE)+((HLOOKUP(D:D,$4:$10,4,FALSE)-HLOOKUP(C:C,$4:$10,4,FALSE))*E606/F606)</f>
        <v/>
      </c>
      <c r="Q606" s="199">
        <f>HLOOKUP(B:B,$4:$10,6,FALSE)+((HLOOKUP(C:C,$4:$10,6,FALSE)-HLOOKUP(B:B,$4:$10,6,FALSE))*E606/F606)</f>
        <v/>
      </c>
      <c r="T606" s="198">
        <f>$G606</f>
        <v/>
      </c>
      <c r="U606" s="199" t="n"/>
      <c r="V606" s="969">
        <f>HLOOKUP(B:B,$4:$10,7,FALSE)+((HLOOKUP(C:C,$4:$10,7,FALSE)-HLOOKUP(B:B,$4:$10,7,FALSE))*E606/F606)</f>
        <v/>
      </c>
      <c r="AB606" s="198">
        <f>$G606</f>
        <v/>
      </c>
      <c r="AC606" s="199" t="n"/>
      <c r="AD606" s="199">
        <f>$M606*AD$34</f>
        <v/>
      </c>
      <c r="AE606" s="199">
        <f>$M606*AE$34</f>
        <v/>
      </c>
      <c r="AF606" s="199">
        <f>$M606*AF$34</f>
        <v/>
      </c>
      <c r="AG606" s="199">
        <f>$M606*AG$34</f>
        <v/>
      </c>
      <c r="AH606" s="199">
        <f>$M606*AH$34</f>
        <v/>
      </c>
      <c r="AJ606" s="198">
        <f>$G606</f>
        <v/>
      </c>
      <c r="AK606" s="199" t="n"/>
      <c r="AL606" s="199">
        <f>$N606*AL$34</f>
        <v/>
      </c>
      <c r="AM606" s="199">
        <f>$N606*AM$34</f>
        <v/>
      </c>
      <c r="AN606" s="199">
        <f>$N606*AN$34</f>
        <v/>
      </c>
      <c r="AO606" s="199">
        <f>$N606*AO$34</f>
        <v/>
      </c>
      <c r="AP606" s="199">
        <f>$N606*AP$34</f>
        <v/>
      </c>
      <c r="AR606" s="198">
        <f>$G606</f>
        <v/>
      </c>
      <c r="AS606" s="199" t="n"/>
      <c r="AT606" s="199">
        <f>$O606*AT$34-$Q606</f>
        <v/>
      </c>
      <c r="AU606" s="199">
        <f>$O606*AU$34-$Q606</f>
        <v/>
      </c>
      <c r="AV606" s="199">
        <f>$O606*AV$34-$Q606</f>
        <v/>
      </c>
      <c r="AW606" s="199">
        <f>$O606*AW$34-$Q606</f>
        <v/>
      </c>
      <c r="AX606" s="199">
        <f>$O606*AX$34-$Q606</f>
        <v/>
      </c>
      <c r="AZ606" s="198">
        <f>$G606</f>
        <v/>
      </c>
      <c r="BA606" s="199" t="n"/>
      <c r="BB606" s="199">
        <f>$P606*BB$34-$Q606</f>
        <v/>
      </c>
      <c r="BC606" s="199">
        <f>$P606*BC$34-$Q606</f>
        <v/>
      </c>
      <c r="BD606" s="199">
        <f>$P606*BD$34-$Q606</f>
        <v/>
      </c>
      <c r="BE606" s="199">
        <f>$P606*BE$34-$Q606</f>
        <v/>
      </c>
      <c r="BF606" s="199">
        <f>$P606*BF$34-$Q606</f>
        <v/>
      </c>
      <c r="BH606" s="198" t="n"/>
      <c r="BI606" s="197" t="n"/>
      <c r="BJ606" s="197" t="n"/>
      <c r="BK606" s="197" t="n"/>
      <c r="BL606" s="197" t="n"/>
      <c r="BM606" s="197" t="n"/>
      <c r="BN606" s="197" t="n"/>
      <c r="BP606" s="198" t="n"/>
      <c r="BQ606" s="197" t="n"/>
      <c r="BR606" s="197" t="n"/>
      <c r="BS606" s="197" t="n"/>
      <c r="BT606" s="197" t="n"/>
      <c r="BU606" s="197" t="n"/>
      <c r="BV606" s="197" t="n"/>
      <c r="BX606" s="198" t="n"/>
      <c r="BY606" s="197" t="n"/>
      <c r="BZ606" s="197" t="n"/>
      <c r="CA606" s="197" t="n"/>
      <c r="CB606" s="197" t="n"/>
      <c r="CC606" s="197" t="n"/>
      <c r="CD606" s="197" t="n"/>
      <c r="CF606" s="198" t="n"/>
      <c r="CG606" s="197" t="n"/>
      <c r="CH606" s="197" t="n"/>
      <c r="CI606" s="197" t="n"/>
      <c r="CJ606" s="197" t="n"/>
      <c r="CK606" s="197" t="n"/>
      <c r="CL606" s="197" t="n"/>
    </row>
    <row r="607">
      <c r="B607" s="204">
        <f>+C607-1</f>
        <v/>
      </c>
      <c r="C607" s="204">
        <f>IF('bands_A-H_Avg'!$D$9+1&gt;MONTH(G607),YEAR(G607),YEAR(G607)+1)</f>
        <v/>
      </c>
      <c r="D607" s="204">
        <f>+C607+1</f>
        <v/>
      </c>
      <c r="E607" s="203">
        <f>IF(C607&gt;C606,1,E606+1)</f>
        <v/>
      </c>
      <c r="F607" s="203">
        <f>COUNTIF(C:C,C607)</f>
        <v/>
      </c>
      <c r="G607" s="198">
        <f>+G606+7</f>
        <v/>
      </c>
      <c r="H607" s="202" t="n"/>
      <c r="I607" s="968" t="n"/>
      <c r="J607" s="968" t="n"/>
      <c r="K607" s="968" t="n"/>
      <c r="L607" s="968" t="n"/>
      <c r="M607" s="199">
        <f>HLOOKUP(C:C,$4:$10,3,FALSE)+((HLOOKUP(D:D,$4:$10,3,FALSE)-HLOOKUP(C:C,$4:$10,3,FALSE))*E607/F607)</f>
        <v/>
      </c>
      <c r="N607" s="199">
        <f>HLOOKUP(C:C,$4:$10,2,FALSE)+((HLOOKUP(D:D,$4:$10,2,FALSE)-HLOOKUP(C:C,$4:$10,2,FALSE))*E607/F607)</f>
        <v/>
      </c>
      <c r="O607" s="199">
        <f>HLOOKUP(C:C,$4:$10,5,FALSE)+((HLOOKUP(D:D,$4:$10,5,FALSE)-HLOOKUP(C:C,$4:$10,5,FALSE))*E607/F607)</f>
        <v/>
      </c>
      <c r="P607" s="199">
        <f>HLOOKUP(C:C,$4:$10,4,FALSE)+((HLOOKUP(D:D,$4:$10,4,FALSE)-HLOOKUP(C:C,$4:$10,4,FALSE))*E607/F607)</f>
        <v/>
      </c>
      <c r="Q607" s="199">
        <f>HLOOKUP(B:B,$4:$10,6,FALSE)+((HLOOKUP(C:C,$4:$10,6,FALSE)-HLOOKUP(B:B,$4:$10,6,FALSE))*E607/F607)</f>
        <v/>
      </c>
      <c r="T607" s="198">
        <f>$G607</f>
        <v/>
      </c>
      <c r="U607" s="199" t="n"/>
      <c r="V607" s="969">
        <f>HLOOKUP(B:B,$4:$10,7,FALSE)+((HLOOKUP(C:C,$4:$10,7,FALSE)-HLOOKUP(B:B,$4:$10,7,FALSE))*E607/F607)</f>
        <v/>
      </c>
      <c r="AB607" s="198">
        <f>$G607</f>
        <v/>
      </c>
      <c r="AC607" s="199" t="n"/>
      <c r="AD607" s="199">
        <f>$M607*AD$34</f>
        <v/>
      </c>
      <c r="AE607" s="199">
        <f>$M607*AE$34</f>
        <v/>
      </c>
      <c r="AF607" s="199">
        <f>$M607*AF$34</f>
        <v/>
      </c>
      <c r="AG607" s="199">
        <f>$M607*AG$34</f>
        <v/>
      </c>
      <c r="AH607" s="199">
        <f>$M607*AH$34</f>
        <v/>
      </c>
      <c r="AJ607" s="198">
        <f>$G607</f>
        <v/>
      </c>
      <c r="AK607" s="199" t="n"/>
      <c r="AL607" s="199">
        <f>$N607*AL$34</f>
        <v/>
      </c>
      <c r="AM607" s="199">
        <f>$N607*AM$34</f>
        <v/>
      </c>
      <c r="AN607" s="199">
        <f>$N607*AN$34</f>
        <v/>
      </c>
      <c r="AO607" s="199">
        <f>$N607*AO$34</f>
        <v/>
      </c>
      <c r="AP607" s="199">
        <f>$N607*AP$34</f>
        <v/>
      </c>
      <c r="AR607" s="198">
        <f>$G607</f>
        <v/>
      </c>
      <c r="AS607" s="199" t="n"/>
      <c r="AT607" s="199">
        <f>$O607*AT$34-$Q607</f>
        <v/>
      </c>
      <c r="AU607" s="199">
        <f>$O607*AU$34-$Q607</f>
        <v/>
      </c>
      <c r="AV607" s="199">
        <f>$O607*AV$34-$Q607</f>
        <v/>
      </c>
      <c r="AW607" s="199">
        <f>$O607*AW$34-$Q607</f>
        <v/>
      </c>
      <c r="AX607" s="199">
        <f>$O607*AX$34-$Q607</f>
        <v/>
      </c>
      <c r="AZ607" s="198">
        <f>$G607</f>
        <v/>
      </c>
      <c r="BA607" s="199" t="n"/>
      <c r="BB607" s="199">
        <f>$P607*BB$34-$Q607</f>
        <v/>
      </c>
      <c r="BC607" s="199">
        <f>$P607*BC$34-$Q607</f>
        <v/>
      </c>
      <c r="BD607" s="199">
        <f>$P607*BD$34-$Q607</f>
        <v/>
      </c>
      <c r="BE607" s="199">
        <f>$P607*BE$34-$Q607</f>
        <v/>
      </c>
      <c r="BF607" s="199">
        <f>$P607*BF$34-$Q607</f>
        <v/>
      </c>
      <c r="BH607" s="198" t="n"/>
      <c r="BI607" s="197" t="n"/>
      <c r="BJ607" s="197" t="n"/>
      <c r="BK607" s="197" t="n"/>
      <c r="BL607" s="197" t="n"/>
      <c r="BM607" s="197" t="n"/>
      <c r="BN607" s="197" t="n"/>
      <c r="BP607" s="198" t="n"/>
      <c r="BQ607" s="197" t="n"/>
      <c r="BR607" s="197" t="n"/>
      <c r="BS607" s="197" t="n"/>
      <c r="BT607" s="197" t="n"/>
      <c r="BU607" s="197" t="n"/>
      <c r="BV607" s="197" t="n"/>
      <c r="BX607" s="198" t="n"/>
      <c r="BY607" s="197" t="n"/>
      <c r="BZ607" s="197" t="n"/>
      <c r="CA607" s="197" t="n"/>
      <c r="CB607" s="197" t="n"/>
      <c r="CC607" s="197" t="n"/>
      <c r="CD607" s="197" t="n"/>
      <c r="CF607" s="198" t="n"/>
      <c r="CG607" s="197" t="n"/>
      <c r="CH607" s="197" t="n"/>
      <c r="CI607" s="197" t="n"/>
      <c r="CJ607" s="197" t="n"/>
      <c r="CK607" s="197" t="n"/>
      <c r="CL607" s="197" t="n"/>
    </row>
    <row r="608">
      <c r="B608" s="204">
        <f>+C608-1</f>
        <v/>
      </c>
      <c r="C608" s="204">
        <f>IF('bands_A-H_Avg'!$D$9+1&gt;MONTH(G608),YEAR(G608),YEAR(G608)+1)</f>
        <v/>
      </c>
      <c r="D608" s="204">
        <f>+C608+1</f>
        <v/>
      </c>
      <c r="E608" s="203">
        <f>IF(C608&gt;C607,1,E607+1)</f>
        <v/>
      </c>
      <c r="F608" s="203">
        <f>COUNTIF(C:C,C608)</f>
        <v/>
      </c>
      <c r="G608" s="198">
        <f>+G607+7</f>
        <v/>
      </c>
      <c r="H608" s="202" t="n"/>
      <c r="I608" s="968" t="n"/>
      <c r="J608" s="968" t="n"/>
      <c r="K608" s="968" t="n"/>
      <c r="L608" s="968" t="n"/>
      <c r="M608" s="199">
        <f>HLOOKUP(C:C,$4:$10,3,FALSE)+((HLOOKUP(D:D,$4:$10,3,FALSE)-HLOOKUP(C:C,$4:$10,3,FALSE))*E608/F608)</f>
        <v/>
      </c>
      <c r="N608" s="199">
        <f>HLOOKUP(C:C,$4:$10,2,FALSE)+((HLOOKUP(D:D,$4:$10,2,FALSE)-HLOOKUP(C:C,$4:$10,2,FALSE))*E608/F608)</f>
        <v/>
      </c>
      <c r="O608" s="199">
        <f>HLOOKUP(C:C,$4:$10,5,FALSE)+((HLOOKUP(D:D,$4:$10,5,FALSE)-HLOOKUP(C:C,$4:$10,5,FALSE))*E608/F608)</f>
        <v/>
      </c>
      <c r="P608" s="199">
        <f>HLOOKUP(C:C,$4:$10,4,FALSE)+((HLOOKUP(D:D,$4:$10,4,FALSE)-HLOOKUP(C:C,$4:$10,4,FALSE))*E608/F608)</f>
        <v/>
      </c>
      <c r="Q608" s="199">
        <f>HLOOKUP(B:B,$4:$10,6,FALSE)+((HLOOKUP(C:C,$4:$10,6,FALSE)-HLOOKUP(B:B,$4:$10,6,FALSE))*E608/F608)</f>
        <v/>
      </c>
      <c r="T608" s="198">
        <f>$G608</f>
        <v/>
      </c>
      <c r="U608" s="199" t="n"/>
      <c r="V608" s="969">
        <f>HLOOKUP(B:B,$4:$10,7,FALSE)+((HLOOKUP(C:C,$4:$10,7,FALSE)-HLOOKUP(B:B,$4:$10,7,FALSE))*E608/F608)</f>
        <v/>
      </c>
      <c r="AB608" s="198">
        <f>$G608</f>
        <v/>
      </c>
      <c r="AC608" s="199" t="n"/>
      <c r="AD608" s="199">
        <f>$M608*AD$34</f>
        <v/>
      </c>
      <c r="AE608" s="199">
        <f>$M608*AE$34</f>
        <v/>
      </c>
      <c r="AF608" s="199">
        <f>$M608*AF$34</f>
        <v/>
      </c>
      <c r="AG608" s="199">
        <f>$M608*AG$34</f>
        <v/>
      </c>
      <c r="AH608" s="199">
        <f>$M608*AH$34</f>
        <v/>
      </c>
      <c r="AJ608" s="198">
        <f>$G608</f>
        <v/>
      </c>
      <c r="AK608" s="199" t="n"/>
      <c r="AL608" s="199">
        <f>$N608*AL$34</f>
        <v/>
      </c>
      <c r="AM608" s="199">
        <f>$N608*AM$34</f>
        <v/>
      </c>
      <c r="AN608" s="199">
        <f>$N608*AN$34</f>
        <v/>
      </c>
      <c r="AO608" s="199">
        <f>$N608*AO$34</f>
        <v/>
      </c>
      <c r="AP608" s="199">
        <f>$N608*AP$34</f>
        <v/>
      </c>
      <c r="AR608" s="198">
        <f>$G608</f>
        <v/>
      </c>
      <c r="AS608" s="199" t="n"/>
      <c r="AT608" s="199">
        <f>$O608*AT$34-$Q608</f>
        <v/>
      </c>
      <c r="AU608" s="199">
        <f>$O608*AU$34-$Q608</f>
        <v/>
      </c>
      <c r="AV608" s="199">
        <f>$O608*AV$34-$Q608</f>
        <v/>
      </c>
      <c r="AW608" s="199">
        <f>$O608*AW$34-$Q608</f>
        <v/>
      </c>
      <c r="AX608" s="199">
        <f>$O608*AX$34-$Q608</f>
        <v/>
      </c>
      <c r="AZ608" s="198">
        <f>$G608</f>
        <v/>
      </c>
      <c r="BA608" s="199" t="n"/>
      <c r="BB608" s="199">
        <f>$P608*BB$34-$Q608</f>
        <v/>
      </c>
      <c r="BC608" s="199">
        <f>$P608*BC$34-$Q608</f>
        <v/>
      </c>
      <c r="BD608" s="199">
        <f>$P608*BD$34-$Q608</f>
        <v/>
      </c>
      <c r="BE608" s="199">
        <f>$P608*BE$34-$Q608</f>
        <v/>
      </c>
      <c r="BF608" s="199">
        <f>$P608*BF$34-$Q608</f>
        <v/>
      </c>
      <c r="BH608" s="198" t="n"/>
      <c r="BI608" s="197" t="n"/>
      <c r="BJ608" s="197" t="n"/>
      <c r="BK608" s="197" t="n"/>
      <c r="BL608" s="197" t="n"/>
      <c r="BM608" s="197" t="n"/>
      <c r="BN608" s="197" t="n"/>
      <c r="BP608" s="198" t="n"/>
      <c r="BQ608" s="197" t="n"/>
      <c r="BR608" s="197" t="n"/>
      <c r="BS608" s="197" t="n"/>
      <c r="BT608" s="197" t="n"/>
      <c r="BU608" s="197" t="n"/>
      <c r="BV608" s="197" t="n"/>
      <c r="BX608" s="198" t="n"/>
      <c r="BY608" s="197" t="n"/>
      <c r="BZ608" s="197" t="n"/>
      <c r="CA608" s="197" t="n"/>
      <c r="CB608" s="197" t="n"/>
      <c r="CC608" s="197" t="n"/>
      <c r="CD608" s="197" t="n"/>
      <c r="CF608" s="198" t="n"/>
      <c r="CG608" s="197" t="n"/>
      <c r="CH608" s="197" t="n"/>
      <c r="CI608" s="197" t="n"/>
      <c r="CJ608" s="197" t="n"/>
      <c r="CK608" s="197" t="n"/>
      <c r="CL608" s="197" t="n"/>
    </row>
    <row r="609">
      <c r="B609" s="204">
        <f>+C609-1</f>
        <v/>
      </c>
      <c r="C609" s="204">
        <f>IF('bands_A-H_Avg'!$D$9+1&gt;MONTH(G609),YEAR(G609),YEAR(G609)+1)</f>
        <v/>
      </c>
      <c r="D609" s="204">
        <f>+C609+1</f>
        <v/>
      </c>
      <c r="E609" s="203">
        <f>IF(C609&gt;C608,1,E608+1)</f>
        <v/>
      </c>
      <c r="F609" s="203">
        <f>COUNTIF(C:C,C609)</f>
        <v/>
      </c>
      <c r="G609" s="198">
        <f>+G608+7</f>
        <v/>
      </c>
      <c r="H609" s="202" t="n"/>
      <c r="I609" s="968" t="n"/>
      <c r="J609" s="968" t="n"/>
      <c r="K609" s="968" t="n"/>
      <c r="L609" s="968" t="n"/>
      <c r="M609" s="199">
        <f>HLOOKUP(C:C,$4:$10,3,FALSE)+((HLOOKUP(D:D,$4:$10,3,FALSE)-HLOOKUP(C:C,$4:$10,3,FALSE))*E609/F609)</f>
        <v/>
      </c>
      <c r="N609" s="199">
        <f>HLOOKUP(C:C,$4:$10,2,FALSE)+((HLOOKUP(D:D,$4:$10,2,FALSE)-HLOOKUP(C:C,$4:$10,2,FALSE))*E609/F609)</f>
        <v/>
      </c>
      <c r="O609" s="199">
        <f>HLOOKUP(C:C,$4:$10,5,FALSE)+((HLOOKUP(D:D,$4:$10,5,FALSE)-HLOOKUP(C:C,$4:$10,5,FALSE))*E609/F609)</f>
        <v/>
      </c>
      <c r="P609" s="199">
        <f>HLOOKUP(C:C,$4:$10,4,FALSE)+((HLOOKUP(D:D,$4:$10,4,FALSE)-HLOOKUP(C:C,$4:$10,4,FALSE))*E609/F609)</f>
        <v/>
      </c>
      <c r="Q609" s="199">
        <f>HLOOKUP(B:B,$4:$10,6,FALSE)+((HLOOKUP(C:C,$4:$10,6,FALSE)-HLOOKUP(B:B,$4:$10,6,FALSE))*E609/F609)</f>
        <v/>
      </c>
      <c r="T609" s="198">
        <f>$G609</f>
        <v/>
      </c>
      <c r="U609" s="199" t="n"/>
      <c r="V609" s="969">
        <f>HLOOKUP(B:B,$4:$10,7,FALSE)+((HLOOKUP(C:C,$4:$10,7,FALSE)-HLOOKUP(B:B,$4:$10,7,FALSE))*E609/F609)</f>
        <v/>
      </c>
      <c r="AB609" s="198">
        <f>$G609</f>
        <v/>
      </c>
      <c r="AC609" s="199" t="n"/>
      <c r="AD609" s="199">
        <f>$M609*AD$34</f>
        <v/>
      </c>
      <c r="AE609" s="199">
        <f>$M609*AE$34</f>
        <v/>
      </c>
      <c r="AF609" s="199">
        <f>$M609*AF$34</f>
        <v/>
      </c>
      <c r="AG609" s="199">
        <f>$M609*AG$34</f>
        <v/>
      </c>
      <c r="AH609" s="199">
        <f>$M609*AH$34</f>
        <v/>
      </c>
      <c r="AJ609" s="198">
        <f>$G609</f>
        <v/>
      </c>
      <c r="AK609" s="199" t="n"/>
      <c r="AL609" s="199">
        <f>$N609*AL$34</f>
        <v/>
      </c>
      <c r="AM609" s="199">
        <f>$N609*AM$34</f>
        <v/>
      </c>
      <c r="AN609" s="199">
        <f>$N609*AN$34</f>
        <v/>
      </c>
      <c r="AO609" s="199">
        <f>$N609*AO$34</f>
        <v/>
      </c>
      <c r="AP609" s="199">
        <f>$N609*AP$34</f>
        <v/>
      </c>
      <c r="AR609" s="198">
        <f>$G609</f>
        <v/>
      </c>
      <c r="AS609" s="199" t="n"/>
      <c r="AT609" s="199">
        <f>$O609*AT$34-$Q609</f>
        <v/>
      </c>
      <c r="AU609" s="199">
        <f>$O609*AU$34-$Q609</f>
        <v/>
      </c>
      <c r="AV609" s="199">
        <f>$O609*AV$34-$Q609</f>
        <v/>
      </c>
      <c r="AW609" s="199">
        <f>$O609*AW$34-$Q609</f>
        <v/>
      </c>
      <c r="AX609" s="199">
        <f>$O609*AX$34-$Q609</f>
        <v/>
      </c>
      <c r="AZ609" s="198">
        <f>$G609</f>
        <v/>
      </c>
      <c r="BA609" s="199" t="n"/>
      <c r="BB609" s="199">
        <f>$P609*BB$34-$Q609</f>
        <v/>
      </c>
      <c r="BC609" s="199">
        <f>$P609*BC$34-$Q609</f>
        <v/>
      </c>
      <c r="BD609" s="199">
        <f>$P609*BD$34-$Q609</f>
        <v/>
      </c>
      <c r="BE609" s="199">
        <f>$P609*BE$34-$Q609</f>
        <v/>
      </c>
      <c r="BF609" s="199">
        <f>$P609*BF$34-$Q609</f>
        <v/>
      </c>
      <c r="BH609" s="198" t="n"/>
      <c r="BI609" s="197" t="n"/>
      <c r="BJ609" s="197" t="n"/>
      <c r="BK609" s="197" t="n"/>
      <c r="BL609" s="197" t="n"/>
      <c r="BM609" s="197" t="n"/>
      <c r="BN609" s="197" t="n"/>
      <c r="BP609" s="198" t="n"/>
      <c r="BQ609" s="197" t="n"/>
      <c r="BR609" s="197" t="n"/>
      <c r="BS609" s="197" t="n"/>
      <c r="BT609" s="197" t="n"/>
      <c r="BU609" s="197" t="n"/>
      <c r="BV609" s="197" t="n"/>
      <c r="BX609" s="198" t="n"/>
      <c r="BY609" s="197" t="n"/>
      <c r="BZ609" s="197" t="n"/>
      <c r="CA609" s="197" t="n"/>
      <c r="CB609" s="197" t="n"/>
      <c r="CC609" s="197" t="n"/>
      <c r="CD609" s="197" t="n"/>
      <c r="CF609" s="198" t="n"/>
      <c r="CG609" s="197" t="n"/>
      <c r="CH609" s="197" t="n"/>
      <c r="CI609" s="197" t="n"/>
      <c r="CJ609" s="197" t="n"/>
      <c r="CK609" s="197" t="n"/>
      <c r="CL609" s="197" t="n"/>
    </row>
  </sheetData>
  <pageMargins left="0.236220472440945" right="0.236220472440945" top="0.748031496062992" bottom="0.748031496062992" header="0.31496062992126" footer="0.31496062992126"/>
  <pageSetup orientation="landscape" scale="49" fitToWidth="2" horizontalDpi="1200" verticalDpi="1200"/>
  <drawing xmlns:r="http://schemas.openxmlformats.org/officeDocument/2006/relationships" r:id="rId1"/>
</worksheet>
</file>

<file path=xl/worksheets/sheet17.xml><?xml version="1.0" encoding="utf-8"?>
<worksheet xmlns="http://schemas.openxmlformats.org/spreadsheetml/2006/main">
  <sheetPr codeName="Sheet12">
    <tabColor theme="3"/>
    <outlinePr summaryBelow="1" summaryRight="1"/>
    <pageSetUpPr/>
  </sheetPr>
  <dimension ref="A1:O26"/>
  <sheetViews>
    <sheetView workbookViewId="0">
      <selection activeCell="A1" sqref="A1"/>
    </sheetView>
  </sheetViews>
  <sheetFormatPr baseColWidth="10" defaultColWidth="9.33203125" defaultRowHeight="13"/>
  <cols>
    <col width="2.6640625" customWidth="1" style="20" min="1" max="1"/>
    <col width="14.6640625" customWidth="1" style="20" min="2" max="2"/>
    <col hidden="1" outlineLevel="1" width="9.33203125" customWidth="1" style="20" min="3" max="3"/>
    <col collapsed="1" width="11.6640625" customWidth="1" style="20" min="4" max="4"/>
    <col width="11.6640625" customWidth="1" style="20" min="5" max="15"/>
    <col width="9.33203125" customWidth="1" style="20" min="16" max="16384"/>
  </cols>
  <sheetData>
    <row r="1">
      <c r="A1" s="21">
        <f>Summary!$B$5</f>
        <v/>
      </c>
    </row>
    <row r="2">
      <c r="A2" s="20" t="inlineStr">
        <is>
          <t>SCB vs. Consensus</t>
        </is>
      </c>
    </row>
    <row r="3">
      <c r="A3" s="20" t="inlineStr">
        <is>
          <t>Annual</t>
        </is>
      </c>
    </row>
    <row r="5">
      <c r="B5" s="44" t="inlineStr">
        <is>
          <t>RMB Million</t>
        </is>
      </c>
      <c r="K5" s="26" t="inlineStr">
        <is>
          <t>Consensus as of</t>
        </is>
      </c>
      <c r="L5" s="278" t="n">
        <v>42418</v>
      </c>
    </row>
    <row r="6" ht="16" customHeight="1">
      <c r="B6" s="181" t="n"/>
      <c r="C6" s="277">
        <f>Revisions!$Q$5-1</f>
        <v/>
      </c>
      <c r="D6" s="276">
        <f>+C6+1</f>
        <v/>
      </c>
      <c r="E6" s="274" t="n"/>
      <c r="F6" s="275" t="n"/>
      <c r="G6" s="274">
        <f>+D6+1</f>
        <v/>
      </c>
      <c r="H6" s="274" t="n"/>
      <c r="I6" s="275" t="n"/>
      <c r="J6" s="274">
        <f>+G6+1</f>
        <v/>
      </c>
      <c r="K6" s="274" t="n"/>
      <c r="L6" s="274" t="n"/>
    </row>
    <row r="7">
      <c r="B7" s="176" t="n"/>
      <c r="C7" s="273" t="inlineStr">
        <is>
          <t>SCB</t>
        </is>
      </c>
      <c r="D7" s="272" t="inlineStr">
        <is>
          <t>SCB</t>
        </is>
      </c>
      <c r="E7" s="270" t="inlineStr">
        <is>
          <t>BBG</t>
        </is>
      </c>
      <c r="F7" s="271" t="inlineStr">
        <is>
          <t>Delta</t>
        </is>
      </c>
      <c r="G7" s="272" t="inlineStr">
        <is>
          <t>SCB</t>
        </is>
      </c>
      <c r="H7" s="270" t="inlineStr">
        <is>
          <t>BBG</t>
        </is>
      </c>
      <c r="I7" s="271" t="inlineStr">
        <is>
          <t>Delta</t>
        </is>
      </c>
      <c r="J7" s="270" t="inlineStr">
        <is>
          <t>SCB</t>
        </is>
      </c>
      <c r="K7" s="270" t="inlineStr">
        <is>
          <t>BBG</t>
        </is>
      </c>
      <c r="L7" s="270" t="inlineStr">
        <is>
          <t>Delta</t>
        </is>
      </c>
    </row>
    <row r="8">
      <c r="B8" t="inlineStr">
        <is>
          <t>Sales</t>
        </is>
      </c>
      <c r="C8" s="975">
        <f>INDEX('FS_Y (OLD)'!11:11,0,MATCH(vs_BBG!C$6,'FS_Y (OLD)'!1:1,0))</f>
        <v/>
      </c>
      <c r="D8" s="976">
        <f>INDEX('FS_Y (OLD)'!11:11,0,MATCH(vs_BBG!D$6,'FS_Y (OLD)'!1:1,0))</f>
        <v/>
      </c>
      <c r="E8" s="918" t="n">
        <v>77088.90000000001</v>
      </c>
      <c r="F8" s="977">
        <f>D8/E8-1</f>
        <v/>
      </c>
      <c r="G8" s="976">
        <f>INDEX('FS_Y (OLD)'!11:11,0,MATCH(vs_BBG!G$6,'FS_Y (OLD)'!1:1,0))</f>
        <v/>
      </c>
      <c r="H8" s="918" t="n">
        <v>81168.2</v>
      </c>
      <c r="I8" s="977">
        <f>G8/H8-1</f>
        <v/>
      </c>
      <c r="J8" s="976">
        <f>INDEX('FS_Y (OLD)'!11:11,0,MATCH(vs_BBG!J$6,'FS_Y (OLD)'!1:1,0))</f>
        <v/>
      </c>
      <c r="K8" s="918" t="n">
        <v>86232.75</v>
      </c>
      <c r="L8" s="890">
        <f>J8/K8-1</f>
        <v/>
      </c>
    </row>
    <row r="9">
      <c r="B9" t="inlineStr">
        <is>
          <t>EBITDA</t>
        </is>
      </c>
      <c r="C9" s="975">
        <f>INDEX('FS_Y (OLD)'!154:154,0,MATCH(vs_BBG!C$6,'FS_Y (OLD)'!1:1,0))</f>
        <v/>
      </c>
      <c r="D9" s="976">
        <f>INDEX('FS_Y (OLD)'!154:154,0,MATCH(vs_BBG!D$6,'FS_Y (OLD)'!1:1,0))</f>
        <v/>
      </c>
      <c r="E9" s="918" t="n">
        <v>6344.75</v>
      </c>
      <c r="F9" s="977">
        <f>D9/E9-1</f>
        <v/>
      </c>
      <c r="G9" s="976">
        <f>INDEX('FS_Y (OLD)'!154:154,0,MATCH(vs_BBG!G$6,'FS_Y (OLD)'!1:1,0))</f>
        <v/>
      </c>
      <c r="H9" s="918" t="n">
        <v>6717.125</v>
      </c>
      <c r="I9" s="977">
        <f>G9/H9-1</f>
        <v/>
      </c>
      <c r="J9" s="976">
        <f>INDEX('FS_Y (OLD)'!154:154,0,MATCH(vs_BBG!J$6,'FS_Y (OLD)'!1:1,0))</f>
        <v/>
      </c>
      <c r="K9" s="918" t="n">
        <v>7050.167</v>
      </c>
      <c r="L9" s="890">
        <f>J9/K9-1</f>
        <v/>
      </c>
    </row>
    <row r="10">
      <c r="B10" t="inlineStr">
        <is>
          <t>EBIT</t>
        </is>
      </c>
      <c r="C10" s="975">
        <f>INDEX('FS_Y (OLD)'!18:18,0,MATCH(vs_BBG!C$6,'FS_Y (OLD)'!1:1,0))</f>
        <v/>
      </c>
      <c r="D10" s="976">
        <f>INDEX('FS_Y (OLD)'!18:18,0,MATCH(vs_BBG!D$6,'FS_Y (OLD)'!1:1,0))</f>
        <v/>
      </c>
      <c r="E10" s="918" t="n">
        <v>4708</v>
      </c>
      <c r="F10" s="977">
        <f>D10/E10-1</f>
        <v/>
      </c>
      <c r="G10" s="976">
        <f>INDEX('FS_Y (OLD)'!18:18,0,MATCH(vs_BBG!G$6,'FS_Y (OLD)'!1:1,0))</f>
        <v/>
      </c>
      <c r="H10" s="918" t="n">
        <v>4979.143</v>
      </c>
      <c r="I10" s="977">
        <f>G10/H10-1</f>
        <v/>
      </c>
      <c r="J10" s="976">
        <f>INDEX('FS_Y (OLD)'!18:18,0,MATCH(vs_BBG!J$6,'FS_Y (OLD)'!1:1,0))</f>
        <v/>
      </c>
      <c r="K10" s="918" t="n">
        <v>5577</v>
      </c>
      <c r="L10" s="890">
        <f>J10/K10-1</f>
        <v/>
      </c>
    </row>
    <row r="11">
      <c r="B11" t="inlineStr">
        <is>
          <t>Net Income</t>
        </is>
      </c>
      <c r="C11" s="975">
        <f>INDEX('FS_Y (OLD)'!26:26,0,MATCH(vs_BBG!C$6,'FS_Y (OLD)'!1:1,0))</f>
        <v/>
      </c>
      <c r="D11" s="976">
        <f>INDEX('FS_Y (OLD)'!26:26,0,MATCH(vs_BBG!D$6,'FS_Y (OLD)'!1:1,0))</f>
        <v/>
      </c>
      <c r="E11" s="918" t="n">
        <v>2428.182</v>
      </c>
      <c r="F11" s="977">
        <f>D11/E11-1</f>
        <v/>
      </c>
      <c r="G11" s="976">
        <f>INDEX('FS_Y (OLD)'!26:26,0,MATCH(vs_BBG!G$6,'FS_Y (OLD)'!1:1,0))</f>
        <v/>
      </c>
      <c r="H11" s="918" t="n">
        <v>2656.182</v>
      </c>
      <c r="I11" s="977">
        <f>G11/H11-1</f>
        <v/>
      </c>
      <c r="J11" s="976">
        <f>INDEX('FS_Y (OLD)'!26:26,0,MATCH(vs_BBG!J$6,'FS_Y (OLD)'!1:1,0))</f>
        <v/>
      </c>
      <c r="K11" s="918" t="n">
        <v>2910.125</v>
      </c>
      <c r="L11" s="890">
        <f>J11/K11-1</f>
        <v/>
      </c>
    </row>
    <row r="12">
      <c r="B12" s="181" t="inlineStr">
        <is>
          <t>EBIT Margin</t>
        </is>
      </c>
      <c r="C12" s="978">
        <f>C10/C8</f>
        <v/>
      </c>
      <c r="D12" s="978">
        <f>D10/D8</f>
        <v/>
      </c>
      <c r="E12" s="979">
        <f>E10/E8</f>
        <v/>
      </c>
      <c r="F12" s="980">
        <f>(D12-E12)*10000</f>
        <v/>
      </c>
      <c r="G12" s="978">
        <f>G10/G8</f>
        <v/>
      </c>
      <c r="H12" s="979">
        <f>H10/H8</f>
        <v/>
      </c>
      <c r="I12" s="980">
        <f>(G12-H12)*10000</f>
        <v/>
      </c>
      <c r="J12" s="978">
        <f>J10/J8</f>
        <v/>
      </c>
      <c r="K12" s="979">
        <f>K10/K8</f>
        <v/>
      </c>
      <c r="L12" s="981">
        <f>(J12-K12)*10000</f>
        <v/>
      </c>
    </row>
    <row r="13">
      <c r="B13" s="176" t="inlineStr">
        <is>
          <t>Net Margin</t>
        </is>
      </c>
      <c r="C13" s="982">
        <f>C11/C8</f>
        <v/>
      </c>
      <c r="D13" s="982">
        <f>D11/D8</f>
        <v/>
      </c>
      <c r="E13" s="983">
        <f>E11/E8</f>
        <v/>
      </c>
      <c r="F13" s="984">
        <f>(D13-E13)*10000</f>
        <v/>
      </c>
      <c r="G13" s="982">
        <f>G11/G8</f>
        <v/>
      </c>
      <c r="H13" s="983">
        <f>H11/H8</f>
        <v/>
      </c>
      <c r="I13" s="984">
        <f>(G13-H13)*10000</f>
        <v/>
      </c>
      <c r="J13" s="982">
        <f>J11/J8</f>
        <v/>
      </c>
      <c r="K13" s="983">
        <f>K11/K8</f>
        <v/>
      </c>
      <c r="L13" s="985">
        <f>(J13-K13)*10000</f>
        <v/>
      </c>
    </row>
    <row r="14">
      <c r="B14" t="inlineStr">
        <is>
          <t>EPS (HKD)</t>
        </is>
      </c>
      <c r="C14" s="261">
        <f>INDEX('FS_Y (OLD)'!29:29,0,MATCH(vs_BBG!C$6,'FS_Y (OLD)'!1:1,0))</f>
        <v/>
      </c>
      <c r="D14" s="259">
        <f>INDEX('FS_Y (OLD)'!29:29,0,MATCH(vs_BBG!D$6,'FS_Y (OLD)'!1:1,0))</f>
        <v/>
      </c>
      <c r="E14" s="48" t="n">
        <v>0.224</v>
      </c>
      <c r="F14" s="977">
        <f>D14/E14-1</f>
        <v/>
      </c>
      <c r="G14" s="259">
        <f>INDEX('FS_Y (OLD)'!29:29,0,MATCH(vs_BBG!G$6,'FS_Y (OLD)'!1:1,0))</f>
        <v/>
      </c>
      <c r="H14" s="48" t="n">
        <v>0.254</v>
      </c>
      <c r="I14" s="977">
        <f>G14/H14-1</f>
        <v/>
      </c>
      <c r="J14" s="259">
        <f>INDEX('FS_Y (OLD)'!29:29,0,MATCH(vs_BBG!J$6,'FS_Y (OLD)'!1:1,0))</f>
        <v/>
      </c>
      <c r="K14" s="48" t="n">
        <v>0.28</v>
      </c>
      <c r="L14" s="890">
        <f>J14/K14-1</f>
        <v/>
      </c>
    </row>
    <row r="15">
      <c r="B15" t="inlineStr">
        <is>
          <t>BVPS (HKD)</t>
        </is>
      </c>
      <c r="C15" s="261">
        <f>INDEX('FS_Y (OLD)'!96:96,0,MATCH(vs_BBG!C$6,'FS_Y (OLD)'!1:1,0))</f>
        <v/>
      </c>
      <c r="D15" s="259">
        <f>INDEX('FS_Y (OLD)'!96:96,0,MATCH(vs_BBG!D$6,'FS_Y (OLD)'!1:1,0))</f>
        <v/>
      </c>
      <c r="E15" s="48" t="n">
        <v>3.312</v>
      </c>
      <c r="F15" s="977">
        <f>D15/E15-1</f>
        <v/>
      </c>
      <c r="G15" s="259">
        <f>INDEX('FS_Y (OLD)'!96:96,0,MATCH(vs_BBG!G$6,'FS_Y (OLD)'!1:1,0))</f>
        <v/>
      </c>
      <c r="H15" s="48" t="n">
        <v>3.679</v>
      </c>
      <c r="I15" s="977">
        <f>G15/H15-1</f>
        <v/>
      </c>
      <c r="J15" s="259">
        <f>INDEX('FS_Y (OLD)'!96:96,0,MATCH(vs_BBG!J$6,'FS_Y (OLD)'!1:1,0))</f>
        <v/>
      </c>
      <c r="K15" s="48" t="n">
        <v>3.841</v>
      </c>
      <c r="L15" s="890">
        <f>J15/K15-1</f>
        <v/>
      </c>
    </row>
    <row r="16">
      <c r="B16" s="176" t="inlineStr">
        <is>
          <t>RoE</t>
        </is>
      </c>
      <c r="C16" s="986">
        <f>INDEX('FS_Y (OLD)'!201:201,0,MATCH(vs_BBG!C$6,'FS_Y (OLD)'!1:1,0))</f>
        <v/>
      </c>
      <c r="D16" s="987">
        <f>INDEX('FS_Y (OLD)'!201:201,0,MATCH(vs_BBG!D$6,'FS_Y (OLD)'!1:1,0))</f>
        <v/>
      </c>
      <c r="E16" s="988" t="n">
        <v>0.07088</v>
      </c>
      <c r="F16" s="984">
        <f>(D16-E16)*10000</f>
        <v/>
      </c>
      <c r="G16" s="987">
        <f>INDEX('FS_Y (OLD)'!201:201,0,MATCH(vs_BBG!G$6,'FS_Y (OLD)'!1:1,0))</f>
        <v/>
      </c>
      <c r="H16" s="988" t="n">
        <v>0.07295</v>
      </c>
      <c r="I16" s="984">
        <f>(G16-H16)*10000</f>
        <v/>
      </c>
      <c r="J16" s="987">
        <f>INDEX('FS_Y (OLD)'!201:201,0,MATCH(vs_BBG!J$6,'FS_Y (OLD)'!1:1,0))</f>
        <v/>
      </c>
      <c r="K16" s="988" t="n">
        <v>0.0694</v>
      </c>
      <c r="L16" s="985">
        <f>(J16-K16)*10000</f>
        <v/>
      </c>
    </row>
    <row r="18">
      <c r="B18" s="21" t="inlineStr">
        <is>
          <t>Y/Y Growth</t>
        </is>
      </c>
    </row>
    <row r="19" ht="16" customHeight="1">
      <c r="B19" s="245" t="n"/>
      <c r="C19" s="253" t="n"/>
      <c r="D19" s="251" t="n">
        <v>2013</v>
      </c>
      <c r="E19" s="250" t="n"/>
      <c r="F19" s="252" t="n"/>
      <c r="G19" s="250">
        <f>+D19+1</f>
        <v/>
      </c>
      <c r="H19" s="250" t="n"/>
      <c r="I19" s="252" t="n"/>
      <c r="J19" s="250">
        <f>+G19+1</f>
        <v/>
      </c>
      <c r="K19" s="250" t="n"/>
      <c r="L19" s="252" t="n"/>
      <c r="M19" s="251">
        <f>C6&amp;" - "&amp;J6&amp;" CAGR"</f>
        <v/>
      </c>
      <c r="N19" s="250" t="n"/>
      <c r="O19" s="250" t="n"/>
    </row>
    <row r="20">
      <c r="B20" s="233" t="n"/>
      <c r="C20" s="249" t="n"/>
      <c r="D20" s="247" t="inlineStr">
        <is>
          <t>SCB</t>
        </is>
      </c>
      <c r="E20" s="246" t="inlineStr">
        <is>
          <t>BBG</t>
        </is>
      </c>
      <c r="F20" s="248" t="inlineStr">
        <is>
          <t>Delta</t>
        </is>
      </c>
      <c r="G20" s="247" t="inlineStr">
        <is>
          <t>SCB</t>
        </is>
      </c>
      <c r="H20" s="246" t="inlineStr">
        <is>
          <t>BBG</t>
        </is>
      </c>
      <c r="I20" s="248" t="inlineStr">
        <is>
          <t>Delta</t>
        </is>
      </c>
      <c r="J20" s="247" t="inlineStr">
        <is>
          <t>SCB</t>
        </is>
      </c>
      <c r="K20" s="246" t="inlineStr">
        <is>
          <t>BBG</t>
        </is>
      </c>
      <c r="L20" s="248" t="inlineStr">
        <is>
          <t>Delta</t>
        </is>
      </c>
      <c r="M20" s="247" t="inlineStr">
        <is>
          <t>SCB</t>
        </is>
      </c>
      <c r="N20" s="246" t="inlineStr">
        <is>
          <t>BBG</t>
        </is>
      </c>
      <c r="O20" s="246" t="inlineStr">
        <is>
          <t>Delta</t>
        </is>
      </c>
    </row>
    <row r="21">
      <c r="B21" s="245" t="inlineStr">
        <is>
          <t>Sales</t>
        </is>
      </c>
      <c r="C21" s="989" t="n"/>
      <c r="D21" s="990">
        <f>D8/C8-1</f>
        <v/>
      </c>
      <c r="E21" s="991">
        <f>E8/C8-1</f>
        <v/>
      </c>
      <c r="F21" s="992">
        <f>(D21-E21)*10000</f>
        <v/>
      </c>
      <c r="G21" s="990">
        <f>G8/D8-1</f>
        <v/>
      </c>
      <c r="H21" s="991">
        <f>H8/E8-1</f>
        <v/>
      </c>
      <c r="I21" s="992">
        <f>(G21-H21)*10000</f>
        <v/>
      </c>
      <c r="J21" s="990">
        <f>J8/G8-1</f>
        <v/>
      </c>
      <c r="K21" s="991">
        <f>K8/H8-1</f>
        <v/>
      </c>
      <c r="L21" s="992">
        <f>(J21-K21)*10000</f>
        <v/>
      </c>
      <c r="M21" s="990">
        <f>(J8/C8)^(1/3)-1</f>
        <v/>
      </c>
      <c r="N21" s="991">
        <f>(K8/C8)^(1/3)-1</f>
        <v/>
      </c>
      <c r="O21" s="993">
        <f>(M21-N21)*10000</f>
        <v/>
      </c>
    </row>
    <row r="22">
      <c r="B22" s="20" t="inlineStr">
        <is>
          <t>EBITDA</t>
        </is>
      </c>
      <c r="C22" s="994" t="n"/>
      <c r="D22" s="995">
        <f>D9/C9-1</f>
        <v/>
      </c>
      <c r="E22" s="996">
        <f>E9/C9-1</f>
        <v/>
      </c>
      <c r="F22" s="997">
        <f>(D22-E22)*10000</f>
        <v/>
      </c>
      <c r="G22" s="995">
        <f>G9/D9-1</f>
        <v/>
      </c>
      <c r="H22" s="996">
        <f>H9/E9-1</f>
        <v/>
      </c>
      <c r="I22" s="997">
        <f>(G22-H22)*10000</f>
        <v/>
      </c>
      <c r="J22" s="995">
        <f>J9/G9-1</f>
        <v/>
      </c>
      <c r="K22" s="996">
        <f>K9/H9-1</f>
        <v/>
      </c>
      <c r="L22" s="997">
        <f>(J22-K22)*10000</f>
        <v/>
      </c>
      <c r="M22" s="995">
        <f>(J9/C9)^(1/3)-1</f>
        <v/>
      </c>
      <c r="N22" s="996">
        <f>(K9/C9)^(1/3)-1</f>
        <v/>
      </c>
      <c r="O22" s="998">
        <f>(M22-N22)*10000</f>
        <v/>
      </c>
    </row>
    <row r="23">
      <c r="B23" s="20" t="inlineStr">
        <is>
          <t>EBIT</t>
        </is>
      </c>
      <c r="C23" s="994" t="n"/>
      <c r="D23" s="995">
        <f>D10/C10-1</f>
        <v/>
      </c>
      <c r="E23" s="996">
        <f>E10/C10-1</f>
        <v/>
      </c>
      <c r="F23" s="997">
        <f>(D23-E23)*10000</f>
        <v/>
      </c>
      <c r="G23" s="995">
        <f>G10/D10-1</f>
        <v/>
      </c>
      <c r="H23" s="996">
        <f>H10/E10-1</f>
        <v/>
      </c>
      <c r="I23" s="997">
        <f>(G23-H23)*10000</f>
        <v/>
      </c>
      <c r="J23" s="995">
        <f>J10/G10-1</f>
        <v/>
      </c>
      <c r="K23" s="996">
        <f>K10/H10-1</f>
        <v/>
      </c>
      <c r="L23" s="997">
        <f>(J23-K23)*10000</f>
        <v/>
      </c>
      <c r="M23" s="995">
        <f>(J10/C10)^(1/3)-1</f>
        <v/>
      </c>
      <c r="N23" s="996">
        <f>(K10/C10)^(1/3)-1</f>
        <v/>
      </c>
      <c r="O23" s="998">
        <f>(M23-N23)*10000</f>
        <v/>
      </c>
    </row>
    <row r="24">
      <c r="B24" s="20" t="inlineStr">
        <is>
          <t>Net Income</t>
        </is>
      </c>
      <c r="C24" s="994" t="n"/>
      <c r="D24" s="995">
        <f>D11/C11-1</f>
        <v/>
      </c>
      <c r="E24" s="996">
        <f>E11/C11-1</f>
        <v/>
      </c>
      <c r="F24" s="997">
        <f>(D24-E24)*10000</f>
        <v/>
      </c>
      <c r="G24" s="995">
        <f>G11/D11-1</f>
        <v/>
      </c>
      <c r="H24" s="996">
        <f>H11/E11-1</f>
        <v/>
      </c>
      <c r="I24" s="997">
        <f>(G24-H24)*10000</f>
        <v/>
      </c>
      <c r="J24" s="995">
        <f>J11/G11-1</f>
        <v/>
      </c>
      <c r="K24" s="996">
        <f>K11/H11-1</f>
        <v/>
      </c>
      <c r="L24" s="997">
        <f>(J24-K24)*10000</f>
        <v/>
      </c>
      <c r="M24" s="995">
        <f>(J11/C11)^(1/3)-1</f>
        <v/>
      </c>
      <c r="N24" s="996">
        <f>(K11/C11)^(1/3)-1</f>
        <v/>
      </c>
      <c r="O24" s="998">
        <f>(M24-N24)*10000</f>
        <v/>
      </c>
    </row>
    <row r="25">
      <c r="B25" s="20" t="inlineStr">
        <is>
          <t>EPS (HKD)</t>
        </is>
      </c>
      <c r="C25" s="238" t="n"/>
      <c r="D25" s="995">
        <f>D14/C14-1</f>
        <v/>
      </c>
      <c r="E25" s="996">
        <f>E14/C14-1</f>
        <v/>
      </c>
      <c r="F25" s="997">
        <f>(D25-E25)*10000</f>
        <v/>
      </c>
      <c r="G25" s="995">
        <f>G14/D14-1</f>
        <v/>
      </c>
      <c r="H25" s="996">
        <f>H14/E14-1</f>
        <v/>
      </c>
      <c r="I25" s="997">
        <f>(G25-H25)*10000</f>
        <v/>
      </c>
      <c r="J25" s="995">
        <f>J14/G14-1</f>
        <v/>
      </c>
      <c r="K25" s="996">
        <f>K14/H14-1</f>
        <v/>
      </c>
      <c r="L25" s="997">
        <f>(J25-K25)*10000</f>
        <v/>
      </c>
      <c r="M25" s="995">
        <f>(J14/C14)^(1/3)-1</f>
        <v/>
      </c>
      <c r="N25" s="996">
        <f>(K14/C14)^(1/3)-1</f>
        <v/>
      </c>
      <c r="O25" s="998">
        <f>(M25-N25)*10000</f>
        <v/>
      </c>
    </row>
    <row r="26">
      <c r="B26" s="233" t="inlineStr">
        <is>
          <t>BVPS (HKD)</t>
        </is>
      </c>
      <c r="C26" s="232" t="n"/>
      <c r="D26" s="999">
        <f>D15/C15-1</f>
        <v/>
      </c>
      <c r="E26" s="1000">
        <f>E15/C15-1</f>
        <v/>
      </c>
      <c r="F26" s="1001">
        <f>(D26-E26)*10000</f>
        <v/>
      </c>
      <c r="G26" s="999">
        <f>G15/D15-1</f>
        <v/>
      </c>
      <c r="H26" s="1000">
        <f>H15/E15-1</f>
        <v/>
      </c>
      <c r="I26" s="1001">
        <f>(G26-H26)*10000</f>
        <v/>
      </c>
      <c r="J26" s="999">
        <f>J15/G15-1</f>
        <v/>
      </c>
      <c r="K26" s="1000">
        <f>K15/H15-1</f>
        <v/>
      </c>
      <c r="L26" s="1001">
        <f>(J26-K26)*10000</f>
        <v/>
      </c>
      <c r="M26" s="999">
        <f>(J15/C15)^(1/3)-1</f>
        <v/>
      </c>
      <c r="N26" s="1000">
        <f>(K15/C15)^(1/3)-1</f>
        <v/>
      </c>
      <c r="O26" s="1002">
        <f>(M26-N26)*10000</f>
        <v/>
      </c>
    </row>
  </sheetData>
  <pageMargins left="0.7" right="0.7" top="0.75" bottom="0.75" header="0.3" footer="0.3"/>
  <pageSetup orientation="portrait" paperSize="9" horizontalDpi="300" verticalDpi="300"/>
</worksheet>
</file>

<file path=xl/worksheets/sheet18.xml><?xml version="1.0" encoding="utf-8"?>
<worksheet xmlns="http://schemas.openxmlformats.org/spreadsheetml/2006/main">
  <sheetPr codeName="Sheet13">
    <tabColor theme="1"/>
    <outlinePr summaryBelow="1" summaryRight="1"/>
    <pageSetUpPr fitToPage="1"/>
  </sheetPr>
  <dimension ref="A1:U70"/>
  <sheetViews>
    <sheetView workbookViewId="0">
      <selection activeCell="A1" sqref="A1"/>
    </sheetView>
  </sheetViews>
  <sheetFormatPr baseColWidth="10" defaultColWidth="8.83203125" defaultRowHeight="13" outlineLevelRow="1"/>
  <cols>
    <col width="25.6640625" customWidth="1" style="20" min="1" max="1"/>
    <col hidden="1" outlineLevel="1" width="8.33203125" customWidth="1" style="20" min="2" max="2"/>
    <col collapsed="1" width="9.6640625" customWidth="1" style="20" min="3" max="3"/>
    <col width="9.6640625" customWidth="1" style="20" min="4" max="7"/>
    <col width="2.6640625" customWidth="1" style="20" min="8" max="8"/>
    <col width="14.5" customWidth="1" style="56" min="9" max="9"/>
    <col width="8.6640625" customWidth="1" style="20" min="10" max="21"/>
    <col width="9.33203125" customWidth="1" style="20" min="22" max="16351"/>
  </cols>
  <sheetData>
    <row r="1" customFormat="1" s="20">
      <c r="A1" s="21">
        <f>Summary!$B$5</f>
        <v/>
      </c>
      <c r="B1" s="21" t="n"/>
      <c r="I1" s="56" t="n"/>
    </row>
    <row r="2" customFormat="1" s="20">
      <c r="A2" s="20" t="inlineStr">
        <is>
          <t>Tables for earnings &amp; revisions</t>
        </is>
      </c>
      <c r="I2" s="56" t="n"/>
    </row>
    <row r="3" customFormat="1" s="20">
      <c r="I3" s="56" t="n"/>
    </row>
    <row r="4" ht="14" customFormat="1" customHeight="1" s="20" thickBot="1">
      <c r="I4" s="56" t="n"/>
    </row>
    <row r="5" ht="14" customFormat="1" customHeight="1" s="20" thickBot="1">
      <c r="A5" s="308" t="inlineStr">
        <is>
          <t>Half-year Earnings</t>
        </is>
      </c>
      <c r="B5" s="308" t="n"/>
      <c r="E5" s="307" t="inlineStr">
        <is>
          <t>Base</t>
        </is>
      </c>
      <c r="F5" s="306" t="inlineStr">
        <is>
          <t>2H14</t>
        </is>
      </c>
      <c r="I5" s="313" t="inlineStr">
        <is>
          <t>Changes to Estimates</t>
        </is>
      </c>
      <c r="J5" s="308" t="n"/>
      <c r="K5" s="308" t="n"/>
      <c r="L5" s="308" t="n"/>
      <c r="O5" s="307" t="inlineStr">
        <is>
          <t>Base</t>
        </is>
      </c>
      <c r="P5" s="315" t="n"/>
      <c r="Q5" s="306" t="n">
        <v>2015</v>
      </c>
    </row>
    <row r="6">
      <c r="I6" s="316" t="n"/>
      <c r="J6" s="169" t="n"/>
      <c r="K6" s="169" t="n"/>
      <c r="L6" s="169" t="n"/>
      <c r="Q6" s="317" t="n"/>
    </row>
    <row r="7" outlineLevel="1">
      <c r="J7" s="331">
        <f>+B12</f>
        <v/>
      </c>
      <c r="K7" s="331">
        <f>+J7</f>
        <v/>
      </c>
      <c r="L7" s="331">
        <f>+K7</f>
        <v/>
      </c>
      <c r="M7" s="331">
        <f>+L7</f>
        <v/>
      </c>
      <c r="N7" s="331">
        <f>+B14</f>
        <v/>
      </c>
      <c r="O7" s="331">
        <f>+N7</f>
        <v/>
      </c>
      <c r="P7" s="331">
        <f>+O7</f>
        <v/>
      </c>
      <c r="Q7" s="331">
        <f>+P7</f>
        <v/>
      </c>
      <c r="R7" s="331">
        <f>+B17</f>
        <v/>
      </c>
      <c r="S7" s="331">
        <f>+R7</f>
        <v/>
      </c>
      <c r="T7" s="331">
        <f>+S7</f>
        <v/>
      </c>
      <c r="U7" s="331">
        <f>+T7</f>
        <v/>
      </c>
    </row>
    <row r="8" ht="16" customHeight="1">
      <c r="I8" s="311" t="inlineStr">
        <is>
          <t>(RMB</t>
        </is>
      </c>
      <c r="J8" s="318" t="inlineStr">
        <is>
          <t>Revenue</t>
        </is>
      </c>
      <c r="K8" s="319" t="n"/>
      <c r="L8" s="319" t="n"/>
      <c r="M8" s="320" t="n"/>
      <c r="N8" s="319" t="inlineStr">
        <is>
          <t>EBIT</t>
        </is>
      </c>
      <c r="O8" s="319" t="n"/>
      <c r="P8" s="319" t="n"/>
      <c r="Q8" s="320" t="n"/>
      <c r="R8" s="319" t="inlineStr">
        <is>
          <t>EPS (HKD)</t>
        </is>
      </c>
      <c r="S8" s="321" t="n"/>
      <c r="T8" s="321" t="n"/>
      <c r="U8" s="321" t="n"/>
    </row>
    <row r="9" customFormat="1" s="20">
      <c r="A9" s="305" t="inlineStr">
        <is>
          <t>RMB in Millions</t>
        </is>
      </c>
      <c r="B9" s="305" t="n"/>
      <c r="C9" s="304">
        <f>INDEX(FS_H!5:5,C10)</f>
        <v/>
      </c>
      <c r="D9" s="302">
        <f>INDEX(FS_H!5:5,D10)</f>
        <v/>
      </c>
      <c r="E9" s="303">
        <f>INDEX(FS_H!5:5,E10)</f>
        <v/>
      </c>
      <c r="F9" s="302" t="inlineStr">
        <is>
          <t>Y/Y</t>
        </is>
      </c>
      <c r="G9" s="302" t="inlineStr">
        <is>
          <t>Q/Q</t>
        </is>
      </c>
      <c r="I9" s="311" t="inlineStr">
        <is>
          <t>in millions)</t>
        </is>
      </c>
      <c r="J9" s="322">
        <f>INDEX('FS_Y (OLD)'!$5:$5,J10)</f>
        <v/>
      </c>
      <c r="K9" s="323">
        <f>INDEX('FS_Y (OLD)'!$5:$5,K10)</f>
        <v/>
      </c>
      <c r="L9" s="323">
        <f>INDEX('FS_Y (OLD)'!$5:$5,L10)</f>
        <v/>
      </c>
      <c r="M9" s="324">
        <f>INDEX('FS_Y (OLD)'!$5:$5,M10)</f>
        <v/>
      </c>
      <c r="N9" s="323">
        <f>INDEX('FS_Y (OLD)'!$5:$5,N10)</f>
        <v/>
      </c>
      <c r="O9" s="323">
        <f>INDEX('FS_Y (OLD)'!$5:$5,O10)</f>
        <v/>
      </c>
      <c r="P9" s="323">
        <f>INDEX('FS_Y (OLD)'!$5:$5,P10)</f>
        <v/>
      </c>
      <c r="Q9" s="324">
        <f>INDEX('FS_Y (OLD)'!$5:$5,Q10)</f>
        <v/>
      </c>
      <c r="R9" s="323">
        <f>INDEX('FS_Y (OLD)'!$5:$5,R10)</f>
        <v/>
      </c>
      <c r="S9" s="323">
        <f>INDEX('FS_Y (OLD)'!$5:$5,S10)</f>
        <v/>
      </c>
      <c r="T9" s="323">
        <f>INDEX('FS_Y (OLD)'!$5:$5,T10)</f>
        <v/>
      </c>
      <c r="U9" s="323">
        <f>INDEX('FS_Y (OLD)'!$5:$5,U10)</f>
        <v/>
      </c>
    </row>
    <row r="10" hidden="1" outlineLevel="1" customFormat="1" s="20">
      <c r="C10" s="301">
        <f>+E10-4</f>
        <v/>
      </c>
      <c r="D10" s="67">
        <f>+E10-1</f>
        <v/>
      </c>
      <c r="E10" s="300">
        <f>MATCH(F5,FS_H!3:3,0)</f>
        <v/>
      </c>
      <c r="I10" s="56" t="n"/>
      <c r="J10" s="20">
        <f>MATCH(Q5,'FS_Y (OLD)'!$1:$1,0)</f>
        <v/>
      </c>
      <c r="K10" s="20">
        <f>+J10+1</f>
        <v/>
      </c>
      <c r="L10" s="20">
        <f>+K10+1</f>
        <v/>
      </c>
      <c r="M10" s="312">
        <f>+L10+1</f>
        <v/>
      </c>
      <c r="N10" s="20">
        <f>+J10</f>
        <v/>
      </c>
      <c r="O10" s="20">
        <f>+N10+1</f>
        <v/>
      </c>
      <c r="P10" s="20">
        <f>+O10+1</f>
        <v/>
      </c>
      <c r="Q10" s="312">
        <f>+P10+1</f>
        <v/>
      </c>
      <c r="R10" s="20">
        <f>+N10</f>
        <v/>
      </c>
      <c r="S10" s="20">
        <f>+R10+1</f>
        <v/>
      </c>
      <c r="T10" s="20">
        <f>+S10+1</f>
        <v/>
      </c>
      <c r="U10" s="20">
        <f>+T10+1</f>
        <v/>
      </c>
    </row>
    <row r="11" collapsed="1" customFormat="1" s="20">
      <c r="A11" s="294" t="inlineStr">
        <is>
          <t>Income Statement</t>
        </is>
      </c>
      <c r="B11" s="291" t="n"/>
      <c r="C11" s="293" t="n"/>
      <c r="D11" s="291" t="n"/>
      <c r="E11" s="292" t="n"/>
      <c r="F11" s="291" t="n"/>
      <c r="G11" s="291" t="n"/>
      <c r="I11" s="325" t="inlineStr">
        <is>
          <t>Bernstein - New</t>
        </is>
      </c>
      <c r="J11" s="326">
        <f>INDEX('FS_Y (OLD)'!$1:$1048576,J$7,J$10)</f>
        <v/>
      </c>
      <c r="K11" s="326">
        <f>INDEX('FS_Y (OLD)'!$1:$1048576,K$7,K$10)</f>
        <v/>
      </c>
      <c r="L11" s="326">
        <f>INDEX('FS_Y (OLD)'!$1:$1048576,L$7,L$10)</f>
        <v/>
      </c>
      <c r="M11" s="327">
        <f>INDEX('FS_Y (OLD)'!$1:$1048576,M$7,M$10)</f>
        <v/>
      </c>
      <c r="N11" s="326">
        <f>INDEX('FS_Y (OLD)'!$1:$1048576,N$7,N$10)</f>
        <v/>
      </c>
      <c r="O11" s="326">
        <f>INDEX('FS_Y (OLD)'!$1:$1048576,O$7,O$10)</f>
        <v/>
      </c>
      <c r="P11" s="326">
        <f>INDEX('FS_Y (OLD)'!$1:$1048576,P$7,P$10)</f>
        <v/>
      </c>
      <c r="Q11" s="327">
        <f>INDEX('FS_Y (OLD)'!$1:$1048576,Q$7,Q$10)</f>
        <v/>
      </c>
      <c r="R11" s="330">
        <f>INDEX('FS_Y (OLD)'!$1:$1048576,R$7,R$10)</f>
        <v/>
      </c>
      <c r="S11" s="330">
        <f>INDEX('FS_Y (OLD)'!$1:$1048576,S$7,S$10)</f>
        <v/>
      </c>
      <c r="T11" s="330">
        <f>INDEX('FS_Y (OLD)'!$1:$1048576,T$7,T$10)</f>
        <v/>
      </c>
      <c r="U11" s="330">
        <f>INDEX('FS_Y (OLD)'!$1:$1048576,U$7,U$10)</f>
        <v/>
      </c>
    </row>
    <row r="12" customFormat="1" s="20">
      <c r="A12" s="20" t="inlineStr">
        <is>
          <t>Sales</t>
        </is>
      </c>
      <c r="B12" s="290" t="n">
        <v>11</v>
      </c>
      <c r="C12" s="297">
        <f>(INDEX(FS_H!$1:$1048576,$B12,C$10))</f>
        <v/>
      </c>
      <c r="D12" s="64">
        <f>(INDEX(FS_H!$1:$1048576,$B12,D$10))</f>
        <v/>
      </c>
      <c r="E12" s="296">
        <f>(INDEX(FS_H!$1:$1048576,$B12,E$10))</f>
        <v/>
      </c>
      <c r="F12" s="894">
        <f>IF(AND(E12&gt;0,C12&gt;0),E12/C12-1,"n.a.")</f>
        <v/>
      </c>
      <c r="G12" s="894">
        <f>IF(AND(E12&gt;0,D12&gt;0),E12/D12-1,"n.a.")</f>
        <v/>
      </c>
      <c r="I12" s="376" t="inlineStr">
        <is>
          <t>Bernstein - Old</t>
        </is>
      </c>
      <c r="J12" s="50" t="n">
        <v>82127.43234226422</v>
      </c>
      <c r="K12" s="50" t="n">
        <v>87882.51603392894</v>
      </c>
      <c r="L12" s="50" t="n">
        <v>94134.33332938922</v>
      </c>
      <c r="M12" s="377" t="n">
        <v>99773.5986995116</v>
      </c>
      <c r="N12" s="50" t="n">
        <v>5339.784917571675</v>
      </c>
      <c r="O12" s="50" t="n">
        <v>6363.206524102869</v>
      </c>
      <c r="P12" s="50" t="n">
        <v>7581.968381998766</v>
      </c>
      <c r="Q12" s="377" t="n">
        <v>8445.217930843248</v>
      </c>
      <c r="R12" s="48" t="n">
        <v>0.2815199960468064</v>
      </c>
      <c r="S12" s="48" t="n">
        <v>0.3597625883183318</v>
      </c>
      <c r="T12" s="48" t="n">
        <v>0.4311747993113809</v>
      </c>
      <c r="U12" s="48" t="n">
        <v>0.4803498875779407</v>
      </c>
    </row>
    <row r="13" customFormat="1" s="20">
      <c r="A13" s="20" t="inlineStr">
        <is>
          <t>Gross Profit</t>
        </is>
      </c>
      <c r="B13" s="290" t="n">
        <v>13</v>
      </c>
      <c r="C13" s="297">
        <f>(INDEX(FS_H!$1:$1048576,$B13,C$10))</f>
        <v/>
      </c>
      <c r="D13" s="64">
        <f>(INDEX(FS_H!$1:$1048576,$B13,D$10))</f>
        <v/>
      </c>
      <c r="E13" s="296">
        <f>(INDEX(FS_H!$1:$1048576,$B13,E$10))</f>
        <v/>
      </c>
      <c r="F13" s="894">
        <f>IF(AND(E13&gt;0,C13&gt;0),E13/C13-1,"n.a.")</f>
        <v/>
      </c>
      <c r="G13" s="894">
        <f>IF(AND(E13&gt;0,D13&gt;0),E13/D13-1,"n.a.")</f>
        <v/>
      </c>
      <c r="I13" s="329" t="inlineStr">
        <is>
          <t>Change</t>
        </is>
      </c>
      <c r="J13" s="1003">
        <f>IF(AND(J11&gt;0,J12&gt;0),J11/J12-1,"n.a.")</f>
        <v/>
      </c>
      <c r="K13" s="1003">
        <f>IF(AND(K11&gt;0,K12&gt;0),K11/K12-1,"n.a.")</f>
        <v/>
      </c>
      <c r="L13" s="1003">
        <f>IF(AND(L11&gt;0,L12&gt;0),L11/L12-1,"n.a.")</f>
        <v/>
      </c>
      <c r="M13" s="1004">
        <f>IF(AND(M11&gt;0,M12&gt;0),M11/M12-1,"n.a.")</f>
        <v/>
      </c>
      <c r="N13" s="1003">
        <f>IF(AND(N11&gt;0,N12&gt;0),N11/N12-1,"n.a.")</f>
        <v/>
      </c>
      <c r="O13" s="1003">
        <f>IF(AND(O11&gt;0,O12&gt;0),O11/O12-1,"n.a.")</f>
        <v/>
      </c>
      <c r="P13" s="1003">
        <f>IF(AND(P11&gt;0,P12&gt;0),P11/P12-1,"n.a.")</f>
        <v/>
      </c>
      <c r="Q13" s="1004">
        <f>IF(AND(Q11&gt;0,Q12&gt;0),Q11/Q12-1,"n.a.")</f>
        <v/>
      </c>
      <c r="R13" s="1003">
        <f>IF(AND(R11&gt;0,R12&gt;0),R11/R12-1,"n.a.")</f>
        <v/>
      </c>
      <c r="S13" s="1003">
        <f>IF(AND(S11&gt;0,S12&gt;0),S11/S12-1,"n.a.")</f>
        <v/>
      </c>
      <c r="T13" s="1003">
        <f>IF(AND(T11&gt;0,T12&gt;0),T11/T12-1,"n.a.")</f>
        <v/>
      </c>
      <c r="U13" s="1003">
        <f>IF(AND(U11&gt;0,U12&gt;0),U11/U12-1,"n.a.")</f>
        <v/>
      </c>
    </row>
    <row r="14" customFormat="1" s="20">
      <c r="A14" s="20" t="inlineStr">
        <is>
          <t>Operating Profit</t>
        </is>
      </c>
      <c r="B14" s="290" t="n">
        <v>18</v>
      </c>
      <c r="C14" s="297">
        <f>(INDEX(FS_H!$1:$1048576,$B14,C$10))</f>
        <v/>
      </c>
      <c r="D14" s="64">
        <f>(INDEX(FS_H!$1:$1048576,$B14,D$10))</f>
        <v/>
      </c>
      <c r="E14" s="296">
        <f>(INDEX(FS_H!$1:$1048576,$B14,E$10))</f>
        <v/>
      </c>
      <c r="F14" s="894">
        <f>IF(AND(E14&gt;0,C14&gt;0),E14/C14-1,"n.a.")</f>
        <v/>
      </c>
      <c r="G14" s="894">
        <f>IF(AND(E14&gt;0,D14&gt;0),E14/D14-1,"n.a.")</f>
        <v/>
      </c>
      <c r="I14" s="328" t="inlineStr">
        <is>
          <t>Consensus</t>
        </is>
      </c>
      <c r="J14" s="64" t="n">
        <v>77088.90000000001</v>
      </c>
      <c r="K14" s="64" t="n">
        <v>81168.2</v>
      </c>
      <c r="L14" s="64" t="n">
        <v>86232.75</v>
      </c>
      <c r="M14" s="350" t="n">
        <v>84289</v>
      </c>
      <c r="N14" s="64" t="n">
        <v>4708</v>
      </c>
      <c r="O14" s="64" t="n">
        <v>4979.143</v>
      </c>
      <c r="P14" s="64" t="n">
        <v>5577</v>
      </c>
      <c r="Q14" s="350" t="inlineStr">
        <is>
          <t>#N/A N/A</t>
        </is>
      </c>
      <c r="R14" s="70" t="n">
        <v>0.224</v>
      </c>
      <c r="S14" s="70" t="n">
        <v>0.254</v>
      </c>
      <c r="T14" s="70" t="n">
        <v>0.28</v>
      </c>
      <c r="U14" s="352" t="n">
        <v>0.243</v>
      </c>
    </row>
    <row r="15" customFormat="1" s="20">
      <c r="A15" s="20" t="inlineStr">
        <is>
          <t>Pre-tax Profit</t>
        </is>
      </c>
      <c r="B15" s="290" t="n">
        <v>22</v>
      </c>
      <c r="C15" s="297">
        <f>(INDEX(FS_H!$1:$1048576,$B15,C$10))</f>
        <v/>
      </c>
      <c r="D15" s="64">
        <f>(INDEX(FS_H!$1:$1048576,$B15,D$10))</f>
        <v/>
      </c>
      <c r="E15" s="296">
        <f>(INDEX(FS_H!$1:$1048576,$B15,E$10))</f>
        <v/>
      </c>
      <c r="F15" s="894">
        <f>IF(AND(E15&gt;0,C15&gt;0),E15/C15-1,"n.a.")</f>
        <v/>
      </c>
      <c r="G15" s="894">
        <f>IF(AND(E15&gt;0,D15&gt;0),E15/D15-1,"n.a.")</f>
        <v/>
      </c>
      <c r="I15" s="329" t="inlineStr">
        <is>
          <t>Diff.</t>
        </is>
      </c>
      <c r="J15" s="1003">
        <f>IF(AND(J11&gt;0,J14&gt;0),J11/J14-1,"n.a.")</f>
        <v/>
      </c>
      <c r="K15" s="1003">
        <f>IF(AND(K11&gt;0,K14&gt;0),K11/K14-1,"n.a.")</f>
        <v/>
      </c>
      <c r="L15" s="1003">
        <f>IF(AND(L11&gt;0,L14&gt;0),L11/L14-1,"n.a.")</f>
        <v/>
      </c>
      <c r="M15" s="1005">
        <f>IF(AND(M11&gt;0,M14&gt;0),M11/M14-1,"n.a.")</f>
        <v/>
      </c>
      <c r="N15" s="1003">
        <f>IF(AND(N11&gt;0,N14&gt;0),N11/N14-1,"n.a.")</f>
        <v/>
      </c>
      <c r="O15" s="1003">
        <f>IF(AND(O11&gt;0,O14&gt;0),O11/O14-1,"n.a.")</f>
        <v/>
      </c>
      <c r="P15" s="1003">
        <f>IF(AND(P11&gt;0,P14&gt;0),P11/P14-1,"n.a.")</f>
        <v/>
      </c>
      <c r="Q15" s="1005">
        <f>IF(AND(Q11&gt;0,Q14&gt;0),Q11/Q14-1,"n.a.")</f>
        <v/>
      </c>
      <c r="R15" s="1003">
        <f>IF(AND(R11&gt;0,R14&gt;0),R11/R14-1,"n.a.")</f>
        <v/>
      </c>
      <c r="S15" s="1003">
        <f>IF(AND(S11&gt;0,S14&gt;0),S11/S14-1,"n.a.")</f>
        <v/>
      </c>
      <c r="T15" s="1003">
        <f>IF(AND(T11&gt;0,T14&gt;0),T11/T14-1,"n.a.")</f>
        <v/>
      </c>
      <c r="U15" s="1006">
        <f>IF(AND(U11&gt;0,U14&gt;0),U11/U14-1,"n.a.")</f>
        <v/>
      </c>
    </row>
    <row r="16" customFormat="1" s="20">
      <c r="A16" s="20" t="inlineStr">
        <is>
          <t>Net Profit (Attributable)</t>
        </is>
      </c>
      <c r="B16" s="290" t="n">
        <v>26</v>
      </c>
      <c r="C16" s="297">
        <f>(INDEX(FS_H!$1:$1048576,$B16,C$10))</f>
        <v/>
      </c>
      <c r="D16" s="64">
        <f>(INDEX(FS_H!$1:$1048576,$B16,D$10))</f>
        <v/>
      </c>
      <c r="E16" s="296">
        <f>(INDEX(FS_H!$1:$1048576,$B16,E$10))</f>
        <v/>
      </c>
      <c r="F16" s="894">
        <f>IF(AND(E16&gt;0,C16&gt;0),E16/C16-1,"n.a.")</f>
        <v/>
      </c>
      <c r="G16" s="894">
        <f>IF(AND(E16&gt;0,D16&gt;0),E16/D16-1,"n.a.")</f>
        <v/>
      </c>
      <c r="I16" s="56" t="n"/>
    </row>
    <row r="17" customFormat="1" s="20">
      <c r="A17" s="20" t="inlineStr">
        <is>
          <t>EPS (HKD)</t>
        </is>
      </c>
      <c r="B17" s="290" t="n">
        <v>29</v>
      </c>
      <c r="C17" s="299">
        <f>(INDEX(FS_H!$1:$1048576,$B17,C$10))</f>
        <v/>
      </c>
      <c r="D17" s="70">
        <f>(INDEX(FS_H!$1:$1048576,$B17,D$10))</f>
        <v/>
      </c>
      <c r="E17" s="298">
        <f>(INDEX(FS_H!$1:$1048576,$B17,E$10))</f>
        <v/>
      </c>
      <c r="F17" s="894">
        <f>IF(AND(E17&gt;0,C17&gt;0),E17/C17-1,"n.a.")</f>
        <v/>
      </c>
      <c r="G17" s="894">
        <f>IF(AND(E17&gt;0,D17&gt;0),E17/D17-1,"n.a.")</f>
        <v/>
      </c>
      <c r="I17" s="56" t="n"/>
      <c r="N17" s="861" t="n"/>
      <c r="O17" s="861" t="n"/>
      <c r="P17" s="861" t="n"/>
    </row>
    <row r="18" customFormat="1" s="20">
      <c r="A18" s="294" t="inlineStr">
        <is>
          <t>Balance Sheet</t>
        </is>
      </c>
      <c r="B18" s="291" t="n"/>
      <c r="C18" s="293" t="n"/>
      <c r="D18" s="291" t="n"/>
      <c r="E18" s="292" t="n"/>
      <c r="F18" s="291" t="n"/>
      <c r="G18" s="291" t="n"/>
      <c r="I18" s="56" t="n"/>
    </row>
    <row r="19" customFormat="1" s="20">
      <c r="A19" s="20" t="inlineStr">
        <is>
          <t>Current Assets</t>
        </is>
      </c>
      <c r="B19" s="290" t="n">
        <v>45</v>
      </c>
      <c r="C19" s="297">
        <f>(INDEX(FS_H!$1:$1048576,$B19,C$10))</f>
        <v/>
      </c>
      <c r="D19" s="64">
        <f>(INDEX(FS_H!$1:$1048576,$B19,D$10))</f>
        <v/>
      </c>
      <c r="E19" s="296">
        <f>(INDEX(FS_H!$1:$1048576,$B19,E$10))</f>
        <v/>
      </c>
      <c r="F19" s="894">
        <f>IF(AND(E19&gt;0,C19&gt;0),E19/C19-1,"n.a.")</f>
        <v/>
      </c>
      <c r="G19" s="894">
        <f>IF(AND(E19&gt;0,D19&gt;0),E19/D19-1,"n.a.")</f>
        <v/>
      </c>
      <c r="I19" s="56" t="n"/>
    </row>
    <row r="20" customFormat="1" s="20">
      <c r="A20" s="20" t="inlineStr">
        <is>
          <t>Non-current Assets</t>
        </is>
      </c>
      <c r="B20" s="290" t="n">
        <v>56</v>
      </c>
      <c r="C20" s="297">
        <f>(INDEX(FS_H!$1:$1048576,$B20,C$10))</f>
        <v/>
      </c>
      <c r="D20" s="64">
        <f>(INDEX(FS_H!$1:$1048576,$B20,D$10))</f>
        <v/>
      </c>
      <c r="E20" s="296">
        <f>(INDEX(FS_H!$1:$1048576,$B20,E$10))</f>
        <v/>
      </c>
      <c r="F20" s="894">
        <f>IF(AND(E20&gt;0,C20&gt;0),E20/C20-1,"n.a.")</f>
        <v/>
      </c>
      <c r="G20" s="894">
        <f>IF(AND(E20&gt;0,D20&gt;0),E20/D20-1,"n.a.")</f>
        <v/>
      </c>
      <c r="I20" s="56" t="n"/>
      <c r="N20" s="861" t="n"/>
      <c r="O20" s="861" t="n"/>
      <c r="P20" s="861" t="n"/>
    </row>
    <row r="21" customFormat="1" s="20">
      <c r="A21" s="20" t="inlineStr">
        <is>
          <t>Total Assets</t>
        </is>
      </c>
      <c r="B21" s="290" t="n">
        <v>58</v>
      </c>
      <c r="C21" s="297">
        <f>(INDEX(FS_H!$1:$1048576,$B21,C$10))</f>
        <v/>
      </c>
      <c r="D21" s="64">
        <f>(INDEX(FS_H!$1:$1048576,$B21,D$10))</f>
        <v/>
      </c>
      <c r="E21" s="296">
        <f>(INDEX(FS_H!$1:$1048576,$B21,E$10))</f>
        <v/>
      </c>
      <c r="F21" s="894">
        <f>IF(AND(E21&gt;0,C21&gt;0),E21/C21-1,"n.a.")</f>
        <v/>
      </c>
      <c r="G21" s="894">
        <f>IF(AND(E21&gt;0,D21&gt;0),E21/D21-1,"n.a.")</f>
        <v/>
      </c>
      <c r="I21" s="56" t="n"/>
    </row>
    <row r="22" customFormat="1" s="20">
      <c r="A22" s="20" t="inlineStr">
        <is>
          <t>Current Liabilities</t>
        </is>
      </c>
      <c r="B22" s="290" t="n">
        <v>67</v>
      </c>
      <c r="C22" s="297">
        <f>(INDEX(FS_H!$1:$1048576,$B22,C$10))</f>
        <v/>
      </c>
      <c r="D22" s="64">
        <f>(INDEX(FS_H!$1:$1048576,$B22,D$10))</f>
        <v/>
      </c>
      <c r="E22" s="296">
        <f>(INDEX(FS_H!$1:$1048576,$B22,E$10))</f>
        <v/>
      </c>
      <c r="F22" s="894">
        <f>IF(AND(E22&gt;0,C22&gt;0),E22/C22-1,"n.a.")</f>
        <v/>
      </c>
      <c r="G22" s="894">
        <f>IF(AND(E22&gt;0,D22&gt;0),E22/D22-1,"n.a.")</f>
        <v/>
      </c>
      <c r="I22" s="56" t="n"/>
    </row>
    <row r="23" customFormat="1" s="20">
      <c r="A23" s="20" t="inlineStr">
        <is>
          <t>Non-current Liabilities</t>
        </is>
      </c>
      <c r="B23" s="290" t="n">
        <v>78</v>
      </c>
      <c r="C23" s="297">
        <f>(INDEX(FS_H!$1:$1048576,$B23,C$10))</f>
        <v/>
      </c>
      <c r="D23" s="64">
        <f>(INDEX(FS_H!$1:$1048576,$B23,D$10))</f>
        <v/>
      </c>
      <c r="E23" s="296">
        <f>(INDEX(FS_H!$1:$1048576,$B23,E$10))</f>
        <v/>
      </c>
      <c r="F23" s="894">
        <f>IF(AND(E23&gt;0,C23&gt;0),E23/C23-1,"n.a.")</f>
        <v/>
      </c>
      <c r="G23" s="894">
        <f>IF(AND(E23&gt;0,D23&gt;0),E23/D23-1,"n.a.")</f>
        <v/>
      </c>
      <c r="I23" s="56" t="n"/>
    </row>
    <row r="24" customFormat="1" s="20">
      <c r="A24" s="20" t="inlineStr">
        <is>
          <t>Total Liabilities</t>
        </is>
      </c>
      <c r="B24" s="290" t="n">
        <v>80</v>
      </c>
      <c r="C24" s="297">
        <f>(INDEX(FS_H!$1:$1048576,$B24,C$10))</f>
        <v/>
      </c>
      <c r="D24" s="64">
        <f>(INDEX(FS_H!$1:$1048576,$B24,D$10))</f>
        <v/>
      </c>
      <c r="E24" s="296">
        <f>(INDEX(FS_H!$1:$1048576,$B24,E$10))</f>
        <v/>
      </c>
      <c r="F24" s="894">
        <f>IF(AND(E24&gt;0,C24&gt;0),E24/C24-1,"n.a.")</f>
        <v/>
      </c>
      <c r="G24" s="894">
        <f>IF(AND(E24&gt;0,D24&gt;0),E24/D24-1,"n.a.")</f>
        <v/>
      </c>
      <c r="I24" s="56" t="n"/>
    </row>
    <row r="25" customFormat="1" s="20">
      <c r="A25" s="20" t="inlineStr">
        <is>
          <t>Attributable Equity</t>
        </is>
      </c>
      <c r="B25" s="290" t="n">
        <v>88</v>
      </c>
      <c r="C25" s="297">
        <f>(INDEX(FS_H!$1:$1048576,$B25,C$10))</f>
        <v/>
      </c>
      <c r="D25" s="64">
        <f>(INDEX(FS_H!$1:$1048576,$B25,D$10))</f>
        <v/>
      </c>
      <c r="E25" s="296">
        <f>(INDEX(FS_H!$1:$1048576,$B25,E$10))</f>
        <v/>
      </c>
      <c r="F25" s="894">
        <f>IF(AND(E25&gt;0,C25&gt;0),E25/C25-1,"n.a.")</f>
        <v/>
      </c>
      <c r="G25" s="894">
        <f>IF(AND(E25&gt;0,D25&gt;0),E25/D25-1,"n.a.")</f>
        <v/>
      </c>
      <c r="I25" s="56" t="n"/>
    </row>
    <row r="26" customFormat="1" s="20">
      <c r="A26" s="20" t="inlineStr">
        <is>
          <t>Minority Interest</t>
        </is>
      </c>
      <c r="B26" s="290" t="n">
        <v>90</v>
      </c>
      <c r="C26" s="297">
        <f>(INDEX(FS_H!$1:$1048576,$B26,C$10))</f>
        <v/>
      </c>
      <c r="D26" s="64">
        <f>(INDEX(FS_H!$1:$1048576,$B26,D$10))</f>
        <v/>
      </c>
      <c r="E26" s="296">
        <f>(INDEX(FS_H!$1:$1048576,$B26,E$10))</f>
        <v/>
      </c>
      <c r="F26" s="894">
        <f>IF(AND(E26&gt;0,C26&gt;0),E26/C26-1,"n.a.")</f>
        <v/>
      </c>
      <c r="G26" s="894">
        <f>IF(AND(E26&gt;0,D26&gt;0),E26/D26-1,"n.a.")</f>
        <v/>
      </c>
      <c r="I26" s="56" t="n"/>
    </row>
    <row r="27" customFormat="1" s="20">
      <c r="A27" s="20" t="inlineStr">
        <is>
          <t>Total Shareholders' Equity</t>
        </is>
      </c>
      <c r="B27" s="290" t="n">
        <v>91</v>
      </c>
      <c r="C27" s="297">
        <f>(INDEX(FS_H!$1:$1048576,$B27,C$10))</f>
        <v/>
      </c>
      <c r="D27" s="64">
        <f>(INDEX(FS_H!$1:$1048576,$B27,D$10))</f>
        <v/>
      </c>
      <c r="E27" s="296">
        <f>(INDEX(FS_H!$1:$1048576,$B27,E$10))</f>
        <v/>
      </c>
      <c r="F27" s="894">
        <f>IF(AND(E27&gt;0,C27&gt;0),E27/C27-1,"n.a.")</f>
        <v/>
      </c>
      <c r="G27" s="894">
        <f>IF(AND(E27&gt;0,D27&gt;0),E27/D27-1,"n.a.")</f>
        <v/>
      </c>
      <c r="I27" s="56" t="n"/>
    </row>
    <row r="28" customFormat="1" s="20">
      <c r="A28" s="294" t="inlineStr">
        <is>
          <t>Cash Flow Statement</t>
        </is>
      </c>
      <c r="B28" s="291" t="n"/>
      <c r="C28" s="293" t="n"/>
      <c r="D28" s="291" t="n"/>
      <c r="E28" s="292" t="n"/>
      <c r="F28" s="291" t="n"/>
      <c r="G28" s="291" t="n"/>
      <c r="I28" s="56" t="n"/>
    </row>
    <row r="29" customFormat="1" s="20">
      <c r="A29" s="20" t="inlineStr">
        <is>
          <t>CFO</t>
        </is>
      </c>
      <c r="B29" s="290" t="n">
        <v>118</v>
      </c>
      <c r="C29" s="297">
        <f>(INDEX(FS_H!$1:$1048576,$B29,C$10))</f>
        <v/>
      </c>
      <c r="D29" s="64">
        <f>(INDEX(FS_H!$1:$1048576,$B29,D$10))</f>
        <v/>
      </c>
      <c r="E29" s="296">
        <f>(INDEX(FS_H!$1:$1048576,$B29,E$10))</f>
        <v/>
      </c>
      <c r="F29" s="894">
        <f>IF(AND(E29&gt;0,C29&gt;0),E29/C29-1,"n.a.")</f>
        <v/>
      </c>
      <c r="G29" s="894">
        <f>IF(AND(E29&gt;0,D29&gt;0),E29/D29-1,"n.a.")</f>
        <v/>
      </c>
      <c r="I29" s="56" t="n"/>
    </row>
    <row r="30" customFormat="1" s="20">
      <c r="A30" s="20" t="inlineStr">
        <is>
          <t>CFI</t>
        </is>
      </c>
      <c r="B30" s="290" t="n">
        <v>129</v>
      </c>
      <c r="C30" s="297">
        <f>(INDEX(FS_H!$1:$1048576,$B30,C$10))</f>
        <v/>
      </c>
      <c r="D30" s="64">
        <f>(INDEX(FS_H!$1:$1048576,$B30,D$10))</f>
        <v/>
      </c>
      <c r="E30" s="296">
        <f>(INDEX(FS_H!$1:$1048576,$B30,E$10))</f>
        <v/>
      </c>
      <c r="F30" s="894">
        <f>IF(AND(E30&gt;0,C30&gt;0),E30/C30-1,"n.a.")</f>
        <v/>
      </c>
      <c r="G30" s="894">
        <f>IF(AND(E30&gt;0,D30&gt;0),E30/D30-1,"n.a.")</f>
        <v/>
      </c>
      <c r="I30" s="56" t="n"/>
    </row>
    <row r="31" customFormat="1" s="20">
      <c r="A31" s="20" t="inlineStr">
        <is>
          <t>CFF</t>
        </is>
      </c>
      <c r="B31" s="290" t="n">
        <v>137</v>
      </c>
      <c r="C31" s="297">
        <f>(INDEX(FS_H!$1:$1048576,$B31,C$10))</f>
        <v/>
      </c>
      <c r="D31" s="64">
        <f>(INDEX(FS_H!$1:$1048576,$B31,D$10))</f>
        <v/>
      </c>
      <c r="E31" s="296">
        <f>(INDEX(FS_H!$1:$1048576,$B31,E$10))</f>
        <v/>
      </c>
      <c r="F31" s="894">
        <f>IF(AND(E31&gt;0,C31&gt;0),E31/C31-1,"n.a.")</f>
        <v/>
      </c>
      <c r="G31" s="894">
        <f>IF(AND(E31&gt;0,D31&gt;0),E31/D31-1,"n.a.")</f>
        <v/>
      </c>
      <c r="I31" s="56" t="n"/>
    </row>
    <row r="32" customFormat="1" s="20">
      <c r="A32" s="20" t="inlineStr">
        <is>
          <t>Net Increase in Cash</t>
        </is>
      </c>
      <c r="B32" s="290" t="n">
        <v>139</v>
      </c>
      <c r="C32" s="297">
        <f>(INDEX(FS_H!$1:$1048576,$B32,C$10))</f>
        <v/>
      </c>
      <c r="D32" s="64">
        <f>(INDEX(FS_H!$1:$1048576,$B32,D$10))</f>
        <v/>
      </c>
      <c r="E32" s="296">
        <f>(INDEX(FS_H!$1:$1048576,$B32,E$10))</f>
        <v/>
      </c>
      <c r="F32" s="894">
        <f>IF(AND(E32&gt;0,C32&gt;0),E32/C32-1,"n.a.")</f>
        <v/>
      </c>
      <c r="G32" s="894">
        <f>IF(AND(E32&gt;0,D32&gt;0),E32/D32-1,"n.a.")</f>
        <v/>
      </c>
      <c r="I32" s="56" t="n"/>
    </row>
    <row r="33" customFormat="1" s="20">
      <c r="A33" s="294" t="inlineStr">
        <is>
          <t>Margin &amp; Return</t>
        </is>
      </c>
      <c r="B33" s="291" t="n"/>
      <c r="C33" s="293" t="n"/>
      <c r="D33" s="291" t="n"/>
      <c r="E33" s="292" t="n"/>
      <c r="F33" s="291" t="n"/>
      <c r="G33" s="291" t="n"/>
      <c r="I33" s="56" t="n"/>
    </row>
    <row r="34" customFormat="1" s="20">
      <c r="A34" s="20" t="inlineStr">
        <is>
          <t>Gross Margin</t>
        </is>
      </c>
      <c r="B34" s="290" t="n"/>
      <c r="C34" s="1007">
        <f>+C13/C12</f>
        <v/>
      </c>
      <c r="D34" s="861">
        <f>+D13/D12</f>
        <v/>
      </c>
      <c r="E34" s="1008">
        <f>+E13/E12</f>
        <v/>
      </c>
      <c r="I34" s="56" t="n"/>
    </row>
    <row r="35" customFormat="1" s="20">
      <c r="A35" s="20" t="inlineStr">
        <is>
          <t>Operating Margin</t>
        </is>
      </c>
      <c r="B35" s="290" t="n"/>
      <c r="C35" s="1007">
        <f>+C14/C12</f>
        <v/>
      </c>
      <c r="D35" s="861">
        <f>+D14/D12</f>
        <v/>
      </c>
      <c r="E35" s="1008">
        <f>+E14/E12</f>
        <v/>
      </c>
      <c r="I35" s="56" t="n"/>
    </row>
    <row r="36" customFormat="1" s="20">
      <c r="A36" s="20" t="inlineStr">
        <is>
          <t>Pre-tax Margin</t>
        </is>
      </c>
      <c r="B36" s="290" t="n"/>
      <c r="C36" s="1007">
        <f>+C15/C12</f>
        <v/>
      </c>
      <c r="D36" s="861">
        <f>+D15/D12</f>
        <v/>
      </c>
      <c r="E36" s="1008">
        <f>+E15/E12</f>
        <v/>
      </c>
      <c r="I36" s="56" t="n"/>
    </row>
    <row r="37" customFormat="1" s="20">
      <c r="A37" s="233" t="inlineStr">
        <is>
          <t>Net Margin</t>
        </is>
      </c>
      <c r="B37" s="287" t="n"/>
      <c r="C37" s="1009">
        <f>+C16/C12</f>
        <v/>
      </c>
      <c r="D37" s="896">
        <f>+D16/D12</f>
        <v/>
      </c>
      <c r="E37" s="1010">
        <f>+E16/E12</f>
        <v/>
      </c>
      <c r="F37" s="233" t="n"/>
      <c r="G37" s="233" t="n"/>
      <c r="I37" s="56" t="n"/>
    </row>
    <row r="39" ht="14" customFormat="1" customHeight="1" s="20" thickBot="1">
      <c r="I39" s="56" t="n"/>
    </row>
    <row r="40" ht="14" customFormat="1" customHeight="1" s="20" thickBot="1">
      <c r="A40" s="308" t="inlineStr">
        <is>
          <t>Full Year Earnings</t>
        </is>
      </c>
      <c r="B40" s="308" t="n"/>
      <c r="E40" s="307" t="inlineStr">
        <is>
          <t>Base</t>
        </is>
      </c>
      <c r="F40" s="306" t="n">
        <v>2014</v>
      </c>
      <c r="I40" s="56" t="n"/>
    </row>
    <row r="42" customFormat="1" s="20">
      <c r="A42" s="305">
        <f>+A9</f>
        <v/>
      </c>
      <c r="B42" s="305" t="n"/>
      <c r="C42" s="304">
        <f>INDEX('FS_Y (OLD)'!5:5,C43)</f>
        <v/>
      </c>
      <c r="D42" s="302">
        <f>INDEX('FS_Y (OLD)'!5:5,D43)</f>
        <v/>
      </c>
      <c r="E42" s="303">
        <f>INDEX('FS_Y (OLD)'!5:5,E43)</f>
        <v/>
      </c>
      <c r="F42" s="302" t="inlineStr">
        <is>
          <t>Y/Y</t>
        </is>
      </c>
      <c r="I42" s="56" t="n"/>
    </row>
    <row r="43" hidden="1" outlineLevel="1" customFormat="1" s="20">
      <c r="C43" s="67">
        <f>+D43-1</f>
        <v/>
      </c>
      <c r="D43" s="67">
        <f>+E43-1</f>
        <v/>
      </c>
      <c r="E43" s="300">
        <f>MATCH(F40,'FS_Y (OLD)'!1:1,0)</f>
        <v/>
      </c>
      <c r="I43" s="56" t="n"/>
    </row>
    <row r="44" collapsed="1" customFormat="1" s="20">
      <c r="A44" s="294">
        <f>+A11</f>
        <v/>
      </c>
      <c r="B44" s="291" t="n"/>
      <c r="C44" s="293" t="n"/>
      <c r="D44" s="291" t="n"/>
      <c r="E44" s="292" t="n"/>
      <c r="F44" s="291" t="n"/>
      <c r="I44" s="56" t="n"/>
    </row>
    <row r="45" customFormat="1" s="20">
      <c r="A45" s="20">
        <f>+A12</f>
        <v/>
      </c>
      <c r="B45" s="290" t="n">
        <v>11</v>
      </c>
      <c r="C45" s="297">
        <f>(INDEX('FS_Y (OLD)'!$1:$1048576,$B45,C$43))</f>
        <v/>
      </c>
      <c r="D45" s="64">
        <f>(INDEX('FS_Y (OLD)'!$1:$1048576,$B45,D$43))</f>
        <v/>
      </c>
      <c r="E45" s="296">
        <f>(INDEX('FS_Y (OLD)'!$1:$1048576,$B45,E$43))</f>
        <v/>
      </c>
      <c r="F45" s="894">
        <f>IF(AND(E45&gt;0,D45&gt;0),E45/D45-1,"n.a.")</f>
        <v/>
      </c>
      <c r="I45" s="56" t="n"/>
    </row>
    <row r="46" customFormat="1" s="20">
      <c r="A46" s="20">
        <f>+A13</f>
        <v/>
      </c>
      <c r="B46" s="290" t="n">
        <v>13</v>
      </c>
      <c r="C46" s="297">
        <f>(INDEX('FS_Y (OLD)'!$1:$1048576,$B46,C$43))</f>
        <v/>
      </c>
      <c r="D46" s="64">
        <f>(INDEX('FS_Y (OLD)'!$1:$1048576,$B46,D$43))</f>
        <v/>
      </c>
      <c r="E46" s="296">
        <f>(INDEX('FS_Y (OLD)'!$1:$1048576,$B46,E$43))</f>
        <v/>
      </c>
      <c r="F46" s="894">
        <f>IF(AND(E46&gt;0,D46&gt;0),E46/D46-1,"n.a.")</f>
        <v/>
      </c>
      <c r="I46" s="56" t="n"/>
    </row>
    <row r="47" customFormat="1" s="20">
      <c r="A47" s="20">
        <f>+A14</f>
        <v/>
      </c>
      <c r="B47" s="290" t="n">
        <v>18</v>
      </c>
      <c r="C47" s="297">
        <f>(INDEX('FS_Y (OLD)'!$1:$1048576,$B47,C$43))</f>
        <v/>
      </c>
      <c r="D47" s="64">
        <f>(INDEX('FS_Y (OLD)'!$1:$1048576,$B47,D$43))</f>
        <v/>
      </c>
      <c r="E47" s="296">
        <f>(INDEX('FS_Y (OLD)'!$1:$1048576,$B47,E$43))</f>
        <v/>
      </c>
      <c r="F47" s="894">
        <f>IF(AND(E47&gt;0,D47&gt;0),E47/D47-1,"n.a.")</f>
        <v/>
      </c>
      <c r="I47" s="56" t="n"/>
    </row>
    <row r="48" customFormat="1" s="20">
      <c r="A48" s="20">
        <f>+A15</f>
        <v/>
      </c>
      <c r="B48" s="290" t="n">
        <v>22</v>
      </c>
      <c r="C48" s="297">
        <f>(INDEX('FS_Y (OLD)'!$1:$1048576,$B48,C$43))</f>
        <v/>
      </c>
      <c r="D48" s="64">
        <f>(INDEX('FS_Y (OLD)'!$1:$1048576,$B48,D$43))</f>
        <v/>
      </c>
      <c r="E48" s="296">
        <f>(INDEX('FS_Y (OLD)'!$1:$1048576,$B48,E$43))</f>
        <v/>
      </c>
      <c r="F48" s="894">
        <f>IF(AND(E48&gt;0,D48&gt;0),E48/D48-1,"n.a.")</f>
        <v/>
      </c>
      <c r="I48" s="56" t="n"/>
    </row>
    <row r="49" customFormat="1" s="20">
      <c r="A49" s="20">
        <f>+A16</f>
        <v/>
      </c>
      <c r="B49" s="290" t="n">
        <v>26</v>
      </c>
      <c r="C49" s="297">
        <f>(INDEX('FS_Y (OLD)'!$1:$1048576,$B49,C$43))</f>
        <v/>
      </c>
      <c r="D49" s="64">
        <f>(INDEX('FS_Y (OLD)'!$1:$1048576,$B49,D$43))</f>
        <v/>
      </c>
      <c r="E49" s="296">
        <f>(INDEX('FS_Y (OLD)'!$1:$1048576,$B49,E$43))</f>
        <v/>
      </c>
      <c r="F49" s="894">
        <f>IF(AND(E49&gt;0,D49&gt;0),E49/D49-1,"n.a.")</f>
        <v/>
      </c>
      <c r="I49" s="56" t="n"/>
    </row>
    <row r="50" customFormat="1" s="20">
      <c r="A50" s="20">
        <f>+A17</f>
        <v/>
      </c>
      <c r="B50" s="290" t="n">
        <v>29</v>
      </c>
      <c r="C50" s="299">
        <f>(INDEX('FS_Y (OLD)'!$1:$1048576,$B50,C$43))</f>
        <v/>
      </c>
      <c r="D50" s="70">
        <f>(INDEX('FS_Y (OLD)'!$1:$1048576,$B50,D$43))</f>
        <v/>
      </c>
      <c r="E50" s="298">
        <f>(INDEX('FS_Y (OLD)'!$1:$1048576,$B50,E$43))</f>
        <v/>
      </c>
      <c r="F50" s="894">
        <f>IF(AND(E50&gt;0,D50&gt;0),E50/D50-1,"n.a.")</f>
        <v/>
      </c>
      <c r="I50" s="56" t="n"/>
    </row>
    <row r="51" customFormat="1" s="20">
      <c r="A51" s="294">
        <f>+A18</f>
        <v/>
      </c>
      <c r="B51" s="291" t="n"/>
      <c r="C51" s="293" t="n"/>
      <c r="D51" s="291" t="n"/>
      <c r="E51" s="292" t="n"/>
      <c r="F51" s="291" t="n"/>
      <c r="I51" s="56" t="n"/>
    </row>
    <row r="52" customFormat="1" s="20">
      <c r="A52" s="20">
        <f>+A19</f>
        <v/>
      </c>
      <c r="B52" s="290" t="n">
        <v>45</v>
      </c>
      <c r="C52" s="297">
        <f>(INDEX('FS_Y (OLD)'!$1:$1048576,$B52,C$43))</f>
        <v/>
      </c>
      <c r="D52" s="64">
        <f>(INDEX('FS_Y (OLD)'!$1:$1048576,$B52,D$43))</f>
        <v/>
      </c>
      <c r="E52" s="296">
        <f>(INDEX('FS_Y (OLD)'!$1:$1048576,$B52,E$43))</f>
        <v/>
      </c>
      <c r="F52" s="894">
        <f>IF(AND(E52&gt;0,D52&gt;0),E52/D52-1,"n.a.")</f>
        <v/>
      </c>
      <c r="I52" s="56" t="n"/>
    </row>
    <row r="53" customFormat="1" s="20">
      <c r="A53" s="20">
        <f>+A20</f>
        <v/>
      </c>
      <c r="B53" s="290" t="n">
        <v>56</v>
      </c>
      <c r="C53" s="297">
        <f>(INDEX('FS_Y (OLD)'!$1:$1048576,$B53,C$43))</f>
        <v/>
      </c>
      <c r="D53" s="64">
        <f>(INDEX('FS_Y (OLD)'!$1:$1048576,$B53,D$43))</f>
        <v/>
      </c>
      <c r="E53" s="296">
        <f>(INDEX('FS_Y (OLD)'!$1:$1048576,$B53,E$43))</f>
        <v/>
      </c>
      <c r="F53" s="894">
        <f>IF(AND(E53&gt;0,D53&gt;0),E53/D53-1,"n.a.")</f>
        <v/>
      </c>
      <c r="I53" s="56" t="n"/>
    </row>
    <row r="54" customFormat="1" s="20">
      <c r="A54" s="20">
        <f>+A21</f>
        <v/>
      </c>
      <c r="B54" s="290" t="n">
        <v>58</v>
      </c>
      <c r="C54" s="297">
        <f>(INDEX('FS_Y (OLD)'!$1:$1048576,$B54,C$43))</f>
        <v/>
      </c>
      <c r="D54" s="64">
        <f>(INDEX('FS_Y (OLD)'!$1:$1048576,$B54,D$43))</f>
        <v/>
      </c>
      <c r="E54" s="296">
        <f>(INDEX('FS_Y (OLD)'!$1:$1048576,$B54,E$43))</f>
        <v/>
      </c>
      <c r="F54" s="894">
        <f>IF(AND(E54&gt;0,D54&gt;0),E54/D54-1,"n.a.")</f>
        <v/>
      </c>
      <c r="I54" s="56" t="n"/>
    </row>
    <row r="55" customFormat="1" s="20">
      <c r="A55" s="20">
        <f>+A22</f>
        <v/>
      </c>
      <c r="B55" s="290" t="n">
        <v>67</v>
      </c>
      <c r="C55" s="297">
        <f>(INDEX('FS_Y (OLD)'!$1:$1048576,$B55,C$43))</f>
        <v/>
      </c>
      <c r="D55" s="64">
        <f>(INDEX('FS_Y (OLD)'!$1:$1048576,$B55,D$43))</f>
        <v/>
      </c>
      <c r="E55" s="296">
        <f>(INDEX('FS_Y (OLD)'!$1:$1048576,$B55,E$43))</f>
        <v/>
      </c>
      <c r="F55" s="894">
        <f>IF(AND(E55&gt;0,D55&gt;0),E55/D55-1,"n.a.")</f>
        <v/>
      </c>
      <c r="I55" s="56" t="n"/>
    </row>
    <row r="56" customFormat="1" s="20">
      <c r="A56" s="20">
        <f>+A23</f>
        <v/>
      </c>
      <c r="B56" s="290" t="n">
        <v>78</v>
      </c>
      <c r="C56" s="297">
        <f>(INDEX('FS_Y (OLD)'!$1:$1048576,$B56,C$43))</f>
        <v/>
      </c>
      <c r="D56" s="64">
        <f>(INDEX('FS_Y (OLD)'!$1:$1048576,$B56,D$43))</f>
        <v/>
      </c>
      <c r="E56" s="296">
        <f>(INDEX('FS_Y (OLD)'!$1:$1048576,$B56,E$43))</f>
        <v/>
      </c>
      <c r="F56" s="894">
        <f>IF(AND(E56&gt;0,D56&gt;0),E56/D56-1,"n.a.")</f>
        <v/>
      </c>
      <c r="I56" s="56" t="n"/>
    </row>
    <row r="57" customFormat="1" s="20">
      <c r="A57" s="20">
        <f>+A24</f>
        <v/>
      </c>
      <c r="B57" s="290" t="n">
        <v>80</v>
      </c>
      <c r="C57" s="297">
        <f>(INDEX('FS_Y (OLD)'!$1:$1048576,$B57,C$43))</f>
        <v/>
      </c>
      <c r="D57" s="64">
        <f>(INDEX('FS_Y (OLD)'!$1:$1048576,$B57,D$43))</f>
        <v/>
      </c>
      <c r="E57" s="296">
        <f>(INDEX('FS_Y (OLD)'!$1:$1048576,$B57,E$43))</f>
        <v/>
      </c>
      <c r="F57" s="894">
        <f>IF(AND(E57&gt;0,D57&gt;0),E57/D57-1,"n.a.")</f>
        <v/>
      </c>
      <c r="I57" s="56" t="n"/>
    </row>
    <row r="58" customFormat="1" s="20">
      <c r="A58" s="20">
        <f>+A25</f>
        <v/>
      </c>
      <c r="B58" s="290" t="n">
        <v>88</v>
      </c>
      <c r="C58" s="297">
        <f>(INDEX('FS_Y (OLD)'!$1:$1048576,$B58,C$43))</f>
        <v/>
      </c>
      <c r="D58" s="64">
        <f>(INDEX('FS_Y (OLD)'!$1:$1048576,$B58,D$43))</f>
        <v/>
      </c>
      <c r="E58" s="296">
        <f>(INDEX('FS_Y (OLD)'!$1:$1048576,$B58,E$43))</f>
        <v/>
      </c>
      <c r="F58" s="894">
        <f>IF(AND(E58&gt;0,D58&gt;0),E58/D58-1,"n.a.")</f>
        <v/>
      </c>
      <c r="I58" s="56" t="n"/>
    </row>
    <row r="59" customFormat="1" s="20">
      <c r="A59" s="20">
        <f>+A26</f>
        <v/>
      </c>
      <c r="B59" s="290" t="n">
        <v>90</v>
      </c>
      <c r="C59" s="297">
        <f>(INDEX('FS_Y (OLD)'!$1:$1048576,$B59,C$43))</f>
        <v/>
      </c>
      <c r="D59" s="64">
        <f>(INDEX('FS_Y (OLD)'!$1:$1048576,$B59,D$43))</f>
        <v/>
      </c>
      <c r="E59" s="296">
        <f>(INDEX('FS_Y (OLD)'!$1:$1048576,$B59,E$43))</f>
        <v/>
      </c>
      <c r="F59" s="894">
        <f>IF(AND(E59&gt;0,D59&gt;0),E59/D59-1,"n.a.")</f>
        <v/>
      </c>
      <c r="I59" s="56" t="n"/>
    </row>
    <row r="60" customFormat="1" s="20">
      <c r="A60" s="20">
        <f>+A27</f>
        <v/>
      </c>
      <c r="B60" s="290" t="n">
        <v>91</v>
      </c>
      <c r="C60" s="297">
        <f>(INDEX('FS_Y (OLD)'!$1:$1048576,$B60,C$43))</f>
        <v/>
      </c>
      <c r="D60" s="64">
        <f>(INDEX('FS_Y (OLD)'!$1:$1048576,$B60,D$43))</f>
        <v/>
      </c>
      <c r="E60" s="296">
        <f>(INDEX('FS_Y (OLD)'!$1:$1048576,$B60,E$43))</f>
        <v/>
      </c>
      <c r="F60" s="894">
        <f>IF(AND(E60&gt;0,D60&gt;0),E60/D60-1,"n.a.")</f>
        <v/>
      </c>
      <c r="I60" s="56" t="n"/>
    </row>
    <row r="61" customFormat="1" s="20">
      <c r="A61" s="294">
        <f>+A28</f>
        <v/>
      </c>
      <c r="B61" s="291" t="n"/>
      <c r="C61" s="293" t="n"/>
      <c r="D61" s="291" t="n"/>
      <c r="E61" s="292" t="n"/>
      <c r="F61" s="291" t="n"/>
      <c r="I61" s="56" t="n"/>
    </row>
    <row r="62" customFormat="1" s="20">
      <c r="A62" s="20">
        <f>+A29</f>
        <v/>
      </c>
      <c r="B62" s="290" t="n">
        <v>118</v>
      </c>
      <c r="C62" s="297">
        <f>(INDEX('FS_Y (OLD)'!$1:$1048576,$B62,C$43))</f>
        <v/>
      </c>
      <c r="D62" s="64">
        <f>(INDEX('FS_Y (OLD)'!$1:$1048576,$B62,D$43))</f>
        <v/>
      </c>
      <c r="E62" s="296">
        <f>(INDEX('FS_Y (OLD)'!$1:$1048576,$B62,E$43))</f>
        <v/>
      </c>
      <c r="F62" s="894">
        <f>IF(AND(E62&gt;0,D62&gt;0),E62/D62-1,"n.a.")</f>
        <v/>
      </c>
      <c r="I62" s="56" t="n"/>
    </row>
    <row r="63" customFormat="1" s="20">
      <c r="A63" s="20">
        <f>+A30</f>
        <v/>
      </c>
      <c r="B63" s="290" t="n">
        <v>129</v>
      </c>
      <c r="C63" s="297">
        <f>(INDEX('FS_Y (OLD)'!$1:$1048576,$B63,C$43))</f>
        <v/>
      </c>
      <c r="D63" s="64">
        <f>(INDEX('FS_Y (OLD)'!$1:$1048576,$B63,D$43))</f>
        <v/>
      </c>
      <c r="E63" s="296">
        <f>(INDEX('FS_Y (OLD)'!$1:$1048576,$B63,E$43))</f>
        <v/>
      </c>
      <c r="F63" s="894">
        <f>IF(AND(E63&gt;0,D63&gt;0),E63/D63-1,"n.a.")</f>
        <v/>
      </c>
    </row>
    <row r="64" customFormat="1" s="20">
      <c r="A64" s="20">
        <f>+A31</f>
        <v/>
      </c>
      <c r="B64" s="290" t="n">
        <v>137</v>
      </c>
      <c r="C64" s="297">
        <f>(INDEX('FS_Y (OLD)'!$1:$1048576,$B64,C$43))</f>
        <v/>
      </c>
      <c r="D64" s="64">
        <f>(INDEX('FS_Y (OLD)'!$1:$1048576,$B64,D$43))</f>
        <v/>
      </c>
      <c r="E64" s="296">
        <f>(INDEX('FS_Y (OLD)'!$1:$1048576,$B64,E$43))</f>
        <v/>
      </c>
      <c r="F64" s="894">
        <f>IF(AND(E64&gt;0,D64&gt;0),E64/D64-1,"n.a.")</f>
        <v/>
      </c>
      <c r="I64" s="56" t="n"/>
    </row>
    <row r="65" customFormat="1" s="20">
      <c r="A65" s="20">
        <f>+A32</f>
        <v/>
      </c>
      <c r="B65" s="290" t="n">
        <v>139</v>
      </c>
      <c r="C65" s="297">
        <f>(INDEX('FS_Y (OLD)'!$1:$1048576,$B65,C$43))</f>
        <v/>
      </c>
      <c r="D65" s="64">
        <f>(INDEX('FS_Y (OLD)'!$1:$1048576,$B65,D$43))</f>
        <v/>
      </c>
      <c r="E65" s="296">
        <f>(INDEX('FS_Y (OLD)'!$1:$1048576,$B65,E$43))</f>
        <v/>
      </c>
      <c r="F65" s="894">
        <f>IF(AND(E65&gt;0,D65&gt;0),E65/D65-1,"n.a.")</f>
        <v/>
      </c>
      <c r="I65" s="56" t="n"/>
    </row>
    <row r="66" customFormat="1" s="20">
      <c r="A66" s="294">
        <f>+A33</f>
        <v/>
      </c>
      <c r="B66" s="291" t="n"/>
      <c r="C66" s="293" t="n"/>
      <c r="D66" s="291" t="n"/>
      <c r="E66" s="292" t="n"/>
      <c r="F66" s="291" t="n"/>
      <c r="I66" s="56" t="n"/>
    </row>
    <row r="67" customFormat="1" s="20">
      <c r="A67" s="20">
        <f>+A34</f>
        <v/>
      </c>
      <c r="B67" s="290" t="n"/>
      <c r="C67" s="1007">
        <f>+C46/C45</f>
        <v/>
      </c>
      <c r="D67" s="861">
        <f>+D46/D45</f>
        <v/>
      </c>
      <c r="E67" s="1008">
        <f>+E46/E45</f>
        <v/>
      </c>
      <c r="I67" s="56" t="n"/>
    </row>
    <row r="68" customFormat="1" s="20">
      <c r="A68" s="20">
        <f>+A35</f>
        <v/>
      </c>
      <c r="B68" s="290" t="n"/>
      <c r="C68" s="1007">
        <f>+C47/C45</f>
        <v/>
      </c>
      <c r="D68" s="861">
        <f>+D47/D45</f>
        <v/>
      </c>
      <c r="E68" s="1008">
        <f>+E47/E45</f>
        <v/>
      </c>
      <c r="I68" s="56" t="n"/>
    </row>
    <row r="69" customFormat="1" s="20">
      <c r="A69" s="20">
        <f>+A36</f>
        <v/>
      </c>
      <c r="B69" s="290" t="n"/>
      <c r="C69" s="1007">
        <f>+C48/C45</f>
        <v/>
      </c>
      <c r="D69" s="861">
        <f>+D48/D45</f>
        <v/>
      </c>
      <c r="E69" s="1008">
        <f>+E48/E45</f>
        <v/>
      </c>
      <c r="I69" s="56" t="n"/>
    </row>
    <row r="70" customFormat="1" s="20">
      <c r="A70" s="233">
        <f>+A37</f>
        <v/>
      </c>
      <c r="B70" s="287" t="n"/>
      <c r="C70" s="1009">
        <f>+C49/C45</f>
        <v/>
      </c>
      <c r="D70" s="896">
        <f>+D49/D45</f>
        <v/>
      </c>
      <c r="E70" s="1010">
        <f>+E49/E45</f>
        <v/>
      </c>
      <c r="F70" s="233" t="n"/>
      <c r="I70" s="56" t="n"/>
    </row>
  </sheetData>
  <pageMargins left="0.7" right="0.7" top="0.2" bottom="0.2" header="0.3" footer="0.3"/>
  <pageSetup orientation="landscape" paperSize="9" horizontalDpi="300" verticalDpi="300"/>
</worksheet>
</file>

<file path=xl/worksheets/sheet19.xml><?xml version="1.0" encoding="utf-8"?>
<worksheet xmlns="http://schemas.openxmlformats.org/spreadsheetml/2006/main">
  <sheetPr codeName="Sheet1">
    <outlinePr summaryBelow="1" summaryRight="1"/>
    <pageSetUpPr/>
  </sheetPr>
  <dimension ref="A1:Z31"/>
  <sheetViews>
    <sheetView workbookViewId="0">
      <selection activeCell="A1" sqref="A1"/>
    </sheetView>
  </sheetViews>
  <sheetFormatPr baseColWidth="10" defaultColWidth="9.33203125" defaultRowHeight="13"/>
  <cols>
    <col width="3.6640625" customWidth="1" style="3" min="1" max="1"/>
    <col width="35.6640625" customWidth="1" style="3" min="2" max="6"/>
    <col width="20.6640625" customWidth="1" style="3" min="7" max="8"/>
    <col width="9.33203125" customWidth="1" style="3" min="9" max="16384"/>
  </cols>
  <sheetData>
    <row r="1" ht="25" customHeight="1">
      <c r="A1" s="1" t="n"/>
      <c r="B1" s="2" t="inlineStr">
        <is>
          <t>Summary</t>
        </is>
      </c>
      <c r="I1" s="4" t="n"/>
    </row>
    <row r="2">
      <c r="B2" s="16" t="n"/>
      <c r="C2" s="5" t="n"/>
      <c r="D2" s="5" t="n"/>
      <c r="E2" s="5" t="n"/>
      <c r="F2" s="5" t="n"/>
      <c r="G2" s="5" t="n"/>
      <c r="H2" s="5" t="n"/>
      <c r="I2" s="5" t="n"/>
      <c r="J2" s="5" t="n"/>
      <c r="K2" s="5" t="n"/>
      <c r="L2" s="5" t="n"/>
      <c r="M2" s="5" t="n"/>
      <c r="N2" s="5" t="n"/>
      <c r="O2" s="5" t="n"/>
      <c r="P2" s="5" t="n"/>
      <c r="Q2" s="5" t="n"/>
      <c r="R2" s="5" t="n"/>
      <c r="S2" s="5" t="n"/>
      <c r="T2" s="5" t="n"/>
      <c r="U2" s="5" t="n"/>
      <c r="V2" s="5" t="n"/>
      <c r="W2" s="5" t="n"/>
      <c r="X2" s="5" t="n"/>
    </row>
    <row r="3">
      <c r="B3" s="16" t="inlineStr">
        <is>
          <t>Company Name</t>
        </is>
      </c>
      <c r="C3" s="5" t="inlineStr">
        <is>
          <t>Shanghai Electric Group Company Limited</t>
        </is>
      </c>
      <c r="D3" s="5" t="n"/>
      <c r="E3" s="5" t="n"/>
      <c r="F3" s="5" t="n"/>
      <c r="G3" s="5" t="n"/>
      <c r="H3" s="5" t="n"/>
      <c r="I3" s="5" t="n"/>
      <c r="J3" s="5" t="n"/>
      <c r="K3" s="5" t="n"/>
      <c r="L3" s="5" t="n"/>
      <c r="M3" s="5" t="n"/>
      <c r="N3" s="5" t="n"/>
      <c r="O3" s="5" t="n"/>
      <c r="P3" s="5" t="n"/>
      <c r="Q3" s="5" t="n"/>
      <c r="R3" s="5" t="n"/>
      <c r="S3" s="5" t="n"/>
      <c r="T3" s="5" t="n"/>
      <c r="U3" s="5" t="n"/>
      <c r="V3" s="5" t="n"/>
      <c r="W3" s="5" t="n"/>
      <c r="X3" s="5" t="n"/>
    </row>
    <row r="4">
      <c r="B4" s="16" t="inlineStr">
        <is>
          <t>Stock Code</t>
        </is>
      </c>
      <c r="C4" s="5" t="inlineStr">
        <is>
          <t>2727 HK</t>
        </is>
      </c>
      <c r="D4" s="5" t="n"/>
      <c r="E4" s="5" t="n"/>
      <c r="F4" s="5" t="n"/>
      <c r="G4" s="5" t="n"/>
      <c r="H4" s="5" t="n"/>
      <c r="I4" s="5" t="n"/>
      <c r="J4" s="5" t="n"/>
      <c r="K4" s="5" t="n"/>
      <c r="L4" s="5" t="n"/>
      <c r="M4" s="5" t="n"/>
      <c r="N4" s="5" t="n"/>
      <c r="O4" s="5" t="n"/>
      <c r="P4" s="5" t="n"/>
      <c r="Q4" s="5" t="n"/>
      <c r="R4" s="5" t="n"/>
      <c r="S4" s="5" t="n"/>
      <c r="T4" s="5" t="n"/>
      <c r="U4" s="5" t="n"/>
      <c r="V4" s="5" t="n"/>
      <c r="W4" s="5" t="n"/>
      <c r="X4" s="5" t="n"/>
    </row>
    <row r="5">
      <c r="B5" s="16" t="n"/>
      <c r="C5" s="5" t="n"/>
      <c r="D5" s="5" t="n"/>
      <c r="E5" s="5" t="n"/>
      <c r="F5" s="5" t="n"/>
      <c r="G5" s="5" t="n"/>
      <c r="H5" s="5" t="n"/>
      <c r="I5" s="5" t="n"/>
      <c r="J5" s="5" t="n"/>
      <c r="K5" s="5" t="n"/>
      <c r="L5" s="5" t="n"/>
      <c r="M5" s="5" t="n"/>
      <c r="N5" s="5" t="n"/>
      <c r="O5" s="5" t="n"/>
      <c r="P5" s="5" t="n"/>
      <c r="Q5" s="5" t="n"/>
      <c r="R5" s="5" t="n"/>
      <c r="S5" s="5" t="n"/>
      <c r="T5" s="5" t="n"/>
      <c r="U5" s="5" t="n"/>
      <c r="V5" s="5" t="n"/>
      <c r="W5" s="5" t="n"/>
      <c r="X5" s="5" t="n"/>
    </row>
    <row r="6" ht="5.25" customHeight="1" thickBot="1"/>
    <row r="7">
      <c r="B7" s="6" t="inlineStr">
        <is>
          <t>NUMBER COLOUR CODES</t>
        </is>
      </c>
      <c r="C7" s="7" t="n"/>
      <c r="D7" s="7" t="n"/>
      <c r="E7" s="7" t="n"/>
      <c r="F7" s="8" t="n"/>
    </row>
    <row r="8">
      <c r="B8" s="9" t="inlineStr">
        <is>
          <t>HARD INPUT (FROM FINANCIAL STATEMENTS or LINKED TO OTHER SOURCES)</t>
        </is>
      </c>
      <c r="F8" s="10" t="n"/>
    </row>
    <row r="9">
      <c r="B9" s="11" t="inlineStr">
        <is>
          <t>CALCULATED NUMBER</t>
        </is>
      </c>
      <c r="F9" s="10" t="n"/>
    </row>
    <row r="10">
      <c r="B10" s="12" t="inlineStr">
        <is>
          <t>LINKED NUMBER WITHIN WORKBOOK</t>
        </is>
      </c>
      <c r="F10" s="10" t="n"/>
    </row>
    <row r="11" ht="14" customHeight="1" thickBot="1">
      <c r="B11" s="13" t="inlineStr">
        <is>
          <t>ASSUMPTION</t>
        </is>
      </c>
      <c r="C11" s="14" t="n"/>
      <c r="D11" s="14" t="n"/>
      <c r="E11" s="14" t="n"/>
      <c r="F11" s="15" t="n"/>
    </row>
    <row r="13">
      <c r="B13" s="16" t="n"/>
      <c r="C13" s="5" t="n"/>
      <c r="D13" s="5" t="n"/>
      <c r="E13" s="5" t="n"/>
      <c r="F13" s="5" t="n"/>
      <c r="G13" s="5" t="n"/>
      <c r="H13" s="5" t="n"/>
      <c r="I13" s="5" t="n"/>
      <c r="J13" s="5" t="n"/>
      <c r="K13" s="5" t="n"/>
      <c r="L13" s="5" t="n"/>
      <c r="M13" s="5" t="n"/>
      <c r="N13" s="5" t="n"/>
      <c r="O13" s="5" t="n"/>
      <c r="P13" s="5" t="n"/>
      <c r="Q13" s="5" t="n"/>
      <c r="R13" s="5" t="n"/>
      <c r="S13" s="5" t="n"/>
      <c r="T13" s="5" t="n"/>
      <c r="U13" s="5" t="n"/>
      <c r="V13" s="5" t="n"/>
      <c r="W13" s="5" t="n"/>
      <c r="X13" s="5" t="n"/>
      <c r="Y13" s="5" t="n"/>
      <c r="Z13" s="5" t="n"/>
    </row>
    <row r="14">
      <c r="B14" s="17" t="inlineStr">
        <is>
          <t>Financial data</t>
        </is>
      </c>
      <c r="C14" s="17" t="n"/>
      <c r="D14" s="17" t="inlineStr">
        <is>
          <t>Period</t>
        </is>
      </c>
      <c r="E14" s="17" t="n"/>
      <c r="F14" s="17" t="inlineStr">
        <is>
          <t>Source</t>
        </is>
      </c>
      <c r="G14" s="5" t="n"/>
      <c r="H14" s="5" t="n"/>
      <c r="I14" s="5" t="n"/>
      <c r="J14" s="5" t="n"/>
      <c r="K14" s="5" t="n"/>
      <c r="L14" s="5" t="n"/>
      <c r="M14" s="5" t="n"/>
      <c r="N14" s="5" t="n"/>
      <c r="O14" s="5" t="n"/>
      <c r="P14" s="5" t="n"/>
      <c r="Q14" s="5" t="n"/>
      <c r="R14" s="5" t="n"/>
      <c r="S14" s="5" t="n"/>
      <c r="T14" s="5" t="n"/>
      <c r="U14" s="5" t="n"/>
      <c r="V14" s="5" t="n"/>
      <c r="W14" s="5" t="n"/>
      <c r="X14" s="5" t="n"/>
      <c r="Y14" s="5" t="n"/>
      <c r="Z14" s="5" t="n"/>
    </row>
    <row r="15">
      <c r="B15" s="5" t="inlineStr">
        <is>
          <t>Annual</t>
        </is>
      </c>
      <c r="C15" s="5" t="n"/>
      <c r="D15" s="5" t="inlineStr">
        <is>
          <t>2009 -</t>
        </is>
      </c>
      <c r="E15" s="5" t="n"/>
      <c r="F15" s="18" t="inlineStr">
        <is>
          <t>As reported from HKSE filing</t>
        </is>
      </c>
      <c r="G15" s="18" t="n"/>
      <c r="H15" s="19" t="n"/>
      <c r="I15" s="19" t="n"/>
      <c r="J15" s="19" t="n"/>
      <c r="K15" s="19" t="n"/>
      <c r="L15" s="19" t="n"/>
      <c r="M15" s="19" t="n"/>
      <c r="N15" s="19" t="n"/>
      <c r="O15" s="19" t="n"/>
      <c r="P15" s="19" t="n"/>
      <c r="Q15" s="19" t="n"/>
      <c r="R15" s="19" t="n"/>
      <c r="S15" s="19" t="n"/>
      <c r="T15" s="19" t="n"/>
      <c r="U15" s="19" t="n"/>
      <c r="V15" s="19" t="n"/>
      <c r="W15" s="19" t="n"/>
      <c r="X15" s="5" t="n"/>
      <c r="Y15" s="5" t="n"/>
      <c r="Z15" s="5" t="n"/>
    </row>
    <row r="16">
      <c r="B16" s="5" t="inlineStr">
        <is>
          <t>Annual</t>
        </is>
      </c>
      <c r="C16" s="5" t="n"/>
      <c r="D16" s="5" t="inlineStr">
        <is>
          <t>2006-2008</t>
        </is>
      </c>
      <c r="E16" s="5" t="n"/>
      <c r="F16" s="18" t="inlineStr">
        <is>
          <t>Rearranged from A-share filing</t>
        </is>
      </c>
      <c r="G16" s="18" t="n"/>
      <c r="H16" s="18" t="n"/>
      <c r="I16" s="18" t="n"/>
      <c r="J16" s="18" t="n"/>
      <c r="K16" s="18" t="n"/>
      <c r="L16" s="18" t="n"/>
      <c r="M16" s="18" t="n"/>
      <c r="N16" s="18" t="n"/>
      <c r="O16" s="18" t="n"/>
      <c r="P16" s="18" t="n"/>
      <c r="Q16" s="18" t="n"/>
      <c r="R16" s="18" t="n"/>
      <c r="S16" s="18" t="n"/>
      <c r="T16" s="18" t="n"/>
      <c r="U16" s="18" t="n"/>
      <c r="V16" s="18" t="n"/>
      <c r="W16" s="18" t="n"/>
      <c r="X16" s="5" t="n"/>
      <c r="Y16" s="5" t="n"/>
      <c r="Z16" s="5" t="n"/>
    </row>
    <row r="17">
      <c r="B17" s="5" t="inlineStr">
        <is>
          <t>Annual</t>
        </is>
      </c>
      <c r="C17" s="5" t="n"/>
      <c r="D17" s="5" t="inlineStr">
        <is>
          <t>2002-2005</t>
        </is>
      </c>
      <c r="E17" s="5" t="n"/>
      <c r="F17" s="18" t="inlineStr">
        <is>
          <t>CapIQ</t>
        </is>
      </c>
      <c r="G17" s="18" t="n"/>
      <c r="H17" s="18" t="n"/>
      <c r="I17" s="18" t="n"/>
      <c r="J17" s="18" t="n"/>
      <c r="K17" s="18" t="n"/>
      <c r="L17" s="18" t="n"/>
      <c r="M17" s="18" t="n"/>
      <c r="N17" s="18" t="n"/>
      <c r="O17" s="18" t="n"/>
      <c r="P17" s="18" t="n"/>
      <c r="Q17" s="18" t="n"/>
      <c r="R17" s="18" t="n"/>
      <c r="S17" s="18" t="n"/>
      <c r="T17" s="18" t="n"/>
      <c r="U17" s="18" t="n"/>
      <c r="V17" s="18" t="n"/>
      <c r="W17" s="18" t="n"/>
      <c r="X17" s="5" t="n"/>
      <c r="Y17" s="5" t="n"/>
      <c r="Z17" s="5" t="n"/>
    </row>
    <row r="18">
      <c r="B18" s="5" t="inlineStr">
        <is>
          <t>1H</t>
        </is>
      </c>
      <c r="C18" s="5" t="n"/>
      <c r="D18" s="5" t="inlineStr">
        <is>
          <t>2011 -</t>
        </is>
      </c>
      <c r="E18" s="5" t="n"/>
      <c r="F18" s="18" t="inlineStr">
        <is>
          <t>As reported from HKSE filing</t>
        </is>
      </c>
      <c r="G18" s="5" t="n"/>
      <c r="H18" s="5" t="n"/>
      <c r="I18" s="5" t="n"/>
      <c r="J18" s="5" t="n"/>
      <c r="K18" s="5" t="n"/>
      <c r="L18" s="5" t="n"/>
      <c r="M18" s="5" t="n"/>
      <c r="N18" s="5" t="n"/>
      <c r="O18" s="5" t="n"/>
      <c r="P18" s="5" t="n"/>
      <c r="Q18" s="5" t="n"/>
      <c r="R18" s="5" t="n"/>
      <c r="S18" s="5" t="n"/>
      <c r="T18" s="5" t="n"/>
      <c r="U18" s="5" t="n"/>
      <c r="V18" s="5" t="n"/>
      <c r="W18" s="5" t="n"/>
      <c r="X18" s="5" t="n"/>
      <c r="Y18" s="5" t="n"/>
      <c r="Z18" s="5" t="n"/>
    </row>
    <row r="19">
      <c r="B19" s="5" t="inlineStr">
        <is>
          <t>1H</t>
        </is>
      </c>
      <c r="C19" s="5" t="n"/>
      <c r="D19" s="5" t="inlineStr">
        <is>
          <t>2007-2010</t>
        </is>
      </c>
      <c r="E19" s="5" t="n"/>
      <c r="F19" s="18" t="inlineStr">
        <is>
          <t>Rearranged from A-share filing</t>
        </is>
      </c>
      <c r="G19" s="5" t="n"/>
      <c r="H19" s="5" t="n"/>
      <c r="I19" s="5" t="n"/>
      <c r="J19" s="5" t="n"/>
      <c r="K19" s="5" t="n"/>
      <c r="L19" s="5" t="n"/>
      <c r="M19" s="5" t="n"/>
      <c r="N19" s="5" t="n"/>
      <c r="O19" s="5" t="n"/>
      <c r="P19" s="5" t="n"/>
      <c r="Q19" s="5" t="n"/>
      <c r="R19" s="5" t="n"/>
      <c r="S19" s="5" t="n"/>
      <c r="T19" s="5" t="n"/>
      <c r="U19" s="5" t="n"/>
      <c r="V19" s="5" t="n"/>
      <c r="W19" s="5" t="n"/>
      <c r="X19" s="5" t="n"/>
      <c r="Y19" s="5" t="n"/>
      <c r="Z19" s="5" t="n"/>
    </row>
    <row r="20">
      <c r="B20" s="5" t="inlineStr">
        <is>
          <t>Quarterly</t>
        </is>
      </c>
      <c r="C20" s="5" t="n"/>
      <c r="D20" s="5" t="inlineStr">
        <is>
          <t>2007 Q1 -</t>
        </is>
      </c>
      <c r="E20" s="5" t="n"/>
      <c r="F20" s="18" t="inlineStr">
        <is>
          <t>As reported and rearranged from A-share filing</t>
        </is>
      </c>
      <c r="G20" s="5" t="n"/>
      <c r="H20" s="5" t="n"/>
      <c r="I20" s="5" t="n"/>
      <c r="J20" s="5" t="n"/>
      <c r="K20" s="5" t="n"/>
      <c r="L20" s="5" t="n"/>
      <c r="M20" s="5" t="n"/>
      <c r="N20" s="5" t="n"/>
      <c r="O20" s="5" t="n"/>
      <c r="P20" s="5" t="n"/>
      <c r="Q20" s="5" t="n"/>
      <c r="R20" s="5" t="n"/>
      <c r="S20" s="5" t="n"/>
      <c r="T20" s="5" t="n"/>
      <c r="U20" s="5" t="n"/>
      <c r="V20" s="5" t="n"/>
      <c r="W20" s="5" t="n"/>
      <c r="X20" s="5" t="n"/>
      <c r="Y20" s="5" t="n"/>
      <c r="Z20" s="5" t="n"/>
    </row>
    <row r="23" ht="14" customHeight="1">
      <c r="B23" s="115" t="inlineStr">
        <is>
          <t>Asset / liability class</t>
        </is>
      </c>
      <c r="C23" s="115" t="inlineStr">
        <is>
          <t>Income statement line</t>
        </is>
      </c>
      <c r="D23" s="115" t="inlineStr">
        <is>
          <t>Treatment in FCF</t>
        </is>
      </c>
      <c r="E23" s="115" t="inlineStr">
        <is>
          <t>Treatment in valuation</t>
        </is>
      </c>
      <c r="F23" s="115" t="inlineStr">
        <is>
          <t>Treatment in invested capital</t>
        </is>
      </c>
    </row>
    <row r="24" ht="28" customHeight="1">
      <c r="B24" s="116" t="inlineStr">
        <is>
          <t>Other investment and financial instruments / cash</t>
        </is>
      </c>
      <c r="C24" s="116" t="inlineStr">
        <is>
          <t>Other income and gains</t>
        </is>
      </c>
      <c r="D24" s="116" t="inlineStr">
        <is>
          <t>Excluded</t>
        </is>
      </c>
      <c r="E24" s="116" t="inlineStr">
        <is>
          <t>Add asset book value to EV</t>
        </is>
      </c>
      <c r="F24" s="116" t="inlineStr">
        <is>
          <t>Excluded</t>
        </is>
      </c>
    </row>
    <row r="25" ht="14" customHeight="1">
      <c r="B25" s="116" t="n"/>
      <c r="C25" s="116" t="inlineStr">
        <is>
          <t>Government grant (in other income)</t>
        </is>
      </c>
      <c r="D25" s="116" t="inlineStr">
        <is>
          <t>Excluded</t>
        </is>
      </c>
      <c r="E25" s="116" t="inlineStr">
        <is>
          <t>Excluded</t>
        </is>
      </c>
      <c r="F25" s="116" t="inlineStr">
        <is>
          <t>Excluded</t>
        </is>
      </c>
    </row>
    <row r="26" ht="28" customHeight="1">
      <c r="B26" s="116" t="inlineStr">
        <is>
          <t>Loans and discounted bills receivables</t>
        </is>
      </c>
      <c r="C26" s="116" t="inlineStr">
        <is>
          <t>Interest income from loans and discounted bills receivables (under other revenue)</t>
        </is>
      </c>
      <c r="D26" s="116" t="inlineStr">
        <is>
          <t>Automatically included in EBIT / NOPLAT</t>
        </is>
      </c>
      <c r="E26" s="116" t="inlineStr">
        <is>
          <t>Included in EV</t>
        </is>
      </c>
      <c r="F26" s="116" t="inlineStr">
        <is>
          <t>Included</t>
        </is>
      </c>
    </row>
    <row r="27" ht="14" customHeight="1">
      <c r="B27" s="116" t="inlineStr">
        <is>
          <t>Debt</t>
        </is>
      </c>
      <c r="C27" s="116" t="inlineStr">
        <is>
          <t>Finance cost</t>
        </is>
      </c>
      <c r="D27" s="116" t="inlineStr">
        <is>
          <t>Excluded</t>
        </is>
      </c>
      <c r="E27" s="116" t="inlineStr">
        <is>
          <t>Deduct debt book value from EV</t>
        </is>
      </c>
      <c r="F27" s="116" t="inlineStr">
        <is>
          <t>Excluded</t>
        </is>
      </c>
    </row>
    <row r="28" ht="14" customHeight="1">
      <c r="B28" s="117" t="inlineStr">
        <is>
          <t>Investment in JV / Associates</t>
        </is>
      </c>
      <c r="C28" s="117" t="inlineStr">
        <is>
          <t>Share of profits from JV / Associates</t>
        </is>
      </c>
      <c r="D28" s="117" t="inlineStr">
        <is>
          <t>Included</t>
        </is>
      </c>
      <c r="E28" s="117" t="inlineStr">
        <is>
          <t>Included in EV</t>
        </is>
      </c>
      <c r="F28" s="117" t="inlineStr">
        <is>
          <t>Included</t>
        </is>
      </c>
    </row>
    <row r="29" ht="14" customHeight="1">
      <c r="B29" s="116" t="inlineStr">
        <is>
          <t>Prepayments, deposit, other receivables</t>
        </is>
      </c>
      <c r="C29" s="116" t="inlineStr">
        <is>
          <t>EBIT</t>
        </is>
      </c>
      <c r="D29" s="116" t="inlineStr">
        <is>
          <t>Included</t>
        </is>
      </c>
      <c r="E29" s="116" t="inlineStr">
        <is>
          <t>Included in EV</t>
        </is>
      </c>
      <c r="F29" s="116" t="inlineStr">
        <is>
          <t>Included</t>
        </is>
      </c>
    </row>
    <row r="30" ht="28" customHeight="1">
      <c r="B30" s="116" t="inlineStr">
        <is>
          <t>Other payables and accruals / customer deposits, provisions</t>
        </is>
      </c>
      <c r="C30" s="116" t="inlineStr">
        <is>
          <t>COGS / G&amp;A</t>
        </is>
      </c>
      <c r="D30" s="116" t="inlineStr">
        <is>
          <t>Included</t>
        </is>
      </c>
      <c r="E30" s="116" t="inlineStr">
        <is>
          <t>Included in EV</t>
        </is>
      </c>
      <c r="F30" s="116" t="inlineStr">
        <is>
          <t>Included</t>
        </is>
      </c>
    </row>
    <row r="31" ht="28" customHeight="1">
      <c r="B31" s="116" t="inlineStr">
        <is>
          <t>Tax assets and liabilities</t>
        </is>
      </c>
      <c r="C31" s="116" t="inlineStr">
        <is>
          <t>Income tax</t>
        </is>
      </c>
      <c r="D31" s="116" t="inlineStr">
        <is>
          <t>Included by deducting from EBIT to get NOPLAT</t>
        </is>
      </c>
      <c r="E31" s="116" t="inlineStr">
        <is>
          <t>Included in EV</t>
        </is>
      </c>
      <c r="F31" s="116" t="inlineStr">
        <is>
          <t>Included</t>
        </is>
      </c>
    </row>
  </sheetData>
  <pageMargins left="0.75" right="0.75" top="1" bottom="1" header="0.5" footer="0.5"/>
  <pageSetup orientation="portrait" paperSize="9"/>
</worksheet>
</file>

<file path=xl/worksheets/sheet20.xml><?xml version="1.0" encoding="utf-8"?>
<worksheet xmlns="http://schemas.openxmlformats.org/spreadsheetml/2006/main">
  <sheetPr>
    <outlinePr summaryBelow="1" summaryRight="1"/>
    <pageSetUpPr/>
  </sheetPr>
  <dimension ref="A1:C81"/>
  <sheetViews>
    <sheetView workbookViewId="0">
      <selection activeCell="A1" sqref="A1"/>
    </sheetView>
  </sheetViews>
  <sheetFormatPr baseColWidth="10" defaultColWidth="8.83203125" defaultRowHeight="13"/>
  <sheetData>
    <row r="1">
      <c r="A1" t="inlineStr">
        <is>
          <t>_DM|DocDefn|A6B78040E328186CA784760D6DFE1E94</t>
        </is>
      </c>
      <c r="B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䯆翁阰疌㔖瞉⒍ཉ㌲矔䴙飕瑡஄㆛襼夛콢礿㲒돗귁綷䮿羌阕疩㔟瞜⒆ཋ㍄矵䴄飅瑄஄㆖褠奀켯祱㲨뎥귦緿䯞翦阘疏㔬瞼⒰༻㌡矢䴷飧瑻ஂ㆔褯奠켮祻㲮돳귇綬䯣翂阠疔㔰瞀⒎༙㌅矟䴒领瑺எㆅ褮奝켳祃㲐돾귐綫䯡翋阏痺㕃矞ⓕཇ㍝瞜䵙颖琹௝㇛襰备켰祻㲽뎧극綪䯡翏阧疡㔜瞁⒮༈㌖矚䴞飖琵௉ㆶ襻她켲祰㲼돦귘綁䯣翚防疔㔵瞎⒀༝㌷矔䴟飺瑝஘㆐褳奭켡祫㲺돃귐綤䯮翣防疾㔖瞁Ⓙ༺㌁矅䴟飏瑦஌ㆆ褝奈켲祴㲮돴귩緷䮲羟陥痦㕊矂ⓑཙ㍕瞇䵅颗琺௅ㆍ褬夋콠祛㲴돔규綿䯧羓陱痹㕅矍Ⓝ༯㌍矝䴎飵瑡஑㆐襼夘콶礽㳻돨귘綵䯣翀阪疆㔒瞂⒆པ㍆瞓䵋飢瑧ஈㆶ褭奚켳礢㳹뎧귥綠䯰翇阼疬㔶瞁⒇པ㍆瞓䵋飫瑧஘ㆼ褯奌켲祶㲴뎺궗緵䮠美阕疺㔚瞊⒍།㌈矈䴥飇瑥எ㇈襣変켌祾㲨돊귚綡䯫翈阺疭㔗瞭⒚པ㍆矈䴓飏瑭௉㇕褍奚켴祒㲴돮귓綬䯧翊阄疠㔖瞁ⓞཋ㍖瞁䵚频琦௛㇇襯夝콺礮㳨뎵권緫䮷羞陱痨㔰瞠⒑།㌁矃䵖预琹௉㇕褒奜켲祼㲾돷귅緸䮠羗陱痨㔵瞋⒐༭㌋矒䴥飇瑥எ㇈襣変켆祻㲨돨귖綐䯰翂陮痪㕑矏⒢༅㌐矡䴊飒瑠௖㇗襣夤콊礿㳻뎧궉綁䯭翍阑疧㔗瞖⒰༝㌅矃䴟题䐘莃䳬륐椹겐⣥娣煿莖궕⬞ᣈᢱ칢ↂ压矏ᓳ材冄ა⣬ꢷ琨騺뙸�갰૿違ᗊ䟷뎳쫔䶫䮶俀除໤㕂Ⓝ㽹傴♋ᰣꢷ琨鹉嚄נꨨթ娷礿ೋ諱졐䷔䮢⇝痺㕊⦛ⓑ桡㍖ቔ䵋ꢶ⋓墡囪왛狹㸶嫓䤎㳻鈍뎳궍᫚ギ羜삈⚂剬裧ꔉཉ洗ᖡ䵙颞⩼௒国襳㳌콠㳻띒톗궇緽ᗶ羟陡ዀ㕁矟䄆㍄䞡ɱ 㯺㇕ꟾᘳ뙾䦲ధ�荴鴌緥箒ﵟᱠ⇅բ矏⒨༬㌽矴䴥飥瑍ோㆶ褎她켏祍㲚돎귺綋䮢侾�ﶠ땶䞁箚輞彫⎼絺领㫫莃戣ꞈ‗娷礿悪踍뎧쯶⾂䮢侾⭟ԝᖯ珋㼇歐ᗱ絺领⴯鷁濷锱Ӵ鱺Ṯ狶뗗뎶ଫ䮱ૄ院痼暄矏ᓳ馒뤕˛ẜꢷ琨௛㇃襩多콷礦㳲뎶궄練䮪⚉�ﶠ㕚矏ᓳ䇢憽《ᢣ᠇忦Ǥ襡꬧Ⓣ逹ѓ業觤䮢ᢆ痨扞㧯Ⓝ㽹呤Ⱶ緡꣈皊槁죠変陧拙蹐�⻿ⳳㆃ쪥痹筲āⓐ稃㍕瞅ẜ领䐘鴐뮄ﰫꬆ椸콠礯㳭뎱궆緲䮻羇院痹㕂矞Ⓥ噎綇￙䵂领䐘䕠挬ᥢ薐�ꍏⴒೊ큕⊼㛎⨘ⷹ滗Ⓝ桁吵瞑ᩆ횦琨㯻俓æ좚ᚲ９䦔擯譡莖궕ᗯᒍゴኹ篟﷓盛岿汱ᗱ䵋枮፹䕇ꄈ읬ꇟਓꪥḳ嚐롽욽궇ࢯ䮳ⱙ楚痨㔶瞫⒪༧㌡知⺻쥜ደ鎵㇕ꟾᘳ뙾䦲ధ�荴鴌緭䯇羞院痱㕅矘Ⓤཉ斿⓻⩴삗⁂洓㇕襰夘콶礿䟷꜡⍯鶥㋄⋯Ὣ칢䗙㕓ೃ�㽹籥Ờ紅ᣉ㯺㇕癐죡ᜒ䛁䥵䆗벗킀재ڌ篬ᰆ䗙㕓妳爥曒ᒶ❲琨崵嫔襡菝夝콸Ḁ㳻鈍뎵ﭮ⺏ⲝ美ٰ࢘䡜﷧䏼髺㍄ಝ䵟频጗ோ㇝襲전㸡陉⭘傡銶뎮궕㋟솊ᢱπ痨뒙矏窐浹㍖瞉ጟ领琾泣㇇襰鴔変亳礿抨謱뎵궍⎱䮳羜痺㕃ሊⓃ躃㍄⧂⽻颔琰喟㇆夘ꪥ礿봨쾥緷䮺⇚陥ዀ㕁矟䄆ཉ殖㦻ힳ领琠綕翲�変콱礦㳢뎾궂緵䮢羗陥痤㕀矚ⓑཉ丨⦉ὂ琨௃䞋읆ꥷ夀콠礮㳫뎫궄緳䮷美陧痿㕟矖ⓗཚ㍄︛ɱᰢ䗐ƞ흱꒯楰ￋ⿄澑踾뎧劽⊖ⲝ肧⟡䎹矏Ⓥ礗絣☷䵂领琿௝㇙襱夛콠礬㳩뎳궂緰䮢⥵씙዗晶ᔃ益禣悬䟞Ṯ琢☡紡㇕襩躏ᜮ黆礶㳻뎰궙練䮱羗陳痻㕁矃ⓓཛ㍖瞑みᑡī鎦㇕襩躏ᜮ黆礶㳻뎫궄緶䮻羂陪痱㕁矏ⓒཅ㍔瞇䵞颊琱௞㇌襡蔾헮멣㳻엹ⱃ䮫美院痤㕁矟ⓛཅ㍕瞅䵟领琹ே㇄襰夅콶礨㳫뎶얟⊖篝伤삈⚂剬裧箰桶챭瞑み쪏˂騺ꦸ襡ࢯ콩礿㳭뎰궛練䮳美陡痾㕄矁ⓔད㍄ᣭᩃ⬇腔咁훍㄃逓䥀౑뿺쪪緥뒊⃽諁䡧◆利麸ꬩ瞑䵃줠琡ோ컸襡߼夕콯祛㲴독귚綡䯻翽阧疩㔁瞛ⓝཤ㍮瞑䵋领琨ௗㆱ褤奊켲祶㲫돮귚綫䮢羁陭病㕹矏Ⓝཉ㍄瞍䴢飢琶ப㇃褃夑콰礫㳫뎴궇緽䮳羖陥疋㔲矘ⓛཝ㍓瞇䵛飢琾யㆳ褄奬콹礫㳧돎귱緻䮏群陳痨㕏矀⒧༆㌇矵䴎飀瑦௕ㇸ襋夆켄祾㲯뎹</t>
        </is>
      </c>
    </row>
    <row r="2">
      <c r="A2" t="inlineStr">
        <is>
          <t>_DM|LnkdItm|_bdm.e59dd4eb15b74531abc6f0cb7224a7f8.edm|_bdm.bd0026bc9c284db7ae4d3d01346c50e5.edm</t>
        </is>
      </c>
      <c r="B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颐琿௝㇂襰夗콍礕㳻뎧궕緹䯒翜阧疻㕍矢ⓩཉ㍄瞑䵋领琨ௗㆥ褳変켖礢㳹뎱궂緳䮵羟陱痨㔺矒Ⓛམ㍆瞑䴿颛琪௛㇗西夣콠礿㳻뎧궕緥䮢羒阀疺㔐矏⒢༙㌔瞌䵉颟琪ோㆣ褠夔콢礬㳭뎱궂練䮠美阜疤㔗矒Ⓛཋ㍄矡䴯飠瑘ஊ㆒褤奜켭祽㲾뎺궗緽䮠美阃疌㔵瞽⒆༊㌐石䴄飒瑼஄㆘襼够콹礦㳹돗귱綃䯐翋阰疼㔧瞀⒓པ㍆瞆䵛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 t="inlineStr">
        <is>
          <t>A6B78040E328186CA784760D6DFE1E94</t>
        </is>
      </c>
    </row>
    <row r="3">
      <c r="A3" t="inlineStr">
        <is>
          <t>_DM|LnkdItm|_bdm.e59dd4eb15b74531abc6f0cb7224a7f8.edm|_bdm.550320d20e194043abd214621b94ec18.edm</t>
        </is>
      </c>
      <c r="B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颕琼௛㇁襰夗콍礕㳻뎧궕緹䯒翜阧疻㕍矢ⓩཉ㍄瞑䵋领琨ௗㆥ褳変켖礢㳹뎴궁緵䮶羟陱痨㔺矒Ⓛམ㍆瞑䴿颛琪௛㇗西夣콠礿㳻뎧궕緥䮢羒阀疺㔐矏⒢༙㌔瞌䵉颟琪ோㆣ褠夔콢礫㳨뎷궁練䮠美阜疤㔗矒Ⓛཋ㍄矡䴯飠瑘ஊ㆒褤奜켭祽㲾뎺궗緽䮠美阃疌㔵瞽⒆༊㌐石䴄飒瑼஄㆘襼够콹礦㳹돗귱綃䯐翋阰疼㔧瞀⒓པ㍆瞆䵛颟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髟≖ﹿ䶶펒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3" t="inlineStr">
        <is>
          <t>A6B78040E328186CA784760D6DFE1E94</t>
        </is>
      </c>
    </row>
    <row r="4">
      <c r="A4" t="inlineStr">
        <is>
          <t>_DM|LnkdItm|_bdm.e59dd4eb15b74531abc6f0cb7224a7f8.edm|_bdm.bb2bd9227e79497a8381da4d905baa5e.edm</t>
        </is>
      </c>
      <c r="B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襸夗콍礕㳻뎧궕緹䯒翜阧疻㕍矢ⓩཉ㍄瞑䵋领琨ௗㆥ褳変켖礢㳹뎶궄緷䮰羗陱痨㔺矒Ⓛམ㍆瞑䴿颛琪௛㇗西夣콠礿㳻뎧궕緥䮢羒阀疺㔐矏⒢༙㌔瞌䵉颟琪ோㆣ褠夔콢礮㳪뎵궇緼䮠美阜疤㔗矒Ⓛཋ㍄矡䴯飠瑘ஊ㆒褤奜켭祽㲾뎺궗緽䮠美阃疌㔵瞽⒆༊㌐石䴄飒瑼஄㆘襼够콸礨㳹돗귱綃䯐翋阰疼㔧瞀⒓པ㍆瞇䵒颐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 t="inlineStr">
        <is>
          <t>A6B78040E328186CA784760D6DFE1E94</t>
        </is>
      </c>
    </row>
    <row r="5">
      <c r="A5" t="inlineStr">
        <is>
          <t>_DM|LnkdItm|_bdm.e59dd4eb15b74531abc6f0cb7224a7f8.edm|_bdm.eb4ae3156c4a4d3b9b165748980ef022.edm</t>
        </is>
      </c>
      <c r="B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襵夗콍礕㳻뎧궕緹䯒翜阧疻㕍矢ⓩཉ㍄瞑䵋领琨ௗㆥ褳変켖礢㳹뎶궆緰䮱羚陱痨㔺矒Ⓛམ㍆瞑䴿颛琪௛㇗西夣콠礿㳻뎧궕緥䮢羒阀疺㔐矏⒢༙㌔瞌䵉颟琪ோㆣ褠夔콢礮㳪뎲궆緱䮠美阜疤㔗矒Ⓛཋ㍄矡䴯飠瑘ஊ㆒褤奜켭祽㲾뎺궗緽䮠美阃疌㔵瞽⒆༊㌐石䴄飒瑼஄㆘襼够콸礨㳹돗귱綃䯐翋阰疼㔧瞀⒓པ㍆瞇䵒颐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뫶쿾⊧ᡈ保캡ᙓ꒢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 t="inlineStr">
        <is>
          <t>A6B78040E328186CA784760D6DFE1E94</t>
        </is>
      </c>
    </row>
    <row r="6">
      <c r="A6" t="inlineStr">
        <is>
          <t>_DM|LnkdItm|_bdm.e59dd4eb15b74531abc6f0cb7224a7f8.edm|_bdm.9e92fb0b1e144b30890f82ff9b2621f3.edm</t>
        </is>
      </c>
      <c r="B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颒琻௚㇍襸夗콍礕㳻뎧궕緹䯒翜阧疻㕍矢ⓩཉ㍄瞑䵋领琨ௗㆥ褳変켖礢㳹뎳궆練䮺羗陱痨㔺矒Ⓛམ㍆瞑䴿颛琪௛㇗西夣콠礿㳻뎧궕緥䮢羒阀疺㔐矏⒢༙㌔瞌䵉颟琪ோㆣ褠夔콢礬㳯뎶궍緼䮠美阜疤㔗矒Ⓛཋ㍄矡䴯飠瑘ஊ㆒褤奜켭祽㲾뎺궗緽䮠美阃疌㔵瞽⒆༊㌐石䴄飒瑼஄㆘襼够콷礫㳹돗귱綃䯐翋阰疼㔧瞀⒓པ㍆瞇䵓颒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穩﷧窗减㍘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 t="inlineStr">
        <is>
          <t>A6B78040E328186CA784760D6DFE1E94</t>
        </is>
      </c>
    </row>
    <row r="7">
      <c r="A7" t="inlineStr">
        <is>
          <t>_DM|LnkdItm|_bdm.e59dd4eb15b74531abc6f0cb7224a7f8.edm|_bdm.cae6fd8e35ee4064ad6e5cd49a245745.edm</t>
        </is>
      </c>
      <c r="B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琸௘㇀襶夗콍礕㳻뎧궕緹䯒翜阧疻㕍矢ⓩཉ㍄瞑䵋领琨ௗㆥ褳変켖礢㳹뎶궅緶䮷羙陱痨㔺矒Ⓛམ㍆瞑䴿颛琪௛㇗西夣콠礿㳻뎧궕緥䮢羒阀疺㔐矏⒢༙㌔瞌䵉颟琪ோㆣ褠夔콢礬㳪뎴궀緲䮠美阜疤㔗矒Ⓛཋ㍄矡䴯飠瑘ஊ㆒褤奜켭祽㲾뎺궗緽䮠美阃疌㔵瞽⒆༊㌐石䴄飒瑼஄㆘襼够콷礫㳹돗귱綃䯐翋阰疼㔧瞀⒓པ㍆瞇䵓颒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踨ﰦ➉⿽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 t="inlineStr">
        <is>
          <t>A6B78040E328186CA784760D6DFE1E94</t>
        </is>
      </c>
    </row>
    <row r="8">
      <c r="A8" t="inlineStr">
        <is>
          <t>_DM|LnkdItm|_bdm.e59dd4eb15b74531abc6f0cb7224a7f8.edm|_bdm.84ad91f29ed64e00b1f2566d6fb817ca.edm</t>
        </is>
      </c>
      <c r="B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襣夤콊礿㳻뎧궉綕䯰翚阠痶㕾知Ⓝཉ㍄瞑䵋领琴஻ㆇ褵奿콽礽㳪뎱궁緰䮠美阚痵㕑矞Ⓛཉ㌰瞌䵉颖琪௕ㇸ襋変콠礿㳻뎧궕緹䯑翜阰痨㔲瞟⒓པ㍆瞈䵉领瑞ஊ㆙襼夘콰礩㳯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8" t="inlineStr">
        <is>
          <t>A6B78040E328186CA784760D6DFE1E94</t>
        </is>
      </c>
    </row>
    <row r="9">
      <c r="A9" t="inlineStr">
        <is>
          <t>_DM|LnkdItm|_bdm.e59dd4eb15b74531abc6f0cb7224a7f8.edm|_bdm.843bfed9f12043cc983d36d162417e8d.edm</t>
        </is>
      </c>
      <c r="B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襣夤콊礿㳻뎧궉綕䯰翚阠痶㕾知Ⓝཉ㍄瞑䵋领琴஻ㆇ褵奿콽礽㳪뎶궆緼䮠美阚痵㕑矞Ⓛཉ㌰瞌䵉颖琪௕ㇸ襋変콠礿㳻뎧궕緹䯑翜阰痨㔲瞟⒓པ㍆瞈䵉领瑞ஊ㆙襼夘콱礮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9" t="inlineStr">
        <is>
          <t>A6B78040E328186CA784760D6DFE1E94</t>
        </is>
      </c>
    </row>
    <row r="10">
      <c r="A10" t="inlineStr">
        <is>
          <t>_DM|LnkdItm|_bdm.e59dd4eb15b74531abc6f0cb7224a7f8.edm|_bdm.afce5f9a0faa47f8aeda2b33115fb71e.edm</t>
        </is>
      </c>
      <c r="B1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㳯뎥궋緈䮈美陳痨㕓矓⒳༛㌐矂䵕颫琂ோ㇕襡変콠礣㲋돳궕經䮿羌阐疠㔁矇ⓚཟ㍑瞀䵂颔琼௜㇗襡夔콢礮㳹돓궈緧䮲羌陭病㕹矏Ⓝཉ㍄瞑䵋领琨ௗㆦ褳変켁祯㲫뎥권緧䮢翸防疤㕎矍⒠༁㌖瞙䵒颐琽௚㇜襳夞콢礿㲔돣궈緧䮠美阃疌㔵瞿⒂༎㌁矿䴞飋瑪எㆇ襼夑콢礿㲋돁귧綠䯡翚阑疧㔇瞛⒌༄㍙瞓䵝颕琿௉㇕褑奯켒祺㲸돓귚綵䮿羌陥痼㕅矍Ⓝ༹㌠矷䴹飃瑫டㆹ褤奝콽礽㳨뎴궗緥䯒翪阕疚㔖瞌⒗༻㌍矖䴃飒琵௉㇆襹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10" t="inlineStr">
        <is>
          <t>A6B78040E328186CA784760D6DFE1E94</t>
        </is>
      </c>
    </row>
    <row r="11">
      <c r="A11" t="inlineStr">
        <is>
          <t>_DM|LnkdItm|_bdm.e59dd4eb15b74531abc6f0cb7224a7f8.edm|_bdm.b95957e6a43a48e0aef953f33cd351a9.edm</t>
        </is>
      </c>
      <c r="B1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礭㳨뎥궋緈䮈美陳痨㕓矓⒳༛㌐矂䵕颫琂ோ㇕襡変콠礣㲋돳궕經䮿羌阐疠㔁矇ⓚཟ㍑瞀䵂颔琻௛㇗襡夔콢礮㳹돓궈緧䮲羌陭病㕹矏Ⓝཉ㍄瞑䵋领琨ௗㆦ褳変켁祯㲫뎥권緧䮢翸防疤㕎矍⒠༁㌖瞙䵒颐琽௚㇜襳夙콢礿㲔돣궈緧䮠美阃疌㔵瞿⒂༎㌁矿䴞飋瑪எㆇ襼夑콢礿㲋돁귧綠䯡翚阑疧㔇瞛⒌༄㍙瞓䵝颕琿௉㇕褑奯켒祺㲸돓귚綵䮿羌陥痼㕅矍Ⓝ༹㌠矷䴹飃瑫டㆹ褤奝콽礽㳯뎿궗緥䯒翪阕疚㔖瞌⒗༻㌍矖䴃飒琵௉㇀襰夋콠祏㲟돕귐綦䯶翼阼疼㔒瞛⒊༆㌊瞌䵉颖琪ோㆠ褱奫켹礢㳹돿규綠䮠美阆疸㔗瞠⒍པ㍆瞃䵛颗琿௅㇅襳夘콴礥㳪뎩궇緼䮬羛陣痪㕓瞬⒑༝㌦矈䵖预瑱ஓ㆜褤変켃祭㲯돩궈緧䮰羞院痿㕝矟ⓑཇ㍕瞅䵑颗琻௅㇇襸夜콰礽㳥뎍궕緥䮢美陳痨㕓矏Ⓝཉ㍘矲䴟飞瑼௕뵍�꟤ٺ庑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11" t="inlineStr">
        <is>
          <t>A6B78040E328186CA784760D6DFE1E94</t>
        </is>
      </c>
    </row>
    <row r="12">
      <c r="A12" t="inlineStr">
        <is>
          <t>_DM|LnkdItm|_bdm.e59dd4eb15b74531abc6f0cb7224a7f8.edm|_bdm.39a04ef41d564c75bc4914a622d40678.edm</t>
        </is>
      </c>
      <c r="B1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颓琱௛㇁襹夗콍礕㳻뎧궕緹䯒翜阧疻㕍矢ⓩཉ㍄瞑䵋领琨ௗㆥ褳変켖礢㳹뎲권緵䮶羖陱痨㔺矒Ⓛམ㍆瞑䴿颛琪௛㇗西夣콠礿㳻뎧궕緥䮢羒阀疺㔐矏⒢༙㌔瞌䵉颟琪ோㆣ褠夔콢礧㳮뎷궁緽䮠美阜疤㔗矒Ⓛཋ㍄矡䴯飠瑘ஊ㆒褤奜켭祽㲾뎺궗緽䮠美阃疌㔵瞽⒆༊㌐石䴄飒瑼஄㆘襼够콲礬㳹돗귱綃䯐翋阰疼㔧瞀⒓པ㍆瞇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2" t="inlineStr">
        <is>
          <t>A6B78040E328186CA784760D6DFE1E94</t>
        </is>
      </c>
    </row>
    <row r="13">
      <c r="A13" t="inlineStr">
        <is>
          <t>_DM|LnkdItm|_bdm.e59dd4eb15b74531abc6f0cb7224a7f8.edm|_bdm.5ce06d7891f1472f8317fd1124453c03.edm</t>
        </is>
      </c>
      <c r="B1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颟琽௝㇌襲夗콍礕㳻뎧궕緹䯒翜阧疻㕍矢ⓩཉ㍄瞑䵋领琨ௗㆥ褳変켖礢㳹뎾궀緳䮻羝陱痨㔺矒Ⓛམ㍆瞑䴿颛琪௛㇗西夣콠礿㳻뎧궕緥䮢羒阀疺㔐矏⒢༙㌔瞌䵉颟琪ோㆣ褠夔콢礧㳢뎱권緶䮠美阜疤㔗矒Ⓛཋ㍄矡䴯飠瑘ஊ㆒褤奜켭祽㲾뎺궗緽䮠美阃疌㔵瞽⒆༊㌐石䴄飒瑼஄㆘襼够콲礬㳹돗귱綃䯐翋阰疼㔧瞀⒓པ㍆瞇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葠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3" t="inlineStr">
        <is>
          <t>A6B78040E328186CA784760D6DFE1E94</t>
        </is>
      </c>
    </row>
    <row r="14">
      <c r="A14" t="inlineStr">
        <is>
          <t>_DM|LnkdItm|_bdm.e59dd4eb15b74531abc6f0cb7224a7f8.edm|_bdm.92a9cfaa3aa2443c9f02125efe4c0365.edm</t>
        </is>
      </c>
      <c r="B1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频琻௚㇌襣夤콊礿㳻뎧궉綕䯰翚阠痶㕾知Ⓝཉ㍄瞑䵋领琴஻ㆇ褵奿콽礽㳪뎴궄緼䮠美阚痵㕑矞Ⓛཉ㌰瞌䵉颖琪௕ㇸ襋変콠礿㳻뎧궕緹䯑翜阰痨㔲瞟⒓པ㍆瞈䵉领瑞ஊ㆙襼夘콷礬㳪뎥궕綊䯮翊陮痪㕑矏⒳༭㌢矡䴊飁瑭஥ㆀ褬奌켲礢㳹뎥궕綕䯆翨阁疭㔐瞛⒡༆㌐矅䴄飋琵௉㇀襸夋콠祏㲟돕귐綦䯶翺阼疸㕎矍ⓕཙ㍓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14" t="inlineStr">
        <is>
          <t>A6B78040E328186CA784760D6DFE1E94</t>
        </is>
      </c>
    </row>
    <row r="15">
      <c r="A15" t="inlineStr">
        <is>
          <t>_DM|LnkdItm|_bdm.e59dd4eb15b74531abc6f0cb7224a7f8.edm|_bdm.a2119c73c3874f0ebf0bb0a099aa05c2.edm</t>
        </is>
      </c>
      <c r="B1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琼௛㇇襣夤콊礿㳻뎧궉綕䯰翚阠痶㕾知Ⓝཉ㍄瞑䵋领琴஻ㆇ褵奿콽礽㳪뎳궅緷䮠美阚痵㕑矞Ⓛཉ㌰瞌䵉颖琪௕ㇸ襋変콠礿㳻뎧궕緹䯑翜阰痨㔲瞟⒓པ㍆瞈䵉领瑞ஊ㆙襼夘콸礫㳫뎥궕綊䯮翊陮痪㕑矏⒳༭㌢矡䴊飁瑭஥ㆀ褬奌켲礢㳹뎥궕綕䯆翨阁疭㔐瞛⒡༆㌐矅䴄飋琵௉㇀襸夋콠祏㲟돕귐綦䯶翺阼疸㕎矍ⓕཙ㍓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ꡉ♽模늻㽀�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15" t="inlineStr">
        <is>
          <t>A6B78040E328186CA784760D6DFE1E94</t>
        </is>
      </c>
    </row>
    <row r="16">
      <c r="A16" t="inlineStr">
        <is>
          <t>_DM|LnkdItm|_bdm.e59dd4eb15b74531abc6f0cb7224a7f8.edm|_bdm.3e92bbfa1f4e41f2a8e2d49e0ecc9e85.edm</t>
        </is>
      </c>
      <c r="B1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颞琽௘㇗西夣콠礿㳻뎻귥綷䯶翝陭病㕹矏Ⓝཉ㍄瞑䵋颚瑘ஙㆁ襡夔콢礮㳣뎴궗緥䯋羓陱痹㕑矏Ⓑཔ㍆瞁䵉题琅௡㇕襡変콠礿㳻뎻귦綷䯡美阒疸㔃矒Ⓛཐ㍆瞑䴽飇瑤௖㇗襰夜콳礽㳻돫귑緸䮠羌陳疘㔷瞩⒳༈㌃矔䴥飓瑥உ㆐褳夋콸礽㳻돃귳綗䯧翍阧疊㔜瞛⒗༆㌉瞌䵉颓琰௞㇗襡奭켆祍㲾돳귡綪䯲羓陱痽㕊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16" t="inlineStr">
        <is>
          <t>A6B78040E328186CA784760D6DFE1E94</t>
        </is>
      </c>
    </row>
    <row r="17">
      <c r="A17" t="inlineStr">
        <is>
          <t>_DM|LnkdItm|_bdm.e59dd4eb15b74531abc6f0cb7224a7f8.edm|_bdm.4d829223250e488cb382c812fe8789a4.edm</t>
        </is>
      </c>
      <c r="B1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琾௞㇗西夣콠礿㳻뎻귥綷䯶翝陭病㕹矏Ⓝཉ㍄瞑䵋颚瑘ஙㆁ襡夔콢礭㳬뎲궗緥䯋羓陱痹㕑矏Ⓑཔ㍆瞁䵉题琅௡㇕襡変콠礿㳻뎻귦綷䯡美阒疸㔃矒Ⓛཐ㍆瞑䴽飇瑤௖㇗襳够콵礽㳻돫귑緸䮠羌陳疘㔷瞩⒳༈㌃矔䴥飓瑥உ㆐褳夋콸礽㳻돃귳綗䯧翍阧疊㔜瞛⒗༆㌉瞌䵉颓琰௞㇗襡奭켆祍㲾돳귡綪䯲羓陱痽㕊矚Ⓛ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ꞓ࿓铚䧸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17" t="inlineStr">
        <is>
          <t>A6B78040E328186CA784760D6DFE1E94</t>
        </is>
      </c>
    </row>
    <row r="18">
      <c r="A18" t="inlineStr">
        <is>
          <t>_DM|LnkdItm|_bdm.e59dd4eb15b74531abc6f0cb7224a7f8.edm|_bdm.fc6d349a487f42a9b564595b2a7cd5c8.edm</t>
        </is>
      </c>
      <c r="B1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琼௜㇅襵夗콍礕㳻뎧궕緹䯒翜阧疻㕍矢ⓩཉ㍄瞑䵋领琨ௗㆥ褳変켖礢㳹뎴궁緲䮲羚陱痨㔺矒Ⓛམ㍆瞑䴿颛琪௛㇗西夣콠礿㳻뎧궕緥䮢羒阀疺㔐矏⒢༙㌔瞌䵉颟琪ோㆣ褠夔콢礭㳨뎰궅緱䮠美阜疤㔗矒Ⓛཋ㍄矡䴯飠瑘ஊ㆒褤奜켭祽㲾뎺궗緽䮠美阃疌㔵瞽⒆༊㌐石䴄飒瑼஄㆘襼夜콶礮㳹돗귱綃䯐翋阰疼㔧瞀⒓པ㍆瞄䵜颖琪ோㆥ褅奻켥祼㲯돢귓綱䮿羌陠痽㕇矍Ⓝ༹㌠矷䴹飃瑫டㆧ褨奁켴礢㳹뎿궂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18" t="inlineStr">
        <is>
          <t>A6B78040E328186CA784760D6DFE1E94</t>
        </is>
      </c>
    </row>
    <row r="19">
      <c r="A19" t="inlineStr">
        <is>
          <t>_DM|LnkdItm|_bdm.e59dd4eb15b74531abc6f0cb7224a7f8.edm|_bdm.62f44865facf49f7bc84445fdb926160.edm</t>
        </is>
      </c>
      <c r="B1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琰௞㇃襴夗콍礕㳻뎧궕緹䯒翜阧疻㕍矢ⓩཉ㍄瞑䵋领琨ௗㆥ褳変켖礢㳹뎿궍緰䮴羛陱痨㔺矒Ⓛམ㍆瞑䴿颛琪௛㇗西夣콠礿㳻뎧궕緥䮢羒阀疺㔐矏⒢༙㌔瞌䵉颟琪ோㆣ褠夔콢礭㳣뎲궃緰䮠美阜疤㔗矒Ⓛཋ㍄矡䴯飠瑘ஊ㆒褤奜켭祽㲾뎺궗緽䮠美阃疌㔵瞽⒆༊㌐石䴄飒瑼஄㆘襼夜콶礮㳹돗귱綃䯐翋阰疼㔧瞀⒓པ㍆瞄䵜颖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쪼㉤솾ⶖ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19" t="inlineStr">
        <is>
          <t>A6B78040E328186CA784760D6DFE1E94</t>
        </is>
      </c>
    </row>
    <row r="20">
      <c r="A20" t="inlineStr">
        <is>
          <t>_DM|LnkdItm|_bdm.e59dd4eb15b74531abc6f0cb7224a7f8.edm|_bdm.0330a35986f54efcaceaee51f9ab1be8.edm</t>
        </is>
      </c>
      <c r="B2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颞琹௚㇗西夣콠礿㳻뎻귥綷䯶翝陭病㕹矏Ⓝཉ㍄瞑䵋颚瑘ஙㆁ襡夔콢礭㳣뎶궗緥䯋羓陱痹㕑矏Ⓑཔ㍆瞁䵉题琅௡㇕襡変콠礿㳻뎻귦綷䯡美阒疸㔃矒Ⓛཐ㍆瞑䴽飇瑤௖㇗襳夘콱礽㳻돫귑緸䮠羌陳疘㔷瞩⒳༈㌃矔䴥飓瑥உ㆐褳夋콸礽㳻돃귳綗䯧翍阧疊㔜瞛⒗༆㌉瞌䵉颓琼௓㇗襡奭켆祍㲾돳귡綪䯲羓陱痽㕆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20" t="inlineStr">
        <is>
          <t>A6B78040E328186CA784760D6DFE1E94</t>
        </is>
      </c>
    </row>
    <row r="21">
      <c r="A21" t="inlineStr">
        <is>
          <t>_DM|LnkdItm|_bdm.e59dd4eb15b74531abc6f0cb7224a7f8.edm|_bdm.0945f159e4244c53aa8bd0df16965075.edm</t>
        </is>
      </c>
      <c r="B2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频琿௒㇗西夣콠礿㳻뎻귥綷䯶翝陭病㕹矏Ⓝཉ㍄瞑䵋颚瑘ஙㆁ襡夔콢礭㳬뎾궗緥䯋羓陱痹㕑矏Ⓑཔ㍆瞁䵉题琅௡㇕襡変콠礿㳻뎻귦綷䯡美阒疸㔃矒Ⓛཐ㍆瞑䴽飇瑤௖㇗襳夞콹礽㳻돫귑緸䮠羌陳疘㔷瞩⒳༈㌃矔䴥飓瑥உ㆐褳夋콸礽㳻돃귳綗䯧翍阧疊㔜瞛⒗༆㌉瞌䵉颓琼௓㇗襡奭켆祍㲾돳귡綪䯲羓陱痽㕆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콠礷澃Ꙭ뎽�㏂ᨄ羇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21" t="inlineStr">
        <is>
          <t>A6B78040E328186CA784760D6DFE1E94</t>
        </is>
      </c>
    </row>
    <row r="22">
      <c r="A22" t="inlineStr">
        <is>
          <t>_DM|LnkdItm|_bdm.e59dd4eb15b74531abc6f0cb7224a7f8.edm|_bdm.a146bceaa25a487fbbda7946827d2fe8.edm</t>
        </is>
      </c>
      <c r="B2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㳭뎹궸総䮢美陳痨㕏瞿⒑༝㌗瞏䵦颬琨ோ㇕襡変콼祏㲩뎧귣緸䮠翭阻疺㕛矖ⓕཛྷ㍕瞘䵝颐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多콶礧㳹돗귱綃䯐翋阰疼㔡瞆⒄༁㌐瞌䵉颕琰௜㇗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彣я珁挩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22" t="inlineStr">
        <is>
          <t>A6B78040E328186CA784760D6DFE1E94</t>
        </is>
      </c>
    </row>
    <row r="23">
      <c r="A23" t="inlineStr">
        <is>
          <t>_DM|LnkdItm|_bdm.e59dd4eb15b74531abc6f0cb7224a7f8.edm|_bdm.8cecc82cb72b4ee295779bd01083d00d.edm</t>
        </is>
      </c>
      <c r="B2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礩㳪뎹궸総䮢美陳痨㕏瞿⒑༝㌗瞏䵦颬琨ோ㇕襡変콼祏㲩뎧귣緸䮠翭阻疺㕛矖ⓕཛྷ㍕瞘䵝颗琪ோㆼ襼夘콢礿㲏뎥궅緧䮼羣陙痨㕓矏Ⓝཉ㍄瞑䵋颚瑛ங㆖襡奙켰礢㳹뎥궕經䯣翂陮痪㔰瞇⒑ཁ㍝瞇䵞颗琡௝㇄襣奦켬祻㳦뎥궕綕䯆翨阃疩㔔瞊⒭༜㌉矓䴎飔琵௉㇍襣她켄祙㲉돤귁綇䯭翚阧疧㔞矒Ⓛཛྷ㍗瞆䵉领瑘யㆳ褓奊켴祋㲴뎺궗緰䮶羘陱痨㔣瞫⒥༻㌁矒䴟飪瑭஍ㆁ襼夝콹礬㳹돗귱綃䯐翋阰疼㔡瞆⒄༁㌐瞌䵉颓琹௚㇗襡奭켆祍㲾돳귧綪䯶翏阧疡㔜瞁ⓞཋ㍔瞓䵋飳瑸ஏㆷ褸夋켹祧㲲뎥궕綐䯲翊阜疦㕎矍ⓑཙ㍕瞆䵅颖琺௅㇄襵夘콳礱㳩뎩궀緵䮠美阐疺㔇瞭⒚པ㍆矈䴓飏瑭௉㇕褂奝켏祱㳦뎵궅練䮵羀陣痺㕝矞ⓗན㍕瞂䵅颔琱௅㇀襱夗콍礕㳻뎧궕緥䮢美陳痨㕓矓⒠༝㌜矅䵕ᐞ␚哾溦ᢐ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23" t="inlineStr">
        <is>
          <t>A6B78040E328186CA784760D6DFE1E94</t>
        </is>
      </c>
    </row>
    <row r="24">
      <c r="A24" t="inlineStr">
        <is>
          <t>_DM|LnkdItm|_bdm.e59dd4eb15b74531abc6f0cb7224a7f8.edm|_bdm.3746b6d658ce48bcbf2e3430e49aeed5.edm</t>
        </is>
      </c>
      <c r="B2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颕琿௟㇁襸夗콍礕㳻뎧궕緹䯒翜阧疻㕍矢ⓩཉ㍄瞑䵋领琨ௗㆥ褳変켖礢㳹뎴궂緱䮶羗陱痨㔺矒Ⓛམ㍆瞑䴿颛琪௛㇗西夣콠礿㳻뎧궕緥䮢羒阀疺㔐矏⒢༙㌔瞌䵉颟琪ோㆣ褠夔콢礭㳨뎳궁緼䮠美阜疤㔗矒Ⓛཋ㍄矡䴯飠瑘ஊ㆒褤奜켭祽㲾뎺궗緽䮠美阃疌㔵瞽⒆༊㌐石䴄飒瑼஄㆘襼夜콲礬㳹돗귱綃䯐翋阰疼㔧瞀⒓པ㍆瞄䵘颔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24" t="inlineStr">
        <is>
          <t>A6B78040E328186CA784760D6DFE1E94</t>
        </is>
      </c>
    </row>
    <row r="25">
      <c r="A25" t="inlineStr">
        <is>
          <t>_DM|LnkdItm|_bdm.e59dd4eb15b74531abc6f0cb7224a7f8.edm|_bdm.0c029cfe5bdb417b87c4728b15a65d55.edm</t>
        </is>
      </c>
      <c r="B2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颟琹௙㇍襳夗콍礕㳻뎧궕緹䯒翜阧疻㕍矢ⓩཉ㍄瞑䵋领琨ௗㆥ褳変켖礢㳹뎾궄緷䮺羜陱痨㔺矒Ⓛམ㍆瞑䴿颛琪௛㇗西夣콠礿㳻뎧궕緥䮢羒阀疺㔐矏⒢༙㌔瞌䵉颟琪ோㆣ褠夔콢礭㳢뎵궍緷䮠美阜疤㔗矒Ⓛཋ㍄矡䴯飠瑘ஊ㆒褤奜켭祽㲾뎺궗緽䮠美阃疌㔵瞽⒆༊㌐石䴄飒瑼஄㆘襼夜콲礬㳹돗귱綃䯐翋阰疼㔧瞀⒓པ㍆瞄䵘颔琪ோㆥ褅奻켥祼㲯돢귓綱䮿羌陧痿㕊矍Ⓝ༹㌠矷䴹飃瑫டㆧ褨奁켴礢㳹뎶궄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讴㽀鷨䶫Ք俀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25" t="inlineStr">
        <is>
          <t>A6B78040E328186CA784760D6DFE1E94</t>
        </is>
      </c>
    </row>
    <row r="26">
      <c r="A26" t="inlineStr">
        <is>
          <t>_DM|LnkdItm|_bdm.e59dd4eb15b74531abc6f0cb7224a7f8.edm|_bdm.69e237e6ceee4b54821b9bceb0f2d6b7.edm</t>
        </is>
      </c>
      <c r="B2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琾௝㇇襳夗콍礕㳻뎧궕緹䯒翜阧疻㕍矢ⓩཉ㍄瞑䵋领琨ௗㆥ褳変켖礢㳹뎲궃緳䮰羜陱痨㔺矒Ⓛམ㍆瞑䴿颛琪௛㇗西夣콠礿㳻뎧궕緥䮢羒阀疺㔐矏⒢༙㌔瞌䵉颟琪ோㆣ褠夔콢礭㳮뎱궇緷䮠美阜疤㔗矒Ⓛཋ㍄矡䴯飠瑘ஊ㆒褤奜켭祽㲾뎺궗緽䮠美阃疌㔵瞽⒆༊㌐石䴄飒瑼஄㆘襼夜콱礯㳹돗귱綃䯐翋阰疼㔧瞀⒓པ㍆瞄䵚颟琪ோㆥ褅奻켥祼㲯돢귓綱䮿羌陠痽㕇矍Ⓝ༹㌠矷䴹飃瑫டㆧ褨奁켴礢㳹뎿궃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26" t="inlineStr">
        <is>
          <t>A6B78040E328186CA784760D6DFE1E94</t>
        </is>
      </c>
    </row>
    <row r="27">
      <c r="A27" t="inlineStr">
        <is>
          <t>_DM|LnkdItm|_bdm.e59dd4eb15b74531abc6f0cb7224a7f8.edm|_bdm.6b0dbf24b1b948c497f844c5219f4f08.edm</t>
        </is>
      </c>
      <c r="B2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颗琺௟㇀襱夗콍礕㳻뎧궕緹䯒翜阧疻㕍矢ⓩཉ㍄瞑䵋领琨ௗㆥ褳変켖礢㳹뎶궇緱䮷羞陱痨㔺矒Ⓛམ㍆瞑䴿颛琪௛㇗西夣콠礿㳻뎧궕緥䮢羒阀疺㔐矏⒢༙㌔瞌䵉颟琪ோㆣ褠夔콢礬㳪뎳궀緵䮠美阜疤㔗矒Ⓛཋ㍄矡䴯飠瑘ஊ㆒褤奜켭祽㲾뎺궗緽䮠美阃疌㔵瞽⒆༊㌐石䴄飒瑼஄㆘襼夜콱礯㳹돗귱綃䯐翋阰疼㔧瞀⒓པ㍆瞄䵚颟琪ோㆥ褅奻켥祼㲯돢귓綱䮿羌陧痿㕊矍Ⓝ༹㌠矷䴹飃瑫டㆧ褨奁켴礢㳹뎶궇緧䮢翾阗疎㔡瞊⒀༝㌶矞䴟飇瑼ஂ㆚褯夋콰礽㳻돷귑綇䯻羓陱疱㔋瞆⒆ཋ㍄矤䴛飂瑇அ㇈襣夙콱礨㳵뎵궛練䮶羔院痻㕝矝ⓚཇ㍑瞁䵉领瑋ஙㆁ褃夔콢祦㲣돢궗緥䯁翜阧疇㔝矒Ⓛཛ㍔瞀䵜颈琸௙㇛襰夓콱礬㳵뎾궛緰䮲羌陭病㕹矏Ⓝཉ㍄瞑䵋领琨ோ㇕襽奝켸祫㳥뿛ⅲࣦᾊ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7" t="inlineStr">
        <is>
          <t>A6B78040E328186CA784760D6DFE1E94</t>
        </is>
      </c>
    </row>
    <row r="28">
      <c r="A28" t="inlineStr">
        <is>
          <t>_DM|LnkdItm|_bdm.e59dd4eb15b74531abc6f0cb7224a7f8.edm|_bdm.87a217273d234beda9d7c9774acb2d27.edm</t>
        </is>
      </c>
      <c r="B2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㳯뎱궗緥䯒翪阕疚㔖瞌⒗༽㌋矁䵖预琽௛㇃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28" t="inlineStr">
        <is>
          <t>A6B78040E328186CA784760D6DFE1E94</t>
        </is>
      </c>
    </row>
    <row r="29">
      <c r="A29" t="inlineStr">
        <is>
          <t>_DM|LnkdItm|_bdm.e59dd4eb15b74531abc6f0cb7224a7f8.edm|_bdm.87208c592b27454ca436344ec17fde9d.edm</t>
        </is>
      </c>
      <c r="B2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㳯뎱궗緥䯒翪阕疚㔖瞌⒗༽㌋矁䵖预琽௛㇃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㺡⮦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29" t="inlineStr">
        <is>
          <t>A6B78040E328186CA784760D6DFE1E94</t>
        </is>
      </c>
    </row>
    <row r="30">
      <c r="A30" t="inlineStr">
        <is>
          <t>_DM|LnkdItm|_bdm.e59dd4eb15b74531abc6f0cb7224a7f8.edm|_bdm.f187f9219770498683f8de92d8d555d3.edm</t>
        </is>
      </c>
      <c r="B3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颐琼௓㇗西夣콠礿㳻뎻귥綷䯶翝陭病㕹矏Ⓝཉ㍄瞑䵋颚瑘ஙㆁ襡夔콢礦㳭뎿궗緥䯋羓陱痹㕑矏Ⓑཔ㍆瞁䵉题琅௡㇕襡変콠礿㳻뎻귦綷䯡美阒疸㔃矒Ⓛཐ㍆瞑䴽飇瑤௖㇗襸夝콸礽㳻돫귑緸䮠羌陳疘㔷瞩⒳༈㌃矔䴥飓瑥உ㆐褳夋콸礽㳻돃귳綗䯧翍阧疊㔜瞛⒗༆㌉瞌䵉颒琽௒㇗襡奭켆祍㲾돳귡綪䯲羓陱痼㕅矗Ⓛ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0" t="inlineStr">
        <is>
          <t>A6B78040E328186CA784760D6DFE1E94</t>
        </is>
      </c>
    </row>
    <row r="31">
      <c r="A31" t="inlineStr">
        <is>
          <t>_DM|LnkdItm|_bdm.e59dd4eb15b74531abc6f0cb7224a7f8.edm|_bdm.3653dce641d8438e8ab1e8ae4a0db03d.edm</t>
        </is>
      </c>
      <c r="B3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频琽௚㇗西夣콠礿㳻뎻귥綷䯶翝陭病㕹矏Ⓝཉ㍄瞑䵋颚瑘ஙㆁ襡夔콢礨㳬뎶궗緥䯋羓陱痹㕑矏Ⓑཔ㍆瞁䵉题琅௡㇕襡変콠礿㳻뎻귦綷䯡美阒疸㔃矒Ⓛཐ㍆瞑䴽飇瑤௖㇗襶夜콱礽㳻돫귑緸䮠羌陳疘㔷瞩⒳༈㌃矔䴥飓瑥உ㆐褳夋콸礽㳻돃귳綗䯧翍阧疊㔜瞛⒗༆㌉瞌䵉颒琽௒㇗襡奭켆祍㲾돳귡綪䯲羓陱痼㕅矗Ⓛ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骤㭢逢⫕ನ斖퀜㱤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1" t="inlineStr">
        <is>
          <t>A6B78040E328186CA784760D6DFE1E94</t>
        </is>
      </c>
    </row>
    <row r="32">
      <c r="A32" t="inlineStr">
        <is>
          <t>_DM|LnkdItm|_bdm.e59dd4eb15b74531abc6f0cb7224a7f8.edm|_bdm.b86fce506bb946a8ad7b9a7c87fc7518.edm</t>
        </is>
      </c>
      <c r="B3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琻௓㇂襣夤콊礿㳻뎧궉綕䯰翚阠痶㕾知Ⓝཉ㍄瞑䵋领琴஻ㆇ褵奿콽礽㳪뎴궍緲䮠美阚痵㕑矞Ⓛཉ㌰瞌䵉颖琪௕ㇸ襋変콠礿㳻뎧궕緹䯑翜阰痨㔲瞟⒓པ㍆瞈䵉领瑞ஊ㆙襼夘콴礬㳣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2" t="inlineStr">
        <is>
          <t>A6B78040E328186CA784760D6DFE1E94</t>
        </is>
      </c>
    </row>
    <row r="33">
      <c r="A33" t="inlineStr">
        <is>
          <t>_DM|LnkdItm|_bdm.e59dd4eb15b74531abc6f0cb7224a7f8.edm|_bdm.48ff3655011a4e0ca8877f451f96b5ea.edm</t>
        </is>
      </c>
      <c r="B3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琽௞㇂襣夤콊礿㳻뎧궉綕䯰翚阠痶㕾知Ⓝཉ㍄瞑䵋领琴஻ㆇ褵奿콽礽㳨뎲궀緲䮠美阚痵㕑矞Ⓛཉ㌰瞌䵉颖琪௕ㇸ襋変콠礿㳻뎧궕緹䯑翜阰痨㔲瞟⒓པ㍆瞈䵉领瑞ஊ㆙襼多콲礪㳮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ꡪᭊ倎ꞛ즉훼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3" t="inlineStr">
        <is>
          <t>A6B78040E328186CA784760D6DFE1E94</t>
        </is>
      </c>
    </row>
    <row r="34">
      <c r="A34" t="inlineStr">
        <is>
          <t>_DM|LnkdItm|_bdm.e59dd4eb15b74531abc6f0cb7224a7f8.edm|_bdm.e76f68028576400ab5bac67587cfa123.edm</t>
        </is>
      </c>
      <c r="B3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频琼௞㇗西夣콠礿㳻뎻귥綷䯶翝陭病㕹矏Ⓝཉ㍄瞑䵋颚瑘ஙㆁ襡夔콢礪㳬뎲궗緥䯋羓陱痹㕑矏Ⓑཔ㍆瞁䵉题琅௡㇕襡変콠礿㳻뎻귦綷䯡美阒疸㔃矒Ⓛཐ㍆瞑䴽飇瑤௖㇗襴夝콵礽㳻돫귑緸䮠羌陳疘㔷瞩⒳༈㌃矔䴥飓瑥உ㆐褳夋콸礽㳻돃귳綗䯧翍阧疊㔜瞛⒗༆㌉瞌䵉颒琻௟㇗襡奭켆祍㲾돳귡綪䯲羓陱痼㕇矛Ⓛ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뭬⎤탥㋟솊⇚죵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34" t="inlineStr">
        <is>
          <t>A6B78040E328186CA784760D6DFE1E94</t>
        </is>
      </c>
    </row>
    <row r="35">
      <c r="A35" t="inlineStr">
        <is>
          <t>_DM|LnkdItm|_bdm.e59dd4eb15b74531abc6f0cb7224a7f8.edm|_bdm.b68356bbd8e74335b16f1bc5a74b0166.edm</t>
        </is>
      </c>
      <c r="B3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颗琹௓㇗西夣콠礿㳻뎻귥綷䯶翝陭病㕹矏Ⓝཉ㍄瞑䵋颚瑘ஙㆁ襡夔콢礩㳪뎿궗緥䯋羓陱痹㕑矏Ⓑཔ㍆瞁䵉题琅௡㇕襡変콠礿㳻뎻귦綷䯡美阒疸㔃矒Ⓛཐ㍆瞑䴽飇瑤௖㇗襷夘콸礽㳻돫귑緸䮠羌陳疘㔷瞩⒳༈㌃矔䴥飓瑥உ㆐褳夋콸礽㳻돃귳綗䯧翍阧疊㔜瞛⒗༆㌉瞌䵉颒琻௟㇗襡奭켆祍㲾돳귡綪䯲羓陱痼㕇矛Ⓛ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뛿ؼ逓㳻緿㷼ㆩ쟕痡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5" t="inlineStr">
        <is>
          <t>A6B78040E328186CA784760D6DFE1E94</t>
        </is>
      </c>
    </row>
    <row r="36">
      <c r="A36" t="inlineStr">
        <is>
          <t>_DM|LnkdItm|_bdm.e59dd4eb15b74531abc6f0cb7224a7f8.edm|_bdm.bc989a8150bf486d8a221c51ec55a13c.edm</t>
        </is>
      </c>
      <c r="B3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颒琿௞㇄襣夤콊礿㳻뎧궉綕䯰翚阠痶㕾知Ⓝཉ㍄瞑䵋领琴஻ㆇ褵奿콽礽㳪뎰궀練䮠美阚痵㕑矞Ⓛཉ㌰瞌䵉颖琪௕ㇸ襋変콠礿㳻뎧궕緹䯑翜阰痨㔲瞟⒓པ㍆瞈䵉领瑞ஊ㆙襼夘콴礨㳮뎥궕綊䯮翊陮痪㕑矏⒳༭㌢矡䴊飁瑭஥ㆀ褬奌켲礢㳹뎥궕綕䯆翨阁疭㔐瞛⒡༆㌐矅䴄飋琵௉㇁襳夋콠祏㲟돕귐綦䯶翺阼疸㕎矍ⓗཚ㍕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36" t="inlineStr">
        <is>
          <t>A6B78040E328186CA784760D6DFE1E94</t>
        </is>
      </c>
    </row>
    <row r="37">
      <c r="A37" t="inlineStr">
        <is>
          <t>_DM|LnkdItm|_bdm.e59dd4eb15b74531abc6f0cb7224a7f8.edm|_bdm.aa92d9440cde4e01937dc9e243514552.edm</t>
        </is>
      </c>
      <c r="B3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琼௘㇍襣夤콊礿㳻뎧궉綕䯰翚阠痶㕾知Ⓝཉ㍄瞑䵋领琴஻ㆇ褵奿콽礽㳪뎳궆緽䮠美阚痵㕑矞Ⓛཉ㌰瞌䵉颖琪௕ㇸ襋変콠礿㳻뎧궕緹䯑翜阰痨㔲瞟⒓པ㍆瞈䵉领瑞ஊ㆙襼夘콶礫㳨뎥궕綊䯮翊陮痪㕑矏⒳༭㌢矡䴊飁瑭஥ㆀ褬奌켲礢㳹뎥궕綕䯆翨阁疭㔐瞛⒡༆㌐矅䴄飋琵௉㇁襳夋콠祏㲟돕귐綦䯶翺阼疸㕎矍ⓗཚ㍕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䥱爍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37" t="inlineStr">
        <is>
          <t>A6B78040E328186CA784760D6DFE1E94</t>
        </is>
      </c>
    </row>
    <row r="38">
      <c r="A38" t="inlineStr">
        <is>
          <t>_DM|LnkdItm|_bdm.e59dd4eb15b74531abc6f0cb7224a7f8.edm|_bdm.fd2d0796b5624982925444b56a803c98.edm</t>
        </is>
      </c>
      <c r="B3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颒琽௘㇇襣夤콊礿㳻뎧궉綕䯰翚阠痶㕾知Ⓝཉ㍄瞑䵋领琴஻ㆇ褵奿콽礽㳯뎲궆緷䮠美阚痵㕑矞Ⓛཉ㌰瞌䵉颖琪௕ㇸ襋変콠礿㳻뎧궕緹䯑翜阰痨㔲瞟⒓པ㍆瞈䵉领瑞ஊ㆙襼夝콴礪㳨뎥궕綊䯮翊陮痪㕑矏⒳༭㌢矡䴊飁瑭஥ㆀ褬奌켲礢㳹뎥궕綕䯆翨阁疭㔐瞛⒡༆㌐矅䴄飋琵௉㇁襱夋콠祏㲟돕귐綦䯶翺阼疸㕎矍ⓗམ㍜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38" t="inlineStr">
        <is>
          <t>A6B78040E328186CA784760D6DFE1E94</t>
        </is>
      </c>
    </row>
    <row r="39">
      <c r="A39" t="inlineStr">
        <is>
          <t>_DM|LnkdItm|_bdm.e59dd4eb15b74531abc6f0cb7224a7f8.edm|_bdm.f535ca5f6a3744f892675e343bfcedc6.edm</t>
        </is>
      </c>
      <c r="B3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颔琰௝㇀襣夤콊礿㳻뎧궉綕䯰翚阠痶㕾知Ⓝཉ㍄瞑䵋领琴஻ㆇ褵奿콽礽㳭뎿궃緰䮠美阚痵㕑矞Ⓛཉ㌰瞌䵉颖琪௕ㇸ襋変콠礿㳻뎧궕緹䯑翜阰痨㔲瞟⒓པ㍆瞈䵉领瑞ஊ㆙襼够콲礧㳭뎥궕綊䯮翊陮痪㕑矏⒳༭㌢矡䴊飁瑭஥ㆀ褬奌켲礢㳹뎥궕綕䯆翨阁疭㔐瞛⒡༆㌐矅䴄飋琵௉㇁襱夋콠祏㲟돕귐綦䯶翺阼疸㕎矍ⓗམ㍜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ꈁ⯊끻릔➽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39" t="inlineStr">
        <is>
          <t>A6B78040E328186CA784760D6DFE1E94</t>
        </is>
      </c>
    </row>
    <row r="40">
      <c r="A40" t="inlineStr">
        <is>
          <t>_DM|LnkdItm|_bdm.e59dd4eb15b74531abc6f0cb7224a7f8.edm|_bdm.6fee59ea486f48da86829a14357a94b9.edm</t>
        </is>
      </c>
      <c r="B4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颗琿௓㇗西夣콠礿㳻뎻귥綷䯶翝陭病㕹矏Ⓝཉ㍄瞑䵋颚瑘ஙㆁ襡夔콢礪㳪뎿궗緥䯋羓陱痹㕑矏Ⓑཔ㍆瞁䵉题琅௡㇕襡変콠礿㳻뎻귦綷䯡美阒疸㔃矒Ⓛཐ㍆瞑䴽飇瑤௖㇗襴夞콸礽㳻돫귑緸䮠羌陳疘㔷瞩⒳༈㌃矔䴥飓瑥உ㆐褳夋콸礽㳻돃귳綗䯧翍阧疊㔜瞛⒗༆㌉瞌䵉颕琱௞㇗襡奭켆祍㲾돳귡綪䯲羓陱痼㕃矚Ⓛ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準礂컗ᗶ℈陯痧㔰瞛⒛༝㍚瞼䵡领琨ோ㇕襡変콠礿㳻돃귚綦䯆翋阵疦㕓瞹⒆༛㌗矘䴄飈琵௉㇇襣奠켳祏㲯뎺궗綑䯰翛阶痪㕍矢ⓩཉ㍄瞑䵋领琨ோ㇕襡変콠礣㲒뎹귴緳䯀羙陫痸㕇矟⒦ཚ㍖瞉䵚颞琾நㆴ襶夝콷礩㳫뎱귱綃䯇羟阖痱㕇矓Ⓦ༠㌠瞏䵦颬琨ோ㇕襡変콠礿㳻뎻궚綁䯭翍阗疭㔕瞁ⓝཤ㍮瞑䵋领琨ோ㇕襡変콠礣㲈돷귆緥䮭羐陞痂㕓矏Ⓝཉ㍄瞑䵋领琴௄ㆦ褳夗콍礕㳻뎧궕緥䮢羒陼疘㔁瞛ⓝཤ㍮瞑䵋领琨ௗ㇚褑奝켳礡㳖뎧궕緥䮢羒阐疧㔞瞂⒆༇㌐矂䵋颉琶௦ㇿ襡夕콯祖㲯뎹궸総䮾羁阗疩㔇瞎ⓝ</t>
        </is>
      </c>
      <c r="C40" t="inlineStr">
        <is>
          <t>A6B78040E328186CA784760D6DFE1E94</t>
        </is>
      </c>
    </row>
    <row r="41">
      <c r="A41" t="inlineStr">
        <is>
          <t>_DM|LnkdItm|_bdm.e59dd4eb15b74531abc6f0cb7224a7f8.edm|_bdm.1afd5f8d45e142628ff454434cdbef19.edm</t>
        </is>
      </c>
      <c r="B4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颔琰௝㇗西夣콠礿㳻뎻귥綷䯶翝陭病㕹矏Ⓝཉ㍄瞑䵋颚瑘ஙㆁ襡夔콢礪㳩뎱궗緥䯋羓陱痹㕑矏Ⓑཔ㍆瞁䵉题琅௡㇕襡変콠礿㳻뎻귦綷䯡美阒疸㔃矒Ⓛཐ㍆瞑䴽飇瑤௖㇗襴夑콶礽㳻돫귑緸䮠羌陳疘㔷瞩⒳༈㌃矔䴥飓瑥உ㆐褳夋콸礽㳻돃귳綗䯧翍阧疊㔜瞛⒗༆㌉瞌䵉颕琱௞㇗襡奭켆祍㲾돳귡綪䯲羓陱痼㕃矚Ⓛ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ꍫ행鿵礿㳳멹ﳊ궏஻օ⸨険痴㕜瞬⒗༑㌐瞏䵦颬琨ோ㇕襡変콠礿㳻뎻귱綪䯡翪阶疮㔝矏⒵༌㌖矂䴂飉瑦௖㇗襳変켉祬㲋돵궈緧䯖翜阦疭㕑矑⓮ལ㍄瞑䵋领琨ோ㇕襡変콠礿㳧돃궋綄䮴翬除痰㕃矛ⓓ༬㍗瞃䵓颗琰௝ㆶ褀夑콴礨㳭돃궃綁䯄翫院疍㕊矛ⓟཆ㌭矵䵕颫琂ோ㇕襡変콠礿㳻뎧궉緪䯆翁阰疌㔖瞉⒍བྷ㍩瞻䵋领琨ோ㇕襡変콠礿㳧돳귅綶䮢羁陭病㕹矏Ⓝཉ㍄瞑䵋领琨ௗ㇚褒奊콾礒㳑뎧궕緥䮢美陯痧㔣瞝⒗བྷ㍩瞻䵋领琨ோ㇉襮奛켴祬㳥뎍궕緥䮢美陯疋㔜瞂⒎༌㌊矅䴘领琧௕ㇸ襋変콼礰㲒돪궋緈䮈羒陼疌㔒瞛⒂བྷ</t>
        </is>
      </c>
      <c r="C41" t="inlineStr">
        <is>
          <t>A6B78040E328186CA784760D6DFE1E94</t>
        </is>
      </c>
    </row>
    <row r="42">
      <c r="A42" t="inlineStr">
        <is>
          <t>_DM|LnkdItm|_bdm.e59dd4eb15b74531abc6f0cb7224a7f8.edm|_bdm.9e2bdb03034a4bcbb396c52e2a2dc254.edm</t>
        </is>
      </c>
      <c r="B4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颟琿௚㇄襣夤콊礿㳻뎧궉綕䯰翚阠痶㕾知Ⓝཉ㍄瞑䵋领琴஻ㆇ褵奿콽礽㳯뎰궄練䮠美阚痵㕑矞Ⓛཉ㌰瞌䵉颖琪௕ㇸ襋変콠礿㳻뎧궕緹䯑翜阰痨㔲瞟⒓པ㍆瞈䵉领瑞ஊ㆙襼夝콹礨㳪뎥궕綊䯮翊陮痪㕑矏⒳༭㌢矡䴊飁瑭஥ㆀ褬奌켲礢㳹뎥궕綕䯆翨阁疭㔐瞛⒡༆㌐矅䴄飋琵௉㇆襹夋콠祏㲟돕귐綦䯶翺阼疸㕎矍ⓐཐ㍕瞓䵋飶瑌஭ㆧ褤奝켌祺㲽뎺궗緶䮷羖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㛒ゴᱛ⮼毕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2" t="inlineStr">
        <is>
          <t>A6B78040E328186CA784760D6DFE1E94</t>
        </is>
      </c>
    </row>
    <row r="43">
      <c r="A43" t="inlineStr">
        <is>
          <t>_DM|LnkdItm|_bdm.e59dd4eb15b74531abc6f0cb7224a7f8.edm|_bdm.66cbcd3dd60a4a9abd5c8565eeeabfa4.edm</t>
        </is>
      </c>
      <c r="B4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䵝颞琹௞㇄襣夤콊礿㳻뎧궉綕䯰翚阠痶㕾知Ⓝཉ㍄瞑䵋领琴஻ㆇ褵奿콽礽㳭뎶궀練䮠美阚痵㕑矞Ⓛཉ㌰瞌䵉颖琪௕ㇸ襋変콠礿㳻뎧궕緹䯑翜阰痨㔲瞟⒓པ㍆瞈䵉领瑞ஊ㆙襼够콸礮㳮뎥궕綊䯮翊陮痪㕑矏⒳༭㌢矡䴊飁瑭஥ㆀ褬奌켲礢㳹뎥궕綕䯆翨阁疭㔐瞛⒡༆㌐矅䴄飋琵௉㇆襹夋콠祏㲟돕귐綦䯶翺阼疸㕎矍ⓐཐ㍕瞓䵋飶瑌஭ㆧ褤奝켌祺㲽뎺궗緱䮺羝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䏠⦪棓挩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3" t="inlineStr">
        <is>
          <t>A6B78040E328186CA784760D6DFE1E94</t>
        </is>
      </c>
    </row>
    <row r="44">
      <c r="A44" t="inlineStr">
        <is>
          <t>_DM|LnkdItm|_bdm.e59dd4eb15b74531abc6f0cb7224a7f8.edm|_bdm.29fb3dec4b7e4b589b4542bcc6a24f9d.edm</t>
        </is>
      </c>
      <c r="B4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㶖Ҙ젧⭮㕏矀⒠༝㌜矅䵕颫琂ோ㇕襡変콠礿㳻뎧궉綁䯭翍阗疭㔕瞁Ⓝ༿㌁矃䴘飏瑧அ㇈襣夋콠祖㲨돳귇緸䮠翺阡疽㔖矍ⓝཤ㍮瞑䵋领琨ோ㇕襡変콠礿㳻돎귱緻䯃羘阑痿㕋矟ⓗཙ㌡瞂䵙颞琹௓㇃褂夞콸礫㳬뎷귱緳䯆翨阖痹㔶矖ⓗཕ㍋矸䴯题琅௡㇕襡変콠礿㳻뎧궕緹䮭翪阼疫㔷瞊⒅༇㍚瞼䵡领琨ோ㇕襡変콠礿㳻돔귁綵䯱美陼痶㕾知Ⓝཉ㍄瞑䵋领琨ோ㇉襮奛켣礡㳖뎧궕緥䮢美陳痴㕜瞿⒑༝㍚瞼䵡领琨ோ㇕襽她켲祫㲨뎊궿緥䮢美陳痴㔰瞀⒎༄㌁矟䴟飕琨௄㇋襌変콠礣㳴돳귘緻䮏群陯痧㔷瞎⒗༈㍚</t>
        </is>
      </c>
      <c r="C44" t="inlineStr">
        <is>
          <t>A6B78040E328186CA784760D6DFE1E94</t>
        </is>
      </c>
    </row>
    <row r="45">
      <c r="A45" t="inlineStr">
        <is>
          <t>_DM|LnkdItm|_bdm.e59dd4eb15b74531abc6f0cb7224a7f8.edm|_bdm.f36fc030abb14e4dad84260600b67d89.edm</t>
        </is>
      </c>
      <c r="B4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琾௘㇂襣夤콊礿㳻뎧궉綕䯰翚阠痶㕾知Ⓝཉ㍄瞑䵋领琴஻ㆇ褵奿콽礽㳨뎱궆緲䮠美阚痵㕑矞Ⓛཉ㌰瞌䵉颖琪௕ㇸ襋変콠礿㳻뎧궕緹䯑翜阰痨㔲瞟⒓པ㍆瞈䵉领瑞ஊ㆙襼多콰礩㳨뎥궕綊䯮翊陮痪㕑矏⒳༭㌢矡䴊飁瑭஥ㆀ褬奌켲礢㳹뎥궕綕䯆翨阁疭㔐瞛⒡༆㌐矅䴄飋琵௉㇆襵夋콠祏㲟돕귐綦䯶翺阼疸㕎矍ⓐཛྷ㍐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괊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45" t="inlineStr">
        <is>
          <t>A6B78040E328186CA784760D6DFE1E94</t>
        </is>
      </c>
    </row>
    <row r="46">
      <c r="A46" t="inlineStr">
        <is>
          <t>_DM|LnkdItm|_bdm.e59dd4eb15b74531abc6f0cb7224a7f8.edm|_bdm.2563e6cd75ae49abb536307dda830d96.edm</t>
        </is>
      </c>
      <c r="B4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緶䮷羗陱痨㔣瞫⒥༻㌁矒䴟飴瑡஌㆝褵夋콳礧㳭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46" t="inlineStr">
        <is>
          <t>A6B78040E328186CA784760D6DFE1E94</t>
        </is>
      </c>
    </row>
    <row r="47">
      <c r="A47" t="inlineStr">
        <is>
          <t>_DM|LnkdItm|_bdm.e59dd4eb15b74531abc6f0cb7224a7f8.edm|_bdm.4062a18645fd412897343e0da2800a8a.edm</t>
        </is>
      </c>
      <c r="B4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颖琽௘㇇襣夤콊礿㳻뎧궉綕䯰翚阠痶㕾知Ⓝཉ㍄瞑䵋领琴஻ㆇ褵奿콽礽㳨뎲궆緷䮠美阚痵㕑矞Ⓛཉ㌰瞌䵉颖琪௕ㇸ襋変콠礿㳻뎧궕緹䯑翜阰痨㔲瞟⒓པ㍆瞈䵉领瑞ஊ㆙襼多콰礪㳨뎥궕綊䯮翊陮痪㕑矏⒳༭㌢矡䴊飁瑭஥ㆀ褬奌켲礢㳹뎥궕綕䯆翨阁疭㔐瞛⒡༆㌐矅䴄飋琵௉㇆襲夋콠祏㲟돕귐綦䯶翺阼疸㕎矍ⓐཝ㍖瞓䵋飶瑌஭ㆧ褤奝켌祺㲽뎺궗緱䮺羚陱痨㔣瞫⒥༻㌁矒䴟飴瑡஌㆝褵夋콵礮㳪뎧귥綁䯄翼阶疫㔇瞽⒌༝㌅矅䴂飉瑦௖㇗襱変켕祯㲿돾궈緧䯻翖阺疭㕑矏Ⓐ༙㌀矾䴅颛琪௙㇅襰备콰礭㳵뎳궏練䮱羀陡痱㕝矚ⓓཋ㍄矲䴙飒瑊ஒ㇈襣契켩祺㳹도귇綱䯍翀陮痪㕁矟ⓒཞ㍊瞁䵙颈琹௟㇏襰备콲礦㳵뎷궗緻䮏群陳痨㕓矏Ⓝཉ㍄瞑䵋领琴நㆁ褹夗䎇ḳ溫ꙸ≖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47" t="inlineStr">
        <is>
          <t>A6B78040E328186CA784760D6DFE1E94</t>
        </is>
      </c>
    </row>
    <row r="48">
      <c r="A48" t="inlineStr">
        <is>
          <t>_DM|LnkdItm|_bdm.e59dd4eb15b74531abc6f0cb7224a7f8.edm|_bdm.77a77f309b6a45e0a18de00b2ae59e76.edm</t>
        </is>
      </c>
      <c r="B4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琸௘㇇襳夋콾礒㳑뎧궕緥䮾翾阡疼㔀矑⓮ལ㍄瞑䵋领琨ோ㇉褑奝콠祉㳦뎶궅緵䮱羜陡痽㕑矏⒪པ㍆瞀䵉领瑜௖㇗襱夗콍礕㳻뎧궕緥䮢美陳痴㔠瞝⒀ཉ㌥矁䴛颛琪௒㇗襡奈켬礢㳹뎷궅緶䮰羜陦痪㕓瞠⒏།㍙瞓䵉领瑘யㆳ褑奎켥祑㲮돥귐綷䮿羌陫痪㕓瞿⒧༯㌶矔䴈飒瑊஄ㆁ褵奄콽礽㳨뎷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48" t="inlineStr">
        <is>
          <t>A6B78040E328186CA784760D6DFE1E94</t>
        </is>
      </c>
    </row>
    <row r="49">
      <c r="A49" t="inlineStr">
        <is>
          <t>_DM|LnkdItm|_bdm.e59dd4eb15b74531abc6f0cb7224a7f8.edm|_bdm.20bd2794141f45c388e80ab8a4b80eeb.edm</t>
        </is>
      </c>
      <c r="B4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琿௝㇇襵夋콾礒㳑뎧궕緥䮾翾阡疼㔀矑⓮ལ㍄瞑䵋领琨ோ㇉褑奝콠祉㳦뎶궅緲䮴羜陧痾㕑矏⒪པ㍆瞀䵉领瑜௖㇗襱夗콍礕㳻뎧궕緥䮢美陳痴㔠瞝⒀ཉ㌥矁䴛颛琪௒㇗襡奈켬礢㳹뎷궂緳䮰羚陥痪㕓瞠⒏།㍙瞓䵉领瑘யㆳ褑奎켥祑㲮돥귐綷䮿羌陫痪㕓瞿⒧༯㌶矔䴈飒瑊஄ㆁ褵奄콽礽㳨뎷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㵈ⷞ�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49" t="inlineStr">
        <is>
          <t>A6B78040E328186CA784760D6DFE1E94</t>
        </is>
      </c>
    </row>
    <row r="50">
      <c r="A50" t="inlineStr">
        <is>
          <t>_DM|LnkdItm|_bdm.e59dd4eb15b74531abc6f0cb7224a7f8.edm|_bdm.51cfd290a1074124b89fb9f4ac376687.edm</t>
        </is>
      </c>
      <c r="B5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뎲궀緧䮼羣陙痨㕓矏Ⓝཕ㌴矃䴟飕琶௦ㇿ襡変콠礿㳻돗귇綱䮢翸陮痪㔰瞇⒑ཁ㍝瞇䵞颗琡௘㇙襰夜콢礿㲒뎥궄緧䮢翺陮痪㕃矍ⓝཤ㍮瞑䵋领琨ோ㇕襡夕켓祭㲸돆귅綵䮿羌陪痪㕓瞹⒂༅㍙瞓䴨风瑺௃㇌襷夘콩礬㳷뎲궀緧䮢翡阿疬㕎矍Ⓛཉ㌴矵䴭飶瑩஌㆐褏奄켢祺㲩뎥궍緧䮢翾阗疎㔡瞊⒀༝㌦矞䴟飒瑧ஆ㇈襣夙콸礽㳻돃귳綗䯧翍阧疜㔜瞟ⓞཋ㍗瞀䵜预琨஻ㆱ複奌켣祫㲗돡귁緸䮠羝陦痼㕑矏⒳༭㌢矣䴎飅瑼ஹ㆜褦奝콽礽㳨뎱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㫒뽻⦛穅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0" t="inlineStr">
        <is>
          <t>A6B78040E328186CA784760D6DFE1E94</t>
        </is>
      </c>
    </row>
    <row r="51">
      <c r="A51" t="inlineStr">
        <is>
          <t>_DM|LnkdItm|_bdm.e59dd4eb15b74531abc6f0cb7224a7f8.edm|_bdm.ece7fd61783b4406a75ba055129931eb.edm</t>
        </is>
      </c>
      <c r="B5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䴨风瑺௃㇌襷夘콩礬㳷뎵권緧䮼羣陙痨㕓矏Ⓝཕ㌴矃䴟飕琶௦ㇿ襡変콠礿㳻돗귇綱䮢翸陮痪㔰瞇⒑ཁ㍝瞇䵞颗琡௘㇙襳夐콢礿㲒뎥궄緧䮢翺陮痪㕃矍ⓝཤ㍮瞑䵋领琨ோ㇕襡夕켓祭㲸돆귅綵䮿羌陪痪㕓瞹⒂༅㍙瞓䴨风瑺௃㇌襷夘콩礬㳷뎵권緧䮢翡阿疬㕎矍Ⓛཉ㌴矵䴭飶瑩஌㆐褏奄켢祺㲩뎥궍緧䮢翾阗疎㔡瞊⒀༝㌦矞䴟飒瑧ஆ㇈襣夙콸礽㳻돃귳綗䯧翍阧疜㔜瞟ⓞཋ㍗瞀䵜预琨஻ㆱ複奌켣祫㲗돡귁緸䮠羚除痱㕑矏⒳༭㌢矣䴎飅瑼ஹ㆜褦奝콽礽㳮뎶궗緥䯒翪阕疚㔖瞌⒗༻㌋矅䴊飒瑡஄㆛襼夙콢礿㲎돣귷綼䮿羌阪疰㔚瞊Ⓛཉ㌱矁䴏飩瑦௖㇗襳夘콷礱㳫뎩궄緱䮸羟陠痦㕁矖Ⓧཛྷ㍔瞓䵋飥瑺டㆷ褸夋켹祧㲲뎥궕綆䯰翚阜疦㕎矍ⓑཙ㍕瞆䵅颖琺௅㇄襵夘콳礱㳩뎩궀緵䮠羐陞痂㕓矏Ⓝཉ㍄瞑䵋领琨ோ㇉褂契켴礡봱듐�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51" t="inlineStr">
        <is>
          <t>A6B78040E328186CA784760D6DFE1E94</t>
        </is>
      </c>
    </row>
    <row r="52">
      <c r="A52" t="inlineStr">
        <is>
          <t>_DM|LnkdItm|_bdm.e59dd4eb15b74531abc6f0cb7224a7f8.edm|_bdm.3830a3d09cac44f6adba6277902fa7d6.edm</t>
        </is>
      </c>
      <c r="B5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襲夋콾礒㳑뎧궕緥䮾翾阡疼㔀矑⓮ལ㍄瞑䵋领琨ோ㇉褑奝콠祉㳦뎶궅緳䮳羜陠痱㕑矏⒪པ㍆瞀䵉领瑜௖㇗襱夗콍礕㳻뎧궕緥䮢美陳痴㔠瞝⒀ཉ㌥矁䴛颛琪௒㇗襡奈켬礢㳹뎷궃練䮰羝陪痪㕓瞠⒏།㍙瞓䵉领瑘யㆳ褑奎켥祑㲮돥귐綷䮿羌陫痪㕓瞿⒧༯㌶矔䴈飒瑊஄ㆁ褵奄콽礽㳩뎳궗緥䯒翪阕疚㔖瞌⒗༽㌋矁䵖预琻௛㇁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皮齊临㢫읣웒⪮ௗ㇚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52" t="inlineStr">
        <is>
          <t>A6B78040E328186CA784760D6DFE1E94</t>
        </is>
      </c>
    </row>
    <row r="53">
      <c r="A53" t="inlineStr">
        <is>
          <t>_DM|LnkdItm|_bdm.e59dd4eb15b74531abc6f0cb7224a7f8.edm|_bdm.d243421750a44811b9e59095dec3cf61.edm</t>
        </is>
      </c>
      <c r="B5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襹夋콾礒㳑뎧궕緥䮾翾阡疼㔀矑⓮ལ㍄瞑䵋领琨ோ㇉褑奝콠祉㳦뎶궄緶䮶羟陫痾㕑矏⒪པ㍆瞀䵉领瑜௖㇗襱夗콍礕㳻뎧궕緥䮢美陳痴㔠瞝⒀ཉ㌥矁䴛颛琪௒㇗襡奈켬礢㳹뎶궆緱䮳羖陥痪㕓瞠⒏།㍙瞓䵉领瑘யㆳ褑奎켥祑㲮돥귐綷䮿羌陫痪㕓瞿⒧༯㌶矔䴈飒瑊஄ㆁ褵奄콽礽㳩뎳궗緥䯒翪阕疚㔖瞌⒗༽㌋矁䵖预琻௛㇁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ᗯֹ⇀뽻矏Ⓥ就簩瞋㬕횡▎ூ㇉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53" t="inlineStr">
        <is>
          <t>A6B78040E328186CA784760D6DFE1E94</t>
        </is>
      </c>
    </row>
    <row r="54">
      <c r="A54" t="inlineStr">
        <is>
          <t>_DM|LnkdItm|_bdm.e59dd4eb15b74531abc6f0cb7224a7f8.edm|_bdm.39f803aa963a424c88ad0627a5484f52.edm</t>
        </is>
      </c>
      <c r="B5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颖琻௙㇗西夣콠礿㳻뎻귥綷䯶翝陭病㕹矏Ⓝཉ㍄瞑䵋颚瑘ஙㆁ襡夔콢礭㳫뎵궗緥䯋羓陱痹㕑矏Ⓑཔ㍆瞁䵉题琅௡㇕襡変콠礿㳻뎻귦綷䯡美阒疸㔃矒Ⓛཐ㍆瞑䴽飇瑤௖㇗襳多콲礽㳻돫귑緸䮠羌陳疘㔷瞩⒳༈㌃矔䴥飓瑥உ㆐褳夋콸礽㳻돃귳綗䯧翍阧疊㔜瞛⒗༆㌉瞌䵉颔琾௒㇗襡奭켆祍㲾돳귡綪䯲羓陱痺㕄矖Ⓛ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➅ꕐિ毹蕡洐⤗䵗颉瑋டㆍ褵夤콊礿㳻뎧궕緥䮢美陳痨㕏瞫⒌༊㌠矔䴍飈琨஽㆐褳奀켯祱㳦뎵궗緥䯋翝阃疼㔁矒Ⓛ༽㌖矄䴎预琶௦ㇿ襡変콠礿㳻뎧궕緥䮢美陯疁㔷矑⒢ཟ㌦瞆䵓颖琼௛ㆰ襲夑콱礧㳭돆궂緽䮶羙陥痸㔷矙⒧༯㌡瞀䴮颟琼ௗ㇚褈夗콍礕㳻뎧궕緥䮢美陳痨㕓矓Ⓦ༭㌋矒䴯飃瑮அ㇋襌変콠礿㳻뎧궕緥䮢美陯疛㔇瞟⒐ཉ㍋瞏䵦颬琨ோ㇕襡変콠礿㳧돔귇綦䮼羣陙痨㕓矏Ⓝཉ㍄瞍䵄飶瑺ட㇋襌変콠礿㳻뎨귥綷䯶翝陭病㕹矏Ⓝཉ㍄瞍䴨飉瑥ஆ㆐褯奚콠礰㳥뎍궕緥䮾羁阚疼㔞矑⓮ལ㍘瞞䴯飇瑼ஊ㇋</t>
        </is>
      </c>
      <c r="C54" t="inlineStr">
        <is>
          <t>A6B78040E328186CA784760D6DFE1E94</t>
        </is>
      </c>
    </row>
    <row r="55">
      <c r="A55" t="inlineStr">
        <is>
          <t>_DM|LnkdItm|_bdm.e59dd4eb15b74531abc6f0cb7224a7f8.edm|_bdm.04bc48f0119f47058654c6437ac8e527.edm</t>
        </is>
      </c>
      <c r="B5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颓琹௒㇗西夣콠礿㳻뎻귥綷䯶翝陭病㕹矏Ⓝཉ㍄瞑䵋颚瑘ஙㆁ襡夔콢礭㳮뎾궗緥䯋羓陱痹㕑矏Ⓑཔ㍆瞁䵉题琅௡㇕襡変콠礿㳻뎻귦綷䯡美阒疸㔃矒Ⓛཐ㍆瞑䴽飇瑤௖㇗襳夘콹礽㳻돫귑緸䮠羌陳疘㔷瞩⒳༈㌃矔䴥飓瑥உ㆐褳夋콸礽㳻돃귳綗䯧翍阧疊㔜瞛⒗༆㌉瞌䵉颔琾௒㇗襡奭켆祍㲾돳귡綪䯲羓陱痺㕄矖Ⓛ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ꡉ㚾뛧묙㧒‫폏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55" t="inlineStr">
        <is>
          <t>A6B78040E328186CA784760D6DFE1E94</t>
        </is>
      </c>
    </row>
    <row r="56">
      <c r="A56" t="inlineStr">
        <is>
          <t>_DM|LnkdItm|_bdm.e59dd4eb15b74531abc6f0cb7224a7f8.edm|_bdm.b9e745e01dce4afaa6291e47bc8b2b09.edm</t>
        </is>
      </c>
      <c r="B5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䵙颐琿௜㇗西夣콠礿㳻뎻귥綷䯶翝陭病㕹矏Ⓝཉ㍄瞑䵋颚瑘ஙㆁ襡夔콢礭㳭뎰궗緥䯋羓陱痹㕑矏Ⓑཔ㍆瞁䵉题琅௡㇕襡変콠礿㳻뎻귦綷䯡美阒疸㔃矒Ⓛཐ㍆瞑䴽飇瑤௖㇗襳夞콷礽㳻돫귑緸䮠羌陳疘㔷瞩⒳༈㌃矔䴥飓瑥உ㆐褳夋콸礽㳻돃귳綗䯧翍阧疊㔜瞛⒗༆㌉瞌䵉颔琽௜㇗襡奭켆祍㲾돳귡綪䯲羓陱痺㕅矙Ⓛ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欇⥉ⓟ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56" t="inlineStr">
        <is>
          <t>A6B78040E328186CA784760D6DFE1E94</t>
        </is>
      </c>
    </row>
    <row r="57">
      <c r="A57" t="inlineStr">
        <is>
          <t>_DM|LnkdItm|_bdm.e59dd4eb15b74531abc6f0cb7224a7f8.edm|_bdm.478d0d7f1a454e8fb19c0ec8b549b50a.edm</t>
        </is>
      </c>
      <c r="B5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颔琿௘㇗西夣콠礿㳻뎻귥綷䯶翝陭病㕹矏Ⓝཉ㍄瞑䵋颚瑘ஙㆁ襡夔콢礬㳩뎴궗緥䯋羓陱痹㕑矏Ⓑཔ㍆瞁䵉题琅௡㇕襡変콠礿㳻뎻귦綷䯡美阒疸㔃矒Ⓛཐ㍆瞑䴽飇瑤௖㇗襲夞콳礽㳻돫귑緸䮠羌陳疘㔷瞩⒳༈㌃矔䴥飓瑥உ㆐褳夋콸礽㳻돃귳綗䯧翍阧疊㔜瞛⒗༆㌉瞌䵉颔琽௜㇗襡奭켆祍㲾돳귡綪䯲羓陱痺㕅矙Ⓛཉ㌴矵䴭飴瑭ஈㆁ褍奏켴礢㳹뎿궍緧䮢翾阗疎㔡瞊⒀༝㌶矘䴌风瑼௖㇗襴夘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炙鸎㫲듗妯믹궕緭ᣚャ险ζ筴♩Ⓤཕ㍋矲䴟飞瑼௕ㇸ襋変콠礿㳻뎧궕緥䮢羒阗疧㔐瞫⒆༏㌊瞑䴽飃瑺஘㆜褮夔콢礭㳹돎귆綕䯶翜陮痪㔧瞝⒖༌㍆瞏䵦颬琨ோ㇕襡変콠礿㳻뎧궕緹䯋翪陭疉㕅瞭ⓔད㍔瞅䵛飣琻௙㇍襰够켃神㳬뎳궂緳䮲翪陥疌㔵瞪ⓒ༬㍝瞅䵗颉瑁ய㇋襌変콠礿㳻뎧궕緥䮢美陯痧㔷瞀⒀༭㌁矗䴅题琅௡㇕襡変콠礿㳻뎧궕緹䯑翚阣疻㕓矀ⓝཤ㍮瞑䵋领琨ோ㇕襡夕콯祌㲩뎹궸総䮢美陳痨㕓矏ⓟཆ㌴矃䴟题琅௡㇕襡変콼礰㲋돳귆緻䮏群陳痨㕓矏ⓟ༪㌋矜䴆飃瑦டㆆ襡夗콍礕㳻뎻궚綌䯶翃陭病㕹矓Ⓦ༭㌅矅䴊题</t>
        </is>
      </c>
      <c r="C57" t="inlineStr">
        <is>
          <t>A6B78040E328186CA784760D6DFE1E94</t>
        </is>
      </c>
    </row>
    <row r="58">
      <c r="A58" t="inlineStr">
        <is>
          <t>_DM|LnkdItm|_bdm.e59dd4eb15b74531abc6f0cb7224a7f8.edm|_bdm.28cd3d1c1c6c4c4ea7c04d8ac5b60c3c.edm</t>
        </is>
      </c>
      <c r="B5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预琶௦ㇿ襡変콠礣㲋돳귆緻䮏群陳痨㕓矏Ⓝཉ㍘矡䴙飒琨஽㇈襣夋콠祖㳦뎶궗緥䯖羓陱痸㕑矑⓮ལ㍄瞑䵋领琨ோ㇕襡奺켲祼㳻돷귅緸䮠羗陱痨㔥瞎⒏པ㍆瞈䵉领瑇இ㆑襼夋콠祏㲟돗귔綢䯧翠阦疥㔑瞊⒑པ㍆瞉䵉领瑘யㆳ褓奊켴祝㲴돳귚綨䮿羌陡痼㕅矍Ⓝ༹㌠矷䴹飃瑫டㆡ褮夔콢礭㳮뎥궕綕䯆翨阁疭㔐瞛⒯༌㌂矅䵖预琻௓㇄襣她켄祙㲉돤귁綗䯫翉阻疼㕎矍ⓐད㍒瞓䵋飶瑌஭ㆧ褤奝켒祰㲯돳규綪䯬羓陱痸㕑矏Ⓐ༙㌀石䴒颛琪ஒㆍ褨夋콠祊㲫돈귛緸䮠羜陣痹㕄矁ⓓཛ㍊瞀䵟颜琹௘㇛襳备콵礯㳹도귇綱䯀翗陮痪㔊瞗⒊༌㍆瞑䴨飔瑼த㆛襼夛콰礮㳬뎷궇緫䮳羚险痹㕀矁ⓑཐ㍊瞄䵛预琶௦ㇿ襡変콠礿㳻뎧궕緥䮾翭阧疰㔇矑듣輞丂㥩紀흤䒃腔咁狹셤콠⭒곸鑱ﲝ➽⎱ᔤ羒陼疋㔇瞗⒗བྷ㍩瞻䵋领琨ோ㇕襡変콠礿㳧돨귖綁䯧翈阽痨㔥瞊⒑༚㌍矞䴅颛琪௙㇗襡奚켐祫㲩뎥귡綷䯷翋陱痶㕾知Ⓝཉ㍄瞑䵋领琨ோ㇕襡変콼祖㲟돆궃綇䮵羖陣痼㕃瞪ⓐཛ㍜瞀䵓颐瑋ப㇂襹夞콶礯㲟돃귳綀䮳翫陪痼㕏矀⒪༭㍚瞼䵡领琨ோ㇕襡変콠礿㳻뎨귱綪䯡翪阶疮㔝矑⓮ལ㍄瞑䵋领琨ோ㇕襡変콼祌㲯돴궕緪䮼羣陙痨㕓矏Ⓝཉ㍄瞑䵋颚琧ஸㆇ褢夤콊礿㳻뎧궕緥䮾羁阃疺㔇矑⓮ལ㍄瞑䵋领琴௄ㆥ褳奚콾礒㳑뎧궕緥䮾翭阼疥㔞瞊⒍༝㌗瞑䵄题琅௡㇕襡夆켉祫㲶뎊궿緹䮭翪防疼㔒矑</t>
        </is>
      </c>
      <c r="C58" t="inlineStr">
        <is>
          <t>A6B78040E328186CA784760D6DFE1E94</t>
        </is>
      </c>
    </row>
    <row r="59">
      <c r="A59" t="inlineStr">
        <is>
          <t>_DM|LnkdItm|_bdm.e59dd4eb15b74531abc6f0cb7224a7f8.edm|_bdm.ae2195380a7044b4bbbadc0c08d2b16a.edm</t>
        </is>
      </c>
      <c r="B5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琪௕ㇸ襋変콠礿㳧돵귁綶䮼羣陙痨㕓矏Ⓝཉ㍄瞍䴻飔瑼ோㆣ襼夘콲礽㳻뎺궗練䮠美阇痵㕑矟Ⓛབྷ㍩瞻䵋领琨ோ㇕襡変콼祌㲩뎧귴綵䯲羓陱痱㕑矏⒵༈㌈瞌䵉颗琺௉㇕褎奍콽礽㳹돗귱綃䯒翏阴疭㔽瞚⒎་㌁矃䵖预琰௉㇕褑奯켒祺㲸독귚綱䯶翁阾痵㕑矝ⓗཟ㍆瞑䴻飢瑎ஹ㆐褢好켯祯㳦뎵궀緱䮠美阃疌㔵瞽⒆༊㌐矽䴎飀瑼௖㇗襴夛콢礿㲋돁귧綠䯡翚阁疡㔔瞇⒗པ㍆瞄䵚颗琪ோㆥ褅奻켥祼㲯돨귁綤䯶翇阼疦㕎矍ⓓཋ㍄矤䴛飂瑊ஒ㇈襣契켩祺㳹돒귅綡䯍翀陮痪㕁矟ⓒཞ㍊瞁䵙颈琹௟㇏襰备콲礦㳵뎷궗緥䯁翜阧疊㔊矒Ⓛ༐㌜矘䴎预琨நㆇ褵奇콽礽㳩뎶궂緫䮲羜陽痹㕇矕ⓒཚ㍊瞃䵒颈琽௛㇗西夣콠礿㳻뎧궕緥䮢美陳痴㔰瞛⒛༝㍚촜㫐㮀縷맊牎㱝뉯꒖뎯ﻭ㊈䮸৐�⑎㕚矓Ⓦ༪㌐矉䴟题琅௡㇕襡変콠礿㳻뎧궕緹䯆翁阰疌㔖瞉⒍ཉ㌲矔䴙飕瑡஄㆛襼夛콢礿㲒돗귁綷䮿羌阇疺㔆瞊Ⓛབྷ㍩瞻䵋领琨ோ㇕襡変콠礿㳻뎻근綁䮼翯陥疊㕄矗ⓓཝ㍔矴䵘颔琰௚㇍襷奨콷礧㳯뎱궅綁䮴翪阕疍㕂瞪ⓚཝ㍘瞞䴢飢琶௦ㇿ襡変콠礿㳻뎧궕緥䮾羁阗疧㔐瞫⒆༏㌊瞏䵦颬琨ோ㇕襡変콠礿㳻뎻귦綱䯲翝陳痧㕍矢ⓩཉ㍄瞑䵋领琨ோ㇕襽奺켲祼㳥뎍궕緥䮢美陳痨㕏矀⒳༛㌐瞏䵦颬琨ோ㇕襡夆켐祭㲯뎹궸総䮢美陳痨㕏瞬⒌༄㌉矔䴅飒瑻ோ㇚西夣콠礿㳧돎귁綨䮼羣陙痴㕜瞫⒂༝㌅瞏</t>
        </is>
      </c>
      <c r="C59" t="inlineStr">
        <is>
          <t>A6B78040E328186CA784760D6DFE1E94</t>
        </is>
      </c>
    </row>
    <row r="60">
      <c r="A60" t="inlineStr">
        <is>
          <t>_DM|LnkdItm|_bdm.e59dd4eb15b74531abc6f0cb7224a7f8.edm|_bdm.9bb3a86ce1834f5688e293cc43651f63.edm</t>
        </is>
      </c>
      <c r="B6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䵟频琹௒㇗西夣콠礿㳻뎻귥綷䯶翝陭病㕹矏Ⓝཉ㍄瞑䵋颚瑘ஙㆁ襡夔콢礫㳬뎾궗緥䯋羓陱痹㕑矏Ⓑཔ㍆瞁䵉题琅௡㇕襡変콠礿㳻뎻귦綷䯡美阒疸㔃矒Ⓛཐ㍆瞑䴽飇瑤௖㇗襵夘콹礽㳻돫귑緸䮠羌陳疘㔷瞩⒳༈㌃矔䴥飓瑥உ㆐褳夋콸礽㳻돃귳綗䯧翍阧疊㔜瞛⒗༆㌉瞌䵉颔琻௚㇗襡奭켆祍㲾돳귡綪䯲羓陱痺㕇矟Ⓛཉ㌴矵䴭飴瑭ஈㆁ褍奏켴礢㳹뎱궆緧䮢翾阗疎㔡瞊⒀༝㌶矘䴌风瑼௖㇗襲够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朾妳䁳륬⧅Ꮝ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60" t="inlineStr">
        <is>
          <t>A6B78040E328186CA784760D6DFE1E94</t>
        </is>
      </c>
    </row>
    <row r="61">
      <c r="A61" t="inlineStr">
        <is>
          <t>_DM|LnkdItm|_bdm.e59dd4eb15b74531abc6f0cb7224a7f8.edm|_bdm.64d4c274969c49299fc3f70ddd9c8b3d.edm</t>
        </is>
      </c>
      <c r="B6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䵞颞琸௝㇗西夣콠礿㳻뎻귥綷䯶翝陭病㕹矏Ⓝཉ㍄瞑䵋颚瑘ஙㆁ襡夔콢礪㳣뎱궗緥䯋羓陱痹㕑矏Ⓑཔ㍆瞁䵉题琅௡㇕襡変콠礿㳻뎻귦綷䯡美阒疸㔃矒Ⓛཐ㍆瞑䴽飇瑤௖㇗襴夙콶礽㳻돫귑緸䮠羌陳疘㔷瞩⒳༈㌃矔䴥飓瑥உ㆐褳夋콸礽㳻돃귳綗䯧翍阧疊㔜瞛⒗༆㌉瞌䵉颔琻௚㇗襡奭켆祍㲾돳귡綪䯲羓陱痺㕇矟Ⓛཉ㌴矵䴭飴瑭ஈㆁ褍奏켴礢㳹뎿궍緧䮢翾阗疎㔡瞊⒀༝㌶矘䴌风瑼௖㇗襴夛콢礿㲋돁귧綠䯡翚阁疧㔇瞎⒗ༀ㌋矟䵖预琸௉㇕褔奍켂祦㳦돾귍綬䯧羌陳疝㔃瞋⒬༇㍙瞓䵙颖琹௜㇛襱备콱礫㳡뎴궛緷䮻羀陦痸㕑矏⒠༛㌐石䴒颛琪ஒㆍ褨夋콠祜㲩돈귛緸䮠羜陣痹㕄矁ⓓཛ㍊瞀䵟颜琹௘㇛襳备콵礯㳹뎊궿緥䮢美陳痨㕓矏Ⓝཉ㍄瞍䴨飒瑰ட㇋뤜좟៿Ｎ⨚帷묈앍킚폏⮦ᱛ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1" t="inlineStr">
        <is>
          <t>A6B78040E328186CA784760D6DFE1E94</t>
        </is>
      </c>
    </row>
    <row r="62">
      <c r="A62" t="inlineStr">
        <is>
          <t>_DM|LnkdItm|_bdm.e59dd4eb15b74531abc6f0cb7224a7f8.edm|_bdm.ac71aacc7e6f4100a864c6de763d6644.edm</t>
        </is>
      </c>
      <c r="B6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琾௞㇌襴夋콾礒㳑뎧궕緥䮾翾阡疼㔀矑⓮ལ㍄瞑䵋领琨ோ㇉褑奝콠祉㳦뎶궅緳䮷羗陦痱㕑矏⒪པ㍆瞀䵉领瑜௖㇗襱夗콍礕㳻뎧궕緥䮢美陳痴㔠瞝⒀ཉ㌥矁䴛颛琪௒㇗襡奈켬礢㳹뎷궃緰䮻羛陪痪㕓瞠⒏།㍙瞓䵉领瑘யㆳ褑奎켥祑㲮돥귐綷䮿羌陫痪㕓瞿⒧༯㌶矔䴈飒瑊஄ㆁ褵奄콽礽㳩뎿궗緥䯒翪阕疚㔖瞌⒗༽㌋矁䵖预琺௙㇂襣她켄祙㲉돤귁綉䯧翈阧痵㕑矜ⓗཛྷ㍆瞑䴻飢瑎ஹ㆐褢奻켩祸㲳뎺궗緶䮺羘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듀爹籾ﶹጟ였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2" t="inlineStr">
        <is>
          <t>A6B78040E328186CA784760D6DFE1E94</t>
        </is>
      </c>
    </row>
    <row r="63">
      <c r="A63" t="inlineStr">
        <is>
          <t>_DM|LnkdItm|_bdm.e59dd4eb15b74531abc6f0cb7224a7f8.edm|_bdm.8a396abf520343a9837fad23771b15f8.edm</t>
        </is>
      </c>
      <c r="B6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琻௒㇌襸夋콾礒㳑뎧궕緥䮾翾阡疼㔀矑⓮ལ㍄瞑䵋领琨ோ㇉褑奝콠祉㳦뎶궄緶䮻羗陪痺㕑矏⒪པ㍆瞀䵉领瑜௖㇗襱夗콍礕㳻뎧궕緥䮢美陳痴㔠瞝⒀ཉ㌥矁䴛颛琪௒㇗襡奈켬礢㳹뎶궆緼䮻羗陡痪㕓瞠⒏།㍙瞓䵉领瑘யㆳ褑奎켥祑㲮돥귐綷䮿羌陫痪㕓瞿⒧༯㌶矔䴈飒瑊஄ㆁ褵奄콽礽㳩뎿궗緥䯒翪阕疚㔖瞌⒗༽㌋矁䵖预琺௙㇂襣她켄祙㲉돤귁綉䯧翈阧痵㕑矛ⓔཙ㍆瞑䴻飢瑎ஹ㆐褢奻켩祸㲳뎺궗緰䮳羟陱痨㔣瞫⒥༻㌁矒䴟飴瑧ட㆔褵奆켮礢㳹뎥궕綐䯲翊阑疱㕎矍⒚༑㌍矔䵉领瑝஛㆑褎夔콢礭㳫뎰궛緵䮰羀院痼㕉矞ⓐཇ㍖瞈䵅颓琸௉㇕褂奝켂祦㳦돾귍綬䯧羌陳疋㔁瞛⒬༇㍙瞓䵙颖琹௜㇛襱备콱礫㳡뎴궛緷䮻羀陦痸㕑矑⓮ལ㍄瞑䵋领琨ோ㇕襡変콼祜㲯돳궋Ñ읅ઍ쉛￀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3" t="inlineStr">
        <is>
          <t>A6B78040E328186CA784760D6DFE1E94</t>
        </is>
      </c>
    </row>
    <row r="64">
      <c r="A64" t="inlineStr">
        <is>
          <t>_DM|LnkdItm|_bdm.e59dd4eb15b74531abc6f0cb7224a7f8.edm|_bdm.b57b1136901d4ca08e742aae1afbdf97.edm</t>
        </is>
      </c>
      <c r="B6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颗琹௞㇃襶夋콾礒㳑뎧궕緥䮾翾阡疼㔀矑⓮ལ㍄瞑䵋领琨ோ㇉褑奝콠祉㳦뎶궄練䮷羘除痸㕑矏⒪པ㍆瞀䵉领瑜௖㇗襱夗콍礕㳻뎧궕緥䮢美陳痴㔠瞝⒀ཉ㌥矁䴛颛琪௒㇗襡奈켬礢㳹뎶궄緰䮴羙陣痪㕓瞠⒏།㍙瞓䵉领瑘யㆳ褑奎켥祑㲮돥귐綷䮿羌陫痪㕓瞿⒧༯㌶矔䴈飒瑊஄ㆁ褵奄콽礽㳩뎲궗緥䯒翪阕疚㔖瞌⒗༽㌋矁䵖预琺௚㇁襣她켄祙㲉돤귁綉䯧翈阧痵㕑矜ⓗཛྷ㍆瞑䴻飢瑎ஹ㆐褢奻켩祸㲳뎺궗緶䮺羙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崤ꍇૡɱኮ⩼啍㇉襮奝켸祫㳥뎍궕緥䮢美陳痨㕓矏Ⓝཉ㍘矵䴄飅瑌எ㆓褯奿켥祭㲨돨귛緸䮠羜陱痨㔺瞜⒳༝㌖瞌䵉飲瑺ஞ㆐襣夤콊礿㳻뎧궕緥䮢美陳痨㕓矏ⓟ༠㌠瞏䴪颐瑊௜㇍襱夙켅礬㳩뎶궍緳䯁翯除痰㕇矘ⓕཙ㌠瞇䴯飠瑍௚ㆰ襸夕콯祖㲟뎊궿緥䮢美陳痨㕓矏Ⓝཉ㍄瞍䵄飢瑧ஈㆱ褤奇콾礒㳑뎧궕緥䮢美陳痨㕓矏ⓟ༺㌐矁䴘领琧௕ㇸ襋変콠礿㳻뎧궕緹䮭翽阡疫㕍矢ⓩཉ㍄瞑䵋领琨ௗ㇚褑奝콾礒㳑뎧궕緥䮾羁阃疺㔇瞜ⓝཤ㍮瞑䵋领琨ௗㆶ褮奄켥祱㲯뎧궚緻䮏群陳痨㕏矀⒪༝㌉瞏䵦颬琴௄ㆱ褠奈콾</t>
        </is>
      </c>
      <c r="C64" t="inlineStr">
        <is>
          <t>A6B78040E328186CA784760D6DFE1E94</t>
        </is>
      </c>
    </row>
    <row r="65">
      <c r="A65" t="inlineStr">
        <is>
          <t>_DM|LnkdItm|_bdm.e59dd4eb15b74531abc6f0cb7224a7f8.edm|_bdm.fcf3a2b2e51e412099081a14a07ddcc0.edm</t>
        </is>
      </c>
      <c r="B6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颔琸௓㇄襵夋콾礒㳑뎧궕緥䮾翾阡疼㔀矑⓮ལ㍄瞑䵋领琨ோ㇉褑奝콠祉㳦뎶궇緵䮺羟陧痼㕑矏⒪པ㍆瞀䵉领瑜௖㇗襱夗콍礕㳻뎧궕緥䮢美陳痴㔠瞝⒀ཉ㌥矁䴛颛琪௒㇗襡奈켬礢㳹뎵궅緽䮳羚陧痪㕓瞠⒏།㍙瞓䵉领瑘யㆳ褑奎켥祑㲮돥귐綷䮿羌陫痪㕓瞿⒧༯㌶矔䴈飒瑊஄ㆁ褵奄콽礽㳩뎲궗緥䯒翪阕疚㔖瞌⒗༽㌋矁䵖预琺௚㇁襣她켄祙㲉돤귁綉䯧翈阧痵㕑矛ⓔཙ㍆瞑䴻飢瑎ஹ㆐褢奻켩祸㲳뎺궗緰䮳羜陱痨㔣瞫⒥༻㌁矒䴟飴瑧ட㆔褵奆켮礢㳹뎥궕綐䯲翊阑疱㕎矍⒚༑㌍矔䵉领瑝஛㆑褎夔콢礭㳫뎰궛緵䮰羀院痼㕉矞ⓐཇ㍖瞈䵅颓琸௉㇕褂奝켂祦㳦돾귍綬䯧羌陳疋㔁瞛⒬༇㍙瞓䵙颖琹௜㇛襱备콱礫㳡뎴궛緷䮻羀陦痸㕑矑⓮ལ㍄瞑䵋领琨ோ㇕襡変콼祜㲯돳궋ᬷʺ᪔ë慻﷧Ⓝཁ怼㣼䵑㨏婭㇜襽奪켴祧㲯뎊궿緥䮢美陳痨㕓矏Ⓝཉ㍄瞍䴯飉瑫ய㆐褧変켖祺㲩돮귚綫䮿羌陡痪㕓瞦⒐༹㌐矃䵖预瑜ஙㆀ褤夗콍礕㳻뎧궕緥䮢美陳痨㕓矏Ⓝཕ㌭矵䵕飧琾ன㇂襹夝콰祚㳨뎿궄緽䮴翭阒痿㕋矛ⓔཟ㍔矵䵝飢瑎ம㇄褄夝콼礰㲒뎹궸総䮢美陳痨㕓矏Ⓝཉ㍄瞑䵗颉瑌஄㆖褅奏켮礡㳖뎧궕緥䮢美陳痨㕓矏Ⓝཕ㌷矅䴛飕琨௄㇋襌変콠礿㳻뎧궕緥䮾羁阀疺㔐矑⓮ལ㍄瞑䵋领琨ோ㇉襮奛켴礡㳖뎧궕緥䮢羒陼疘㔁瞛⒐བྷ㍩瞻䵋领琨ோ㇉褂奄켭祺㲵돴궕緪䮼羣陙痨㕓矓Ⓦ༠㌐矜䵕颫琂ௗ㇚褅奝켡礡</t>
        </is>
      </c>
      <c r="C65" t="inlineStr">
        <is>
          <t>A6B78040E328186CA784760D6DFE1E94</t>
        </is>
      </c>
    </row>
    <row r="66">
      <c r="A66" t="inlineStr">
        <is>
          <t>_DM|LnkdItm|_bdm.e59dd4eb15b74531abc6f0cb7224a7f8.edm|_bdm.8a1f80d6075f4ec4ba6ec3eb4556f93b.edm</t>
        </is>
      </c>
      <c r="B6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琱௅㇌襶夗콍礕㳻뎧궕緹䯒翜阧疻㕍矢ⓩཉ㍄瞑䵋领琨ௗㆥ褳変켖礢㳹뎾권緫䮻羙陱痨㔺矒Ⓛམ㍆瞑䴿颛琪௛㇗西夣콠礿㳻뎧궕緥䮢羒阀疺㔐矏⒢༙㌔瞌䵉颟琪ோㆣ褠夔콢礮㳢뎩권緲䮠美阜疤㔗矒Ⓛཋ㍄矡䴯飠瑘ஊ㆒褤奜켭祽㲾뎺궗緼䮠美阃疌㔵瞽⒆༊㌐石䴄飒瑼஄㆘襼夞콰礭㳹돗귱綃䯐翋阰疼㔧瞀⒓པ㍆瞆䵚颗琪ோㆥ褅奻켥祼㲯돢귓綱䮿羌陠痽㕇矍Ⓝ༹㌠矷䴹飃瑫டㆧ褨奁켴礢㳹뎿궂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㝭緥䮪⳶�痲䌍㧨略ཀ㍘瞞䴨飒瑰ட㇋襌変콠礿㳻뎧궕緥䮢美陯疌㔜瞌⒧༌㌂矟䵋飰瑭ஙㆆ褨奇콽礽㳩뎧근綶䯒翚阡痵㕑瞻⒑༜㌁瞓䵕颫琂ோ㇕襡変콠礿㳻뎧궕緥䮾翧阗痶㔲矙⒡ཞ㍜瞁䵟颖瑍௘㇇襹夑콶祜㲚뎿궁緲䮴羞阗痾㔷瞩⒦མ㌡瞈䵟颚琧஢ㆱ西夣콠礿㳻뎧궕緥䮢美陳痴㕜瞫⒌༊㌠矔䴍飈琶௦ㇿ襡変콠礿㳻뎧궕緥䮾翽阧疸㔀矏Ⓦབྷ㍩瞻䵋领琨ோ㇕襡変콼礰㲈돤궋緈䮈美陳痨㕓矏Ⓝཕ㍋矡䴙飒琶௦ㇿ襡変콠礣㳴돵귁綶䮼羣陙痨㕓矏Ⓝཕ㌧矞䴆飋瑭அㆁ褲夆콾礒㳑뎧궉緪䯋翚阾痶㕾知ⓟཆ㌠矐䴟飇琶</t>
        </is>
      </c>
      <c r="C66" t="inlineStr">
        <is>
          <t>A6B78040E328186CA784760D6DFE1E94</t>
        </is>
      </c>
    </row>
    <row r="67">
      <c r="A67" t="inlineStr">
        <is>
          <t>_DM|LnkdItm|_bdm.e59dd4eb15b74531abc6f0cb7224a7f8.edm|_bdm.f12474f44ea94e3e852ec728df532be2.edm</t>
        </is>
      </c>
      <c r="B6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颞琦௓㇌襲夗콍礕㳻뎧궕緹䯒翜阧疻㕍矢ⓩཉ㍄瞑䵋领琨ௗㆥ褳変켖礢㳹뎿궛緽䮻羝陱痨㔺矒Ⓛམ㍆瞑䴿颛琪௛㇗西夣콠礿㳻뎧궕緥䮢羒阀疺㔐矏⒢༙㌔瞌䵉颟琪ோㆣ褠夔콢礬㳣뎿권緶䮠美阜疤㔗矒Ⓛཋ㍄矡䴯飠瑘ஊ㆒褤奜켭祽㲾뎺궗緼䮠美阃疌㔵瞽⒆༊㌐石䴄飒瑼஄㆘襼够콹礯㳹돗귱綃䯐翋阰疼㔧瞀⒓པ㍆瞇䵒颟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뇓ﶍ︪㉤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67" t="inlineStr">
        <is>
          <t>A6B78040E328186CA784760D6DFE1E94</t>
        </is>
      </c>
    </row>
    <row r="68">
      <c r="A68" t="inlineStr">
        <is>
          <t>_DM|LnkdItm|_bdm.e59dd4eb15b74531abc6f0cb7224a7f8.edm|_bdm.80c274dfa85d4403b84042828cd86134.edm</t>
        </is>
      </c>
      <c r="B6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颐琹௅㇅襶夋콾礒㳑뎧궕緥䮾翾阡疼㔀矑⓮ལ㍄瞑䵋领琨ோ㇉褑奝콠祉㳦뎶궃練䮬羞除痿㕑矏⒪པ㍆瞀䵉领瑜௖㇗襱夗콍礕㳻뎧궕緥䮢美陳痴㔠瞝⒀ཉ㌥矁䴛颛琪௒㇗襡奈켬礢㳹뎱궄緫䮲羙除痪㕓瞠⒏།㍙瞓䵉领瑘யㆳ褑奎켥祑㲮돥귐綷䮿羌陪痪㕓瞿⒧༯㌶矔䴈飒瑊஄ㆁ褵奄콽礽㳭뎱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ֈɡ쑺̂㕓矇瞻䀤㍞Ǐͬ줠琡ௗ㇚褂契켴礡㳖뎧궕緥䮢美陳痨㕓矏Ⓝཕ㌠矞䴈飢瑭஍㆛襡奌켲祬㲲돩궈緧䮰羌陳疁㔀瞿⒗༛㍙瞓䴿飔瑽எ㇗西夣콠礿㳻뎧궕緥䮢美陳痨㕓矓⒪༭㍚矰䵝飤琿௓㇅襵奬콳礭㳣뎿궃綆䯃羙陫痼㕄矙ⓓ༭㍒矵䴭飣琹ம㇌襵夆켉祛㳥뎍궕緥䮢美陳痨㕓矏Ⓝཉ㍘瞞䴯飉瑫ய㆐褧夗콍礕㳻뎧궕緥䮢美陳痨㕓矓⒰༝㌔矂䵋颉琶௦ㇿ襡変콠礿㳻뎧궉緪䯑翜阰痶㕾知Ⓝཉ㍄瞑䵋领琴௄ㆥ褳夗콍礕㳻뎧궕緹䮭翾阡疼㔀矑⓮ལ㍄瞑䵋领琴ந㆚褬奌켮祫㲨뎨궋緈䮈美陳痴㕜瞦⒗༄㍚瞼䵡颚琧ய㆔褵夗</t>
        </is>
      </c>
      <c r="C68" t="inlineStr">
        <is>
          <t>A6B78040E328186CA784760D6DFE1E94</t>
        </is>
      </c>
    </row>
    <row r="69">
      <c r="A69" t="inlineStr">
        <is>
          <t>_DM|LnkdItm|_bdm.e59dd4eb15b74531abc6f0cb7224a7f8.edm|_bdm.52c835e9359f4ed4b00b4a029f7524c9.edm</t>
        </is>
      </c>
      <c r="B6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琽௅㇍襱夋콾礒㳑뎧궕緥䮾翾阡疼㔀矑⓮ལ㍄瞑䵋领琨ோ㇉褑奝콠祉㳦뎶궅緰䮬羖陣痿㕑矏⒪པ㍆瞀䵉领瑜௖㇗襱夗콍礕㳻뎧궕緥䮢美陳痴㔠瞝⒀ཉ㌥矁䴛颛琪௒㇗襡奈켬礢㳹뎷궀緫䮺羞除痪㕓瞠⒏།㍙瞓䵉领瑘யㆳ褑奎켥祑㲮돥귐綷䮿羌陪痪㕓瞿⒧༯㌶矔䴈飒瑊஄ㆁ褵奄콽礽㳭뎾궗緥䯒翪阕疚㔖瞌⒗༽㌋矁䵖预琾௞㇍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69" t="inlineStr">
        <is>
          <t>A6B78040E328186CA784760D6DFE1E94</t>
        </is>
      </c>
    </row>
    <row r="70">
      <c r="A70" t="inlineStr">
        <is>
          <t>_DM|LnkdItm|_bdm.e59dd4eb15b74531abc6f0cb7224a7f8.edm|_bdm.1dba18d1215a40b798b3c6565529002b.edm</t>
        </is>
      </c>
      <c r="B7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频琾௉㇋襌変콠礿㳻돗귇綱䯱羐陞痂㕓矏Ⓝཉ㍄瞑䵗飶瑺ட㇕褗夋콳礨㳭뎧근緸䮠羟陱痨㔧矒Ⓛཙ㍆瞏䵦颬琨ோ㇕襡変콠礿㳧돵귖緥䯃翞阣痵㕑矖Ⓛཉ㌲矐䴇颛琪௘㇂襷変켏祳㲿뎥궗緥䯒翪阕疘㔒瞈⒆༧㌑矜䴉飃瑺௖㇗襸変켐祛㲝돢귖綱䯀翁阧疼㔜瞂ⓞཋ㍒瞃䵞预琨஻ㆱ複奌켣祫㲏돷궈緧䮴羝陠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堽揜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0" t="inlineStr">
        <is>
          <t>A6B78040E328186CA784760D6DFE1E94</t>
        </is>
      </c>
    </row>
    <row r="71">
      <c r="A71" t="inlineStr">
        <is>
          <t>_DM|LnkdItm|_bdm.e59dd4eb15b74531abc6f0cb7224a7f8.edm|_bdm.e5b4f87e23b44b1ead651c26be6017f2.edm</t>
        </is>
      </c>
      <c r="B7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䵒颟琱௉㇋襌変콠礿㳻돗귇綱䯱羐陞痂㕓矏Ⓝཉ㍄瞑䵗飶瑺ட㇕褗夋콹礦㳢뎧근緸䮠羟陱痨㔧矒Ⓛཙ㍆瞏䵦颬琨ோ㇕襡変콠礿㳧돵귖緥䯃翞阣痵㕑矖Ⓛཉ㌲矐䴇颛琪௒㇌襸変켏祳㲿뎥궗緥䯒翪阕疘㔒瞈⒆༧㌑矜䴉飃瑺௖㇗襸変켐祛㲝돢귖綱䯀翁阧疼㔜瞂ⓞཋ㍒瞀䵘预琨஻ㆱ複奌켣祫㲏돷궈緧䮴羜院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ᜉ姭崠뤪졹榢귕滲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1" t="inlineStr">
        <is>
          <t>A6B78040E328186CA784760D6DFE1E94</t>
        </is>
      </c>
    </row>
    <row r="72">
      <c r="A72" t="inlineStr">
        <is>
          <t>_DM|LnkdItm|_bdm.e59dd4eb15b74531abc6f0cb7224a7f8.edm|_bdm.a86d719eef074c718eff7576083c7427.edm</t>
        </is>
      </c>
      <c r="B72"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颈琰௜㇀襣夤콊礿㳻뎧궉綕䯰翚阠痶㕾知Ⓝཉ㍄瞑䵋领琴஻ㆇ褵奿콽礽㳪뎿궂緰䮠美阚痵㕑矞Ⓛཉ㌰瞌䵉颖琪௕ㇸ襋変콠礿㳻뎧궕緹䯑翜阰痨㔲瞟⒓པ㍆瞈䵉领瑞ஊ㆙襼夘콮礧㳬뎥궕綊䯮翊陮痪㕑矏⒳༭㌢矡䴊飁瑭஥ㆀ褬奌켲礢㳹뎥궕綕䯆翨阁疭㔐瞛⒡༆㌐矅䴄飋琵௉㇀襸夋콠祏㲟돕귐綦䯶翺阼疸㕎矍ⓕཙ㍜瞓䵋飶瑌஭ㆧ褤奝켌祺㲽뎺궗緶䮴羝陱痨㔣瞫⒥༻㌁矒䴟飴瑡஌㆝褵夋콳礧㳭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뿺ῠ愵鿫뎧궝⺝ӏ羔㯏擵矆ⓟཆ㌧矅䴓飒琶௦ㇿ襡変콠礿㳻뎧궕緥䮾翪阼疫㔷瞊⒅༇㍄矧䴎飔瑻ஂ㆚褯夋콲礽㳻돴귥綱䯰羓陱疜㔁瞚⒆ཋ㍚瞼䵡领琨ோ㇕襡変콠礿㳻뎧궉綌䯆羐阒痾㔱矘ⓛཙ㍐瞁䴮颕琺௓㇄襹奪켁礨㳣뎰궃緵䯆羘阗疎㔶矞⒦ཐ㍐瞍䵄飯瑌௕ㇸ襋変콠礿㳻뎧궕緥䮢羒陼疌㔜瞌⒧༌㌂矟䵕颫琂ோ㇕襡変콠礿㳻뎧궉綖䯶翞阠痨㕜矑⓮ལ㍄瞑䵋领琨ோ㇕襡夆켓祭㲸뎊궿緥䮢美陳痨㕓矓Ⓦ༹㌖矅䵕颫琂ோ㇕襡夕콯祏㲩돴궋緈䮈美陳痨㕓矓⒠༆㌉矜䴎飈瑼஘㇕襮夤콊礿㳻뎨근綱䯯羐陞痂㕏矀⒧༈㌐矐䵕</t>
        </is>
      </c>
      <c r="C72" t="inlineStr">
        <is>
          <t>A6B78040E328186CA784760D6DFE1E94</t>
        </is>
      </c>
    </row>
    <row r="73">
      <c r="A73" t="inlineStr">
        <is>
          <t>_DM|LnkdItm|_bdm.e59dd4eb15b74531abc6f0cb7224a7f8.edm|_bdm.37a65cd2420040a5a73f615516704081.edm</t>
        </is>
      </c>
      <c r="B73"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颟琽௉㇋襌変콠礿㳻돗귇綱䯱羐陞痂㕓矏Ⓝཉ㍄瞑䵗飶瑺ட㇕褗夋콱礦㳮뎧근緸䮠羟陱痨㔧矒Ⓛཙ㍆瞏䵦颬琨ோ㇕襡変콠礿㳧돵귖緥䯃翞阣痵㕑矖Ⓛཉ㌲矐䴇颛琪௚㇌襴変켏祳㲿뎥궗緥䯒翪阕疘㔒瞈⒆༧㌑矜䴉飃瑺௖㇗襸変켐祛㲝돢귖綱䯀翁阧疼㔜瞂ⓞཋ㍑瞉䵓预琨஻ㆱ複奌켣祫㲏돷궈緧䮷羗陥痪㕓瞿⒧༯㌶矔䴈飒瑄எ㆓褵夋콳礨㳩뎧귥綁䯄翼阶疫㔇瞽⒊༎㌌矅䵖预琻௓㇃襣她켄祙㲉돤귁綗䯭翚防疼㔚瞀⒍པ㍆瞁䵉领瑝஛㆑褃夔콢祦㲣돢궗緥䯗翞阷疇㔝矒Ⓛཛ㍔瞀䵜颈琸௙㇛襰夓콱礬㳵뎲궛緰䮰羌陳疋㔁瞛⒡༐㍙瞓䴒飞瑡எ㇗襡奛켴祐㲵뎥궇緵䮳羙陽痸㕁矁ⓒཝ㍞瞀䵘颈琻௞㇛襴夋콾礒㳑뎧궕緥䮢美陳痨㕓矏ⓟ༪㌐矉䴟题堥悐襡ੱ耍礥䪥Ꜧ궜緹䮭翭阧疰㔇矑⓮ལ㍄瞑䵋领琨ோ㇕襡変콼祛㲴돃귐綣䯬美阅疭㔁瞜⒊༆㌊瞌䵉颔琪ோㆼ褲奝켲礢㳹돵귀綠䮠羐陞痂㕓矏Ⓝཉ㍄瞑䵋领琨ோ㇕襡奠켄礡㲚독궂緽䮲羚陣疍㕀矝ⓛམ㍜瞇䴨飧琿௓㇁襶夙켄礩㲟돂궄綀䮻羚陯痧㔺瞫ⓝཤ㍮瞑䵋领琨ோ㇕襡変콠礣㳴돨귖綁䯧翈阽痶㕾知Ⓝཉ㍄瞑䵋领琨ோ㇕襡奺켴祯㲨뎨궋緈䮈美陳痨㕓矏Ⓝཉ㍄瞍䵄飵瑺ஈ㇋襌変콠礿㳻뎧궉緪䯒翜阧痶㕾知Ⓝཉ㍄瞑䵗颉瑘ஙㆁ褲夤콊礿㳻뎧궉綆䯭翃阾疭㔝瞛⒐ཉ㍋瞏䵦颬琨ோ㇉襮奝켭礡㳖뎻궚綁䯣翚防痶</t>
        </is>
      </c>
      <c r="C73" t="inlineStr">
        <is>
          <t>A6B78040E328186CA784760D6DFE1E94</t>
        </is>
      </c>
    </row>
    <row r="74">
      <c r="A74" t="inlineStr">
        <is>
          <t>_DM|LnkdItm|_bdm.e59dd4eb15b74531abc6f0cb7224a7f8.edm|_bdm.8aed35bf94184176a296465576ae67a8.edm</t>
        </is>
      </c>
      <c r="B74"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颈琼௟㇃襣夤콊礿㳻뎧궉綕䯰翚阠痶㕾知Ⓝཉ㍄瞑䵋领琴஻ㆇ褵奿콽礽㳨뎳궁緳䮠美阚痵㕑矞Ⓛཉ㌰瞌䵉颖琪௕ㇸ襋変콠礿㳻뎧궕緹䯑翜阰痨㔲瞟⒓པ㍆瞈䵉领瑞ஊ㆙襼多콮礫㳯뎥궕綊䯮翊陮痪㕑矏⒳༭㌢矡䴊飁瑭஥ㆀ褬奌켲礢㳹뎥궕綕䯆翨阁疭㔐瞛⒡༆㌐矅䴄飋琵௉㇀襶夋콠祏㲟돕귐綦䯶翺阼疸㕎矍ⓖད㍗瞓䵋飶瑌஭ㆧ褤奝켌祺㲽뎺궗緶䮴羝陱痨㔣瞫⒥༻㌁矒䴟飴瑡஌㆝褵夋콳礧㳬뎧귥綁䯄翼阶疫㔇瞽⒌༝㌅矅䴂飉瑦௖㇗襱変켕祯㲿돾궈緧䯻翖阺疭㕑矏Ⓐ༙㌀矾䴅颛琪௙㇅襰备콰礭㳵뎳궏練䮱羀陠痽㕝矚ⓑཋ㍄矲䴙飒瑊ஒ㇈襣契켩祺㳹도귇綱䯍翀陮痪㕁矟ⓒཞ㍊瞁䵙颈琹௟㇏襰备콳礪㳵뎵궗緻䮏群陳痨㕓矏Ⓝཉ㍄瞑䵋领琴நㆁ褹夗髶ၲ旍뫯앍尿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4" t="inlineStr">
        <is>
          <t>A6B78040E328186CA784760D6DFE1E94</t>
        </is>
      </c>
    </row>
    <row r="75">
      <c r="A75" t="inlineStr">
        <is>
          <t>_DM|LnkdItm|_bdm.e59dd4eb15b74531abc6f0cb7224a7f8.edm|_bdm.be92a5a351b141059b63989d2f23cfa1.edm</t>
        </is>
      </c>
      <c r="B75"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ཐ㍆瞑䴻飢瑎ஹ㆐褢好켯祯㳦뎲궀緲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솗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75" t="inlineStr">
        <is>
          <t>A6B78040E328186CA784760D6DFE1E94</t>
        </is>
      </c>
    </row>
    <row r="76">
      <c r="A76" t="inlineStr">
        <is>
          <t>_DM|LnkdItm|_bdm.e59dd4eb15b74531abc6f0cb7224a7f8.edm|_bdm.e9a5ecc9765a420d9e0311984c4cde16.edm</t>
        </is>
      </c>
      <c r="B76"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䵓颞琪௕ㇸ襋変콠礿㳧돵귁綶䮼羣陙痨㕓矏Ⓝཉ㍄瞍䴻飔瑼ோㆣ襼夑콸礽㳻뎺궗練䮠美阇痵㕑矟Ⓛབྷ㍩瞻䵋领琨ோ㇕襡変콼祌㲩뎧귴綵䯲羓陱痱㕑矏⒵༈㌈瞌䵉颞琰௉㇕褎奍콽礽㳹돗귱綃䯒翏阴疭㔽瞚⒎་㌁矃䵖预琱௉㇕褑奯켒祺㲸독귚綱䯶翁阾痵㕑矚ⓐཟ㍆瞑䴻飢瑎ஹ㆐褢好켯祯㳦뎲궁緱䮠美阃疌㔵瞽⒆༊㌐矽䴎飀瑼௖㇗襲够콢礿㲋돁귧綠䯡翚阁疡㔔瞇⒗པ㍆瞂䵓颐琪ோㆥ褅奻켥祼㲯돨귁綤䯶翇阼疦㕎矍ⓓཋ㍄矤䴛飂瑊ஒ㇈襣契켩祺㳹돒귅綡䯍翀陮痪㕁矟ⓒཞ㍊瞁䵙颈琹௟㇏襰备콳礪㳵뎵궗緥䯁翜阧疊㔊矒Ⓛ༐㌜矘䴎预琨நㆇ褵奇콽礽㳩뎶궂緫䮲羜陽痹㕇矕ⓒཚ㍊瞂䵞颈琽௙㇗西夣콠礿㳻뎧궕緥䮢美陳痴㔰瞛⒛༝㍚∇␆솰练旽͉夁鰘㙒㳡齟ﶀﰳ緬䮾羁阐疼㔋瞛ⓝཤ㍮瞑䵋领琨ோ㇕襡変콠礣㲟돤귱綠䯤翀陳疞㔖瞝⒐ༀ㌋矟䵖预琺௉㇕褈她켴祭㳦돓귇綰䯧羌陭病㕹矏Ⓝཉ㍄瞑䵋领琨ோ㇕襡夕켉祛㳥뎱귷緲䮺羞陧痸㔶矜ⓑད㍕瞉䵝飥瑉௜㇍襵够콰祛㳭돁귰練䯇羗陧痴㕜瞦⒧བྷ㍩瞻䵋领琨ோ㇕襡変콠礿㳧돃귚綦䯆翋阵疦㕍矢ⓩཉ㍄瞑䵋领琨ோ㇕襡夕켓祫㲫뎧궚緻䮏群陳痨㕓矏Ⓝཉ㍄瞑䵗颉瑛ங㆖西夣콠礿㳻뎧궕緹䮭翾阡疼㕍矢ⓩཉ㍄瞑䵋颚琧஻ㆇ褵夗콍礕㳻뎧궕緹䯁翁阾疥㔖瞁⒗༚㍄瞞䵕颫琂ோ㇕襽奠켴祲㳥뎍궉緪䯆翏阧疩㕍</t>
        </is>
      </c>
      <c r="C76" t="inlineStr">
        <is>
          <t>A6B78040E328186CA784760D6DFE1E94</t>
        </is>
      </c>
    </row>
    <row r="77">
      <c r="A77" t="inlineStr">
        <is>
          <t>_DM|LnkdItm|_bdm.e59dd4eb15b74531abc6f0cb7224a7f8.edm|_bdm.0f27fb93801a474daec1e8737c45ed34.edm</t>
        </is>
      </c>
      <c r="B77"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뎵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ᖺⶇ痨㕛Ⓑ殮ན䔚㦶᳭颏琴௄ㆶ褵奝콾礒㳑뎧궕緥䮢美陳痨㕓矏ⓟ༭㌋矒䴯飃瑮அ㇕褗奛켳祶㲴뎺궗緷䮠美阚疻㔣瞛⒑པ㍆知䴙飓瑭௉㇋襌変콠礿㳻뎧궕緥䮢美陳痨㕏瞦⒧བྷ㌥瞇䴩频琰௛㇁襱多콲礧㳪뎱귶綄䮵羖陧痿㕅矟⒧ཟ㌠矷䴮颗瑍௒㇁襽奠켄礡㳖뎧궕緥䮢美陳痨㕓矏Ⓝཕ㍋矵䴄飅瑌எ㆓褯夤콊礿㳻뎧궕緥䮢美陳痨㕏瞼⒗༙㌗瞑䵄题琅௡㇕襡変콠礿㳻뎻궚綖䯰翍陭病㕹矏Ⓝཉ㍄瞑䵋颚琧஻ㆇ褵夤콊礿㳻뎧궉緪䯒翜阧疻㕍矢ⓩཉ㍄瞑䵋颚瑋஄㆘褬奇켴祬㳻뎹궸総䮢美陯痧㔺瞛⒎བྷ㍩瞻䵗颉瑌ஊㆁ褠</t>
        </is>
      </c>
      <c r="C77" t="inlineStr">
        <is>
          <t>A6B78040E328186CA784760D6DFE1E94</t>
        </is>
      </c>
    </row>
    <row r="78">
      <c r="A78" t="inlineStr">
        <is>
          <t>_DM|LnkdItm|_bdm.e59dd4eb15b74531abc6f0cb7224a7f8.edm|_bdm.b4f261d9387d4246992a5546884c1047.edm</t>
        </is>
      </c>
      <c r="B78"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䵚颖琱௅㇄襷夋콾礒㳑뎧궕緥䮾翾阡疼㔀矑⓮ལ㍄瞑䵋领琨ோ㇉褑奝콠祉㳦뎶궅緼䮬羟陥痽㕑矏⒪པ㍆瞀䵉领瑜௖㇗襱夗콍礕㳻뎧궕緥䮢美陳痴㔠瞝⒀ཉ㌥矁䴛颛琪௒㇗襡奈켬礢㳹뎷권緫䮳羘陦痪㕓瞠⒏།㍙瞓䵉领瑘யㆳ褑奎켥祑㲮돥귐綷䮿羌陪痪㕓瞿⒧༯㌶矔䴈飒瑊஄ㆁ褵奄콽礽㳮뎾궗緥䯒翪阕疚㔖瞌⒗༽㌋矁䵖预琽௚㇍襣她켄祙㲉돤귁綉䯧翈阧痵㕑矜ⓖཝ㍆瞑䴻飢瑎ஹ㆐褢奻켩祸㲳뎺궗緶䮺羘陱痨㔣瞫⒥༻㌁矒䴟飴瑧ட㆔褵奆켮礢㳹뎥궕綐䯲翊阑疱㕎矍⒚༑㌍矔䵉领瑝஛㆑褎夔콢礭㳫뎰궛緵䮰羀院痼㕉矞ⓐཇ㍗瞄䵅颓琺௉㇕褂奝켂祦㳦돾귍綬䯧羌陳疋㔁瞛⒬༇㍙瞓䵙颖琹௜㇛襱备콱礫㳡뎴궛緶䮷羀陦痺㕑矑⓮ལ㍄瞑䵋领琨ோ㇕襡変콼祜㲯돳궋ߋ�ӧᳬႼ朾ℴ瞩桶买▘㮡领琠墳纸襻躏ᜮ黆礶㳧도귁綽䯶羐陞痂㕓矏Ⓝཉ㍄瞑䵋领琨ோ㇉褅奊켄祺㲽뎧귣綠䯰翝阺疧㔝矒Ⓛཛ㍆瞑䴢飕瑘டㆇ襼好켲祪㲾뎹궸総䮢美陳痨㕓矏Ⓝཉ㍄瞑䵋领琴஢ㆱ西够켂礨㳣뎳궅綀䮱羜陫痹㕋矙⒠༨㍓瞉䵟频琾௛ㆱ襷奯켅礮㲞뎳궉緪䯋翪陭病㕹矏Ⓝཉ㍄瞑䵋领琨ோ㇕襽奭켯祼㲟돡귛緻䮏群陳痨㕓矏Ⓝཉ㍄瞑䵋领琴ஸㆁ褱変콯礡㳖뎧궕緥䮢美陳痨㕓矓Ⓦ༺㌖矒䵕颫琂ோ㇕襡変콠礣㳴돵귁緻䮏群陳痨㕓矏ⓟཆ㌴矃䴟飕琶௦ㇿ襡変콠礣㲘돪귘綠䯬翚阠痨㕜矑⓮ལ㍄瞑䵗颉瑁ட㆘西夣콼礰㲟돳귔緻</t>
        </is>
      </c>
      <c r="C78" t="inlineStr">
        <is>
          <t>A6B78040E328186CA784760D6DFE1E94</t>
        </is>
      </c>
    </row>
    <row r="79">
      <c r="A79" t="inlineStr">
        <is>
          <t>_DM|LnkdItm|_bdm.e59dd4eb15b74531abc6f0cb7224a7f8.edm|_bdm.f5a1d5bf18954d268d78889ac68c6ec0.edm</t>
        </is>
      </c>
      <c r="B79"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䵘颕琦௚㇄襲夗콍礕㳻뎧궕緹䯒翜阧疻㕍矢ⓩཉ㍄瞑䵋领琨ௗㆥ褳変켖礢㳹뎴궛練䮳羝陱痨㔺矒Ⓛམ㍆瞑䴿颛琪௛㇗西夣콠礿㳻뎧궕緥䮢羒阀疺㔐矏⒢༙㌔瞌䵉颟琪ோㆣ褠夔콢礬㳨뎶궄緶䮠美阜疤㔗矒Ⓛཋ㍄矡䴯飠瑘ஊ㆒褤奜켭祽㲾뎺궗緼䮠美阃疌㔵瞽⒆༊㌐石䴄飒瑼஄㆘襼夝콹礪㳹돗귱綃䯐翋阰疼㔧瞀⒓པ㍆瞄䵛颓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藴ﴽힻڌ䮢羆씋㪅㕉Ƒ櫤廯㍍瞍䵄飥瑼ஓㆁ西夣콠礿㳻뎧궕緥䮢美陳痴㔷瞀⒀༭㌁矗䴅领瑞எㆇ褲奆켮礢㳹뎥궕綌䯱翾阧疺㕎矍Ⓑ༛㌑矔䵉题琅௡㇕襡変콠礿㳻뎧궕緥䮢羒阚疌㕍瞮ⓕ༫㍓瞉䵛颒琸ம㇆襳夘콸礩㲘뎰궍緱䮵羘陣疌㕅瞫⒥༬㍕矴䵒颒琴௄ㆼ褅夤콊礿㳻뎧궕緥䮢美陳痨㕏矀⒧༆㌇矵䴎飀瑦௕ㇸ襋変콠礿㳻뎧궕緥䮢羒阀疼㔃瞜Ⓝཆ㍚瞼䵡领琨ோ㇕襡変콠礣㳴돵귖緻䮏群陳痨㕓矏Ⓝཉ㍘瞞䴻飔瑼௕ㇸ襋変콠礿㳧돗귇綱䯱羐陞痂㕓矏Ⓝཉ㍘矲䴄飋瑥எ㆛褵変콯礡㳖뎧궕緹䮭翧阧疥㕍矢ⓩཕ㍋矵䴊飒瑩௕</t>
        </is>
      </c>
      <c r="C79" t="inlineStr">
        <is>
          <t>A6B78040E328186CA784760D6DFE1E94</t>
        </is>
      </c>
    </row>
    <row r="80">
      <c r="A80" t="inlineStr">
        <is>
          <t>_DM|LnkdItm|_bdm.e59dd4eb15b74531abc6f0cb7224a7f8.edm|_bdm.80cf35093a9948438bbd0a6e4ac5bbea.edm</t>
        </is>
      </c>
      <c r="B80"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콸礭㳹돗귱綃䯐翋阰疼㔧瞀⒓པ㍆瞅䵒颗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뿺쪪Ñᦫ।陳痠昫㢢ⓙ礗絣☷䵂颚琧நㆁ褹夗콍礕㳻뎧궕緥䮢美陳痨㕓矓⒧༆㌇矵䴎飀瑦ோㆣ褤奚켩祰㲵뎥궇緧䮢翧阠疘㔇瞝ⓞཋ㌰矃䴞飃琪௕ㇸ襋変콠礿㳻뎧궕緥䮢美陳痴㔺瞫ⓝ༨㍒石䵜颞琸௟㇅褄夛콸礮㳣도귴緲䮺羚除痾㕃瞫ⓕ༭㌢矴䵚飣琱௟㇉襮奭콾礒㳑뎧궕緥䮢美陳痨㕓矏ⓟཆ㌠矞䴈飢瑭஍㆛西夣콠礿㳻뎧궕緥䮢美陳痴㔠瞛⒓༚㍄瞞䵕颫琂ோ㇕襡変콠礿㳻뎨귦綷䯡羐陞痂㕓矏Ⓝཉ㍄瞑䵗颉瑘ஙㆁ西夣콠礿㳻뎻궚綕䯰翚阠痶㕾知Ⓝཉ㍄瞑䵗飥瑧ஆ㆘褤奝켳礿㳴뎊궿緥䮢羒陼疁㔇瞂ⓝཤ㍮瞍䵄飢瑩ட㆔西</t>
        </is>
      </c>
      <c r="C80" t="inlineStr">
        <is>
          <t>A6B78040E328186CA784760D6DFE1E94</t>
        </is>
      </c>
    </row>
    <row r="81">
      <c r="A81" t="inlineStr">
        <is>
          <t>_DM|LnkdItm|_bdm.e59dd4eb15b74531abc6f0cb7224a7f8.edm|_bdm.4882afae73e541838342450df3d88fc1.edm</t>
        </is>
      </c>
      <c r="B81" t="inlineStr">
        <is>
          <t>䯀翪阕疉㔰矙⒢ཛྷ㍉矵䵟颕瑋ெ㇁褤奍콭神㳨독궘練䯀羖除痹㔶矟⒢༭㌢矵䵟颚瑌ஊㆁ褠奟켥祱㲿돵궈緧䯄翏阰疼㔠瞊⒗ཋ㍄矐䴛飖瑤ஂ㆖褠奀켯祱㳦돋규綫䯩美队疡㔑瞝⒂༛㌝瞓䵋飐瑭ஙㆆ褨奇콽礽㳩뎶궆緫䮳羛陱痨㔫瞢⒯༿㌁矃䴘飏瑧அ㇈襣夜콹礮㳩뎰귰編䯁羟陡痾㕞矛ⓚ༭㌡瞜䴩颞琹௝㇘襱奫콸礫㳫뎱궀緲䮵羞陱痨㔚瞷⒮༥㌲矔䴙飕瑡஄㆛襼夘콢礡㳖뎧궕緹䯋翚阾痨㔵瞚⒏༅㍙瞓䵜颐琦௛㇀襳夗콍礕㳻뎧궕緹䯒翜阧疻㕍矢ⓩཉ㍄瞑䵋领琨ௗㆥ褳変켖礢㳹뎱궛緵䮷羜陱痨㔺矒Ⓛམ㍆瞑䴿颛琪௛㇗西夣콠礿㳻뎧궕緥䮢羒阀疺㔐矏⒢༙㌔瞌䵉颟琪ோㆣ褠夔콢礨㳭뎷궀緷䮠美阜疤㔗矒Ⓛཋ㍄矡䴯飠瑘ஊ㆒褤奜켭祽㲾뎺궗緼䮠美阃疌㔵瞽⒆༊㌐石䴄飒瑼஄㆘襼夝콶礦㳹돗귱綃䯐翋阰疼㔧瞀⒓པ㍆瞅䵜颞琪ோㆥ褅奻켥祼㲯돢귓綱䮿羌陠痽㕊矍Ⓝ༹㌠矷䴹飃瑫டㆧ褨奁켴礢㳹뎿궃緧䮢翾阗疎㔡瞊⒀༝㌶矞䴟飇瑼ஂ㆚褯夋콰礽㳻돷귑綇䯻羓陱疱㔋瞆⒆ཋ㍄矤䴛飂瑇அ㇈襣夙콱礨㳵뎵궛練䮶羔院痻㕝矜ⓖཇ㍑瞃䵉领瑋ஙㆁ褃夔콢祦㲣돢궗緥䯁翜阧疇㔝矒Ⓛཛ㍔瞀䵜颈琸௙㇛襰夓콱礬㳵뎲궛緰䮰羌陭病㕹矏Ⓝཉ㍄瞑䵋领琨ோ㇕襽奝켸祫㳥悋ﲝ풋ᗯֹ俅졣⦖Ԫ䝤爸尣呻થὂ琨௃抭옌⽗腇⢙㳲뎨귶綱䯺翚陭病㕹矏Ⓝཉ㍄瞑䵋领琨ோ㇕襽奆켣祛㲾돩궕經䯧翜阠疡㔜瞁ⓞཋ㍖瞓䵋飯瑻஻ㆁ褳夋켔祭㲮뎥궋緈䮈美陳痨㕓矏Ⓝཉ㍄瞑䵋领琨ௗㆼ褅奨콶祝㳬뎷궁緵䯇羝陡痰㕂矗ⓕ༪㌥瞆䵓颒琿௝㇅褅奭켆祚㳪뎾궁緹䮭翧阗痶㕾知Ⓝཉ㍄瞑䵋领琨ோ㇕襡夆켄祰㲸돢귓綫䮼羣陙痨㕓矏Ⓝཉ㍄瞑䵋领琨ௗㆦ褵奚콠礰㳥뎍궕緥䮢美陳痨㕓矏ⓟཆ㌷矃䴈题琅௡㇕襡変콠礿㳧돗귇綱䮼羣陙痨㕓矏Ⓝཕ㍋矡䴙飒瑻௕ㇸ襋変콠礿㳧돨귘綨䯧翀阧疻㕓矀ⓝཤ㍮瞑䵋颚琧஢ㆁ褬夤콊礣㳴돦귁綤䮼</t>
        </is>
      </c>
      <c r="C81" t="inlineStr">
        <is>
          <t>A6B78040E328186CA784760D6DFE1E94</t>
        </is>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jaehee</dc:creator>
  <dcterms:created xmlns:dcterms="http://purl.org/dc/terms/" xmlns:xsi="http://www.w3.org/2001/XMLSchema-instance" xsi:type="dcterms:W3CDTF">2013-10-02T07:47:15Z</dcterms:created>
  <dcterms:modified xmlns:dcterms="http://purl.org/dc/terms/" xmlns:xsi="http://www.w3.org/2001/XMLSchema-instance" xsi:type="dcterms:W3CDTF">2025-10-18T11:54:01Z</dcterms:modified>
  <cp:lastModifiedBy>Michael Kim</cp:lastModifiedBy>
  <cp:lastPrinted>2024-05-02T02:01:48Z</cp:lastPrinted>
</cp:coreProperties>
</file>

<file path=docProps/custom.xml><?xml version="1.0" encoding="utf-8"?>
<Properties xmlns="http://schemas.openxmlformats.org/officeDocument/2006/custom-properties">
  <property name="SaveLocally" fmtid="{D5CDD505-2E9C-101B-9397-08002B2CF9AE}" pid="2">
    <vt:lpwstr xmlns:vt="http://schemas.openxmlformats.org/officeDocument/2006/docPropsVTypes">0</vt:lpwstr>
  </property>
  <property name="_DMCheckedOldDocProps" fmtid="{D5CDD505-2E9C-101B-9397-08002B2CF9AE}" pid="3">
    <vt:lpwstr xmlns:vt="http://schemas.openxmlformats.org/officeDocument/2006/docPropsVTypes">_DMCheckedOldDocProps</vt:lpwstr>
  </property>
  <property name="{A44787D4-0540-4523-9961-78E4036D8C6D}" fmtid="{D5CDD505-2E9C-101B-9397-08002B2CF9AE}" pid="4">
    <vt:lpwstr xmlns:vt="http://schemas.openxmlformats.org/officeDocument/2006/docPropsVTypes">{E72442C7-6E22-4335-8B22-D966EDD870FA}</vt:lpwstr>
  </property>
  <property name="Id" fmtid="{D5CDD505-2E9C-101B-9397-08002B2CF9AE}" pid="5">
    <vt:lpwstr xmlns:vt="http://schemas.openxmlformats.org/officeDocument/2006/docPropsVTypes">88a6cd04-d4b5-46bb-a0f5-18aebc7421a1</vt:lpwstr>
  </property>
</Properties>
</file>